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756"/>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DS1.5 .A7</t>
        </is>
      </c>
      <c r="C2" t="inlineStr">
        <is>
          <t>0                      DS 0001500A  7</t>
        </is>
      </c>
      <c r="D2" t="inlineStr">
        <is>
          <t>Asia and the Pacific in the 1970s; the roles of the United States, Australia, and New Zealand. Editor: Bruce Brown.</t>
        </is>
      </c>
      <c r="F2" t="inlineStr">
        <is>
          <t>No</t>
        </is>
      </c>
      <c r="G2" t="inlineStr">
        <is>
          <t>1</t>
        </is>
      </c>
      <c r="H2" t="inlineStr">
        <is>
          <t>No</t>
        </is>
      </c>
      <c r="I2" t="inlineStr">
        <is>
          <t>No</t>
        </is>
      </c>
      <c r="J2" t="inlineStr">
        <is>
          <t>0</t>
        </is>
      </c>
      <c r="L2" t="inlineStr">
        <is>
          <t>Canberra, Australian National University Press, 1971.</t>
        </is>
      </c>
      <c r="M2" t="inlineStr">
        <is>
          <t>1971</t>
        </is>
      </c>
      <c r="O2" t="inlineStr">
        <is>
          <t>eng</t>
        </is>
      </c>
      <c r="P2" t="inlineStr">
        <is>
          <t xml:space="preserve">at </t>
        </is>
      </c>
      <c r="R2" t="inlineStr">
        <is>
          <t xml:space="preserve">DS </t>
        </is>
      </c>
      <c r="S2" t="n">
        <v>2</v>
      </c>
      <c r="T2" t="n">
        <v>2</v>
      </c>
      <c r="U2" t="inlineStr">
        <is>
          <t>1998-04-20</t>
        </is>
      </c>
      <c r="V2" t="inlineStr">
        <is>
          <t>1998-04-20</t>
        </is>
      </c>
      <c r="W2" t="inlineStr">
        <is>
          <t>1997-02-20</t>
        </is>
      </c>
      <c r="X2" t="inlineStr">
        <is>
          <t>1997-02-20</t>
        </is>
      </c>
      <c r="Y2" t="n">
        <v>233</v>
      </c>
      <c r="Z2" t="n">
        <v>165</v>
      </c>
      <c r="AA2" t="n">
        <v>180</v>
      </c>
      <c r="AB2" t="n">
        <v>3</v>
      </c>
      <c r="AC2" t="n">
        <v>3</v>
      </c>
      <c r="AD2" t="n">
        <v>10</v>
      </c>
      <c r="AE2" t="n">
        <v>10</v>
      </c>
      <c r="AF2" t="n">
        <v>3</v>
      </c>
      <c r="AG2" t="n">
        <v>3</v>
      </c>
      <c r="AH2" t="n">
        <v>4</v>
      </c>
      <c r="AI2" t="n">
        <v>4</v>
      </c>
      <c r="AJ2" t="n">
        <v>3</v>
      </c>
      <c r="AK2" t="n">
        <v>3</v>
      </c>
      <c r="AL2" t="n">
        <v>2</v>
      </c>
      <c r="AM2" t="n">
        <v>2</v>
      </c>
      <c r="AN2" t="n">
        <v>0</v>
      </c>
      <c r="AO2" t="n">
        <v>0</v>
      </c>
      <c r="AP2" t="inlineStr">
        <is>
          <t>No</t>
        </is>
      </c>
      <c r="AQ2" t="inlineStr">
        <is>
          <t>Yes</t>
        </is>
      </c>
      <c r="AR2">
        <f>HYPERLINK("http://catalog.hathitrust.org/Record/004409711","HathiTrust Record")</f>
        <v/>
      </c>
      <c r="AS2">
        <f>HYPERLINK("https://creighton-primo.hosted.exlibrisgroup.com/primo-explore/search?tab=default_tab&amp;search_scope=EVERYTHING&amp;vid=01CRU&amp;lang=en_US&amp;offset=0&amp;query=any,contains,991001275319702656","Catalog Record")</f>
        <v/>
      </c>
      <c r="AT2">
        <f>HYPERLINK("http://www.worldcat.org/oclc/214338","WorldCat Record")</f>
        <v/>
      </c>
      <c r="AU2" t="inlineStr">
        <is>
          <t>422701670:eng</t>
        </is>
      </c>
      <c r="AV2" t="inlineStr">
        <is>
          <t>214338</t>
        </is>
      </c>
      <c r="AW2" t="inlineStr">
        <is>
          <t>991001275319702656</t>
        </is>
      </c>
      <c r="AX2" t="inlineStr">
        <is>
          <t>991001275319702656</t>
        </is>
      </c>
      <c r="AY2" t="inlineStr">
        <is>
          <t>2254821750002656</t>
        </is>
      </c>
      <c r="AZ2" t="inlineStr">
        <is>
          <t>BOOK</t>
        </is>
      </c>
      <c r="BB2" t="inlineStr">
        <is>
          <t>9780708100875</t>
        </is>
      </c>
      <c r="BC2" t="inlineStr">
        <is>
          <t>32285002466778</t>
        </is>
      </c>
      <c r="BD2" t="inlineStr">
        <is>
          <t>893897667</t>
        </is>
      </c>
    </row>
    <row r="3">
      <c r="A3" t="inlineStr">
        <is>
          <t>No</t>
        </is>
      </c>
      <c r="B3" t="inlineStr">
        <is>
          <t>DS101 .Q63</t>
        </is>
      </c>
      <c r="C3" t="inlineStr">
        <is>
          <t>0                      DS 0101000Q  63</t>
        </is>
      </c>
      <c r="D3" t="inlineStr">
        <is>
          <t>Excavations at Tel Mevorakh, 1973-1976 / Ephraim Stern.</t>
        </is>
      </c>
      <c r="E3" t="inlineStr">
        <is>
          <t>V.9</t>
        </is>
      </c>
      <c r="F3" t="inlineStr">
        <is>
          <t>Yes</t>
        </is>
      </c>
      <c r="G3" t="inlineStr">
        <is>
          <t>1</t>
        </is>
      </c>
      <c r="H3" t="inlineStr">
        <is>
          <t>No</t>
        </is>
      </c>
      <c r="I3" t="inlineStr">
        <is>
          <t>No</t>
        </is>
      </c>
      <c r="J3" t="inlineStr">
        <is>
          <t>0</t>
        </is>
      </c>
      <c r="K3" t="inlineStr">
        <is>
          <t>Stern, Ephraim, 1934-</t>
        </is>
      </c>
      <c r="L3" t="inlineStr">
        <is>
          <t>[Jerusalem] : Institute of Archaeology, Hebrew University of Jerusalem, 1978-</t>
        </is>
      </c>
      <c r="M3" t="inlineStr">
        <is>
          <t>1978</t>
        </is>
      </c>
      <c r="O3" t="inlineStr">
        <is>
          <t>eng</t>
        </is>
      </c>
      <c r="P3" t="inlineStr">
        <is>
          <t xml:space="preserve">is </t>
        </is>
      </c>
      <c r="Q3" t="inlineStr">
        <is>
          <t>Qedem, monographs of the Institute of Archaeology ; 9, &lt;18 &gt;</t>
        </is>
      </c>
      <c r="R3" t="inlineStr">
        <is>
          <t xml:space="preserve">DS </t>
        </is>
      </c>
      <c r="S3" t="n">
        <v>2</v>
      </c>
      <c r="T3" t="n">
        <v>4</v>
      </c>
      <c r="U3" t="inlineStr">
        <is>
          <t>1998-04-29</t>
        </is>
      </c>
      <c r="V3" t="inlineStr">
        <is>
          <t>1998-04-29</t>
        </is>
      </c>
      <c r="W3" t="inlineStr">
        <is>
          <t>1997-07-11</t>
        </is>
      </c>
      <c r="X3" t="inlineStr">
        <is>
          <t>1997-07-11</t>
        </is>
      </c>
      <c r="Y3" t="n">
        <v>170</v>
      </c>
      <c r="Z3" t="n">
        <v>133</v>
      </c>
      <c r="AA3" t="n">
        <v>144</v>
      </c>
      <c r="AB3" t="n">
        <v>1</v>
      </c>
      <c r="AC3" t="n">
        <v>1</v>
      </c>
      <c r="AD3" t="n">
        <v>3</v>
      </c>
      <c r="AE3" t="n">
        <v>3</v>
      </c>
      <c r="AF3" t="n">
        <v>2</v>
      </c>
      <c r="AG3" t="n">
        <v>2</v>
      </c>
      <c r="AH3" t="n">
        <v>0</v>
      </c>
      <c r="AI3" t="n">
        <v>0</v>
      </c>
      <c r="AJ3" t="n">
        <v>1</v>
      </c>
      <c r="AK3" t="n">
        <v>1</v>
      </c>
      <c r="AL3" t="n">
        <v>0</v>
      </c>
      <c r="AM3" t="n">
        <v>0</v>
      </c>
      <c r="AN3" t="n">
        <v>0</v>
      </c>
      <c r="AO3" t="n">
        <v>0</v>
      </c>
      <c r="AP3" t="inlineStr">
        <is>
          <t>No</t>
        </is>
      </c>
      <c r="AQ3" t="inlineStr">
        <is>
          <t>Yes</t>
        </is>
      </c>
      <c r="AR3">
        <f>HYPERLINK("http://catalog.hathitrust.org/Record/000044064","HathiTrust Record")</f>
        <v/>
      </c>
      <c r="AS3">
        <f>HYPERLINK("https://creighton-primo.hosted.exlibrisgroup.com/primo-explore/search?tab=default_tab&amp;search_scope=EVERYTHING&amp;vid=01CRU&amp;lang=en_US&amp;offset=0&amp;query=any,contains,991004744929702656","Catalog Record")</f>
        <v/>
      </c>
      <c r="AT3">
        <f>HYPERLINK("http://www.worldcat.org/oclc/4907531","WorldCat Record")</f>
        <v/>
      </c>
      <c r="AU3" t="inlineStr">
        <is>
          <t>10076367757:eng</t>
        </is>
      </c>
      <c r="AV3" t="inlineStr">
        <is>
          <t>4907531</t>
        </is>
      </c>
      <c r="AW3" t="inlineStr">
        <is>
          <t>991004744929702656</t>
        </is>
      </c>
      <c r="AX3" t="inlineStr">
        <is>
          <t>991004744929702656</t>
        </is>
      </c>
      <c r="AY3" t="inlineStr">
        <is>
          <t>2258862330002656</t>
        </is>
      </c>
      <c r="AZ3" t="inlineStr">
        <is>
          <t>BOOK</t>
        </is>
      </c>
      <c r="BC3" t="inlineStr">
        <is>
          <t>32285002881752</t>
        </is>
      </c>
      <c r="BD3" t="inlineStr">
        <is>
          <t>893628350</t>
        </is>
      </c>
    </row>
    <row r="4">
      <c r="A4" t="inlineStr">
        <is>
          <t>No</t>
        </is>
      </c>
      <c r="B4" t="inlineStr">
        <is>
          <t>DS101 .Q63</t>
        </is>
      </c>
      <c r="C4" t="inlineStr">
        <is>
          <t>0                      DS 0101000Q  63</t>
        </is>
      </c>
      <c r="D4" t="inlineStr">
        <is>
          <t>Excavations at Tel Mevorakh, 1973-1976 / Ephraim Stern.</t>
        </is>
      </c>
      <c r="E4" t="inlineStr">
        <is>
          <t>V.18</t>
        </is>
      </c>
      <c r="F4" t="inlineStr">
        <is>
          <t>Yes</t>
        </is>
      </c>
      <c r="G4" t="inlineStr">
        <is>
          <t>1</t>
        </is>
      </c>
      <c r="H4" t="inlineStr">
        <is>
          <t>No</t>
        </is>
      </c>
      <c r="I4" t="inlineStr">
        <is>
          <t>No</t>
        </is>
      </c>
      <c r="J4" t="inlineStr">
        <is>
          <t>0</t>
        </is>
      </c>
      <c r="K4" t="inlineStr">
        <is>
          <t>Stern, Ephraim, 1934-</t>
        </is>
      </c>
      <c r="L4" t="inlineStr">
        <is>
          <t>[Jerusalem] : Institute of Archaeology, Hebrew University of Jerusalem, 1978-</t>
        </is>
      </c>
      <c r="M4" t="inlineStr">
        <is>
          <t>1978</t>
        </is>
      </c>
      <c r="O4" t="inlineStr">
        <is>
          <t>eng</t>
        </is>
      </c>
      <c r="P4" t="inlineStr">
        <is>
          <t xml:space="preserve">is </t>
        </is>
      </c>
      <c r="Q4" t="inlineStr">
        <is>
          <t>Qedem, monographs of the Institute of Archaeology ; 9, &lt;18 &gt;</t>
        </is>
      </c>
      <c r="R4" t="inlineStr">
        <is>
          <t xml:space="preserve">DS </t>
        </is>
      </c>
      <c r="S4" t="n">
        <v>2</v>
      </c>
      <c r="T4" t="n">
        <v>4</v>
      </c>
      <c r="V4" t="inlineStr">
        <is>
          <t>1998-04-29</t>
        </is>
      </c>
      <c r="W4" t="inlineStr">
        <is>
          <t>1997-07-11</t>
        </is>
      </c>
      <c r="X4" t="inlineStr">
        <is>
          <t>1997-07-11</t>
        </is>
      </c>
      <c r="Y4" t="n">
        <v>170</v>
      </c>
      <c r="Z4" t="n">
        <v>133</v>
      </c>
      <c r="AA4" t="n">
        <v>144</v>
      </c>
      <c r="AB4" t="n">
        <v>1</v>
      </c>
      <c r="AC4" t="n">
        <v>1</v>
      </c>
      <c r="AD4" t="n">
        <v>3</v>
      </c>
      <c r="AE4" t="n">
        <v>3</v>
      </c>
      <c r="AF4" t="n">
        <v>2</v>
      </c>
      <c r="AG4" t="n">
        <v>2</v>
      </c>
      <c r="AH4" t="n">
        <v>0</v>
      </c>
      <c r="AI4" t="n">
        <v>0</v>
      </c>
      <c r="AJ4" t="n">
        <v>1</v>
      </c>
      <c r="AK4" t="n">
        <v>1</v>
      </c>
      <c r="AL4" t="n">
        <v>0</v>
      </c>
      <c r="AM4" t="n">
        <v>0</v>
      </c>
      <c r="AN4" t="n">
        <v>0</v>
      </c>
      <c r="AO4" t="n">
        <v>0</v>
      </c>
      <c r="AP4" t="inlineStr">
        <is>
          <t>No</t>
        </is>
      </c>
      <c r="AQ4" t="inlineStr">
        <is>
          <t>Yes</t>
        </is>
      </c>
      <c r="AR4">
        <f>HYPERLINK("http://catalog.hathitrust.org/Record/000044064","HathiTrust Record")</f>
        <v/>
      </c>
      <c r="AS4">
        <f>HYPERLINK("https://creighton-primo.hosted.exlibrisgroup.com/primo-explore/search?tab=default_tab&amp;search_scope=EVERYTHING&amp;vid=01CRU&amp;lang=en_US&amp;offset=0&amp;query=any,contains,991004744929702656","Catalog Record")</f>
        <v/>
      </c>
      <c r="AT4">
        <f>HYPERLINK("http://www.worldcat.org/oclc/4907531","WorldCat Record")</f>
        <v/>
      </c>
      <c r="AU4" t="inlineStr">
        <is>
          <t>10076367757:eng</t>
        </is>
      </c>
      <c r="AV4" t="inlineStr">
        <is>
          <t>4907531</t>
        </is>
      </c>
      <c r="AW4" t="inlineStr">
        <is>
          <t>991004744929702656</t>
        </is>
      </c>
      <c r="AX4" t="inlineStr">
        <is>
          <t>991004744929702656</t>
        </is>
      </c>
      <c r="AY4" t="inlineStr">
        <is>
          <t>2258862330002656</t>
        </is>
      </c>
      <c r="AZ4" t="inlineStr">
        <is>
          <t>BOOK</t>
        </is>
      </c>
      <c r="BC4" t="inlineStr">
        <is>
          <t>32285002881760</t>
        </is>
      </c>
      <c r="BD4" t="inlineStr">
        <is>
          <t>893625061</t>
        </is>
      </c>
    </row>
    <row r="5">
      <c r="A5" t="inlineStr">
        <is>
          <t>No</t>
        </is>
      </c>
      <c r="B5" t="inlineStr">
        <is>
          <t>DS101 .Q63</t>
        </is>
      </c>
      <c r="C5" t="inlineStr">
        <is>
          <t>0                      DS 0101000Q  63</t>
        </is>
      </c>
      <c r="D5" t="inlineStr">
        <is>
          <t>Excavations at the City of David / Yigal Shiloh.</t>
        </is>
      </c>
      <c r="E5" t="inlineStr">
        <is>
          <t>V. 30</t>
        </is>
      </c>
      <c r="F5" t="inlineStr">
        <is>
          <t>Yes</t>
        </is>
      </c>
      <c r="G5" t="inlineStr">
        <is>
          <t>1</t>
        </is>
      </c>
      <c r="H5" t="inlineStr">
        <is>
          <t>No</t>
        </is>
      </c>
      <c r="I5" t="inlineStr">
        <is>
          <t>No</t>
        </is>
      </c>
      <c r="J5" t="inlineStr">
        <is>
          <t>0</t>
        </is>
      </c>
      <c r="K5" t="inlineStr">
        <is>
          <t>Shiloh, Yigal, 1936 or 1937-1987.</t>
        </is>
      </c>
      <c r="L5" t="inlineStr">
        <is>
          <t>Jerusalem : Institute of Archaeology, Hebrew University of Jerusalem, 1984-</t>
        </is>
      </c>
      <c r="M5" t="inlineStr">
        <is>
          <t>1984</t>
        </is>
      </c>
      <c r="O5" t="inlineStr">
        <is>
          <t>eng</t>
        </is>
      </c>
      <c r="P5" t="inlineStr">
        <is>
          <t xml:space="preserve">is </t>
        </is>
      </c>
      <c r="Q5" t="inlineStr">
        <is>
          <t>Qedem, 0333-5844 ; 19, 30, 33, 35, 40-41</t>
        </is>
      </c>
      <c r="R5" t="inlineStr">
        <is>
          <t xml:space="preserve">DS </t>
        </is>
      </c>
      <c r="S5" t="n">
        <v>0</v>
      </c>
      <c r="T5" t="n">
        <v>4</v>
      </c>
      <c r="V5" t="inlineStr">
        <is>
          <t>2004-03-29</t>
        </is>
      </c>
      <c r="W5" t="inlineStr">
        <is>
          <t>1997-07-11</t>
        </is>
      </c>
      <c r="X5" t="inlineStr">
        <is>
          <t>2004-03-29</t>
        </is>
      </c>
      <c r="Y5" t="n">
        <v>225</v>
      </c>
      <c r="Z5" t="n">
        <v>177</v>
      </c>
      <c r="AA5" t="n">
        <v>179</v>
      </c>
      <c r="AB5" t="n">
        <v>1</v>
      </c>
      <c r="AC5" t="n">
        <v>1</v>
      </c>
      <c r="AD5" t="n">
        <v>6</v>
      </c>
      <c r="AE5" t="n">
        <v>6</v>
      </c>
      <c r="AF5" t="n">
        <v>1</v>
      </c>
      <c r="AG5" t="n">
        <v>1</v>
      </c>
      <c r="AH5" t="n">
        <v>2</v>
      </c>
      <c r="AI5" t="n">
        <v>2</v>
      </c>
      <c r="AJ5" t="n">
        <v>4</v>
      </c>
      <c r="AK5" t="n">
        <v>4</v>
      </c>
      <c r="AL5" t="n">
        <v>0</v>
      </c>
      <c r="AM5" t="n">
        <v>0</v>
      </c>
      <c r="AN5" t="n">
        <v>0</v>
      </c>
      <c r="AO5" t="n">
        <v>0</v>
      </c>
      <c r="AP5" t="inlineStr">
        <is>
          <t>No</t>
        </is>
      </c>
      <c r="AQ5" t="inlineStr">
        <is>
          <t>Yes</t>
        </is>
      </c>
      <c r="AR5">
        <f>HYPERLINK("http://catalog.hathitrust.org/Record/000341821","HathiTrust Record")</f>
        <v/>
      </c>
      <c r="AS5">
        <f>HYPERLINK("https://creighton-primo.hosted.exlibrisgroup.com/primo-explore/search?tab=default_tab&amp;search_scope=EVERYTHING&amp;vid=01CRU&amp;lang=en_US&amp;offset=0&amp;query=any,contains,991000576139702656","Catalog Record")</f>
        <v/>
      </c>
      <c r="AT5">
        <f>HYPERLINK("http://www.worldcat.org/oclc/11685976","WorldCat Record")</f>
        <v/>
      </c>
      <c r="AU5" t="inlineStr">
        <is>
          <t>3374386719:eng</t>
        </is>
      </c>
      <c r="AV5" t="inlineStr">
        <is>
          <t>11685976</t>
        </is>
      </c>
      <c r="AW5" t="inlineStr">
        <is>
          <t>991000576139702656</t>
        </is>
      </c>
      <c r="AX5" t="inlineStr">
        <is>
          <t>991000576139702656</t>
        </is>
      </c>
      <c r="AY5" t="inlineStr">
        <is>
          <t>2258377240002656</t>
        </is>
      </c>
      <c r="AZ5" t="inlineStr">
        <is>
          <t>BOOK</t>
        </is>
      </c>
      <c r="BC5" t="inlineStr">
        <is>
          <t>32285002881810</t>
        </is>
      </c>
      <c r="BD5" t="inlineStr">
        <is>
          <t>893620599</t>
        </is>
      </c>
    </row>
    <row r="6">
      <c r="A6" t="inlineStr">
        <is>
          <t>No</t>
        </is>
      </c>
      <c r="B6" t="inlineStr">
        <is>
          <t>DS101 .Q63</t>
        </is>
      </c>
      <c r="C6" t="inlineStr">
        <is>
          <t>0                      DS 0101000Q  63</t>
        </is>
      </c>
      <c r="D6" t="inlineStr">
        <is>
          <t>Excavations at the City of David / Yigal Shiloh.</t>
        </is>
      </c>
      <c r="E6" t="inlineStr">
        <is>
          <t>V. 19</t>
        </is>
      </c>
      <c r="F6" t="inlineStr">
        <is>
          <t>Yes</t>
        </is>
      </c>
      <c r="G6" t="inlineStr">
        <is>
          <t>1</t>
        </is>
      </c>
      <c r="H6" t="inlineStr">
        <is>
          <t>No</t>
        </is>
      </c>
      <c r="I6" t="inlineStr">
        <is>
          <t>No</t>
        </is>
      </c>
      <c r="J6" t="inlineStr">
        <is>
          <t>0</t>
        </is>
      </c>
      <c r="K6" t="inlineStr">
        <is>
          <t>Shiloh, Yigal, 1936 or 1937-1987.</t>
        </is>
      </c>
      <c r="L6" t="inlineStr">
        <is>
          <t>Jerusalem : Institute of Archaeology, Hebrew University of Jerusalem, 1984-</t>
        </is>
      </c>
      <c r="M6" t="inlineStr">
        <is>
          <t>1984</t>
        </is>
      </c>
      <c r="O6" t="inlineStr">
        <is>
          <t>eng</t>
        </is>
      </c>
      <c r="P6" t="inlineStr">
        <is>
          <t xml:space="preserve">is </t>
        </is>
      </c>
      <c r="Q6" t="inlineStr">
        <is>
          <t>Qedem, 0333-5844 ; 19, 30, 33, 35, 40-41</t>
        </is>
      </c>
      <c r="R6" t="inlineStr">
        <is>
          <t xml:space="preserve">DS </t>
        </is>
      </c>
      <c r="S6" t="n">
        <v>1</v>
      </c>
      <c r="T6" t="n">
        <v>4</v>
      </c>
      <c r="U6" t="inlineStr">
        <is>
          <t>2002-11-12</t>
        </is>
      </c>
      <c r="V6" t="inlineStr">
        <is>
          <t>2004-03-29</t>
        </is>
      </c>
      <c r="W6" t="inlineStr">
        <is>
          <t>1990-09-28</t>
        </is>
      </c>
      <c r="X6" t="inlineStr">
        <is>
          <t>2004-03-29</t>
        </is>
      </c>
      <c r="Y6" t="n">
        <v>225</v>
      </c>
      <c r="Z6" t="n">
        <v>177</v>
      </c>
      <c r="AA6" t="n">
        <v>179</v>
      </c>
      <c r="AB6" t="n">
        <v>1</v>
      </c>
      <c r="AC6" t="n">
        <v>1</v>
      </c>
      <c r="AD6" t="n">
        <v>6</v>
      </c>
      <c r="AE6" t="n">
        <v>6</v>
      </c>
      <c r="AF6" t="n">
        <v>1</v>
      </c>
      <c r="AG6" t="n">
        <v>1</v>
      </c>
      <c r="AH6" t="n">
        <v>2</v>
      </c>
      <c r="AI6" t="n">
        <v>2</v>
      </c>
      <c r="AJ6" t="n">
        <v>4</v>
      </c>
      <c r="AK6" t="n">
        <v>4</v>
      </c>
      <c r="AL6" t="n">
        <v>0</v>
      </c>
      <c r="AM6" t="n">
        <v>0</v>
      </c>
      <c r="AN6" t="n">
        <v>0</v>
      </c>
      <c r="AO6" t="n">
        <v>0</v>
      </c>
      <c r="AP6" t="inlineStr">
        <is>
          <t>No</t>
        </is>
      </c>
      <c r="AQ6" t="inlineStr">
        <is>
          <t>Yes</t>
        </is>
      </c>
      <c r="AR6">
        <f>HYPERLINK("http://catalog.hathitrust.org/Record/000341821","HathiTrust Record")</f>
        <v/>
      </c>
      <c r="AS6">
        <f>HYPERLINK("https://creighton-primo.hosted.exlibrisgroup.com/primo-explore/search?tab=default_tab&amp;search_scope=EVERYTHING&amp;vid=01CRU&amp;lang=en_US&amp;offset=0&amp;query=any,contains,991000576139702656","Catalog Record")</f>
        <v/>
      </c>
      <c r="AT6">
        <f>HYPERLINK("http://www.worldcat.org/oclc/11685976","WorldCat Record")</f>
        <v/>
      </c>
      <c r="AU6" t="inlineStr">
        <is>
          <t>3374386719:eng</t>
        </is>
      </c>
      <c r="AV6" t="inlineStr">
        <is>
          <t>11685976</t>
        </is>
      </c>
      <c r="AW6" t="inlineStr">
        <is>
          <t>991000576139702656</t>
        </is>
      </c>
      <c r="AX6" t="inlineStr">
        <is>
          <t>991000576139702656</t>
        </is>
      </c>
      <c r="AY6" t="inlineStr">
        <is>
          <t>2258377240002656</t>
        </is>
      </c>
      <c r="AZ6" t="inlineStr">
        <is>
          <t>BOOK</t>
        </is>
      </c>
      <c r="BC6" t="inlineStr">
        <is>
          <t>32285000292739</t>
        </is>
      </c>
      <c r="BD6" t="inlineStr">
        <is>
          <t>893608058</t>
        </is>
      </c>
    </row>
    <row r="7">
      <c r="A7" t="inlineStr">
        <is>
          <t>No</t>
        </is>
      </c>
      <c r="B7" t="inlineStr">
        <is>
          <t>DS101 .Q63</t>
        </is>
      </c>
      <c r="C7" t="inlineStr">
        <is>
          <t>0                      DS 0101000Q  63</t>
        </is>
      </c>
      <c r="D7" t="inlineStr">
        <is>
          <t>Excavations at the City of David / Yigal Shiloh.</t>
        </is>
      </c>
      <c r="E7" t="inlineStr">
        <is>
          <t>V. 33</t>
        </is>
      </c>
      <c r="F7" t="inlineStr">
        <is>
          <t>Yes</t>
        </is>
      </c>
      <c r="G7" t="inlineStr">
        <is>
          <t>1</t>
        </is>
      </c>
      <c r="H7" t="inlineStr">
        <is>
          <t>No</t>
        </is>
      </c>
      <c r="I7" t="inlineStr">
        <is>
          <t>No</t>
        </is>
      </c>
      <c r="J7" t="inlineStr">
        <is>
          <t>0</t>
        </is>
      </c>
      <c r="K7" t="inlineStr">
        <is>
          <t>Shiloh, Yigal, 1936 or 1937-1987.</t>
        </is>
      </c>
      <c r="L7" t="inlineStr">
        <is>
          <t>Jerusalem : Institute of Archaeology, Hebrew University of Jerusalem, 1984-</t>
        </is>
      </c>
      <c r="M7" t="inlineStr">
        <is>
          <t>1984</t>
        </is>
      </c>
      <c r="O7" t="inlineStr">
        <is>
          <t>eng</t>
        </is>
      </c>
      <c r="P7" t="inlineStr">
        <is>
          <t xml:space="preserve">is </t>
        </is>
      </c>
      <c r="Q7" t="inlineStr">
        <is>
          <t>Qedem, 0333-5844 ; 19, 30, 33, 35, 40-41</t>
        </is>
      </c>
      <c r="R7" t="inlineStr">
        <is>
          <t xml:space="preserve">DS </t>
        </is>
      </c>
      <c r="S7" t="n">
        <v>0</v>
      </c>
      <c r="T7" t="n">
        <v>4</v>
      </c>
      <c r="V7" t="inlineStr">
        <is>
          <t>2004-03-29</t>
        </is>
      </c>
      <c r="W7" t="inlineStr">
        <is>
          <t>1997-07-11</t>
        </is>
      </c>
      <c r="X7" t="inlineStr">
        <is>
          <t>2004-03-29</t>
        </is>
      </c>
      <c r="Y7" t="n">
        <v>225</v>
      </c>
      <c r="Z7" t="n">
        <v>177</v>
      </c>
      <c r="AA7" t="n">
        <v>179</v>
      </c>
      <c r="AB7" t="n">
        <v>1</v>
      </c>
      <c r="AC7" t="n">
        <v>1</v>
      </c>
      <c r="AD7" t="n">
        <v>6</v>
      </c>
      <c r="AE7" t="n">
        <v>6</v>
      </c>
      <c r="AF7" t="n">
        <v>1</v>
      </c>
      <c r="AG7" t="n">
        <v>1</v>
      </c>
      <c r="AH7" t="n">
        <v>2</v>
      </c>
      <c r="AI7" t="n">
        <v>2</v>
      </c>
      <c r="AJ7" t="n">
        <v>4</v>
      </c>
      <c r="AK7" t="n">
        <v>4</v>
      </c>
      <c r="AL7" t="n">
        <v>0</v>
      </c>
      <c r="AM7" t="n">
        <v>0</v>
      </c>
      <c r="AN7" t="n">
        <v>0</v>
      </c>
      <c r="AO7" t="n">
        <v>0</v>
      </c>
      <c r="AP7" t="inlineStr">
        <is>
          <t>No</t>
        </is>
      </c>
      <c r="AQ7" t="inlineStr">
        <is>
          <t>Yes</t>
        </is>
      </c>
      <c r="AR7">
        <f>HYPERLINK("http://catalog.hathitrust.org/Record/000341821","HathiTrust Record")</f>
        <v/>
      </c>
      <c r="AS7">
        <f>HYPERLINK("https://creighton-primo.hosted.exlibrisgroup.com/primo-explore/search?tab=default_tab&amp;search_scope=EVERYTHING&amp;vid=01CRU&amp;lang=en_US&amp;offset=0&amp;query=any,contains,991000576139702656","Catalog Record")</f>
        <v/>
      </c>
      <c r="AT7">
        <f>HYPERLINK("http://www.worldcat.org/oclc/11685976","WorldCat Record")</f>
        <v/>
      </c>
      <c r="AU7" t="inlineStr">
        <is>
          <t>3374386719:eng</t>
        </is>
      </c>
      <c r="AV7" t="inlineStr">
        <is>
          <t>11685976</t>
        </is>
      </c>
      <c r="AW7" t="inlineStr">
        <is>
          <t>991000576139702656</t>
        </is>
      </c>
      <c r="AX7" t="inlineStr">
        <is>
          <t>991000576139702656</t>
        </is>
      </c>
      <c r="AY7" t="inlineStr">
        <is>
          <t>2258377240002656</t>
        </is>
      </c>
      <c r="AZ7" t="inlineStr">
        <is>
          <t>BOOK</t>
        </is>
      </c>
      <c r="BC7" t="inlineStr">
        <is>
          <t>32285002881828</t>
        </is>
      </c>
      <c r="BD7" t="inlineStr">
        <is>
          <t>893608057</t>
        </is>
      </c>
    </row>
    <row r="8">
      <c r="A8" t="inlineStr">
        <is>
          <t>No</t>
        </is>
      </c>
      <c r="B8" t="inlineStr">
        <is>
          <t>DS101 .Q63</t>
        </is>
      </c>
      <c r="C8" t="inlineStr">
        <is>
          <t>0                      DS 0101000Q  63</t>
        </is>
      </c>
      <c r="D8" t="inlineStr">
        <is>
          <t>Excavations at the City of David / Yigal Shiloh.</t>
        </is>
      </c>
      <c r="E8" t="inlineStr">
        <is>
          <t>V. 35</t>
        </is>
      </c>
      <c r="F8" t="inlineStr">
        <is>
          <t>Yes</t>
        </is>
      </c>
      <c r="G8" t="inlineStr">
        <is>
          <t>1</t>
        </is>
      </c>
      <c r="H8" t="inlineStr">
        <is>
          <t>No</t>
        </is>
      </c>
      <c r="I8" t="inlineStr">
        <is>
          <t>No</t>
        </is>
      </c>
      <c r="J8" t="inlineStr">
        <is>
          <t>0</t>
        </is>
      </c>
      <c r="K8" t="inlineStr">
        <is>
          <t>Shiloh, Yigal, 1936 or 1937-1987.</t>
        </is>
      </c>
      <c r="L8" t="inlineStr">
        <is>
          <t>Jerusalem : Institute of Archaeology, Hebrew University of Jerusalem, 1984-</t>
        </is>
      </c>
      <c r="M8" t="inlineStr">
        <is>
          <t>1984</t>
        </is>
      </c>
      <c r="O8" t="inlineStr">
        <is>
          <t>eng</t>
        </is>
      </c>
      <c r="P8" t="inlineStr">
        <is>
          <t xml:space="preserve">is </t>
        </is>
      </c>
      <c r="Q8" t="inlineStr">
        <is>
          <t>Qedem, 0333-5844 ; 19, 30, 33, 35, 40-41</t>
        </is>
      </c>
      <c r="R8" t="inlineStr">
        <is>
          <t xml:space="preserve">DS </t>
        </is>
      </c>
      <c r="S8" t="n">
        <v>1</v>
      </c>
      <c r="T8" t="n">
        <v>4</v>
      </c>
      <c r="U8" t="inlineStr">
        <is>
          <t>2004-03-21</t>
        </is>
      </c>
      <c r="V8" t="inlineStr">
        <is>
          <t>2004-03-29</t>
        </is>
      </c>
      <c r="W8" t="inlineStr">
        <is>
          <t>1997-07-11</t>
        </is>
      </c>
      <c r="X8" t="inlineStr">
        <is>
          <t>2004-03-29</t>
        </is>
      </c>
      <c r="Y8" t="n">
        <v>225</v>
      </c>
      <c r="Z8" t="n">
        <v>177</v>
      </c>
      <c r="AA8" t="n">
        <v>179</v>
      </c>
      <c r="AB8" t="n">
        <v>1</v>
      </c>
      <c r="AC8" t="n">
        <v>1</v>
      </c>
      <c r="AD8" t="n">
        <v>6</v>
      </c>
      <c r="AE8" t="n">
        <v>6</v>
      </c>
      <c r="AF8" t="n">
        <v>1</v>
      </c>
      <c r="AG8" t="n">
        <v>1</v>
      </c>
      <c r="AH8" t="n">
        <v>2</v>
      </c>
      <c r="AI8" t="n">
        <v>2</v>
      </c>
      <c r="AJ8" t="n">
        <v>4</v>
      </c>
      <c r="AK8" t="n">
        <v>4</v>
      </c>
      <c r="AL8" t="n">
        <v>0</v>
      </c>
      <c r="AM8" t="n">
        <v>0</v>
      </c>
      <c r="AN8" t="n">
        <v>0</v>
      </c>
      <c r="AO8" t="n">
        <v>0</v>
      </c>
      <c r="AP8" t="inlineStr">
        <is>
          <t>No</t>
        </is>
      </c>
      <c r="AQ8" t="inlineStr">
        <is>
          <t>Yes</t>
        </is>
      </c>
      <c r="AR8">
        <f>HYPERLINK("http://catalog.hathitrust.org/Record/000341821","HathiTrust Record")</f>
        <v/>
      </c>
      <c r="AS8">
        <f>HYPERLINK("https://creighton-primo.hosted.exlibrisgroup.com/primo-explore/search?tab=default_tab&amp;search_scope=EVERYTHING&amp;vid=01CRU&amp;lang=en_US&amp;offset=0&amp;query=any,contains,991000576139702656","Catalog Record")</f>
        <v/>
      </c>
      <c r="AT8">
        <f>HYPERLINK("http://www.worldcat.org/oclc/11685976","WorldCat Record")</f>
        <v/>
      </c>
      <c r="AU8" t="inlineStr">
        <is>
          <t>3374386719:eng</t>
        </is>
      </c>
      <c r="AV8" t="inlineStr">
        <is>
          <t>11685976</t>
        </is>
      </c>
      <c r="AW8" t="inlineStr">
        <is>
          <t>991000576139702656</t>
        </is>
      </c>
      <c r="AX8" t="inlineStr">
        <is>
          <t>991000576139702656</t>
        </is>
      </c>
      <c r="AY8" t="inlineStr">
        <is>
          <t>2258377240002656</t>
        </is>
      </c>
      <c r="AZ8" t="inlineStr">
        <is>
          <t>BOOK</t>
        </is>
      </c>
      <c r="BC8" t="inlineStr">
        <is>
          <t>32285002881836</t>
        </is>
      </c>
      <c r="BD8" t="inlineStr">
        <is>
          <t>893608056</t>
        </is>
      </c>
    </row>
    <row r="9">
      <c r="A9" t="inlineStr">
        <is>
          <t>No</t>
        </is>
      </c>
      <c r="B9" t="inlineStr">
        <is>
          <t>DS101 .Q63</t>
        </is>
      </c>
      <c r="C9" t="inlineStr">
        <is>
          <t>0                      DS 0101000Q  63</t>
        </is>
      </c>
      <c r="D9" t="inlineStr">
        <is>
          <t>Excavations at the City of David / Yigal Shiloh.</t>
        </is>
      </c>
      <c r="E9" t="inlineStr">
        <is>
          <t>V. 40</t>
        </is>
      </c>
      <c r="F9" t="inlineStr">
        <is>
          <t>Yes</t>
        </is>
      </c>
      <c r="G9" t="inlineStr">
        <is>
          <t>1</t>
        </is>
      </c>
      <c r="H9" t="inlineStr">
        <is>
          <t>No</t>
        </is>
      </c>
      <c r="I9" t="inlineStr">
        <is>
          <t>No</t>
        </is>
      </c>
      <c r="J9" t="inlineStr">
        <is>
          <t>0</t>
        </is>
      </c>
      <c r="K9" t="inlineStr">
        <is>
          <t>Shiloh, Yigal, 1936 or 1937-1987.</t>
        </is>
      </c>
      <c r="L9" t="inlineStr">
        <is>
          <t>Jerusalem : Institute of Archaeology, Hebrew University of Jerusalem, 1984-</t>
        </is>
      </c>
      <c r="M9" t="inlineStr">
        <is>
          <t>1984</t>
        </is>
      </c>
      <c r="O9" t="inlineStr">
        <is>
          <t>eng</t>
        </is>
      </c>
      <c r="P9" t="inlineStr">
        <is>
          <t xml:space="preserve">is </t>
        </is>
      </c>
      <c r="Q9" t="inlineStr">
        <is>
          <t>Qedem, 0333-5844 ; 19, 30, 33, 35, 40-41</t>
        </is>
      </c>
      <c r="R9" t="inlineStr">
        <is>
          <t xml:space="preserve">DS </t>
        </is>
      </c>
      <c r="S9" t="n">
        <v>1</v>
      </c>
      <c r="T9" t="n">
        <v>4</v>
      </c>
      <c r="U9" t="inlineStr">
        <is>
          <t>2004-03-21</t>
        </is>
      </c>
      <c r="V9" t="inlineStr">
        <is>
          <t>2004-03-29</t>
        </is>
      </c>
      <c r="W9" t="inlineStr">
        <is>
          <t>2001-01-11</t>
        </is>
      </c>
      <c r="X9" t="inlineStr">
        <is>
          <t>2004-03-29</t>
        </is>
      </c>
      <c r="Y9" t="n">
        <v>225</v>
      </c>
      <c r="Z9" t="n">
        <v>177</v>
      </c>
      <c r="AA9" t="n">
        <v>179</v>
      </c>
      <c r="AB9" t="n">
        <v>1</v>
      </c>
      <c r="AC9" t="n">
        <v>1</v>
      </c>
      <c r="AD9" t="n">
        <v>6</v>
      </c>
      <c r="AE9" t="n">
        <v>6</v>
      </c>
      <c r="AF9" t="n">
        <v>1</v>
      </c>
      <c r="AG9" t="n">
        <v>1</v>
      </c>
      <c r="AH9" t="n">
        <v>2</v>
      </c>
      <c r="AI9" t="n">
        <v>2</v>
      </c>
      <c r="AJ9" t="n">
        <v>4</v>
      </c>
      <c r="AK9" t="n">
        <v>4</v>
      </c>
      <c r="AL9" t="n">
        <v>0</v>
      </c>
      <c r="AM9" t="n">
        <v>0</v>
      </c>
      <c r="AN9" t="n">
        <v>0</v>
      </c>
      <c r="AO9" t="n">
        <v>0</v>
      </c>
      <c r="AP9" t="inlineStr">
        <is>
          <t>No</t>
        </is>
      </c>
      <c r="AQ9" t="inlineStr">
        <is>
          <t>Yes</t>
        </is>
      </c>
      <c r="AR9">
        <f>HYPERLINK("http://catalog.hathitrust.org/Record/000341821","HathiTrust Record")</f>
        <v/>
      </c>
      <c r="AS9">
        <f>HYPERLINK("https://creighton-primo.hosted.exlibrisgroup.com/primo-explore/search?tab=default_tab&amp;search_scope=EVERYTHING&amp;vid=01CRU&amp;lang=en_US&amp;offset=0&amp;query=any,contains,991000576139702656","Catalog Record")</f>
        <v/>
      </c>
      <c r="AT9">
        <f>HYPERLINK("http://www.worldcat.org/oclc/11685976","WorldCat Record")</f>
        <v/>
      </c>
      <c r="AU9" t="inlineStr">
        <is>
          <t>3374386719:eng</t>
        </is>
      </c>
      <c r="AV9" t="inlineStr">
        <is>
          <t>11685976</t>
        </is>
      </c>
      <c r="AW9" t="inlineStr">
        <is>
          <t>991000576139702656</t>
        </is>
      </c>
      <c r="AX9" t="inlineStr">
        <is>
          <t>991000576139702656</t>
        </is>
      </c>
      <c r="AY9" t="inlineStr">
        <is>
          <t>2258377240002656</t>
        </is>
      </c>
      <c r="AZ9" t="inlineStr">
        <is>
          <t>BOOK</t>
        </is>
      </c>
      <c r="BC9" t="inlineStr">
        <is>
          <t>32285004282850</t>
        </is>
      </c>
      <c r="BD9" t="inlineStr">
        <is>
          <t>893620598</t>
        </is>
      </c>
    </row>
    <row r="10">
      <c r="A10" t="inlineStr">
        <is>
          <t>No</t>
        </is>
      </c>
      <c r="B10" t="inlineStr">
        <is>
          <t>DS101 .Q63</t>
        </is>
      </c>
      <c r="C10" t="inlineStr">
        <is>
          <t>0                      DS 0101000Q  63</t>
        </is>
      </c>
      <c r="D10" t="inlineStr">
        <is>
          <t>Excavations at the City of David / Yigal Shiloh.</t>
        </is>
      </c>
      <c r="F10" t="inlineStr">
        <is>
          <t>Yes</t>
        </is>
      </c>
      <c r="G10" t="inlineStr">
        <is>
          <t>1</t>
        </is>
      </c>
      <c r="H10" t="inlineStr">
        <is>
          <t>Yes</t>
        </is>
      </c>
      <c r="I10" t="inlineStr">
        <is>
          <t>No</t>
        </is>
      </c>
      <c r="J10" t="inlineStr">
        <is>
          <t>0</t>
        </is>
      </c>
      <c r="K10" t="inlineStr">
        <is>
          <t>Shiloh, Yigal, 1936 or 1937-1987.</t>
        </is>
      </c>
      <c r="L10" t="inlineStr">
        <is>
          <t>Jerusalem : Institute of Archaeology, Hebrew University of Jerusalem, 1984-</t>
        </is>
      </c>
      <c r="M10" t="inlineStr">
        <is>
          <t>1984</t>
        </is>
      </c>
      <c r="O10" t="inlineStr">
        <is>
          <t>eng</t>
        </is>
      </c>
      <c r="P10" t="inlineStr">
        <is>
          <t xml:space="preserve">is </t>
        </is>
      </c>
      <c r="Q10" t="inlineStr">
        <is>
          <t>Qedem, 0333-5844 ; 19, 30, 33, 35, 40-41</t>
        </is>
      </c>
      <c r="R10" t="inlineStr">
        <is>
          <t xml:space="preserve">DS </t>
        </is>
      </c>
      <c r="S10" t="n">
        <v>0</v>
      </c>
      <c r="T10" t="n">
        <v>4</v>
      </c>
      <c r="V10" t="inlineStr">
        <is>
          <t>2004-03-29</t>
        </is>
      </c>
      <c r="W10" t="inlineStr">
        <is>
          <t>2003-07-02</t>
        </is>
      </c>
      <c r="X10" t="inlineStr">
        <is>
          <t>2004-03-29</t>
        </is>
      </c>
      <c r="Y10" t="n">
        <v>225</v>
      </c>
      <c r="Z10" t="n">
        <v>177</v>
      </c>
      <c r="AA10" t="n">
        <v>179</v>
      </c>
      <c r="AB10" t="n">
        <v>1</v>
      </c>
      <c r="AC10" t="n">
        <v>1</v>
      </c>
      <c r="AD10" t="n">
        <v>6</v>
      </c>
      <c r="AE10" t="n">
        <v>6</v>
      </c>
      <c r="AF10" t="n">
        <v>1</v>
      </c>
      <c r="AG10" t="n">
        <v>1</v>
      </c>
      <c r="AH10" t="n">
        <v>2</v>
      </c>
      <c r="AI10" t="n">
        <v>2</v>
      </c>
      <c r="AJ10" t="n">
        <v>4</v>
      </c>
      <c r="AK10" t="n">
        <v>4</v>
      </c>
      <c r="AL10" t="n">
        <v>0</v>
      </c>
      <c r="AM10" t="n">
        <v>0</v>
      </c>
      <c r="AN10" t="n">
        <v>0</v>
      </c>
      <c r="AO10" t="n">
        <v>0</v>
      </c>
      <c r="AP10" t="inlineStr">
        <is>
          <t>No</t>
        </is>
      </c>
      <c r="AQ10" t="inlineStr">
        <is>
          <t>Yes</t>
        </is>
      </c>
      <c r="AR10">
        <f>HYPERLINK("http://catalog.hathitrust.org/Record/000341821","HathiTrust Record")</f>
        <v/>
      </c>
      <c r="AS10">
        <f>HYPERLINK("https://creighton-primo.hosted.exlibrisgroup.com/primo-explore/search?tab=default_tab&amp;search_scope=EVERYTHING&amp;vid=01CRU&amp;lang=en_US&amp;offset=0&amp;query=any,contains,991000576139702656","Catalog Record")</f>
        <v/>
      </c>
      <c r="AT10">
        <f>HYPERLINK("http://www.worldcat.org/oclc/11685976","WorldCat Record")</f>
        <v/>
      </c>
      <c r="AU10" t="inlineStr">
        <is>
          <t>3374386719:eng</t>
        </is>
      </c>
      <c r="AV10" t="inlineStr">
        <is>
          <t>11685976</t>
        </is>
      </c>
      <c r="AW10" t="inlineStr">
        <is>
          <t>991000576139702656</t>
        </is>
      </c>
      <c r="AX10" t="inlineStr">
        <is>
          <t>991000576139702656</t>
        </is>
      </c>
      <c r="AY10" t="inlineStr">
        <is>
          <t>2258377240002656</t>
        </is>
      </c>
      <c r="AZ10" t="inlineStr">
        <is>
          <t>BOOK</t>
        </is>
      </c>
      <c r="BC10" t="inlineStr">
        <is>
          <t>280598-6001</t>
        </is>
      </c>
      <c r="BD10" t="inlineStr">
        <is>
          <t>893620597</t>
        </is>
      </c>
    </row>
    <row r="11">
      <c r="A11" t="inlineStr">
        <is>
          <t>No</t>
        </is>
      </c>
      <c r="B11" t="inlineStr">
        <is>
          <t>DS101 .Q63</t>
        </is>
      </c>
      <c r="C11" t="inlineStr">
        <is>
          <t>0                      DS 0101000Q  63</t>
        </is>
      </c>
      <c r="D11" t="inlineStr">
        <is>
          <t>Excavations at the City of David / Yigal Shiloh.</t>
        </is>
      </c>
      <c r="E11" t="inlineStr">
        <is>
          <t>V. 41</t>
        </is>
      </c>
      <c r="F11" t="inlineStr">
        <is>
          <t>Yes</t>
        </is>
      </c>
      <c r="G11" t="inlineStr">
        <is>
          <t>1</t>
        </is>
      </c>
      <c r="H11" t="inlineStr">
        <is>
          <t>No</t>
        </is>
      </c>
      <c r="I11" t="inlineStr">
        <is>
          <t>No</t>
        </is>
      </c>
      <c r="J11" t="inlineStr">
        <is>
          <t>0</t>
        </is>
      </c>
      <c r="K11" t="inlineStr">
        <is>
          <t>Shiloh, Yigal, 1936 or 1937-1987.</t>
        </is>
      </c>
      <c r="L11" t="inlineStr">
        <is>
          <t>Jerusalem : Institute of Archaeology, Hebrew University of Jerusalem, 1984-</t>
        </is>
      </c>
      <c r="M11" t="inlineStr">
        <is>
          <t>1984</t>
        </is>
      </c>
      <c r="O11" t="inlineStr">
        <is>
          <t>eng</t>
        </is>
      </c>
      <c r="P11" t="inlineStr">
        <is>
          <t xml:space="preserve">is </t>
        </is>
      </c>
      <c r="Q11" t="inlineStr">
        <is>
          <t>Qedem, 0333-5844 ; 19, 30, 33, 35, 40-41</t>
        </is>
      </c>
      <c r="R11" t="inlineStr">
        <is>
          <t xml:space="preserve">DS </t>
        </is>
      </c>
      <c r="S11" t="n">
        <v>1</v>
      </c>
      <c r="T11" t="n">
        <v>4</v>
      </c>
      <c r="U11" t="inlineStr">
        <is>
          <t>2004-03-29</t>
        </is>
      </c>
      <c r="V11" t="inlineStr">
        <is>
          <t>2004-03-29</t>
        </is>
      </c>
      <c r="W11" t="inlineStr">
        <is>
          <t>2004-03-29</t>
        </is>
      </c>
      <c r="X11" t="inlineStr">
        <is>
          <t>2004-03-29</t>
        </is>
      </c>
      <c r="Y11" t="n">
        <v>225</v>
      </c>
      <c r="Z11" t="n">
        <v>177</v>
      </c>
      <c r="AA11" t="n">
        <v>179</v>
      </c>
      <c r="AB11" t="n">
        <v>1</v>
      </c>
      <c r="AC11" t="n">
        <v>1</v>
      </c>
      <c r="AD11" t="n">
        <v>6</v>
      </c>
      <c r="AE11" t="n">
        <v>6</v>
      </c>
      <c r="AF11" t="n">
        <v>1</v>
      </c>
      <c r="AG11" t="n">
        <v>1</v>
      </c>
      <c r="AH11" t="n">
        <v>2</v>
      </c>
      <c r="AI11" t="n">
        <v>2</v>
      </c>
      <c r="AJ11" t="n">
        <v>4</v>
      </c>
      <c r="AK11" t="n">
        <v>4</v>
      </c>
      <c r="AL11" t="n">
        <v>0</v>
      </c>
      <c r="AM11" t="n">
        <v>0</v>
      </c>
      <c r="AN11" t="n">
        <v>0</v>
      </c>
      <c r="AO11" t="n">
        <v>0</v>
      </c>
      <c r="AP11" t="inlineStr">
        <is>
          <t>No</t>
        </is>
      </c>
      <c r="AQ11" t="inlineStr">
        <is>
          <t>Yes</t>
        </is>
      </c>
      <c r="AR11">
        <f>HYPERLINK("http://catalog.hathitrust.org/Record/000341821","HathiTrust Record")</f>
        <v/>
      </c>
      <c r="AS11">
        <f>HYPERLINK("https://creighton-primo.hosted.exlibrisgroup.com/primo-explore/search?tab=default_tab&amp;search_scope=EVERYTHING&amp;vid=01CRU&amp;lang=en_US&amp;offset=0&amp;query=any,contains,991000576139702656","Catalog Record")</f>
        <v/>
      </c>
      <c r="AT11">
        <f>HYPERLINK("http://www.worldcat.org/oclc/11685976","WorldCat Record")</f>
        <v/>
      </c>
      <c r="AU11" t="inlineStr">
        <is>
          <t>3374386719:eng</t>
        </is>
      </c>
      <c r="AV11" t="inlineStr">
        <is>
          <t>11685976</t>
        </is>
      </c>
      <c r="AW11" t="inlineStr">
        <is>
          <t>991000576139702656</t>
        </is>
      </c>
      <c r="AX11" t="inlineStr">
        <is>
          <t>991000576139702656</t>
        </is>
      </c>
      <c r="AY11" t="inlineStr">
        <is>
          <t>2258377240002656</t>
        </is>
      </c>
      <c r="AZ11" t="inlineStr">
        <is>
          <t>BOOK</t>
        </is>
      </c>
      <c r="BC11" t="inlineStr">
        <is>
          <t>32285004897954</t>
        </is>
      </c>
      <c r="BD11" t="inlineStr">
        <is>
          <t>893595678</t>
        </is>
      </c>
    </row>
    <row r="12">
      <c r="A12" t="inlineStr">
        <is>
          <t>No</t>
        </is>
      </c>
      <c r="B12" t="inlineStr">
        <is>
          <t>DS101 .Q63 v.14</t>
        </is>
      </c>
      <c r="C12" t="inlineStr">
        <is>
          <t>0                      DS 0101000Q  63                                                      v.14</t>
        </is>
      </c>
      <c r="D12" t="inlineStr">
        <is>
          <t>Ancient ivories in the Middle East and adjacent countries / Richard D. Barnett.</t>
        </is>
      </c>
      <c r="E12" t="inlineStr">
        <is>
          <t>V. 14</t>
        </is>
      </c>
      <c r="F12" t="inlineStr">
        <is>
          <t>No</t>
        </is>
      </c>
      <c r="G12" t="inlineStr">
        <is>
          <t>1</t>
        </is>
      </c>
      <c r="H12" t="inlineStr">
        <is>
          <t>No</t>
        </is>
      </c>
      <c r="I12" t="inlineStr">
        <is>
          <t>No</t>
        </is>
      </c>
      <c r="J12" t="inlineStr">
        <is>
          <t>0</t>
        </is>
      </c>
      <c r="K12" t="inlineStr">
        <is>
          <t>Barnett, Richard David, 1909-1986.</t>
        </is>
      </c>
      <c r="L12" t="inlineStr">
        <is>
          <t>Jerusalem : Institute of Archaeology, Hebrew University of Jerusalem, 1982.</t>
        </is>
      </c>
      <c r="M12" t="inlineStr">
        <is>
          <t>1982</t>
        </is>
      </c>
      <c r="O12" t="inlineStr">
        <is>
          <t>eng</t>
        </is>
      </c>
      <c r="P12" t="inlineStr">
        <is>
          <t xml:space="preserve">is </t>
        </is>
      </c>
      <c r="Q12" t="inlineStr">
        <is>
          <t>Qedem, 0333-5844 ; 14</t>
        </is>
      </c>
      <c r="R12" t="inlineStr">
        <is>
          <t xml:space="preserve">DS </t>
        </is>
      </c>
      <c r="S12" t="n">
        <v>15</v>
      </c>
      <c r="T12" t="n">
        <v>15</v>
      </c>
      <c r="U12" t="inlineStr">
        <is>
          <t>2004-04-21</t>
        </is>
      </c>
      <c r="V12" t="inlineStr">
        <is>
          <t>2004-04-21</t>
        </is>
      </c>
      <c r="W12" t="inlineStr">
        <is>
          <t>1993-06-02</t>
        </is>
      </c>
      <c r="X12" t="inlineStr">
        <is>
          <t>1993-06-02</t>
        </is>
      </c>
      <c r="Y12" t="n">
        <v>195</v>
      </c>
      <c r="Z12" t="n">
        <v>143</v>
      </c>
      <c r="AA12" t="n">
        <v>143</v>
      </c>
      <c r="AB12" t="n">
        <v>1</v>
      </c>
      <c r="AC12" t="n">
        <v>1</v>
      </c>
      <c r="AD12" t="n">
        <v>2</v>
      </c>
      <c r="AE12" t="n">
        <v>2</v>
      </c>
      <c r="AF12" t="n">
        <v>2</v>
      </c>
      <c r="AG12" t="n">
        <v>2</v>
      </c>
      <c r="AH12" t="n">
        <v>0</v>
      </c>
      <c r="AI12" t="n">
        <v>0</v>
      </c>
      <c r="AJ12" t="n">
        <v>0</v>
      </c>
      <c r="AK12" t="n">
        <v>0</v>
      </c>
      <c r="AL12" t="n">
        <v>0</v>
      </c>
      <c r="AM12" t="n">
        <v>0</v>
      </c>
      <c r="AN12" t="n">
        <v>0</v>
      </c>
      <c r="AO12" t="n">
        <v>0</v>
      </c>
      <c r="AP12" t="inlineStr">
        <is>
          <t>No</t>
        </is>
      </c>
      <c r="AQ12" t="inlineStr">
        <is>
          <t>No</t>
        </is>
      </c>
      <c r="AS12">
        <f>HYPERLINK("https://creighton-primo.hosted.exlibrisgroup.com/primo-explore/search?tab=default_tab&amp;search_scope=EVERYTHING&amp;vid=01CRU&amp;lang=en_US&amp;offset=0&amp;query=any,contains,991000115209702656","Catalog Record")</f>
        <v/>
      </c>
      <c r="AT12">
        <f>HYPERLINK("http://www.worldcat.org/oclc/9032788","WorldCat Record")</f>
        <v/>
      </c>
      <c r="AU12" t="inlineStr">
        <is>
          <t>42745677:eng</t>
        </is>
      </c>
      <c r="AV12" t="inlineStr">
        <is>
          <t>9032788</t>
        </is>
      </c>
      <c r="AW12" t="inlineStr">
        <is>
          <t>991000115209702656</t>
        </is>
      </c>
      <c r="AX12" t="inlineStr">
        <is>
          <t>991000115209702656</t>
        </is>
      </c>
      <c r="AY12" t="inlineStr">
        <is>
          <t>2268407630002656</t>
        </is>
      </c>
      <c r="AZ12" t="inlineStr">
        <is>
          <t>BOOK</t>
        </is>
      </c>
      <c r="BC12" t="inlineStr">
        <is>
          <t>32285001716454</t>
        </is>
      </c>
      <c r="BD12" t="inlineStr">
        <is>
          <t>893871419</t>
        </is>
      </c>
    </row>
    <row r="13">
      <c r="A13" t="inlineStr">
        <is>
          <t>No</t>
        </is>
      </c>
      <c r="B13" t="inlineStr">
        <is>
          <t>DS101 .Q63 v.28</t>
        </is>
      </c>
      <c r="C13" t="inlineStr">
        <is>
          <t>0                      DS 0101000Q  63                                                      v.28</t>
        </is>
      </c>
      <c r="D13" t="inlineStr">
        <is>
          <t>The early Islamic monuments of al-Ḥaram al-Sharīf : an iconographic study / Myriam Rosen-Ayalon.</t>
        </is>
      </c>
      <c r="E13" t="inlineStr">
        <is>
          <t>V. 28</t>
        </is>
      </c>
      <c r="F13" t="inlineStr">
        <is>
          <t>No</t>
        </is>
      </c>
      <c r="G13" t="inlineStr">
        <is>
          <t>1</t>
        </is>
      </c>
      <c r="H13" t="inlineStr">
        <is>
          <t>No</t>
        </is>
      </c>
      <c r="I13" t="inlineStr">
        <is>
          <t>No</t>
        </is>
      </c>
      <c r="J13" t="inlineStr">
        <is>
          <t>0</t>
        </is>
      </c>
      <c r="K13" t="inlineStr">
        <is>
          <t>Rosen-Ayalon, Myriam.</t>
        </is>
      </c>
      <c r="L13" t="inlineStr">
        <is>
          <t>Jerusalem, Israel : Institute of Archaeology, Hebrew University of Jerusalem, 1989.</t>
        </is>
      </c>
      <c r="M13" t="inlineStr">
        <is>
          <t>1989</t>
        </is>
      </c>
      <c r="O13" t="inlineStr">
        <is>
          <t>eng</t>
        </is>
      </c>
      <c r="P13" t="inlineStr">
        <is>
          <t xml:space="preserve">is </t>
        </is>
      </c>
      <c r="Q13" t="inlineStr">
        <is>
          <t>Qedem, 0333-5844 ; 28</t>
        </is>
      </c>
      <c r="R13" t="inlineStr">
        <is>
          <t xml:space="preserve">DS </t>
        </is>
      </c>
      <c r="S13" t="n">
        <v>2</v>
      </c>
      <c r="T13" t="n">
        <v>2</v>
      </c>
      <c r="U13" t="inlineStr">
        <is>
          <t>1999-11-17</t>
        </is>
      </c>
      <c r="V13" t="inlineStr">
        <is>
          <t>1999-11-17</t>
        </is>
      </c>
      <c r="W13" t="inlineStr">
        <is>
          <t>1999-04-26</t>
        </is>
      </c>
      <c r="X13" t="inlineStr">
        <is>
          <t>1999-04-26</t>
        </is>
      </c>
      <c r="Y13" t="n">
        <v>179</v>
      </c>
      <c r="Z13" t="n">
        <v>112</v>
      </c>
      <c r="AA13" t="n">
        <v>114</v>
      </c>
      <c r="AB13" t="n">
        <v>1</v>
      </c>
      <c r="AC13" t="n">
        <v>1</v>
      </c>
      <c r="AD13" t="n">
        <v>1</v>
      </c>
      <c r="AE13" t="n">
        <v>1</v>
      </c>
      <c r="AF13" t="n">
        <v>1</v>
      </c>
      <c r="AG13" t="n">
        <v>1</v>
      </c>
      <c r="AH13" t="n">
        <v>0</v>
      </c>
      <c r="AI13" t="n">
        <v>0</v>
      </c>
      <c r="AJ13" t="n">
        <v>0</v>
      </c>
      <c r="AK13" t="n">
        <v>0</v>
      </c>
      <c r="AL13" t="n">
        <v>0</v>
      </c>
      <c r="AM13" t="n">
        <v>0</v>
      </c>
      <c r="AN13" t="n">
        <v>0</v>
      </c>
      <c r="AO13" t="n">
        <v>0</v>
      </c>
      <c r="AP13" t="inlineStr">
        <is>
          <t>No</t>
        </is>
      </c>
      <c r="AQ13" t="inlineStr">
        <is>
          <t>Yes</t>
        </is>
      </c>
      <c r="AR13">
        <f>HYPERLINK("http://catalog.hathitrust.org/Record/001823131","HathiTrust Record")</f>
        <v/>
      </c>
      <c r="AS13">
        <f>HYPERLINK("https://creighton-primo.hosted.exlibrisgroup.com/primo-explore/search?tab=default_tab&amp;search_scope=EVERYTHING&amp;vid=01CRU&amp;lang=en_US&amp;offset=0&amp;query=any,contains,991001552769702656","Catalog Record")</f>
        <v/>
      </c>
      <c r="AT13">
        <f>HYPERLINK("http://www.worldcat.org/oclc/20253929","WorldCat Record")</f>
        <v/>
      </c>
      <c r="AU13" t="inlineStr">
        <is>
          <t>365308790:eng</t>
        </is>
      </c>
      <c r="AV13" t="inlineStr">
        <is>
          <t>20253929</t>
        </is>
      </c>
      <c r="AW13" t="inlineStr">
        <is>
          <t>991001552769702656</t>
        </is>
      </c>
      <c r="AX13" t="inlineStr">
        <is>
          <t>991001552769702656</t>
        </is>
      </c>
      <c r="AY13" t="inlineStr">
        <is>
          <t>2263587630002656</t>
        </is>
      </c>
      <c r="AZ13" t="inlineStr">
        <is>
          <t>BOOK</t>
        </is>
      </c>
      <c r="BC13" t="inlineStr">
        <is>
          <t>32285003556106</t>
        </is>
      </c>
      <c r="BD13" t="inlineStr">
        <is>
          <t>893690682</t>
        </is>
      </c>
    </row>
    <row r="14">
      <c r="A14" t="inlineStr">
        <is>
          <t>No</t>
        </is>
      </c>
      <c r="B14" t="inlineStr">
        <is>
          <t>DS101 .Q63 v.29</t>
        </is>
      </c>
      <c r="C14" t="inlineStr">
        <is>
          <t>0                      DS 0101000Q  63                                                      v.29</t>
        </is>
      </c>
      <c r="D14" t="inlineStr">
        <is>
          <t>Excavations in the south of the Temple Mount : the Ophel of Biblical Jerusalem / Eilat Mazar and Benjamin Mazar ; with appendices by Yonatan Nadelman ... [et al.].</t>
        </is>
      </c>
      <c r="E14" t="inlineStr">
        <is>
          <t>V. 29</t>
        </is>
      </c>
      <c r="F14" t="inlineStr">
        <is>
          <t>No</t>
        </is>
      </c>
      <c r="G14" t="inlineStr">
        <is>
          <t>1</t>
        </is>
      </c>
      <c r="H14" t="inlineStr">
        <is>
          <t>No</t>
        </is>
      </c>
      <c r="I14" t="inlineStr">
        <is>
          <t>No</t>
        </is>
      </c>
      <c r="J14" t="inlineStr">
        <is>
          <t>0</t>
        </is>
      </c>
      <c r="K14" t="inlineStr">
        <is>
          <t>Mazar, Eilat.</t>
        </is>
      </c>
      <c r="L14" t="inlineStr">
        <is>
          <t>[Jerusalem, Israel] : Institute of Archaeology, the Hebrew University of Jerusalem, 1989.</t>
        </is>
      </c>
      <c r="M14" t="inlineStr">
        <is>
          <t>1989</t>
        </is>
      </c>
      <c r="O14" t="inlineStr">
        <is>
          <t>eng</t>
        </is>
      </c>
      <c r="P14" t="inlineStr">
        <is>
          <t xml:space="preserve">is </t>
        </is>
      </c>
      <c r="Q14" t="inlineStr">
        <is>
          <t>Qedem, 0333-5844 ; 29</t>
        </is>
      </c>
      <c r="R14" t="inlineStr">
        <is>
          <t xml:space="preserve">DS </t>
        </is>
      </c>
      <c r="S14" t="n">
        <v>1</v>
      </c>
      <c r="T14" t="n">
        <v>1</v>
      </c>
      <c r="U14" t="inlineStr">
        <is>
          <t>2002-11-12</t>
        </is>
      </c>
      <c r="V14" t="inlineStr">
        <is>
          <t>2002-11-12</t>
        </is>
      </c>
      <c r="W14" t="inlineStr">
        <is>
          <t>1997-07-11</t>
        </is>
      </c>
      <c r="X14" t="inlineStr">
        <is>
          <t>1997-07-11</t>
        </is>
      </c>
      <c r="Y14" t="n">
        <v>171</v>
      </c>
      <c r="Z14" t="n">
        <v>115</v>
      </c>
      <c r="AA14" t="n">
        <v>118</v>
      </c>
      <c r="AB14" t="n">
        <v>1</v>
      </c>
      <c r="AC14" t="n">
        <v>1</v>
      </c>
      <c r="AD14" t="n">
        <v>3</v>
      </c>
      <c r="AE14" t="n">
        <v>3</v>
      </c>
      <c r="AF14" t="n">
        <v>0</v>
      </c>
      <c r="AG14" t="n">
        <v>0</v>
      </c>
      <c r="AH14" t="n">
        <v>0</v>
      </c>
      <c r="AI14" t="n">
        <v>0</v>
      </c>
      <c r="AJ14" t="n">
        <v>3</v>
      </c>
      <c r="AK14" t="n">
        <v>3</v>
      </c>
      <c r="AL14" t="n">
        <v>0</v>
      </c>
      <c r="AM14" t="n">
        <v>0</v>
      </c>
      <c r="AN14" t="n">
        <v>0</v>
      </c>
      <c r="AO14" t="n">
        <v>0</v>
      </c>
      <c r="AP14" t="inlineStr">
        <is>
          <t>No</t>
        </is>
      </c>
      <c r="AQ14" t="inlineStr">
        <is>
          <t>Yes</t>
        </is>
      </c>
      <c r="AR14">
        <f>HYPERLINK("http://catalog.hathitrust.org/Record/001948901","HathiTrust Record")</f>
        <v/>
      </c>
      <c r="AS14">
        <f>HYPERLINK("https://creighton-primo.hosted.exlibrisgroup.com/primo-explore/search?tab=default_tab&amp;search_scope=EVERYTHING&amp;vid=01CRU&amp;lang=en_US&amp;offset=0&amp;query=any,contains,991001636949702656","Catalog Record")</f>
        <v/>
      </c>
      <c r="AT14">
        <f>HYPERLINK("http://www.worldcat.org/oclc/20984647","WorldCat Record")</f>
        <v/>
      </c>
      <c r="AU14" t="inlineStr">
        <is>
          <t>365322336:eng</t>
        </is>
      </c>
      <c r="AV14" t="inlineStr">
        <is>
          <t>20984647</t>
        </is>
      </c>
      <c r="AW14" t="inlineStr">
        <is>
          <t>991001636949702656</t>
        </is>
      </c>
      <c r="AX14" t="inlineStr">
        <is>
          <t>991001636949702656</t>
        </is>
      </c>
      <c r="AY14" t="inlineStr">
        <is>
          <t>2271277150002656</t>
        </is>
      </c>
      <c r="AZ14" t="inlineStr">
        <is>
          <t>BOOK</t>
        </is>
      </c>
      <c r="BC14" t="inlineStr">
        <is>
          <t>32285002881794</t>
        </is>
      </c>
      <c r="BD14" t="inlineStr">
        <is>
          <t>893244263</t>
        </is>
      </c>
    </row>
    <row r="15">
      <c r="A15" t="inlineStr">
        <is>
          <t>No</t>
        </is>
      </c>
      <c r="B15" t="inlineStr">
        <is>
          <t>DS101 .Q63 v.6</t>
        </is>
      </c>
      <c r="C15" t="inlineStr">
        <is>
          <t>0                      DS 0101000Q  63                                                      v.6</t>
        </is>
      </c>
      <c r="D15" t="inlineStr">
        <is>
          <t>The inscriptions of Wadi Haggag, Sinai / Avraham Negev.</t>
        </is>
      </c>
      <c r="E15" t="inlineStr">
        <is>
          <t>V. 6</t>
        </is>
      </c>
      <c r="F15" t="inlineStr">
        <is>
          <t>No</t>
        </is>
      </c>
      <c r="G15" t="inlineStr">
        <is>
          <t>1</t>
        </is>
      </c>
      <c r="H15" t="inlineStr">
        <is>
          <t>No</t>
        </is>
      </c>
      <c r="I15" t="inlineStr">
        <is>
          <t>No</t>
        </is>
      </c>
      <c r="J15" t="inlineStr">
        <is>
          <t>0</t>
        </is>
      </c>
      <c r="K15" t="inlineStr">
        <is>
          <t>Negev, Avraham.</t>
        </is>
      </c>
      <c r="L15" t="inlineStr">
        <is>
          <t>Jerusalem : Institute of Archaeology, Hebrew University of Jerusalem : Israel Exploration Society [distributor], 1977.</t>
        </is>
      </c>
      <c r="M15" t="inlineStr">
        <is>
          <t>1977</t>
        </is>
      </c>
      <c r="O15" t="inlineStr">
        <is>
          <t>eng</t>
        </is>
      </c>
      <c r="P15" t="inlineStr">
        <is>
          <t xml:space="preserve">is </t>
        </is>
      </c>
      <c r="Q15" t="inlineStr">
        <is>
          <t>Publications of the Institute of Archaeology, the Hebrew University of Jerusalem</t>
        </is>
      </c>
      <c r="R15" t="inlineStr">
        <is>
          <t xml:space="preserve">DS </t>
        </is>
      </c>
      <c r="S15" t="n">
        <v>6</v>
      </c>
      <c r="T15" t="n">
        <v>6</v>
      </c>
      <c r="U15" t="inlineStr">
        <is>
          <t>2006-03-09</t>
        </is>
      </c>
      <c r="V15" t="inlineStr">
        <is>
          <t>2006-03-09</t>
        </is>
      </c>
      <c r="W15" t="inlineStr">
        <is>
          <t>1999-04-26</t>
        </is>
      </c>
      <c r="X15" t="inlineStr">
        <is>
          <t>1999-04-26</t>
        </is>
      </c>
      <c r="Y15" t="n">
        <v>181</v>
      </c>
      <c r="Z15" t="n">
        <v>128</v>
      </c>
      <c r="AA15" t="n">
        <v>133</v>
      </c>
      <c r="AB15" t="n">
        <v>1</v>
      </c>
      <c r="AC15" t="n">
        <v>1</v>
      </c>
      <c r="AD15" t="n">
        <v>3</v>
      </c>
      <c r="AE15" t="n">
        <v>3</v>
      </c>
      <c r="AF15" t="n">
        <v>2</v>
      </c>
      <c r="AG15" t="n">
        <v>2</v>
      </c>
      <c r="AH15" t="n">
        <v>0</v>
      </c>
      <c r="AI15" t="n">
        <v>0</v>
      </c>
      <c r="AJ15" t="n">
        <v>1</v>
      </c>
      <c r="AK15" t="n">
        <v>1</v>
      </c>
      <c r="AL15" t="n">
        <v>0</v>
      </c>
      <c r="AM15" t="n">
        <v>0</v>
      </c>
      <c r="AN15" t="n">
        <v>0</v>
      </c>
      <c r="AO15" t="n">
        <v>0</v>
      </c>
      <c r="AP15" t="inlineStr">
        <is>
          <t>No</t>
        </is>
      </c>
      <c r="AQ15" t="inlineStr">
        <is>
          <t>Yes</t>
        </is>
      </c>
      <c r="AR15">
        <f>HYPERLINK("http://catalog.hathitrust.org/Record/000090804","HathiTrust Record")</f>
        <v/>
      </c>
      <c r="AS15">
        <f>HYPERLINK("https://creighton-primo.hosted.exlibrisgroup.com/primo-explore/search?tab=default_tab&amp;search_scope=EVERYTHING&amp;vid=01CRU&amp;lang=en_US&amp;offset=0&amp;query=any,contains,991004469999702656","Catalog Record")</f>
        <v/>
      </c>
      <c r="AT15">
        <f>HYPERLINK("http://www.worldcat.org/oclc/3590795","WorldCat Record")</f>
        <v/>
      </c>
      <c r="AU15" t="inlineStr">
        <is>
          <t>10032526962:eng</t>
        </is>
      </c>
      <c r="AV15" t="inlineStr">
        <is>
          <t>3590795</t>
        </is>
      </c>
      <c r="AW15" t="inlineStr">
        <is>
          <t>991004469999702656</t>
        </is>
      </c>
      <c r="AX15" t="inlineStr">
        <is>
          <t>991004469999702656</t>
        </is>
      </c>
      <c r="AY15" t="inlineStr">
        <is>
          <t>2264098620002656</t>
        </is>
      </c>
      <c r="AZ15" t="inlineStr">
        <is>
          <t>BOOK</t>
        </is>
      </c>
      <c r="BC15" t="inlineStr">
        <is>
          <t>32285003555983</t>
        </is>
      </c>
      <c r="BD15" t="inlineStr">
        <is>
          <t>893247613</t>
        </is>
      </c>
    </row>
    <row r="16">
      <c r="A16" t="inlineStr">
        <is>
          <t>No</t>
        </is>
      </c>
      <c r="B16" t="inlineStr">
        <is>
          <t>DS102 .J45 1996</t>
        </is>
      </c>
      <c r="C16" t="inlineStr">
        <is>
          <t>0                      DS 0102000J  45          1996</t>
        </is>
      </c>
      <c r="D16" t="inlineStr">
        <is>
          <t>Jewish life and thought among Greeks and Romans : primary readings / edited and introduced by Louis H. Feldman and Meyer Reinhold.</t>
        </is>
      </c>
      <c r="F16" t="inlineStr">
        <is>
          <t>No</t>
        </is>
      </c>
      <c r="G16" t="inlineStr">
        <is>
          <t>1</t>
        </is>
      </c>
      <c r="H16" t="inlineStr">
        <is>
          <t>No</t>
        </is>
      </c>
      <c r="I16" t="inlineStr">
        <is>
          <t>No</t>
        </is>
      </c>
      <c r="J16" t="inlineStr">
        <is>
          <t>0</t>
        </is>
      </c>
      <c r="L16" t="inlineStr">
        <is>
          <t>Minneapolis : Fortress Press, c1996.</t>
        </is>
      </c>
      <c r="M16" t="inlineStr">
        <is>
          <t>1996</t>
        </is>
      </c>
      <c r="O16" t="inlineStr">
        <is>
          <t>eng</t>
        </is>
      </c>
      <c r="P16" t="inlineStr">
        <is>
          <t>mnu</t>
        </is>
      </c>
      <c r="R16" t="inlineStr">
        <is>
          <t xml:space="preserve">DS </t>
        </is>
      </c>
      <c r="S16" t="n">
        <v>7</v>
      </c>
      <c r="T16" t="n">
        <v>7</v>
      </c>
      <c r="U16" t="inlineStr">
        <is>
          <t>2004-12-16</t>
        </is>
      </c>
      <c r="V16" t="inlineStr">
        <is>
          <t>2004-12-16</t>
        </is>
      </c>
      <c r="W16" t="inlineStr">
        <is>
          <t>1997-09-04</t>
        </is>
      </c>
      <c r="X16" t="inlineStr">
        <is>
          <t>1997-09-04</t>
        </is>
      </c>
      <c r="Y16" t="n">
        <v>352</v>
      </c>
      <c r="Z16" t="n">
        <v>299</v>
      </c>
      <c r="AA16" t="n">
        <v>376</v>
      </c>
      <c r="AB16" t="n">
        <v>1</v>
      </c>
      <c r="AC16" t="n">
        <v>2</v>
      </c>
      <c r="AD16" t="n">
        <v>20</v>
      </c>
      <c r="AE16" t="n">
        <v>21</v>
      </c>
      <c r="AF16" t="n">
        <v>8</v>
      </c>
      <c r="AG16" t="n">
        <v>8</v>
      </c>
      <c r="AH16" t="n">
        <v>6</v>
      </c>
      <c r="AI16" t="n">
        <v>6</v>
      </c>
      <c r="AJ16" t="n">
        <v>10</v>
      </c>
      <c r="AK16" t="n">
        <v>10</v>
      </c>
      <c r="AL16" t="n">
        <v>0</v>
      </c>
      <c r="AM16" t="n">
        <v>1</v>
      </c>
      <c r="AN16" t="n">
        <v>0</v>
      </c>
      <c r="AO16" t="n">
        <v>0</v>
      </c>
      <c r="AP16" t="inlineStr">
        <is>
          <t>No</t>
        </is>
      </c>
      <c r="AQ16" t="inlineStr">
        <is>
          <t>Yes</t>
        </is>
      </c>
      <c r="AR16">
        <f>HYPERLINK("http://catalog.hathitrust.org/Record/003133639","HathiTrust Record")</f>
        <v/>
      </c>
      <c r="AS16">
        <f>HYPERLINK("https://creighton-primo.hosted.exlibrisgroup.com/primo-explore/search?tab=default_tab&amp;search_scope=EVERYTHING&amp;vid=01CRU&amp;lang=en_US&amp;offset=0&amp;query=any,contains,991002667719702656","Catalog Record")</f>
        <v/>
      </c>
      <c r="AT16">
        <f>HYPERLINK("http://www.worldcat.org/oclc/34894341","WorldCat Record")</f>
        <v/>
      </c>
      <c r="AU16" t="inlineStr">
        <is>
          <t>802686177:eng</t>
        </is>
      </c>
      <c r="AV16" t="inlineStr">
        <is>
          <t>34894341</t>
        </is>
      </c>
      <c r="AW16" t="inlineStr">
        <is>
          <t>991002667719702656</t>
        </is>
      </c>
      <c r="AX16" t="inlineStr">
        <is>
          <t>991002667719702656</t>
        </is>
      </c>
      <c r="AY16" t="inlineStr">
        <is>
          <t>2269270830002656</t>
        </is>
      </c>
      <c r="AZ16" t="inlineStr">
        <is>
          <t>BOOK</t>
        </is>
      </c>
      <c r="BB16" t="inlineStr">
        <is>
          <t>9780800629267</t>
        </is>
      </c>
      <c r="BC16" t="inlineStr">
        <is>
          <t>32285003003281</t>
        </is>
      </c>
      <c r="BD16" t="inlineStr">
        <is>
          <t>893415495</t>
        </is>
      </c>
    </row>
    <row r="17">
      <c r="A17" t="inlineStr">
        <is>
          <t>No</t>
        </is>
      </c>
      <c r="B17" t="inlineStr">
        <is>
          <t>DS102 .K57 1978</t>
        </is>
      </c>
      <c r="C17" t="inlineStr">
        <is>
          <t>0                      DS 0102000K  57          1978</t>
        </is>
      </c>
      <c r="D17" t="inlineStr">
        <is>
          <t>Letters of Jews through the ages : from Biblical times to the middle of the eighteenth century / with an introd., biographical notes and historical comments by Franz Kobler. --</t>
        </is>
      </c>
      <c r="E17" t="inlineStr">
        <is>
          <t>V.2</t>
        </is>
      </c>
      <c r="F17" t="inlineStr">
        <is>
          <t>Yes</t>
        </is>
      </c>
      <c r="G17" t="inlineStr">
        <is>
          <t>1</t>
        </is>
      </c>
      <c r="H17" t="inlineStr">
        <is>
          <t>No</t>
        </is>
      </c>
      <c r="I17" t="inlineStr">
        <is>
          <t>No</t>
        </is>
      </c>
      <c r="J17" t="inlineStr">
        <is>
          <t>0</t>
        </is>
      </c>
      <c r="K17" t="inlineStr">
        <is>
          <t>Kobler, Franz, 1882-1965.</t>
        </is>
      </c>
      <c r="L17" t="inlineStr">
        <is>
          <t>New York : East and West Library, 1978, c1952.</t>
        </is>
      </c>
      <c r="M17" t="inlineStr">
        <is>
          <t>1978</t>
        </is>
      </c>
      <c r="N17" t="inlineStr">
        <is>
          <t>Paperback ed. --</t>
        </is>
      </c>
      <c r="O17" t="inlineStr">
        <is>
          <t>eng</t>
        </is>
      </c>
      <c r="P17" t="inlineStr">
        <is>
          <t>nyu</t>
        </is>
      </c>
      <c r="R17" t="inlineStr">
        <is>
          <t xml:space="preserve">DS </t>
        </is>
      </c>
      <c r="S17" t="n">
        <v>0</v>
      </c>
      <c r="T17" t="n">
        <v>2</v>
      </c>
      <c r="U17" t="inlineStr">
        <is>
          <t>2007-08-14</t>
        </is>
      </c>
      <c r="V17" t="inlineStr">
        <is>
          <t>2010-04-23</t>
        </is>
      </c>
      <c r="W17" t="inlineStr">
        <is>
          <t>1990-09-28</t>
        </is>
      </c>
      <c r="X17" t="inlineStr">
        <is>
          <t>1990-09-28</t>
        </is>
      </c>
      <c r="Y17" t="n">
        <v>153</v>
      </c>
      <c r="Z17" t="n">
        <v>136</v>
      </c>
      <c r="AA17" t="n">
        <v>201</v>
      </c>
      <c r="AB17" t="n">
        <v>1</v>
      </c>
      <c r="AC17" t="n">
        <v>1</v>
      </c>
      <c r="AD17" t="n">
        <v>6</v>
      </c>
      <c r="AE17" t="n">
        <v>7</v>
      </c>
      <c r="AF17" t="n">
        <v>3</v>
      </c>
      <c r="AG17" t="n">
        <v>3</v>
      </c>
      <c r="AH17" t="n">
        <v>2</v>
      </c>
      <c r="AI17" t="n">
        <v>2</v>
      </c>
      <c r="AJ17" t="n">
        <v>3</v>
      </c>
      <c r="AK17" t="n">
        <v>4</v>
      </c>
      <c r="AL17" t="n">
        <v>0</v>
      </c>
      <c r="AM17" t="n">
        <v>0</v>
      </c>
      <c r="AN17" t="n">
        <v>0</v>
      </c>
      <c r="AO17" t="n">
        <v>0</v>
      </c>
      <c r="AP17" t="inlineStr">
        <is>
          <t>No</t>
        </is>
      </c>
      <c r="AQ17" t="inlineStr">
        <is>
          <t>No</t>
        </is>
      </c>
      <c r="AR17">
        <f>HYPERLINK("http://catalog.hathitrust.org/Record/101990912","HathiTrust Record")</f>
        <v/>
      </c>
      <c r="AS17">
        <f>HYPERLINK("https://creighton-primo.hosted.exlibrisgroup.com/primo-explore/search?tab=default_tab&amp;search_scope=EVERYTHING&amp;vid=01CRU&amp;lang=en_US&amp;offset=0&amp;query=any,contains,991004672889702656","Catalog Record")</f>
        <v/>
      </c>
      <c r="AT17">
        <f>HYPERLINK("http://www.worldcat.org/oclc/11235229","WorldCat Record")</f>
        <v/>
      </c>
      <c r="AU17" t="inlineStr">
        <is>
          <t>836706032:eng</t>
        </is>
      </c>
      <c r="AV17" t="inlineStr">
        <is>
          <t>11235229</t>
        </is>
      </c>
      <c r="AW17" t="inlineStr">
        <is>
          <t>991004672889702656</t>
        </is>
      </c>
      <c r="AX17" t="inlineStr">
        <is>
          <t>991004672889702656</t>
        </is>
      </c>
      <c r="AY17" t="inlineStr">
        <is>
          <t>2268983150002656</t>
        </is>
      </c>
      <c r="AZ17" t="inlineStr">
        <is>
          <t>BOOK</t>
        </is>
      </c>
      <c r="BC17" t="inlineStr">
        <is>
          <t>32285000292465</t>
        </is>
      </c>
      <c r="BD17" t="inlineStr">
        <is>
          <t>893513537</t>
        </is>
      </c>
    </row>
    <row r="18">
      <c r="A18" t="inlineStr">
        <is>
          <t>No</t>
        </is>
      </c>
      <c r="B18" t="inlineStr">
        <is>
          <t>DS102 .K57 1978</t>
        </is>
      </c>
      <c r="C18" t="inlineStr">
        <is>
          <t>0                      DS 0102000K  57          1978</t>
        </is>
      </c>
      <c r="D18" t="inlineStr">
        <is>
          <t>Letters of Jews through the ages : from Biblical times to the middle of the eighteenth century / with an introd., biographical notes and historical comments by Franz Kobler. --</t>
        </is>
      </c>
      <c r="E18" t="inlineStr">
        <is>
          <t>V.1</t>
        </is>
      </c>
      <c r="F18" t="inlineStr">
        <is>
          <t>Yes</t>
        </is>
      </c>
      <c r="G18" t="inlineStr">
        <is>
          <t>1</t>
        </is>
      </c>
      <c r="H18" t="inlineStr">
        <is>
          <t>No</t>
        </is>
      </c>
      <c r="I18" t="inlineStr">
        <is>
          <t>No</t>
        </is>
      </c>
      <c r="J18" t="inlineStr">
        <is>
          <t>0</t>
        </is>
      </c>
      <c r="K18" t="inlineStr">
        <is>
          <t>Kobler, Franz, 1882-1965.</t>
        </is>
      </c>
      <c r="L18" t="inlineStr">
        <is>
          <t>New York : East and West Library, 1978, c1952.</t>
        </is>
      </c>
      <c r="M18" t="inlineStr">
        <is>
          <t>1978</t>
        </is>
      </c>
      <c r="N18" t="inlineStr">
        <is>
          <t>Paperback ed. --</t>
        </is>
      </c>
      <c r="O18" t="inlineStr">
        <is>
          <t>eng</t>
        </is>
      </c>
      <c r="P18" t="inlineStr">
        <is>
          <t>nyu</t>
        </is>
      </c>
      <c r="R18" t="inlineStr">
        <is>
          <t xml:space="preserve">DS </t>
        </is>
      </c>
      <c r="S18" t="n">
        <v>2</v>
      </c>
      <c r="T18" t="n">
        <v>2</v>
      </c>
      <c r="U18" t="inlineStr">
        <is>
          <t>2010-04-23</t>
        </is>
      </c>
      <c r="V18" t="inlineStr">
        <is>
          <t>2010-04-23</t>
        </is>
      </c>
      <c r="W18" t="inlineStr">
        <is>
          <t>1990-09-28</t>
        </is>
      </c>
      <c r="X18" t="inlineStr">
        <is>
          <t>1990-09-28</t>
        </is>
      </c>
      <c r="Y18" t="n">
        <v>153</v>
      </c>
      <c r="Z18" t="n">
        <v>136</v>
      </c>
      <c r="AA18" t="n">
        <v>201</v>
      </c>
      <c r="AB18" t="n">
        <v>1</v>
      </c>
      <c r="AC18" t="n">
        <v>1</v>
      </c>
      <c r="AD18" t="n">
        <v>6</v>
      </c>
      <c r="AE18" t="n">
        <v>7</v>
      </c>
      <c r="AF18" t="n">
        <v>3</v>
      </c>
      <c r="AG18" t="n">
        <v>3</v>
      </c>
      <c r="AH18" t="n">
        <v>2</v>
      </c>
      <c r="AI18" t="n">
        <v>2</v>
      </c>
      <c r="AJ18" t="n">
        <v>3</v>
      </c>
      <c r="AK18" t="n">
        <v>4</v>
      </c>
      <c r="AL18" t="n">
        <v>0</v>
      </c>
      <c r="AM18" t="n">
        <v>0</v>
      </c>
      <c r="AN18" t="n">
        <v>0</v>
      </c>
      <c r="AO18" t="n">
        <v>0</v>
      </c>
      <c r="AP18" t="inlineStr">
        <is>
          <t>No</t>
        </is>
      </c>
      <c r="AQ18" t="inlineStr">
        <is>
          <t>No</t>
        </is>
      </c>
      <c r="AR18">
        <f>HYPERLINK("http://catalog.hathitrust.org/Record/101990912","HathiTrust Record")</f>
        <v/>
      </c>
      <c r="AS18">
        <f>HYPERLINK("https://creighton-primo.hosted.exlibrisgroup.com/primo-explore/search?tab=default_tab&amp;search_scope=EVERYTHING&amp;vid=01CRU&amp;lang=en_US&amp;offset=0&amp;query=any,contains,991004672889702656","Catalog Record")</f>
        <v/>
      </c>
      <c r="AT18">
        <f>HYPERLINK("http://www.worldcat.org/oclc/11235229","WorldCat Record")</f>
        <v/>
      </c>
      <c r="AU18" t="inlineStr">
        <is>
          <t>836706032:eng</t>
        </is>
      </c>
      <c r="AV18" t="inlineStr">
        <is>
          <t>11235229</t>
        </is>
      </c>
      <c r="AW18" t="inlineStr">
        <is>
          <t>991004672889702656</t>
        </is>
      </c>
      <c r="AX18" t="inlineStr">
        <is>
          <t>991004672889702656</t>
        </is>
      </c>
      <c r="AY18" t="inlineStr">
        <is>
          <t>2268983150002656</t>
        </is>
      </c>
      <c r="AZ18" t="inlineStr">
        <is>
          <t>BOOK</t>
        </is>
      </c>
      <c r="BC18" t="inlineStr">
        <is>
          <t>32285000292457</t>
        </is>
      </c>
      <c r="BD18" t="inlineStr">
        <is>
          <t>893500838</t>
        </is>
      </c>
    </row>
    <row r="19">
      <c r="A19" t="inlineStr">
        <is>
          <t>No</t>
        </is>
      </c>
      <c r="B19" t="inlineStr">
        <is>
          <t>DS102.4 .F5 1960</t>
        </is>
      </c>
      <c r="C19" t="inlineStr">
        <is>
          <t>0                      DS 0102400F  5           1960</t>
        </is>
      </c>
      <c r="D19" t="inlineStr">
        <is>
          <t>The Jews: their history, culture, and religion.</t>
        </is>
      </c>
      <c r="E19" t="inlineStr">
        <is>
          <t>V.1</t>
        </is>
      </c>
      <c r="F19" t="inlineStr">
        <is>
          <t>Yes</t>
        </is>
      </c>
      <c r="G19" t="inlineStr">
        <is>
          <t>1</t>
        </is>
      </c>
      <c r="H19" t="inlineStr">
        <is>
          <t>No</t>
        </is>
      </c>
      <c r="I19" t="inlineStr">
        <is>
          <t>No</t>
        </is>
      </c>
      <c r="J19" t="inlineStr">
        <is>
          <t>0</t>
        </is>
      </c>
      <c r="K19" t="inlineStr">
        <is>
          <t>Finkelstein, Louis, 1895-1991 editor.</t>
        </is>
      </c>
      <c r="L19" t="inlineStr">
        <is>
          <t>New York, Harper [1960]</t>
        </is>
      </c>
      <c r="M19" t="inlineStr">
        <is>
          <t>1960</t>
        </is>
      </c>
      <c r="N19" t="inlineStr">
        <is>
          <t>3d ed.</t>
        </is>
      </c>
      <c r="O19" t="inlineStr">
        <is>
          <t>eng</t>
        </is>
      </c>
      <c r="P19" t="inlineStr">
        <is>
          <t>nyu</t>
        </is>
      </c>
      <c r="R19" t="inlineStr">
        <is>
          <t xml:space="preserve">DS </t>
        </is>
      </c>
      <c r="S19" t="n">
        <v>1</v>
      </c>
      <c r="T19" t="n">
        <v>4</v>
      </c>
      <c r="U19" t="inlineStr">
        <is>
          <t>2000-09-09</t>
        </is>
      </c>
      <c r="V19" t="inlineStr">
        <is>
          <t>2000-09-12</t>
        </is>
      </c>
      <c r="W19" t="inlineStr">
        <is>
          <t>1997-02-25</t>
        </is>
      </c>
      <c r="X19" t="inlineStr">
        <is>
          <t>1997-02-25</t>
        </is>
      </c>
      <c r="Y19" t="n">
        <v>656</v>
      </c>
      <c r="Z19" t="n">
        <v>596</v>
      </c>
      <c r="AA19" t="n">
        <v>1103</v>
      </c>
      <c r="AB19" t="n">
        <v>7</v>
      </c>
      <c r="AC19" t="n">
        <v>11</v>
      </c>
      <c r="AD19" t="n">
        <v>22</v>
      </c>
      <c r="AE19" t="n">
        <v>46</v>
      </c>
      <c r="AF19" t="n">
        <v>7</v>
      </c>
      <c r="AG19" t="n">
        <v>19</v>
      </c>
      <c r="AH19" t="n">
        <v>3</v>
      </c>
      <c r="AI19" t="n">
        <v>9</v>
      </c>
      <c r="AJ19" t="n">
        <v>12</v>
      </c>
      <c r="AK19" t="n">
        <v>22</v>
      </c>
      <c r="AL19" t="n">
        <v>4</v>
      </c>
      <c r="AM19" t="n">
        <v>8</v>
      </c>
      <c r="AN19" t="n">
        <v>0</v>
      </c>
      <c r="AO19" t="n">
        <v>0</v>
      </c>
      <c r="AP19" t="inlineStr">
        <is>
          <t>No</t>
        </is>
      </c>
      <c r="AQ19" t="inlineStr">
        <is>
          <t>No</t>
        </is>
      </c>
      <c r="AR19">
        <f>HYPERLINK("http://catalog.hathitrust.org/Record/006159467","HathiTrust Record")</f>
        <v/>
      </c>
      <c r="AS19">
        <f>HYPERLINK("https://creighton-primo.hosted.exlibrisgroup.com/primo-explore/search?tab=default_tab&amp;search_scope=EVERYTHING&amp;vid=01CRU&amp;lang=en_US&amp;offset=0&amp;query=any,contains,991002679689702656","Catalog Record")</f>
        <v/>
      </c>
      <c r="AT19">
        <f>HYPERLINK("http://www.worldcat.org/oclc/398070","WorldCat Record")</f>
        <v/>
      </c>
      <c r="AU19" t="inlineStr">
        <is>
          <t>350721705:eng</t>
        </is>
      </c>
      <c r="AV19" t="inlineStr">
        <is>
          <t>398070</t>
        </is>
      </c>
      <c r="AW19" t="inlineStr">
        <is>
          <t>991002679689702656</t>
        </is>
      </c>
      <c r="AX19" t="inlineStr">
        <is>
          <t>991002679689702656</t>
        </is>
      </c>
      <c r="AY19" t="inlineStr">
        <is>
          <t>2257289940002656</t>
        </is>
      </c>
      <c r="AZ19" t="inlineStr">
        <is>
          <t>BOOK</t>
        </is>
      </c>
      <c r="BC19" t="inlineStr">
        <is>
          <t>32285002460623</t>
        </is>
      </c>
      <c r="BD19" t="inlineStr">
        <is>
          <t>893622589</t>
        </is>
      </c>
    </row>
    <row r="20">
      <c r="A20" t="inlineStr">
        <is>
          <t>No</t>
        </is>
      </c>
      <c r="B20" t="inlineStr">
        <is>
          <t>DS102.4 .F5 1960</t>
        </is>
      </c>
      <c r="C20" t="inlineStr">
        <is>
          <t>0                      DS 0102400F  5           1960</t>
        </is>
      </c>
      <c r="D20" t="inlineStr">
        <is>
          <t>The Jews: their history, culture, and religion.</t>
        </is>
      </c>
      <c r="E20" t="inlineStr">
        <is>
          <t>V.2</t>
        </is>
      </c>
      <c r="F20" t="inlineStr">
        <is>
          <t>Yes</t>
        </is>
      </c>
      <c r="G20" t="inlineStr">
        <is>
          <t>1</t>
        </is>
      </c>
      <c r="H20" t="inlineStr">
        <is>
          <t>No</t>
        </is>
      </c>
      <c r="I20" t="inlineStr">
        <is>
          <t>No</t>
        </is>
      </c>
      <c r="J20" t="inlineStr">
        <is>
          <t>0</t>
        </is>
      </c>
      <c r="K20" t="inlineStr">
        <is>
          <t>Finkelstein, Louis, 1895-1991 editor.</t>
        </is>
      </c>
      <c r="L20" t="inlineStr">
        <is>
          <t>New York, Harper [1960]</t>
        </is>
      </c>
      <c r="M20" t="inlineStr">
        <is>
          <t>1960</t>
        </is>
      </c>
      <c r="N20" t="inlineStr">
        <is>
          <t>3d ed.</t>
        </is>
      </c>
      <c r="O20" t="inlineStr">
        <is>
          <t>eng</t>
        </is>
      </c>
      <c r="P20" t="inlineStr">
        <is>
          <t>nyu</t>
        </is>
      </c>
      <c r="R20" t="inlineStr">
        <is>
          <t xml:space="preserve">DS </t>
        </is>
      </c>
      <c r="S20" t="n">
        <v>3</v>
      </c>
      <c r="T20" t="n">
        <v>4</v>
      </c>
      <c r="U20" t="inlineStr">
        <is>
          <t>2000-09-12</t>
        </is>
      </c>
      <c r="V20" t="inlineStr">
        <is>
          <t>2000-09-12</t>
        </is>
      </c>
      <c r="W20" t="inlineStr">
        <is>
          <t>1997-02-25</t>
        </is>
      </c>
      <c r="X20" t="inlineStr">
        <is>
          <t>1997-02-25</t>
        </is>
      </c>
      <c r="Y20" t="n">
        <v>656</v>
      </c>
      <c r="Z20" t="n">
        <v>596</v>
      </c>
      <c r="AA20" t="n">
        <v>1103</v>
      </c>
      <c r="AB20" t="n">
        <v>7</v>
      </c>
      <c r="AC20" t="n">
        <v>11</v>
      </c>
      <c r="AD20" t="n">
        <v>22</v>
      </c>
      <c r="AE20" t="n">
        <v>46</v>
      </c>
      <c r="AF20" t="n">
        <v>7</v>
      </c>
      <c r="AG20" t="n">
        <v>19</v>
      </c>
      <c r="AH20" t="n">
        <v>3</v>
      </c>
      <c r="AI20" t="n">
        <v>9</v>
      </c>
      <c r="AJ20" t="n">
        <v>12</v>
      </c>
      <c r="AK20" t="n">
        <v>22</v>
      </c>
      <c r="AL20" t="n">
        <v>4</v>
      </c>
      <c r="AM20" t="n">
        <v>8</v>
      </c>
      <c r="AN20" t="n">
        <v>0</v>
      </c>
      <c r="AO20" t="n">
        <v>0</v>
      </c>
      <c r="AP20" t="inlineStr">
        <is>
          <t>No</t>
        </is>
      </c>
      <c r="AQ20" t="inlineStr">
        <is>
          <t>No</t>
        </is>
      </c>
      <c r="AR20">
        <f>HYPERLINK("http://catalog.hathitrust.org/Record/006159467","HathiTrust Record")</f>
        <v/>
      </c>
      <c r="AS20">
        <f>HYPERLINK("https://creighton-primo.hosted.exlibrisgroup.com/primo-explore/search?tab=default_tab&amp;search_scope=EVERYTHING&amp;vid=01CRU&amp;lang=en_US&amp;offset=0&amp;query=any,contains,991002679689702656","Catalog Record")</f>
        <v/>
      </c>
      <c r="AT20">
        <f>HYPERLINK("http://www.worldcat.org/oclc/398070","WorldCat Record")</f>
        <v/>
      </c>
      <c r="AU20" t="inlineStr">
        <is>
          <t>350721705:eng</t>
        </is>
      </c>
      <c r="AV20" t="inlineStr">
        <is>
          <t>398070</t>
        </is>
      </c>
      <c r="AW20" t="inlineStr">
        <is>
          <t>991002679689702656</t>
        </is>
      </c>
      <c r="AX20" t="inlineStr">
        <is>
          <t>991002679689702656</t>
        </is>
      </c>
      <c r="AY20" t="inlineStr">
        <is>
          <t>2257289940002656</t>
        </is>
      </c>
      <c r="AZ20" t="inlineStr">
        <is>
          <t>BOOK</t>
        </is>
      </c>
      <c r="BC20" t="inlineStr">
        <is>
          <t>32285002460631</t>
        </is>
      </c>
      <c r="BD20" t="inlineStr">
        <is>
          <t>893610137</t>
        </is>
      </c>
    </row>
    <row r="21">
      <c r="A21" t="inlineStr">
        <is>
          <t>No</t>
        </is>
      </c>
      <c r="B21" t="inlineStr">
        <is>
          <t>DS102.4 .J3</t>
        </is>
      </c>
      <c r="C21" t="inlineStr">
        <is>
          <t>0                      DS 0102400J  3</t>
        </is>
      </c>
      <c r="D21" t="inlineStr">
        <is>
          <t>Jewish heritage reader. Selected, with introd., by Morris Adler. Lily Edelman, editor.</t>
        </is>
      </c>
      <c r="F21" t="inlineStr">
        <is>
          <t>No</t>
        </is>
      </c>
      <c r="G21" t="inlineStr">
        <is>
          <t>1</t>
        </is>
      </c>
      <c r="H21" t="inlineStr">
        <is>
          <t>No</t>
        </is>
      </c>
      <c r="I21" t="inlineStr">
        <is>
          <t>No</t>
        </is>
      </c>
      <c r="J21" t="inlineStr">
        <is>
          <t>0</t>
        </is>
      </c>
      <c r="K21" t="inlineStr">
        <is>
          <t>Jewish heritage.</t>
        </is>
      </c>
      <c r="L21" t="inlineStr">
        <is>
          <t>New York, Taplinger Pub. Co. [1965]</t>
        </is>
      </c>
      <c r="M21" t="inlineStr">
        <is>
          <t>1965</t>
        </is>
      </c>
      <c r="O21" t="inlineStr">
        <is>
          <t>eng</t>
        </is>
      </c>
      <c r="P21" t="inlineStr">
        <is>
          <t>nyu</t>
        </is>
      </c>
      <c r="R21" t="inlineStr">
        <is>
          <t xml:space="preserve">DS </t>
        </is>
      </c>
      <c r="S21" t="n">
        <v>1</v>
      </c>
      <c r="T21" t="n">
        <v>1</v>
      </c>
      <c r="U21" t="inlineStr">
        <is>
          <t>2000-09-26</t>
        </is>
      </c>
      <c r="V21" t="inlineStr">
        <is>
          <t>2000-09-26</t>
        </is>
      </c>
      <c r="W21" t="inlineStr">
        <is>
          <t>1997-02-25</t>
        </is>
      </c>
      <c r="X21" t="inlineStr">
        <is>
          <t>1997-02-25</t>
        </is>
      </c>
      <c r="Y21" t="n">
        <v>344</v>
      </c>
      <c r="Z21" t="n">
        <v>332</v>
      </c>
      <c r="AA21" t="n">
        <v>342</v>
      </c>
      <c r="AB21" t="n">
        <v>3</v>
      </c>
      <c r="AC21" t="n">
        <v>3</v>
      </c>
      <c r="AD21" t="n">
        <v>17</v>
      </c>
      <c r="AE21" t="n">
        <v>17</v>
      </c>
      <c r="AF21" t="n">
        <v>9</v>
      </c>
      <c r="AG21" t="n">
        <v>9</v>
      </c>
      <c r="AH21" t="n">
        <v>3</v>
      </c>
      <c r="AI21" t="n">
        <v>3</v>
      </c>
      <c r="AJ21" t="n">
        <v>8</v>
      </c>
      <c r="AK21" t="n">
        <v>8</v>
      </c>
      <c r="AL21" t="n">
        <v>2</v>
      </c>
      <c r="AM21" t="n">
        <v>2</v>
      </c>
      <c r="AN21" t="n">
        <v>0</v>
      </c>
      <c r="AO21" t="n">
        <v>0</v>
      </c>
      <c r="AP21" t="inlineStr">
        <is>
          <t>No</t>
        </is>
      </c>
      <c r="AQ21" t="inlineStr">
        <is>
          <t>No</t>
        </is>
      </c>
      <c r="AS21">
        <f>HYPERLINK("https://creighton-primo.hosted.exlibrisgroup.com/primo-explore/search?tab=default_tab&amp;search_scope=EVERYTHING&amp;vid=01CRU&amp;lang=en_US&amp;offset=0&amp;query=any,contains,991002129759702656","Catalog Record")</f>
        <v/>
      </c>
      <c r="AT21">
        <f>HYPERLINK("http://www.worldcat.org/oclc/269722","WorldCat Record")</f>
        <v/>
      </c>
      <c r="AU21" t="inlineStr">
        <is>
          <t>1806463786:eng</t>
        </is>
      </c>
      <c r="AV21" t="inlineStr">
        <is>
          <t>269722</t>
        </is>
      </c>
      <c r="AW21" t="inlineStr">
        <is>
          <t>991002129759702656</t>
        </is>
      </c>
      <c r="AX21" t="inlineStr">
        <is>
          <t>991002129759702656</t>
        </is>
      </c>
      <c r="AY21" t="inlineStr">
        <is>
          <t>2267519950002656</t>
        </is>
      </c>
      <c r="AZ21" t="inlineStr">
        <is>
          <t>BOOK</t>
        </is>
      </c>
      <c r="BC21" t="inlineStr">
        <is>
          <t>32285002460649</t>
        </is>
      </c>
      <c r="BD21" t="inlineStr">
        <is>
          <t>893697386</t>
        </is>
      </c>
    </row>
    <row r="22">
      <c r="A22" t="inlineStr">
        <is>
          <t>No</t>
        </is>
      </c>
      <c r="B22" t="inlineStr">
        <is>
          <t>DS102.4 .S24</t>
        </is>
      </c>
      <c r="C22" t="inlineStr">
        <is>
          <t>0                      DS 0102400S  24</t>
        </is>
      </c>
      <c r="D22" t="inlineStr">
        <is>
          <t>Salo Wittmayer Baron jubilee volume on the occasion of his eightieth birthday / [Saul Lieberman, editor, Arthur Hyman, associate editor].</t>
        </is>
      </c>
      <c r="E22" t="inlineStr">
        <is>
          <t>V.1</t>
        </is>
      </c>
      <c r="F22" t="inlineStr">
        <is>
          <t>Yes</t>
        </is>
      </c>
      <c r="G22" t="inlineStr">
        <is>
          <t>1</t>
        </is>
      </c>
      <c r="H22" t="inlineStr">
        <is>
          <t>No</t>
        </is>
      </c>
      <c r="I22" t="inlineStr">
        <is>
          <t>No</t>
        </is>
      </c>
      <c r="J22" t="inlineStr">
        <is>
          <t>0</t>
        </is>
      </c>
      <c r="L22" t="inlineStr">
        <is>
          <t>Jerusalem : American Academy for Jewish Research ; New York : distributed by Columbia University Press, 1974 [i.e. 1975]</t>
        </is>
      </c>
      <c r="M22" t="inlineStr">
        <is>
          <t>1975</t>
        </is>
      </c>
      <c r="O22" t="inlineStr">
        <is>
          <t>eng</t>
        </is>
      </c>
      <c r="P22" t="inlineStr">
        <is>
          <t xml:space="preserve">is </t>
        </is>
      </c>
      <c r="R22" t="inlineStr">
        <is>
          <t xml:space="preserve">DS </t>
        </is>
      </c>
      <c r="S22" t="n">
        <v>1</v>
      </c>
      <c r="T22" t="n">
        <v>4</v>
      </c>
      <c r="U22" t="inlineStr">
        <is>
          <t>1992-02-12</t>
        </is>
      </c>
      <c r="V22" t="inlineStr">
        <is>
          <t>1996-01-18</t>
        </is>
      </c>
      <c r="W22" t="inlineStr">
        <is>
          <t>1990-09-28</t>
        </is>
      </c>
      <c r="X22" t="inlineStr">
        <is>
          <t>2008-07-01</t>
        </is>
      </c>
      <c r="Y22" t="n">
        <v>322</v>
      </c>
      <c r="Z22" t="n">
        <v>285</v>
      </c>
      <c r="AA22" t="n">
        <v>288</v>
      </c>
      <c r="AB22" t="n">
        <v>1</v>
      </c>
      <c r="AC22" t="n">
        <v>1</v>
      </c>
      <c r="AD22" t="n">
        <v>11</v>
      </c>
      <c r="AE22" t="n">
        <v>11</v>
      </c>
      <c r="AF22" t="n">
        <v>5</v>
      </c>
      <c r="AG22" t="n">
        <v>5</v>
      </c>
      <c r="AH22" t="n">
        <v>3</v>
      </c>
      <c r="AI22" t="n">
        <v>3</v>
      </c>
      <c r="AJ22" t="n">
        <v>6</v>
      </c>
      <c r="AK22" t="n">
        <v>6</v>
      </c>
      <c r="AL22" t="n">
        <v>0</v>
      </c>
      <c r="AM22" t="n">
        <v>0</v>
      </c>
      <c r="AN22" t="n">
        <v>0</v>
      </c>
      <c r="AO22" t="n">
        <v>0</v>
      </c>
      <c r="AP22" t="inlineStr">
        <is>
          <t>No</t>
        </is>
      </c>
      <c r="AQ22" t="inlineStr">
        <is>
          <t>Yes</t>
        </is>
      </c>
      <c r="AR22">
        <f>HYPERLINK("http://catalog.hathitrust.org/Record/000029919","HathiTrust Record")</f>
        <v/>
      </c>
      <c r="AS22">
        <f>HYPERLINK("https://creighton-primo.hosted.exlibrisgroup.com/primo-explore/search?tab=default_tab&amp;search_scope=EVERYTHING&amp;vid=01CRU&amp;lang=en_US&amp;offset=0&amp;query=any,contains,991003769139702656","Catalog Record")</f>
        <v/>
      </c>
      <c r="AT22">
        <f>HYPERLINK("http://www.worldcat.org/oclc/1466317","WorldCat Record")</f>
        <v/>
      </c>
      <c r="AU22" t="inlineStr">
        <is>
          <t>2334930:eng</t>
        </is>
      </c>
      <c r="AV22" t="inlineStr">
        <is>
          <t>1466317</t>
        </is>
      </c>
      <c r="AW22" t="inlineStr">
        <is>
          <t>991003769139702656</t>
        </is>
      </c>
      <c r="AX22" t="inlineStr">
        <is>
          <t>991003769139702656</t>
        </is>
      </c>
      <c r="AY22" t="inlineStr">
        <is>
          <t>2258393180002656</t>
        </is>
      </c>
      <c r="AZ22" t="inlineStr">
        <is>
          <t>BOOK</t>
        </is>
      </c>
      <c r="BC22" t="inlineStr">
        <is>
          <t>32285000292507</t>
        </is>
      </c>
      <c r="BD22" t="inlineStr">
        <is>
          <t>893435419</t>
        </is>
      </c>
    </row>
    <row r="23">
      <c r="A23" t="inlineStr">
        <is>
          <t>No</t>
        </is>
      </c>
      <c r="B23" t="inlineStr">
        <is>
          <t>DS102.4 .S24</t>
        </is>
      </c>
      <c r="C23" t="inlineStr">
        <is>
          <t>0                      DS 0102400S  24</t>
        </is>
      </c>
      <c r="D23" t="inlineStr">
        <is>
          <t>Salo Wittmayer Baron jubilee volume on the occasion of his eightieth birthday / [Saul Lieberman, editor, Arthur Hyman, associate editor].</t>
        </is>
      </c>
      <c r="E23" t="inlineStr">
        <is>
          <t>V. 3</t>
        </is>
      </c>
      <c r="F23" t="inlineStr">
        <is>
          <t>Yes</t>
        </is>
      </c>
      <c r="G23" t="inlineStr">
        <is>
          <t>1</t>
        </is>
      </c>
      <c r="H23" t="inlineStr">
        <is>
          <t>No</t>
        </is>
      </c>
      <c r="I23" t="inlineStr">
        <is>
          <t>No</t>
        </is>
      </c>
      <c r="J23" t="inlineStr">
        <is>
          <t>0</t>
        </is>
      </c>
      <c r="L23" t="inlineStr">
        <is>
          <t>Jerusalem : American Academy for Jewish Research ; New York : distributed by Columbia University Press, 1974 [i.e. 1975]</t>
        </is>
      </c>
      <c r="M23" t="inlineStr">
        <is>
          <t>1975</t>
        </is>
      </c>
      <c r="O23" t="inlineStr">
        <is>
          <t>eng</t>
        </is>
      </c>
      <c r="P23" t="inlineStr">
        <is>
          <t xml:space="preserve">is </t>
        </is>
      </c>
      <c r="R23" t="inlineStr">
        <is>
          <t xml:space="preserve">DS </t>
        </is>
      </c>
      <c r="S23" t="n">
        <v>0</v>
      </c>
      <c r="T23" t="n">
        <v>4</v>
      </c>
      <c r="V23" t="inlineStr">
        <is>
          <t>1996-01-18</t>
        </is>
      </c>
      <c r="W23" t="inlineStr">
        <is>
          <t>2008-07-01</t>
        </is>
      </c>
      <c r="X23" t="inlineStr">
        <is>
          <t>2008-07-01</t>
        </is>
      </c>
      <c r="Y23" t="n">
        <v>322</v>
      </c>
      <c r="Z23" t="n">
        <v>285</v>
      </c>
      <c r="AA23" t="n">
        <v>288</v>
      </c>
      <c r="AB23" t="n">
        <v>1</v>
      </c>
      <c r="AC23" t="n">
        <v>1</v>
      </c>
      <c r="AD23" t="n">
        <v>11</v>
      </c>
      <c r="AE23" t="n">
        <v>11</v>
      </c>
      <c r="AF23" t="n">
        <v>5</v>
      </c>
      <c r="AG23" t="n">
        <v>5</v>
      </c>
      <c r="AH23" t="n">
        <v>3</v>
      </c>
      <c r="AI23" t="n">
        <v>3</v>
      </c>
      <c r="AJ23" t="n">
        <v>6</v>
      </c>
      <c r="AK23" t="n">
        <v>6</v>
      </c>
      <c r="AL23" t="n">
        <v>0</v>
      </c>
      <c r="AM23" t="n">
        <v>0</v>
      </c>
      <c r="AN23" t="n">
        <v>0</v>
      </c>
      <c r="AO23" t="n">
        <v>0</v>
      </c>
      <c r="AP23" t="inlineStr">
        <is>
          <t>No</t>
        </is>
      </c>
      <c r="AQ23" t="inlineStr">
        <is>
          <t>Yes</t>
        </is>
      </c>
      <c r="AR23">
        <f>HYPERLINK("http://catalog.hathitrust.org/Record/000029919","HathiTrust Record")</f>
        <v/>
      </c>
      <c r="AS23">
        <f>HYPERLINK("https://creighton-primo.hosted.exlibrisgroup.com/primo-explore/search?tab=default_tab&amp;search_scope=EVERYTHING&amp;vid=01CRU&amp;lang=en_US&amp;offset=0&amp;query=any,contains,991003769139702656","Catalog Record")</f>
        <v/>
      </c>
      <c r="AT23">
        <f>HYPERLINK("http://www.worldcat.org/oclc/1466317","WorldCat Record")</f>
        <v/>
      </c>
      <c r="AU23" t="inlineStr">
        <is>
          <t>2334930:eng</t>
        </is>
      </c>
      <c r="AV23" t="inlineStr">
        <is>
          <t>1466317</t>
        </is>
      </c>
      <c r="AW23" t="inlineStr">
        <is>
          <t>991003769139702656</t>
        </is>
      </c>
      <c r="AX23" t="inlineStr">
        <is>
          <t>991003769139702656</t>
        </is>
      </c>
      <c r="AY23" t="inlineStr">
        <is>
          <t>2258393180002656</t>
        </is>
      </c>
      <c r="AZ23" t="inlineStr">
        <is>
          <t>BOOK</t>
        </is>
      </c>
      <c r="BC23" t="inlineStr">
        <is>
          <t>32285005447627</t>
        </is>
      </c>
      <c r="BD23" t="inlineStr">
        <is>
          <t>893441709</t>
        </is>
      </c>
    </row>
    <row r="24">
      <c r="A24" t="inlineStr">
        <is>
          <t>No</t>
        </is>
      </c>
      <c r="B24" t="inlineStr">
        <is>
          <t>DS102.4 .S24</t>
        </is>
      </c>
      <c r="C24" t="inlineStr">
        <is>
          <t>0                      DS 0102400S  24</t>
        </is>
      </c>
      <c r="D24" t="inlineStr">
        <is>
          <t>Salo Wittmayer Baron jubilee volume on the occasion of his eightieth birthday / [Saul Lieberman, editor, Arthur Hyman, associate editor].</t>
        </is>
      </c>
      <c r="E24" t="inlineStr">
        <is>
          <t>V.2</t>
        </is>
      </c>
      <c r="F24" t="inlineStr">
        <is>
          <t>Yes</t>
        </is>
      </c>
      <c r="G24" t="inlineStr">
        <is>
          <t>1</t>
        </is>
      </c>
      <c r="H24" t="inlineStr">
        <is>
          <t>No</t>
        </is>
      </c>
      <c r="I24" t="inlineStr">
        <is>
          <t>No</t>
        </is>
      </c>
      <c r="J24" t="inlineStr">
        <is>
          <t>0</t>
        </is>
      </c>
      <c r="L24" t="inlineStr">
        <is>
          <t>Jerusalem : American Academy for Jewish Research ; New York : distributed by Columbia University Press, 1974 [i.e. 1975]</t>
        </is>
      </c>
      <c r="M24" t="inlineStr">
        <is>
          <t>1975</t>
        </is>
      </c>
      <c r="O24" t="inlineStr">
        <is>
          <t>eng</t>
        </is>
      </c>
      <c r="P24" t="inlineStr">
        <is>
          <t xml:space="preserve">is </t>
        </is>
      </c>
      <c r="R24" t="inlineStr">
        <is>
          <t xml:space="preserve">DS </t>
        </is>
      </c>
      <c r="S24" t="n">
        <v>3</v>
      </c>
      <c r="T24" t="n">
        <v>4</v>
      </c>
      <c r="U24" t="inlineStr">
        <is>
          <t>1996-01-18</t>
        </is>
      </c>
      <c r="V24" t="inlineStr">
        <is>
          <t>1996-01-18</t>
        </is>
      </c>
      <c r="W24" t="inlineStr">
        <is>
          <t>1990-09-28</t>
        </is>
      </c>
      <c r="X24" t="inlineStr">
        <is>
          <t>2008-07-01</t>
        </is>
      </c>
      <c r="Y24" t="n">
        <v>322</v>
      </c>
      <c r="Z24" t="n">
        <v>285</v>
      </c>
      <c r="AA24" t="n">
        <v>288</v>
      </c>
      <c r="AB24" t="n">
        <v>1</v>
      </c>
      <c r="AC24" t="n">
        <v>1</v>
      </c>
      <c r="AD24" t="n">
        <v>11</v>
      </c>
      <c r="AE24" t="n">
        <v>11</v>
      </c>
      <c r="AF24" t="n">
        <v>5</v>
      </c>
      <c r="AG24" t="n">
        <v>5</v>
      </c>
      <c r="AH24" t="n">
        <v>3</v>
      </c>
      <c r="AI24" t="n">
        <v>3</v>
      </c>
      <c r="AJ24" t="n">
        <v>6</v>
      </c>
      <c r="AK24" t="n">
        <v>6</v>
      </c>
      <c r="AL24" t="n">
        <v>0</v>
      </c>
      <c r="AM24" t="n">
        <v>0</v>
      </c>
      <c r="AN24" t="n">
        <v>0</v>
      </c>
      <c r="AO24" t="n">
        <v>0</v>
      </c>
      <c r="AP24" t="inlineStr">
        <is>
          <t>No</t>
        </is>
      </c>
      <c r="AQ24" t="inlineStr">
        <is>
          <t>Yes</t>
        </is>
      </c>
      <c r="AR24">
        <f>HYPERLINK("http://catalog.hathitrust.org/Record/000029919","HathiTrust Record")</f>
        <v/>
      </c>
      <c r="AS24">
        <f>HYPERLINK("https://creighton-primo.hosted.exlibrisgroup.com/primo-explore/search?tab=default_tab&amp;search_scope=EVERYTHING&amp;vid=01CRU&amp;lang=en_US&amp;offset=0&amp;query=any,contains,991003769139702656","Catalog Record")</f>
        <v/>
      </c>
      <c r="AT24">
        <f>HYPERLINK("http://www.worldcat.org/oclc/1466317","WorldCat Record")</f>
        <v/>
      </c>
      <c r="AU24" t="inlineStr">
        <is>
          <t>2334930:eng</t>
        </is>
      </c>
      <c r="AV24" t="inlineStr">
        <is>
          <t>1466317</t>
        </is>
      </c>
      <c r="AW24" t="inlineStr">
        <is>
          <t>991003769139702656</t>
        </is>
      </c>
      <c r="AX24" t="inlineStr">
        <is>
          <t>991003769139702656</t>
        </is>
      </c>
      <c r="AY24" t="inlineStr">
        <is>
          <t>2258393180002656</t>
        </is>
      </c>
      <c r="AZ24" t="inlineStr">
        <is>
          <t>BOOK</t>
        </is>
      </c>
      <c r="BC24" t="inlineStr">
        <is>
          <t>32285000292515</t>
        </is>
      </c>
      <c r="BD24" t="inlineStr">
        <is>
          <t>893429191</t>
        </is>
      </c>
    </row>
    <row r="25">
      <c r="A25" t="inlineStr">
        <is>
          <t>No</t>
        </is>
      </c>
      <c r="B25" t="inlineStr">
        <is>
          <t>DS102.8 .J6</t>
        </is>
      </c>
      <c r="C25" t="inlineStr">
        <is>
          <t>0                      DS 0102800J  6</t>
        </is>
      </c>
      <c r="D25" t="inlineStr">
        <is>
          <t>The Jewish encyclopedia; a descriptive record of the history, religion, literature, and customs of the Jewish people from the earliest times to the present day; prepared ... under the direction of ... Cyrus Adler [and others] Isidore Singer ... managing editor ...</t>
        </is>
      </c>
      <c r="E25" t="inlineStr">
        <is>
          <t>V.3</t>
        </is>
      </c>
      <c r="F25" t="inlineStr">
        <is>
          <t>Yes</t>
        </is>
      </c>
      <c r="G25" t="inlineStr">
        <is>
          <t>1</t>
        </is>
      </c>
      <c r="H25" t="inlineStr">
        <is>
          <t>No</t>
        </is>
      </c>
      <c r="I25" t="inlineStr">
        <is>
          <t>No</t>
        </is>
      </c>
      <c r="J25" t="inlineStr">
        <is>
          <t>0</t>
        </is>
      </c>
      <c r="L25" t="inlineStr">
        <is>
          <t>New York, London, Funk &amp; Wagnalls Company, 1901-06.</t>
        </is>
      </c>
      <c r="M25" t="inlineStr">
        <is>
          <t>1901</t>
        </is>
      </c>
      <c r="O25" t="inlineStr">
        <is>
          <t>eng</t>
        </is>
      </c>
      <c r="P25" t="inlineStr">
        <is>
          <t>nyu</t>
        </is>
      </c>
      <c r="R25" t="inlineStr">
        <is>
          <t xml:space="preserve">DS </t>
        </is>
      </c>
      <c r="S25" t="n">
        <v>0</v>
      </c>
      <c r="T25" t="n">
        <v>7</v>
      </c>
      <c r="V25" t="inlineStr">
        <is>
          <t>2006-01-25</t>
        </is>
      </c>
      <c r="W25" t="inlineStr">
        <is>
          <t>1997-02-25</t>
        </is>
      </c>
      <c r="X25" t="inlineStr">
        <is>
          <t>1997-02-25</t>
        </is>
      </c>
      <c r="Y25" t="n">
        <v>527</v>
      </c>
      <c r="Z25" t="n">
        <v>440</v>
      </c>
      <c r="AA25" t="n">
        <v>689</v>
      </c>
      <c r="AB25" t="n">
        <v>4</v>
      </c>
      <c r="AC25" t="n">
        <v>5</v>
      </c>
      <c r="AD25" t="n">
        <v>24</v>
      </c>
      <c r="AE25" t="n">
        <v>35</v>
      </c>
      <c r="AF25" t="n">
        <v>12</v>
      </c>
      <c r="AG25" t="n">
        <v>16</v>
      </c>
      <c r="AH25" t="n">
        <v>5</v>
      </c>
      <c r="AI25" t="n">
        <v>6</v>
      </c>
      <c r="AJ25" t="n">
        <v>11</v>
      </c>
      <c r="AK25" t="n">
        <v>16</v>
      </c>
      <c r="AL25" t="n">
        <v>3</v>
      </c>
      <c r="AM25" t="n">
        <v>4</v>
      </c>
      <c r="AN25" t="n">
        <v>0</v>
      </c>
      <c r="AO25" t="n">
        <v>1</v>
      </c>
      <c r="AP25" t="inlineStr">
        <is>
          <t>Yes</t>
        </is>
      </c>
      <c r="AQ25" t="inlineStr">
        <is>
          <t>No</t>
        </is>
      </c>
      <c r="AR25">
        <f>HYPERLINK("http://catalog.hathitrust.org/Record/001242015","HathiTrust Record")</f>
        <v/>
      </c>
      <c r="AS25">
        <f>HYPERLINK("https://creighton-primo.hosted.exlibrisgroup.com/primo-explore/search?tab=default_tab&amp;search_scope=EVERYTHING&amp;vid=01CRU&amp;lang=en_US&amp;offset=0&amp;query=any,contains,991003473169702656","Catalog Record")</f>
        <v/>
      </c>
      <c r="AT25">
        <f>HYPERLINK("http://www.worldcat.org/oclc/269638","WorldCat Record")</f>
        <v/>
      </c>
      <c r="AU25" t="inlineStr">
        <is>
          <t>879922079:eng</t>
        </is>
      </c>
      <c r="AV25" t="inlineStr">
        <is>
          <t>269638</t>
        </is>
      </c>
      <c r="AW25" t="inlineStr">
        <is>
          <t>991003473169702656</t>
        </is>
      </c>
      <c r="AX25" t="inlineStr">
        <is>
          <t>991003473169702656</t>
        </is>
      </c>
      <c r="AY25" t="inlineStr">
        <is>
          <t>2256390550002656</t>
        </is>
      </c>
      <c r="AZ25" t="inlineStr">
        <is>
          <t>BOOK</t>
        </is>
      </c>
      <c r="BC25" t="inlineStr">
        <is>
          <t>32285002460680</t>
        </is>
      </c>
      <c r="BD25" t="inlineStr">
        <is>
          <t>893598607</t>
        </is>
      </c>
    </row>
    <row r="26">
      <c r="A26" t="inlineStr">
        <is>
          <t>No</t>
        </is>
      </c>
      <c r="B26" t="inlineStr">
        <is>
          <t>DS102.8 .J6</t>
        </is>
      </c>
      <c r="C26" t="inlineStr">
        <is>
          <t>0                      DS 0102800J  6</t>
        </is>
      </c>
      <c r="D26" t="inlineStr">
        <is>
          <t>The Jewish encyclopedia; a descriptive record of the history, religion, literature, and customs of the Jewish people from the earliest times to the present day; prepared ... under the direction of ... Cyrus Adler [and others] Isidore Singer ... managing editor ...</t>
        </is>
      </c>
      <c r="E26" t="inlineStr">
        <is>
          <t>V.11</t>
        </is>
      </c>
      <c r="F26" t="inlineStr">
        <is>
          <t>Yes</t>
        </is>
      </c>
      <c r="G26" t="inlineStr">
        <is>
          <t>1</t>
        </is>
      </c>
      <c r="H26" t="inlineStr">
        <is>
          <t>No</t>
        </is>
      </c>
      <c r="I26" t="inlineStr">
        <is>
          <t>No</t>
        </is>
      </c>
      <c r="J26" t="inlineStr">
        <is>
          <t>0</t>
        </is>
      </c>
      <c r="L26" t="inlineStr">
        <is>
          <t>New York, London, Funk &amp; Wagnalls Company, 1901-06.</t>
        </is>
      </c>
      <c r="M26" t="inlineStr">
        <is>
          <t>1901</t>
        </is>
      </c>
      <c r="O26" t="inlineStr">
        <is>
          <t>eng</t>
        </is>
      </c>
      <c r="P26" t="inlineStr">
        <is>
          <t>nyu</t>
        </is>
      </c>
      <c r="R26" t="inlineStr">
        <is>
          <t xml:space="preserve">DS </t>
        </is>
      </c>
      <c r="S26" t="n">
        <v>0</v>
      </c>
      <c r="T26" t="n">
        <v>7</v>
      </c>
      <c r="V26" t="inlineStr">
        <is>
          <t>2006-01-25</t>
        </is>
      </c>
      <c r="W26" t="inlineStr">
        <is>
          <t>1997-02-25</t>
        </is>
      </c>
      <c r="X26" t="inlineStr">
        <is>
          <t>1997-02-25</t>
        </is>
      </c>
      <c r="Y26" t="n">
        <v>527</v>
      </c>
      <c r="Z26" t="n">
        <v>440</v>
      </c>
      <c r="AA26" t="n">
        <v>689</v>
      </c>
      <c r="AB26" t="n">
        <v>4</v>
      </c>
      <c r="AC26" t="n">
        <v>5</v>
      </c>
      <c r="AD26" t="n">
        <v>24</v>
      </c>
      <c r="AE26" t="n">
        <v>35</v>
      </c>
      <c r="AF26" t="n">
        <v>12</v>
      </c>
      <c r="AG26" t="n">
        <v>16</v>
      </c>
      <c r="AH26" t="n">
        <v>5</v>
      </c>
      <c r="AI26" t="n">
        <v>6</v>
      </c>
      <c r="AJ26" t="n">
        <v>11</v>
      </c>
      <c r="AK26" t="n">
        <v>16</v>
      </c>
      <c r="AL26" t="n">
        <v>3</v>
      </c>
      <c r="AM26" t="n">
        <v>4</v>
      </c>
      <c r="AN26" t="n">
        <v>0</v>
      </c>
      <c r="AO26" t="n">
        <v>1</v>
      </c>
      <c r="AP26" t="inlineStr">
        <is>
          <t>Yes</t>
        </is>
      </c>
      <c r="AQ26" t="inlineStr">
        <is>
          <t>No</t>
        </is>
      </c>
      <c r="AR26">
        <f>HYPERLINK("http://catalog.hathitrust.org/Record/001242015","HathiTrust Record")</f>
        <v/>
      </c>
      <c r="AS26">
        <f>HYPERLINK("https://creighton-primo.hosted.exlibrisgroup.com/primo-explore/search?tab=default_tab&amp;search_scope=EVERYTHING&amp;vid=01CRU&amp;lang=en_US&amp;offset=0&amp;query=any,contains,991003473169702656","Catalog Record")</f>
        <v/>
      </c>
      <c r="AT26">
        <f>HYPERLINK("http://www.worldcat.org/oclc/269638","WorldCat Record")</f>
        <v/>
      </c>
      <c r="AU26" t="inlineStr">
        <is>
          <t>879922079:eng</t>
        </is>
      </c>
      <c r="AV26" t="inlineStr">
        <is>
          <t>269638</t>
        </is>
      </c>
      <c r="AW26" t="inlineStr">
        <is>
          <t>991003473169702656</t>
        </is>
      </c>
      <c r="AX26" t="inlineStr">
        <is>
          <t>991003473169702656</t>
        </is>
      </c>
      <c r="AY26" t="inlineStr">
        <is>
          <t>2256390550002656</t>
        </is>
      </c>
      <c r="AZ26" t="inlineStr">
        <is>
          <t>BOOK</t>
        </is>
      </c>
      <c r="BC26" t="inlineStr">
        <is>
          <t>32285002460763</t>
        </is>
      </c>
      <c r="BD26" t="inlineStr">
        <is>
          <t>893611073</t>
        </is>
      </c>
    </row>
    <row r="27">
      <c r="A27" t="inlineStr">
        <is>
          <t>No</t>
        </is>
      </c>
      <c r="B27" t="inlineStr">
        <is>
          <t>DS102.8 .J6</t>
        </is>
      </c>
      <c r="C27" t="inlineStr">
        <is>
          <t>0                      DS 0102800J  6</t>
        </is>
      </c>
      <c r="D27" t="inlineStr">
        <is>
          <t>The Jewish encyclopedia; a descriptive record of the history, religion, literature, and customs of the Jewish people from the earliest times to the present day; prepared ... under the direction of ... Cyrus Adler [and others] Isidore Singer ... managing editor ...</t>
        </is>
      </c>
      <c r="E27" t="inlineStr">
        <is>
          <t>V.1</t>
        </is>
      </c>
      <c r="F27" t="inlineStr">
        <is>
          <t>Yes</t>
        </is>
      </c>
      <c r="G27" t="inlineStr">
        <is>
          <t>1</t>
        </is>
      </c>
      <c r="H27" t="inlineStr">
        <is>
          <t>No</t>
        </is>
      </c>
      <c r="I27" t="inlineStr">
        <is>
          <t>No</t>
        </is>
      </c>
      <c r="J27" t="inlineStr">
        <is>
          <t>0</t>
        </is>
      </c>
      <c r="L27" t="inlineStr">
        <is>
          <t>New York, London, Funk &amp; Wagnalls Company, 1901-06.</t>
        </is>
      </c>
      <c r="M27" t="inlineStr">
        <is>
          <t>1901</t>
        </is>
      </c>
      <c r="O27" t="inlineStr">
        <is>
          <t>eng</t>
        </is>
      </c>
      <c r="P27" t="inlineStr">
        <is>
          <t>nyu</t>
        </is>
      </c>
      <c r="R27" t="inlineStr">
        <is>
          <t xml:space="preserve">DS </t>
        </is>
      </c>
      <c r="S27" t="n">
        <v>0</v>
      </c>
      <c r="T27" t="n">
        <v>7</v>
      </c>
      <c r="V27" t="inlineStr">
        <is>
          <t>2006-01-25</t>
        </is>
      </c>
      <c r="W27" t="inlineStr">
        <is>
          <t>1997-02-25</t>
        </is>
      </c>
      <c r="X27" t="inlineStr">
        <is>
          <t>1997-02-25</t>
        </is>
      </c>
      <c r="Y27" t="n">
        <v>527</v>
      </c>
      <c r="Z27" t="n">
        <v>440</v>
      </c>
      <c r="AA27" t="n">
        <v>689</v>
      </c>
      <c r="AB27" t="n">
        <v>4</v>
      </c>
      <c r="AC27" t="n">
        <v>5</v>
      </c>
      <c r="AD27" t="n">
        <v>24</v>
      </c>
      <c r="AE27" t="n">
        <v>35</v>
      </c>
      <c r="AF27" t="n">
        <v>12</v>
      </c>
      <c r="AG27" t="n">
        <v>16</v>
      </c>
      <c r="AH27" t="n">
        <v>5</v>
      </c>
      <c r="AI27" t="n">
        <v>6</v>
      </c>
      <c r="AJ27" t="n">
        <v>11</v>
      </c>
      <c r="AK27" t="n">
        <v>16</v>
      </c>
      <c r="AL27" t="n">
        <v>3</v>
      </c>
      <c r="AM27" t="n">
        <v>4</v>
      </c>
      <c r="AN27" t="n">
        <v>0</v>
      </c>
      <c r="AO27" t="n">
        <v>1</v>
      </c>
      <c r="AP27" t="inlineStr">
        <is>
          <t>Yes</t>
        </is>
      </c>
      <c r="AQ27" t="inlineStr">
        <is>
          <t>No</t>
        </is>
      </c>
      <c r="AR27">
        <f>HYPERLINK("http://catalog.hathitrust.org/Record/001242015","HathiTrust Record")</f>
        <v/>
      </c>
      <c r="AS27">
        <f>HYPERLINK("https://creighton-primo.hosted.exlibrisgroup.com/primo-explore/search?tab=default_tab&amp;search_scope=EVERYTHING&amp;vid=01CRU&amp;lang=en_US&amp;offset=0&amp;query=any,contains,991003473169702656","Catalog Record")</f>
        <v/>
      </c>
      <c r="AT27">
        <f>HYPERLINK("http://www.worldcat.org/oclc/269638","WorldCat Record")</f>
        <v/>
      </c>
      <c r="AU27" t="inlineStr">
        <is>
          <t>879922079:eng</t>
        </is>
      </c>
      <c r="AV27" t="inlineStr">
        <is>
          <t>269638</t>
        </is>
      </c>
      <c r="AW27" t="inlineStr">
        <is>
          <t>991003473169702656</t>
        </is>
      </c>
      <c r="AX27" t="inlineStr">
        <is>
          <t>991003473169702656</t>
        </is>
      </c>
      <c r="AY27" t="inlineStr">
        <is>
          <t>2256390550002656</t>
        </is>
      </c>
      <c r="AZ27" t="inlineStr">
        <is>
          <t>BOOK</t>
        </is>
      </c>
      <c r="BC27" t="inlineStr">
        <is>
          <t>32285002460664</t>
        </is>
      </c>
      <c r="BD27" t="inlineStr">
        <is>
          <t>893623514</t>
        </is>
      </c>
    </row>
    <row r="28">
      <c r="A28" t="inlineStr">
        <is>
          <t>No</t>
        </is>
      </c>
      <c r="B28" t="inlineStr">
        <is>
          <t>DS102.8 .J6</t>
        </is>
      </c>
      <c r="C28" t="inlineStr">
        <is>
          <t>0                      DS 0102800J  6</t>
        </is>
      </c>
      <c r="D28" t="inlineStr">
        <is>
          <t>The Jewish encyclopedia; a descriptive record of the history, religion, literature, and customs of the Jewish people from the earliest times to the present day; prepared ... under the direction of ... Cyrus Adler [and others] Isidore Singer ... managing editor ...</t>
        </is>
      </c>
      <c r="E28" t="inlineStr">
        <is>
          <t>V.7</t>
        </is>
      </c>
      <c r="F28" t="inlineStr">
        <is>
          <t>Yes</t>
        </is>
      </c>
      <c r="G28" t="inlineStr">
        <is>
          <t>1</t>
        </is>
      </c>
      <c r="H28" t="inlineStr">
        <is>
          <t>No</t>
        </is>
      </c>
      <c r="I28" t="inlineStr">
        <is>
          <t>No</t>
        </is>
      </c>
      <c r="J28" t="inlineStr">
        <is>
          <t>0</t>
        </is>
      </c>
      <c r="L28" t="inlineStr">
        <is>
          <t>New York, London, Funk &amp; Wagnalls Company, 1901-06.</t>
        </is>
      </c>
      <c r="M28" t="inlineStr">
        <is>
          <t>1901</t>
        </is>
      </c>
      <c r="O28" t="inlineStr">
        <is>
          <t>eng</t>
        </is>
      </c>
      <c r="P28" t="inlineStr">
        <is>
          <t>nyu</t>
        </is>
      </c>
      <c r="R28" t="inlineStr">
        <is>
          <t xml:space="preserve">DS </t>
        </is>
      </c>
      <c r="S28" t="n">
        <v>0</v>
      </c>
      <c r="T28" t="n">
        <v>7</v>
      </c>
      <c r="V28" t="inlineStr">
        <is>
          <t>2006-01-25</t>
        </is>
      </c>
      <c r="W28" t="inlineStr">
        <is>
          <t>1997-02-25</t>
        </is>
      </c>
      <c r="X28" t="inlineStr">
        <is>
          <t>1997-02-25</t>
        </is>
      </c>
      <c r="Y28" t="n">
        <v>527</v>
      </c>
      <c r="Z28" t="n">
        <v>440</v>
      </c>
      <c r="AA28" t="n">
        <v>689</v>
      </c>
      <c r="AB28" t="n">
        <v>4</v>
      </c>
      <c r="AC28" t="n">
        <v>5</v>
      </c>
      <c r="AD28" t="n">
        <v>24</v>
      </c>
      <c r="AE28" t="n">
        <v>35</v>
      </c>
      <c r="AF28" t="n">
        <v>12</v>
      </c>
      <c r="AG28" t="n">
        <v>16</v>
      </c>
      <c r="AH28" t="n">
        <v>5</v>
      </c>
      <c r="AI28" t="n">
        <v>6</v>
      </c>
      <c r="AJ28" t="n">
        <v>11</v>
      </c>
      <c r="AK28" t="n">
        <v>16</v>
      </c>
      <c r="AL28" t="n">
        <v>3</v>
      </c>
      <c r="AM28" t="n">
        <v>4</v>
      </c>
      <c r="AN28" t="n">
        <v>0</v>
      </c>
      <c r="AO28" t="n">
        <v>1</v>
      </c>
      <c r="AP28" t="inlineStr">
        <is>
          <t>Yes</t>
        </is>
      </c>
      <c r="AQ28" t="inlineStr">
        <is>
          <t>No</t>
        </is>
      </c>
      <c r="AR28">
        <f>HYPERLINK("http://catalog.hathitrust.org/Record/001242015","HathiTrust Record")</f>
        <v/>
      </c>
      <c r="AS28">
        <f>HYPERLINK("https://creighton-primo.hosted.exlibrisgroup.com/primo-explore/search?tab=default_tab&amp;search_scope=EVERYTHING&amp;vid=01CRU&amp;lang=en_US&amp;offset=0&amp;query=any,contains,991003473169702656","Catalog Record")</f>
        <v/>
      </c>
      <c r="AT28">
        <f>HYPERLINK("http://www.worldcat.org/oclc/269638","WorldCat Record")</f>
        <v/>
      </c>
      <c r="AU28" t="inlineStr">
        <is>
          <t>879922079:eng</t>
        </is>
      </c>
      <c r="AV28" t="inlineStr">
        <is>
          <t>269638</t>
        </is>
      </c>
      <c r="AW28" t="inlineStr">
        <is>
          <t>991003473169702656</t>
        </is>
      </c>
      <c r="AX28" t="inlineStr">
        <is>
          <t>991003473169702656</t>
        </is>
      </c>
      <c r="AY28" t="inlineStr">
        <is>
          <t>2256390550002656</t>
        </is>
      </c>
      <c r="AZ28" t="inlineStr">
        <is>
          <t>BOOK</t>
        </is>
      </c>
      <c r="BC28" t="inlineStr">
        <is>
          <t>32285002460722</t>
        </is>
      </c>
      <c r="BD28" t="inlineStr">
        <is>
          <t>893592548</t>
        </is>
      </c>
    </row>
    <row r="29">
      <c r="A29" t="inlineStr">
        <is>
          <t>No</t>
        </is>
      </c>
      <c r="B29" t="inlineStr">
        <is>
          <t>DS102.8 .J6</t>
        </is>
      </c>
      <c r="C29" t="inlineStr">
        <is>
          <t>0                      DS 0102800J  6</t>
        </is>
      </c>
      <c r="D29" t="inlineStr">
        <is>
          <t>The Jewish encyclopedia; a descriptive record of the history, religion, literature, and customs of the Jewish people from the earliest times to the present day; prepared ... under the direction of ... Cyrus Adler [and others] Isidore Singer ... managing editor ...</t>
        </is>
      </c>
      <c r="E29" t="inlineStr">
        <is>
          <t>V.4</t>
        </is>
      </c>
      <c r="F29" t="inlineStr">
        <is>
          <t>Yes</t>
        </is>
      </c>
      <c r="G29" t="inlineStr">
        <is>
          <t>1</t>
        </is>
      </c>
      <c r="H29" t="inlineStr">
        <is>
          <t>No</t>
        </is>
      </c>
      <c r="I29" t="inlineStr">
        <is>
          <t>No</t>
        </is>
      </c>
      <c r="J29" t="inlineStr">
        <is>
          <t>0</t>
        </is>
      </c>
      <c r="L29" t="inlineStr">
        <is>
          <t>New York, London, Funk &amp; Wagnalls Company, 1901-06.</t>
        </is>
      </c>
      <c r="M29" t="inlineStr">
        <is>
          <t>1901</t>
        </is>
      </c>
      <c r="O29" t="inlineStr">
        <is>
          <t>eng</t>
        </is>
      </c>
      <c r="P29" t="inlineStr">
        <is>
          <t>nyu</t>
        </is>
      </c>
      <c r="R29" t="inlineStr">
        <is>
          <t xml:space="preserve">DS </t>
        </is>
      </c>
      <c r="S29" t="n">
        <v>0</v>
      </c>
      <c r="T29" t="n">
        <v>7</v>
      </c>
      <c r="V29" t="inlineStr">
        <is>
          <t>2006-01-25</t>
        </is>
      </c>
      <c r="W29" t="inlineStr">
        <is>
          <t>1997-02-25</t>
        </is>
      </c>
      <c r="X29" t="inlineStr">
        <is>
          <t>1997-02-25</t>
        </is>
      </c>
      <c r="Y29" t="n">
        <v>527</v>
      </c>
      <c r="Z29" t="n">
        <v>440</v>
      </c>
      <c r="AA29" t="n">
        <v>689</v>
      </c>
      <c r="AB29" t="n">
        <v>4</v>
      </c>
      <c r="AC29" t="n">
        <v>5</v>
      </c>
      <c r="AD29" t="n">
        <v>24</v>
      </c>
      <c r="AE29" t="n">
        <v>35</v>
      </c>
      <c r="AF29" t="n">
        <v>12</v>
      </c>
      <c r="AG29" t="n">
        <v>16</v>
      </c>
      <c r="AH29" t="n">
        <v>5</v>
      </c>
      <c r="AI29" t="n">
        <v>6</v>
      </c>
      <c r="AJ29" t="n">
        <v>11</v>
      </c>
      <c r="AK29" t="n">
        <v>16</v>
      </c>
      <c r="AL29" t="n">
        <v>3</v>
      </c>
      <c r="AM29" t="n">
        <v>4</v>
      </c>
      <c r="AN29" t="n">
        <v>0</v>
      </c>
      <c r="AO29" t="n">
        <v>1</v>
      </c>
      <c r="AP29" t="inlineStr">
        <is>
          <t>Yes</t>
        </is>
      </c>
      <c r="AQ29" t="inlineStr">
        <is>
          <t>No</t>
        </is>
      </c>
      <c r="AR29">
        <f>HYPERLINK("http://catalog.hathitrust.org/Record/001242015","HathiTrust Record")</f>
        <v/>
      </c>
      <c r="AS29">
        <f>HYPERLINK("https://creighton-primo.hosted.exlibrisgroup.com/primo-explore/search?tab=default_tab&amp;search_scope=EVERYTHING&amp;vid=01CRU&amp;lang=en_US&amp;offset=0&amp;query=any,contains,991003473169702656","Catalog Record")</f>
        <v/>
      </c>
      <c r="AT29">
        <f>HYPERLINK("http://www.worldcat.org/oclc/269638","WorldCat Record")</f>
        <v/>
      </c>
      <c r="AU29" t="inlineStr">
        <is>
          <t>879922079:eng</t>
        </is>
      </c>
      <c r="AV29" t="inlineStr">
        <is>
          <t>269638</t>
        </is>
      </c>
      <c r="AW29" t="inlineStr">
        <is>
          <t>991003473169702656</t>
        </is>
      </c>
      <c r="AX29" t="inlineStr">
        <is>
          <t>991003473169702656</t>
        </is>
      </c>
      <c r="AY29" t="inlineStr">
        <is>
          <t>2256390550002656</t>
        </is>
      </c>
      <c r="AZ29" t="inlineStr">
        <is>
          <t>BOOK</t>
        </is>
      </c>
      <c r="BC29" t="inlineStr">
        <is>
          <t>32285002460698</t>
        </is>
      </c>
      <c r="BD29" t="inlineStr">
        <is>
          <t>893611074</t>
        </is>
      </c>
    </row>
    <row r="30">
      <c r="A30" t="inlineStr">
        <is>
          <t>No</t>
        </is>
      </c>
      <c r="B30" t="inlineStr">
        <is>
          <t>DS102.8 .J6</t>
        </is>
      </c>
      <c r="C30" t="inlineStr">
        <is>
          <t>0                      DS 0102800J  6</t>
        </is>
      </c>
      <c r="D30" t="inlineStr">
        <is>
          <t>The Jewish encyclopedia; a descriptive record of the history, religion, literature, and customs of the Jewish people from the earliest times to the present day; prepared ... under the direction of ... Cyrus Adler [and others] Isidore Singer ... managing editor ...</t>
        </is>
      </c>
      <c r="E30" t="inlineStr">
        <is>
          <t>V.12</t>
        </is>
      </c>
      <c r="F30" t="inlineStr">
        <is>
          <t>Yes</t>
        </is>
      </c>
      <c r="G30" t="inlineStr">
        <is>
          <t>1</t>
        </is>
      </c>
      <c r="H30" t="inlineStr">
        <is>
          <t>No</t>
        </is>
      </c>
      <c r="I30" t="inlineStr">
        <is>
          <t>No</t>
        </is>
      </c>
      <c r="J30" t="inlineStr">
        <is>
          <t>0</t>
        </is>
      </c>
      <c r="L30" t="inlineStr">
        <is>
          <t>New York, London, Funk &amp; Wagnalls Company, 1901-06.</t>
        </is>
      </c>
      <c r="M30" t="inlineStr">
        <is>
          <t>1901</t>
        </is>
      </c>
      <c r="O30" t="inlineStr">
        <is>
          <t>eng</t>
        </is>
      </c>
      <c r="P30" t="inlineStr">
        <is>
          <t>nyu</t>
        </is>
      </c>
      <c r="R30" t="inlineStr">
        <is>
          <t xml:space="preserve">DS </t>
        </is>
      </c>
      <c r="S30" t="n">
        <v>0</v>
      </c>
      <c r="T30" t="n">
        <v>7</v>
      </c>
      <c r="V30" t="inlineStr">
        <is>
          <t>2006-01-25</t>
        </is>
      </c>
      <c r="W30" t="inlineStr">
        <is>
          <t>1997-02-25</t>
        </is>
      </c>
      <c r="X30" t="inlineStr">
        <is>
          <t>1997-02-25</t>
        </is>
      </c>
      <c r="Y30" t="n">
        <v>527</v>
      </c>
      <c r="Z30" t="n">
        <v>440</v>
      </c>
      <c r="AA30" t="n">
        <v>689</v>
      </c>
      <c r="AB30" t="n">
        <v>4</v>
      </c>
      <c r="AC30" t="n">
        <v>5</v>
      </c>
      <c r="AD30" t="n">
        <v>24</v>
      </c>
      <c r="AE30" t="n">
        <v>35</v>
      </c>
      <c r="AF30" t="n">
        <v>12</v>
      </c>
      <c r="AG30" t="n">
        <v>16</v>
      </c>
      <c r="AH30" t="n">
        <v>5</v>
      </c>
      <c r="AI30" t="n">
        <v>6</v>
      </c>
      <c r="AJ30" t="n">
        <v>11</v>
      </c>
      <c r="AK30" t="n">
        <v>16</v>
      </c>
      <c r="AL30" t="n">
        <v>3</v>
      </c>
      <c r="AM30" t="n">
        <v>4</v>
      </c>
      <c r="AN30" t="n">
        <v>0</v>
      </c>
      <c r="AO30" t="n">
        <v>1</v>
      </c>
      <c r="AP30" t="inlineStr">
        <is>
          <t>Yes</t>
        </is>
      </c>
      <c r="AQ30" t="inlineStr">
        <is>
          <t>No</t>
        </is>
      </c>
      <c r="AR30">
        <f>HYPERLINK("http://catalog.hathitrust.org/Record/001242015","HathiTrust Record")</f>
        <v/>
      </c>
      <c r="AS30">
        <f>HYPERLINK("https://creighton-primo.hosted.exlibrisgroup.com/primo-explore/search?tab=default_tab&amp;search_scope=EVERYTHING&amp;vid=01CRU&amp;lang=en_US&amp;offset=0&amp;query=any,contains,991003473169702656","Catalog Record")</f>
        <v/>
      </c>
      <c r="AT30">
        <f>HYPERLINK("http://www.worldcat.org/oclc/269638","WorldCat Record")</f>
        <v/>
      </c>
      <c r="AU30" t="inlineStr">
        <is>
          <t>879922079:eng</t>
        </is>
      </c>
      <c r="AV30" t="inlineStr">
        <is>
          <t>269638</t>
        </is>
      </c>
      <c r="AW30" t="inlineStr">
        <is>
          <t>991003473169702656</t>
        </is>
      </c>
      <c r="AX30" t="inlineStr">
        <is>
          <t>991003473169702656</t>
        </is>
      </c>
      <c r="AY30" t="inlineStr">
        <is>
          <t>2256390550002656</t>
        </is>
      </c>
      <c r="AZ30" t="inlineStr">
        <is>
          <t>BOOK</t>
        </is>
      </c>
      <c r="BC30" t="inlineStr">
        <is>
          <t>32285002460771</t>
        </is>
      </c>
      <c r="BD30" t="inlineStr">
        <is>
          <t>893598608</t>
        </is>
      </c>
    </row>
    <row r="31">
      <c r="A31" t="inlineStr">
        <is>
          <t>No</t>
        </is>
      </c>
      <c r="B31" t="inlineStr">
        <is>
          <t>DS102.8 .J6</t>
        </is>
      </c>
      <c r="C31" t="inlineStr">
        <is>
          <t>0                      DS 0102800J  6</t>
        </is>
      </c>
      <c r="D31" t="inlineStr">
        <is>
          <t>The Jewish encyclopedia; a descriptive record of the history, religion, literature, and customs of the Jewish people from the earliest times to the present day; prepared ... under the direction of ... Cyrus Adler [and others] Isidore Singer ... managing editor ...</t>
        </is>
      </c>
      <c r="E31" t="inlineStr">
        <is>
          <t>V.2</t>
        </is>
      </c>
      <c r="F31" t="inlineStr">
        <is>
          <t>Yes</t>
        </is>
      </c>
      <c r="G31" t="inlineStr">
        <is>
          <t>1</t>
        </is>
      </c>
      <c r="H31" t="inlineStr">
        <is>
          <t>No</t>
        </is>
      </c>
      <c r="I31" t="inlineStr">
        <is>
          <t>No</t>
        </is>
      </c>
      <c r="J31" t="inlineStr">
        <is>
          <t>0</t>
        </is>
      </c>
      <c r="L31" t="inlineStr">
        <is>
          <t>New York, London, Funk &amp; Wagnalls Company, 1901-06.</t>
        </is>
      </c>
      <c r="M31" t="inlineStr">
        <is>
          <t>1901</t>
        </is>
      </c>
      <c r="O31" t="inlineStr">
        <is>
          <t>eng</t>
        </is>
      </c>
      <c r="P31" t="inlineStr">
        <is>
          <t>nyu</t>
        </is>
      </c>
      <c r="R31" t="inlineStr">
        <is>
          <t xml:space="preserve">DS </t>
        </is>
      </c>
      <c r="S31" t="n">
        <v>3</v>
      </c>
      <c r="T31" t="n">
        <v>7</v>
      </c>
      <c r="U31" t="inlineStr">
        <is>
          <t>2000-09-26</t>
        </is>
      </c>
      <c r="V31" t="inlineStr">
        <is>
          <t>2006-01-25</t>
        </is>
      </c>
      <c r="W31" t="inlineStr">
        <is>
          <t>1997-02-25</t>
        </is>
      </c>
      <c r="X31" t="inlineStr">
        <is>
          <t>1997-02-25</t>
        </is>
      </c>
      <c r="Y31" t="n">
        <v>527</v>
      </c>
      <c r="Z31" t="n">
        <v>440</v>
      </c>
      <c r="AA31" t="n">
        <v>689</v>
      </c>
      <c r="AB31" t="n">
        <v>4</v>
      </c>
      <c r="AC31" t="n">
        <v>5</v>
      </c>
      <c r="AD31" t="n">
        <v>24</v>
      </c>
      <c r="AE31" t="n">
        <v>35</v>
      </c>
      <c r="AF31" t="n">
        <v>12</v>
      </c>
      <c r="AG31" t="n">
        <v>16</v>
      </c>
      <c r="AH31" t="n">
        <v>5</v>
      </c>
      <c r="AI31" t="n">
        <v>6</v>
      </c>
      <c r="AJ31" t="n">
        <v>11</v>
      </c>
      <c r="AK31" t="n">
        <v>16</v>
      </c>
      <c r="AL31" t="n">
        <v>3</v>
      </c>
      <c r="AM31" t="n">
        <v>4</v>
      </c>
      <c r="AN31" t="n">
        <v>0</v>
      </c>
      <c r="AO31" t="n">
        <v>1</v>
      </c>
      <c r="AP31" t="inlineStr">
        <is>
          <t>Yes</t>
        </is>
      </c>
      <c r="AQ31" t="inlineStr">
        <is>
          <t>No</t>
        </is>
      </c>
      <c r="AR31">
        <f>HYPERLINK("http://catalog.hathitrust.org/Record/001242015","HathiTrust Record")</f>
        <v/>
      </c>
      <c r="AS31">
        <f>HYPERLINK("https://creighton-primo.hosted.exlibrisgroup.com/primo-explore/search?tab=default_tab&amp;search_scope=EVERYTHING&amp;vid=01CRU&amp;lang=en_US&amp;offset=0&amp;query=any,contains,991003473169702656","Catalog Record")</f>
        <v/>
      </c>
      <c r="AT31">
        <f>HYPERLINK("http://www.worldcat.org/oclc/269638","WorldCat Record")</f>
        <v/>
      </c>
      <c r="AU31" t="inlineStr">
        <is>
          <t>879922079:eng</t>
        </is>
      </c>
      <c r="AV31" t="inlineStr">
        <is>
          <t>269638</t>
        </is>
      </c>
      <c r="AW31" t="inlineStr">
        <is>
          <t>991003473169702656</t>
        </is>
      </c>
      <c r="AX31" t="inlineStr">
        <is>
          <t>991003473169702656</t>
        </is>
      </c>
      <c r="AY31" t="inlineStr">
        <is>
          <t>2256390550002656</t>
        </is>
      </c>
      <c r="AZ31" t="inlineStr">
        <is>
          <t>BOOK</t>
        </is>
      </c>
      <c r="BC31" t="inlineStr">
        <is>
          <t>32285002460672</t>
        </is>
      </c>
      <c r="BD31" t="inlineStr">
        <is>
          <t>893592550</t>
        </is>
      </c>
    </row>
    <row r="32">
      <c r="A32" t="inlineStr">
        <is>
          <t>No</t>
        </is>
      </c>
      <c r="B32" t="inlineStr">
        <is>
          <t>DS102.8 .J6</t>
        </is>
      </c>
      <c r="C32" t="inlineStr">
        <is>
          <t>0                      DS 0102800J  6</t>
        </is>
      </c>
      <c r="D32" t="inlineStr">
        <is>
          <t>The Jewish encyclopedia; a descriptive record of the history, religion, literature, and customs of the Jewish people from the earliest times to the present day; prepared ... under the direction of ... Cyrus Adler [and others] Isidore Singer ... managing editor ...</t>
        </is>
      </c>
      <c r="E32" t="inlineStr">
        <is>
          <t>V.8</t>
        </is>
      </c>
      <c r="F32" t="inlineStr">
        <is>
          <t>Yes</t>
        </is>
      </c>
      <c r="G32" t="inlineStr">
        <is>
          <t>1</t>
        </is>
      </c>
      <c r="H32" t="inlineStr">
        <is>
          <t>No</t>
        </is>
      </c>
      <c r="I32" t="inlineStr">
        <is>
          <t>No</t>
        </is>
      </c>
      <c r="J32" t="inlineStr">
        <is>
          <t>0</t>
        </is>
      </c>
      <c r="L32" t="inlineStr">
        <is>
          <t>New York, London, Funk &amp; Wagnalls Company, 1901-06.</t>
        </is>
      </c>
      <c r="M32" t="inlineStr">
        <is>
          <t>1901</t>
        </is>
      </c>
      <c r="O32" t="inlineStr">
        <is>
          <t>eng</t>
        </is>
      </c>
      <c r="P32" t="inlineStr">
        <is>
          <t>nyu</t>
        </is>
      </c>
      <c r="R32" t="inlineStr">
        <is>
          <t xml:space="preserve">DS </t>
        </is>
      </c>
      <c r="S32" t="n">
        <v>2</v>
      </c>
      <c r="T32" t="n">
        <v>7</v>
      </c>
      <c r="U32" t="inlineStr">
        <is>
          <t>1997-08-04</t>
        </is>
      </c>
      <c r="V32" t="inlineStr">
        <is>
          <t>2006-01-25</t>
        </is>
      </c>
      <c r="W32" t="inlineStr">
        <is>
          <t>1997-02-25</t>
        </is>
      </c>
      <c r="X32" t="inlineStr">
        <is>
          <t>1997-02-25</t>
        </is>
      </c>
      <c r="Y32" t="n">
        <v>527</v>
      </c>
      <c r="Z32" t="n">
        <v>440</v>
      </c>
      <c r="AA32" t="n">
        <v>689</v>
      </c>
      <c r="AB32" t="n">
        <v>4</v>
      </c>
      <c r="AC32" t="n">
        <v>5</v>
      </c>
      <c r="AD32" t="n">
        <v>24</v>
      </c>
      <c r="AE32" t="n">
        <v>35</v>
      </c>
      <c r="AF32" t="n">
        <v>12</v>
      </c>
      <c r="AG32" t="n">
        <v>16</v>
      </c>
      <c r="AH32" t="n">
        <v>5</v>
      </c>
      <c r="AI32" t="n">
        <v>6</v>
      </c>
      <c r="AJ32" t="n">
        <v>11</v>
      </c>
      <c r="AK32" t="n">
        <v>16</v>
      </c>
      <c r="AL32" t="n">
        <v>3</v>
      </c>
      <c r="AM32" t="n">
        <v>4</v>
      </c>
      <c r="AN32" t="n">
        <v>0</v>
      </c>
      <c r="AO32" t="n">
        <v>1</v>
      </c>
      <c r="AP32" t="inlineStr">
        <is>
          <t>Yes</t>
        </is>
      </c>
      <c r="AQ32" t="inlineStr">
        <is>
          <t>No</t>
        </is>
      </c>
      <c r="AR32">
        <f>HYPERLINK("http://catalog.hathitrust.org/Record/001242015","HathiTrust Record")</f>
        <v/>
      </c>
      <c r="AS32">
        <f>HYPERLINK("https://creighton-primo.hosted.exlibrisgroup.com/primo-explore/search?tab=default_tab&amp;search_scope=EVERYTHING&amp;vid=01CRU&amp;lang=en_US&amp;offset=0&amp;query=any,contains,991003473169702656","Catalog Record")</f>
        <v/>
      </c>
      <c r="AT32">
        <f>HYPERLINK("http://www.worldcat.org/oclc/269638","WorldCat Record")</f>
        <v/>
      </c>
      <c r="AU32" t="inlineStr">
        <is>
          <t>879922079:eng</t>
        </is>
      </c>
      <c r="AV32" t="inlineStr">
        <is>
          <t>269638</t>
        </is>
      </c>
      <c r="AW32" t="inlineStr">
        <is>
          <t>991003473169702656</t>
        </is>
      </c>
      <c r="AX32" t="inlineStr">
        <is>
          <t>991003473169702656</t>
        </is>
      </c>
      <c r="AY32" t="inlineStr">
        <is>
          <t>2256390550002656</t>
        </is>
      </c>
      <c r="AZ32" t="inlineStr">
        <is>
          <t>BOOK</t>
        </is>
      </c>
      <c r="BC32" t="inlineStr">
        <is>
          <t>32285002460730</t>
        </is>
      </c>
      <c r="BD32" t="inlineStr">
        <is>
          <t>893592547</t>
        </is>
      </c>
    </row>
    <row r="33">
      <c r="A33" t="inlineStr">
        <is>
          <t>No</t>
        </is>
      </c>
      <c r="B33" t="inlineStr">
        <is>
          <t>DS102.8 .J6</t>
        </is>
      </c>
      <c r="C33" t="inlineStr">
        <is>
          <t>0                      DS 0102800J  6</t>
        </is>
      </c>
      <c r="D33" t="inlineStr">
        <is>
          <t>The Jewish encyclopedia; a descriptive record of the history, religion, literature, and customs of the Jewish people from the earliest times to the present day; prepared ... under the direction of ... Cyrus Adler [and others] Isidore Singer ... managing editor ...</t>
        </is>
      </c>
      <c r="E33" t="inlineStr">
        <is>
          <t>V.5</t>
        </is>
      </c>
      <c r="F33" t="inlineStr">
        <is>
          <t>Yes</t>
        </is>
      </c>
      <c r="G33" t="inlineStr">
        <is>
          <t>1</t>
        </is>
      </c>
      <c r="H33" t="inlineStr">
        <is>
          <t>No</t>
        </is>
      </c>
      <c r="I33" t="inlineStr">
        <is>
          <t>No</t>
        </is>
      </c>
      <c r="J33" t="inlineStr">
        <is>
          <t>0</t>
        </is>
      </c>
      <c r="L33" t="inlineStr">
        <is>
          <t>New York, London, Funk &amp; Wagnalls Company, 1901-06.</t>
        </is>
      </c>
      <c r="M33" t="inlineStr">
        <is>
          <t>1901</t>
        </is>
      </c>
      <c r="O33" t="inlineStr">
        <is>
          <t>eng</t>
        </is>
      </c>
      <c r="P33" t="inlineStr">
        <is>
          <t>nyu</t>
        </is>
      </c>
      <c r="R33" t="inlineStr">
        <is>
          <t xml:space="preserve">DS </t>
        </is>
      </c>
      <c r="S33" t="n">
        <v>0</v>
      </c>
      <c r="T33" t="n">
        <v>7</v>
      </c>
      <c r="V33" t="inlineStr">
        <is>
          <t>2006-01-25</t>
        </is>
      </c>
      <c r="W33" t="inlineStr">
        <is>
          <t>1997-02-25</t>
        </is>
      </c>
      <c r="X33" t="inlineStr">
        <is>
          <t>1997-02-25</t>
        </is>
      </c>
      <c r="Y33" t="n">
        <v>527</v>
      </c>
      <c r="Z33" t="n">
        <v>440</v>
      </c>
      <c r="AA33" t="n">
        <v>689</v>
      </c>
      <c r="AB33" t="n">
        <v>4</v>
      </c>
      <c r="AC33" t="n">
        <v>5</v>
      </c>
      <c r="AD33" t="n">
        <v>24</v>
      </c>
      <c r="AE33" t="n">
        <v>35</v>
      </c>
      <c r="AF33" t="n">
        <v>12</v>
      </c>
      <c r="AG33" t="n">
        <v>16</v>
      </c>
      <c r="AH33" t="n">
        <v>5</v>
      </c>
      <c r="AI33" t="n">
        <v>6</v>
      </c>
      <c r="AJ33" t="n">
        <v>11</v>
      </c>
      <c r="AK33" t="n">
        <v>16</v>
      </c>
      <c r="AL33" t="n">
        <v>3</v>
      </c>
      <c r="AM33" t="n">
        <v>4</v>
      </c>
      <c r="AN33" t="n">
        <v>0</v>
      </c>
      <c r="AO33" t="n">
        <v>1</v>
      </c>
      <c r="AP33" t="inlineStr">
        <is>
          <t>Yes</t>
        </is>
      </c>
      <c r="AQ33" t="inlineStr">
        <is>
          <t>No</t>
        </is>
      </c>
      <c r="AR33">
        <f>HYPERLINK("http://catalog.hathitrust.org/Record/001242015","HathiTrust Record")</f>
        <v/>
      </c>
      <c r="AS33">
        <f>HYPERLINK("https://creighton-primo.hosted.exlibrisgroup.com/primo-explore/search?tab=default_tab&amp;search_scope=EVERYTHING&amp;vid=01CRU&amp;lang=en_US&amp;offset=0&amp;query=any,contains,991003473169702656","Catalog Record")</f>
        <v/>
      </c>
      <c r="AT33">
        <f>HYPERLINK("http://www.worldcat.org/oclc/269638","WorldCat Record")</f>
        <v/>
      </c>
      <c r="AU33" t="inlineStr">
        <is>
          <t>879922079:eng</t>
        </is>
      </c>
      <c r="AV33" t="inlineStr">
        <is>
          <t>269638</t>
        </is>
      </c>
      <c r="AW33" t="inlineStr">
        <is>
          <t>991003473169702656</t>
        </is>
      </c>
      <c r="AX33" t="inlineStr">
        <is>
          <t>991003473169702656</t>
        </is>
      </c>
      <c r="AY33" t="inlineStr">
        <is>
          <t>2256390550002656</t>
        </is>
      </c>
      <c r="AZ33" t="inlineStr">
        <is>
          <t>BOOK</t>
        </is>
      </c>
      <c r="BC33" t="inlineStr">
        <is>
          <t>32285002460706</t>
        </is>
      </c>
      <c r="BD33" t="inlineStr">
        <is>
          <t>893592546</t>
        </is>
      </c>
    </row>
    <row r="34">
      <c r="A34" t="inlineStr">
        <is>
          <t>No</t>
        </is>
      </c>
      <c r="B34" t="inlineStr">
        <is>
          <t>DS102.8 .J6</t>
        </is>
      </c>
      <c r="C34" t="inlineStr">
        <is>
          <t>0                      DS 0102800J  6</t>
        </is>
      </c>
      <c r="D34" t="inlineStr">
        <is>
          <t>The Jewish encyclopedia; a descriptive record of the history, religion, literature, and customs of the Jewish people from the earliest times to the present day; prepared ... under the direction of ... Cyrus Adler [and others] Isidore Singer ... managing editor ...</t>
        </is>
      </c>
      <c r="E34" t="inlineStr">
        <is>
          <t>V.10</t>
        </is>
      </c>
      <c r="F34" t="inlineStr">
        <is>
          <t>Yes</t>
        </is>
      </c>
      <c r="G34" t="inlineStr">
        <is>
          <t>1</t>
        </is>
      </c>
      <c r="H34" t="inlineStr">
        <is>
          <t>No</t>
        </is>
      </c>
      <c r="I34" t="inlineStr">
        <is>
          <t>No</t>
        </is>
      </c>
      <c r="J34" t="inlineStr">
        <is>
          <t>0</t>
        </is>
      </c>
      <c r="L34" t="inlineStr">
        <is>
          <t>New York, London, Funk &amp; Wagnalls Company, 1901-06.</t>
        </is>
      </c>
      <c r="M34" t="inlineStr">
        <is>
          <t>1901</t>
        </is>
      </c>
      <c r="O34" t="inlineStr">
        <is>
          <t>eng</t>
        </is>
      </c>
      <c r="P34" t="inlineStr">
        <is>
          <t>nyu</t>
        </is>
      </c>
      <c r="R34" t="inlineStr">
        <is>
          <t xml:space="preserve">DS </t>
        </is>
      </c>
      <c r="S34" t="n">
        <v>0</v>
      </c>
      <c r="T34" t="n">
        <v>7</v>
      </c>
      <c r="V34" t="inlineStr">
        <is>
          <t>2006-01-25</t>
        </is>
      </c>
      <c r="W34" t="inlineStr">
        <is>
          <t>1997-02-25</t>
        </is>
      </c>
      <c r="X34" t="inlineStr">
        <is>
          <t>1997-02-25</t>
        </is>
      </c>
      <c r="Y34" t="n">
        <v>527</v>
      </c>
      <c r="Z34" t="n">
        <v>440</v>
      </c>
      <c r="AA34" t="n">
        <v>689</v>
      </c>
      <c r="AB34" t="n">
        <v>4</v>
      </c>
      <c r="AC34" t="n">
        <v>5</v>
      </c>
      <c r="AD34" t="n">
        <v>24</v>
      </c>
      <c r="AE34" t="n">
        <v>35</v>
      </c>
      <c r="AF34" t="n">
        <v>12</v>
      </c>
      <c r="AG34" t="n">
        <v>16</v>
      </c>
      <c r="AH34" t="n">
        <v>5</v>
      </c>
      <c r="AI34" t="n">
        <v>6</v>
      </c>
      <c r="AJ34" t="n">
        <v>11</v>
      </c>
      <c r="AK34" t="n">
        <v>16</v>
      </c>
      <c r="AL34" t="n">
        <v>3</v>
      </c>
      <c r="AM34" t="n">
        <v>4</v>
      </c>
      <c r="AN34" t="n">
        <v>0</v>
      </c>
      <c r="AO34" t="n">
        <v>1</v>
      </c>
      <c r="AP34" t="inlineStr">
        <is>
          <t>Yes</t>
        </is>
      </c>
      <c r="AQ34" t="inlineStr">
        <is>
          <t>No</t>
        </is>
      </c>
      <c r="AR34">
        <f>HYPERLINK("http://catalog.hathitrust.org/Record/001242015","HathiTrust Record")</f>
        <v/>
      </c>
      <c r="AS34">
        <f>HYPERLINK("https://creighton-primo.hosted.exlibrisgroup.com/primo-explore/search?tab=default_tab&amp;search_scope=EVERYTHING&amp;vid=01CRU&amp;lang=en_US&amp;offset=0&amp;query=any,contains,991003473169702656","Catalog Record")</f>
        <v/>
      </c>
      <c r="AT34">
        <f>HYPERLINK("http://www.worldcat.org/oclc/269638","WorldCat Record")</f>
        <v/>
      </c>
      <c r="AU34" t="inlineStr">
        <is>
          <t>879922079:eng</t>
        </is>
      </c>
      <c r="AV34" t="inlineStr">
        <is>
          <t>269638</t>
        </is>
      </c>
      <c r="AW34" t="inlineStr">
        <is>
          <t>991003473169702656</t>
        </is>
      </c>
      <c r="AX34" t="inlineStr">
        <is>
          <t>991003473169702656</t>
        </is>
      </c>
      <c r="AY34" t="inlineStr">
        <is>
          <t>2256390550002656</t>
        </is>
      </c>
      <c r="AZ34" t="inlineStr">
        <is>
          <t>BOOK</t>
        </is>
      </c>
      <c r="BC34" t="inlineStr">
        <is>
          <t>32285002460755</t>
        </is>
      </c>
      <c r="BD34" t="inlineStr">
        <is>
          <t>893623513</t>
        </is>
      </c>
    </row>
    <row r="35">
      <c r="A35" t="inlineStr">
        <is>
          <t>No</t>
        </is>
      </c>
      <c r="B35" t="inlineStr">
        <is>
          <t>DS102.8 .J6</t>
        </is>
      </c>
      <c r="C35" t="inlineStr">
        <is>
          <t>0                      DS 0102800J  6</t>
        </is>
      </c>
      <c r="D35" t="inlineStr">
        <is>
          <t>The Jewish encyclopedia; a descriptive record of the history, religion, literature, and customs of the Jewish people from the earliest times to the present day; prepared ... under the direction of ... Cyrus Adler [and others] Isidore Singer ... managing editor ...</t>
        </is>
      </c>
      <c r="E35" t="inlineStr">
        <is>
          <t>V.9</t>
        </is>
      </c>
      <c r="F35" t="inlineStr">
        <is>
          <t>Yes</t>
        </is>
      </c>
      <c r="G35" t="inlineStr">
        <is>
          <t>1</t>
        </is>
      </c>
      <c r="H35" t="inlineStr">
        <is>
          <t>No</t>
        </is>
      </c>
      <c r="I35" t="inlineStr">
        <is>
          <t>No</t>
        </is>
      </c>
      <c r="J35" t="inlineStr">
        <is>
          <t>0</t>
        </is>
      </c>
      <c r="L35" t="inlineStr">
        <is>
          <t>New York, London, Funk &amp; Wagnalls Company, 1901-06.</t>
        </is>
      </c>
      <c r="M35" t="inlineStr">
        <is>
          <t>1901</t>
        </is>
      </c>
      <c r="O35" t="inlineStr">
        <is>
          <t>eng</t>
        </is>
      </c>
      <c r="P35" t="inlineStr">
        <is>
          <t>nyu</t>
        </is>
      </c>
      <c r="R35" t="inlineStr">
        <is>
          <t xml:space="preserve">DS </t>
        </is>
      </c>
      <c r="S35" t="n">
        <v>1</v>
      </c>
      <c r="T35" t="n">
        <v>7</v>
      </c>
      <c r="U35" t="inlineStr">
        <is>
          <t>2006-01-25</t>
        </is>
      </c>
      <c r="V35" t="inlineStr">
        <is>
          <t>2006-01-25</t>
        </is>
      </c>
      <c r="W35" t="inlineStr">
        <is>
          <t>1997-02-25</t>
        </is>
      </c>
      <c r="X35" t="inlineStr">
        <is>
          <t>1997-02-25</t>
        </is>
      </c>
      <c r="Y35" t="n">
        <v>527</v>
      </c>
      <c r="Z35" t="n">
        <v>440</v>
      </c>
      <c r="AA35" t="n">
        <v>689</v>
      </c>
      <c r="AB35" t="n">
        <v>4</v>
      </c>
      <c r="AC35" t="n">
        <v>5</v>
      </c>
      <c r="AD35" t="n">
        <v>24</v>
      </c>
      <c r="AE35" t="n">
        <v>35</v>
      </c>
      <c r="AF35" t="n">
        <v>12</v>
      </c>
      <c r="AG35" t="n">
        <v>16</v>
      </c>
      <c r="AH35" t="n">
        <v>5</v>
      </c>
      <c r="AI35" t="n">
        <v>6</v>
      </c>
      <c r="AJ35" t="n">
        <v>11</v>
      </c>
      <c r="AK35" t="n">
        <v>16</v>
      </c>
      <c r="AL35" t="n">
        <v>3</v>
      </c>
      <c r="AM35" t="n">
        <v>4</v>
      </c>
      <c r="AN35" t="n">
        <v>0</v>
      </c>
      <c r="AO35" t="n">
        <v>1</v>
      </c>
      <c r="AP35" t="inlineStr">
        <is>
          <t>Yes</t>
        </is>
      </c>
      <c r="AQ35" t="inlineStr">
        <is>
          <t>No</t>
        </is>
      </c>
      <c r="AR35">
        <f>HYPERLINK("http://catalog.hathitrust.org/Record/001242015","HathiTrust Record")</f>
        <v/>
      </c>
      <c r="AS35">
        <f>HYPERLINK("https://creighton-primo.hosted.exlibrisgroup.com/primo-explore/search?tab=default_tab&amp;search_scope=EVERYTHING&amp;vid=01CRU&amp;lang=en_US&amp;offset=0&amp;query=any,contains,991003473169702656","Catalog Record")</f>
        <v/>
      </c>
      <c r="AT35">
        <f>HYPERLINK("http://www.worldcat.org/oclc/269638","WorldCat Record")</f>
        <v/>
      </c>
      <c r="AU35" t="inlineStr">
        <is>
          <t>879922079:eng</t>
        </is>
      </c>
      <c r="AV35" t="inlineStr">
        <is>
          <t>269638</t>
        </is>
      </c>
      <c r="AW35" t="inlineStr">
        <is>
          <t>991003473169702656</t>
        </is>
      </c>
      <c r="AX35" t="inlineStr">
        <is>
          <t>991003473169702656</t>
        </is>
      </c>
      <c r="AY35" t="inlineStr">
        <is>
          <t>2256390550002656</t>
        </is>
      </c>
      <c r="AZ35" t="inlineStr">
        <is>
          <t>BOOK</t>
        </is>
      </c>
      <c r="BC35" t="inlineStr">
        <is>
          <t>32285002460748</t>
        </is>
      </c>
      <c r="BD35" t="inlineStr">
        <is>
          <t>893611075</t>
        </is>
      </c>
    </row>
    <row r="36">
      <c r="A36" t="inlineStr">
        <is>
          <t>No</t>
        </is>
      </c>
      <c r="B36" t="inlineStr">
        <is>
          <t>DS102.8 .J6</t>
        </is>
      </c>
      <c r="C36" t="inlineStr">
        <is>
          <t>0                      DS 0102800J  6</t>
        </is>
      </c>
      <c r="D36" t="inlineStr">
        <is>
          <t>The Jewish encyclopedia; a descriptive record of the history, religion, literature, and customs of the Jewish people from the earliest times to the present day; prepared ... under the direction of ... Cyrus Adler [and others] Isidore Singer ... managing editor ...</t>
        </is>
      </c>
      <c r="E36" t="inlineStr">
        <is>
          <t>V.6</t>
        </is>
      </c>
      <c r="F36" t="inlineStr">
        <is>
          <t>Yes</t>
        </is>
      </c>
      <c r="G36" t="inlineStr">
        <is>
          <t>1</t>
        </is>
      </c>
      <c r="H36" t="inlineStr">
        <is>
          <t>No</t>
        </is>
      </c>
      <c r="I36" t="inlineStr">
        <is>
          <t>No</t>
        </is>
      </c>
      <c r="J36" t="inlineStr">
        <is>
          <t>0</t>
        </is>
      </c>
      <c r="L36" t="inlineStr">
        <is>
          <t>New York, London, Funk &amp; Wagnalls Company, 1901-06.</t>
        </is>
      </c>
      <c r="M36" t="inlineStr">
        <is>
          <t>1901</t>
        </is>
      </c>
      <c r="O36" t="inlineStr">
        <is>
          <t>eng</t>
        </is>
      </c>
      <c r="P36" t="inlineStr">
        <is>
          <t>nyu</t>
        </is>
      </c>
      <c r="R36" t="inlineStr">
        <is>
          <t xml:space="preserve">DS </t>
        </is>
      </c>
      <c r="S36" t="n">
        <v>1</v>
      </c>
      <c r="T36" t="n">
        <v>7</v>
      </c>
      <c r="U36" t="inlineStr">
        <is>
          <t>2000-09-09</t>
        </is>
      </c>
      <c r="V36" t="inlineStr">
        <is>
          <t>2006-01-25</t>
        </is>
      </c>
      <c r="W36" t="inlineStr">
        <is>
          <t>1997-02-25</t>
        </is>
      </c>
      <c r="X36" t="inlineStr">
        <is>
          <t>1997-02-25</t>
        </is>
      </c>
      <c r="Y36" t="n">
        <v>527</v>
      </c>
      <c r="Z36" t="n">
        <v>440</v>
      </c>
      <c r="AA36" t="n">
        <v>689</v>
      </c>
      <c r="AB36" t="n">
        <v>4</v>
      </c>
      <c r="AC36" t="n">
        <v>5</v>
      </c>
      <c r="AD36" t="n">
        <v>24</v>
      </c>
      <c r="AE36" t="n">
        <v>35</v>
      </c>
      <c r="AF36" t="n">
        <v>12</v>
      </c>
      <c r="AG36" t="n">
        <v>16</v>
      </c>
      <c r="AH36" t="n">
        <v>5</v>
      </c>
      <c r="AI36" t="n">
        <v>6</v>
      </c>
      <c r="AJ36" t="n">
        <v>11</v>
      </c>
      <c r="AK36" t="n">
        <v>16</v>
      </c>
      <c r="AL36" t="n">
        <v>3</v>
      </c>
      <c r="AM36" t="n">
        <v>4</v>
      </c>
      <c r="AN36" t="n">
        <v>0</v>
      </c>
      <c r="AO36" t="n">
        <v>1</v>
      </c>
      <c r="AP36" t="inlineStr">
        <is>
          <t>Yes</t>
        </is>
      </c>
      <c r="AQ36" t="inlineStr">
        <is>
          <t>No</t>
        </is>
      </c>
      <c r="AR36">
        <f>HYPERLINK("http://catalog.hathitrust.org/Record/001242015","HathiTrust Record")</f>
        <v/>
      </c>
      <c r="AS36">
        <f>HYPERLINK("https://creighton-primo.hosted.exlibrisgroup.com/primo-explore/search?tab=default_tab&amp;search_scope=EVERYTHING&amp;vid=01CRU&amp;lang=en_US&amp;offset=0&amp;query=any,contains,991003473169702656","Catalog Record")</f>
        <v/>
      </c>
      <c r="AT36">
        <f>HYPERLINK("http://www.worldcat.org/oclc/269638","WorldCat Record")</f>
        <v/>
      </c>
      <c r="AU36" t="inlineStr">
        <is>
          <t>879922079:eng</t>
        </is>
      </c>
      <c r="AV36" t="inlineStr">
        <is>
          <t>269638</t>
        </is>
      </c>
      <c r="AW36" t="inlineStr">
        <is>
          <t>991003473169702656</t>
        </is>
      </c>
      <c r="AX36" t="inlineStr">
        <is>
          <t>991003473169702656</t>
        </is>
      </c>
      <c r="AY36" t="inlineStr">
        <is>
          <t>2256390550002656</t>
        </is>
      </c>
      <c r="AZ36" t="inlineStr">
        <is>
          <t>BOOK</t>
        </is>
      </c>
      <c r="BC36" t="inlineStr">
        <is>
          <t>32285002460714</t>
        </is>
      </c>
      <c r="BD36" t="inlineStr">
        <is>
          <t>893592549</t>
        </is>
      </c>
    </row>
    <row r="37">
      <c r="A37" t="inlineStr">
        <is>
          <t>No</t>
        </is>
      </c>
      <c r="B37" t="inlineStr">
        <is>
          <t>DS102.9 .F4 1959a</t>
        </is>
      </c>
      <c r="C37" t="inlineStr">
        <is>
          <t>0                      DS 0102900F  4           1959a</t>
        </is>
      </c>
      <c r="D37" t="inlineStr">
        <is>
          <t>World Jewry today.</t>
        </is>
      </c>
      <c r="F37" t="inlineStr">
        <is>
          <t>No</t>
        </is>
      </c>
      <c r="G37" t="inlineStr">
        <is>
          <t>1</t>
        </is>
      </c>
      <c r="H37" t="inlineStr">
        <is>
          <t>No</t>
        </is>
      </c>
      <c r="I37" t="inlineStr">
        <is>
          <t>No</t>
        </is>
      </c>
      <c r="J37" t="inlineStr">
        <is>
          <t>0</t>
        </is>
      </c>
      <c r="K37" t="inlineStr">
        <is>
          <t>Federbusch, Simon, 1892-1969.</t>
        </is>
      </c>
      <c r="L37" t="inlineStr">
        <is>
          <t>New York, T. Yoseloff [1959]</t>
        </is>
      </c>
      <c r="M37" t="inlineStr">
        <is>
          <t>1959</t>
        </is>
      </c>
      <c r="O37" t="inlineStr">
        <is>
          <t>eng</t>
        </is>
      </c>
      <c r="P37" t="inlineStr">
        <is>
          <t>nyu</t>
        </is>
      </c>
      <c r="R37" t="inlineStr">
        <is>
          <t xml:space="preserve">DS </t>
        </is>
      </c>
      <c r="S37" t="n">
        <v>3</v>
      </c>
      <c r="T37" t="n">
        <v>3</v>
      </c>
      <c r="U37" t="inlineStr">
        <is>
          <t>2002-03-24</t>
        </is>
      </c>
      <c r="V37" t="inlineStr">
        <is>
          <t>2002-03-24</t>
        </is>
      </c>
      <c r="W37" t="inlineStr">
        <is>
          <t>1997-02-25</t>
        </is>
      </c>
      <c r="X37" t="inlineStr">
        <is>
          <t>1997-02-25</t>
        </is>
      </c>
      <c r="Y37" t="n">
        <v>97</v>
      </c>
      <c r="Z37" t="n">
        <v>94</v>
      </c>
      <c r="AA37" t="n">
        <v>148</v>
      </c>
      <c r="AB37" t="n">
        <v>1</v>
      </c>
      <c r="AC37" t="n">
        <v>2</v>
      </c>
      <c r="AD37" t="n">
        <v>2</v>
      </c>
      <c r="AE37" t="n">
        <v>3</v>
      </c>
      <c r="AF37" t="n">
        <v>1</v>
      </c>
      <c r="AG37" t="n">
        <v>1</v>
      </c>
      <c r="AH37" t="n">
        <v>0</v>
      </c>
      <c r="AI37" t="n">
        <v>0</v>
      </c>
      <c r="AJ37" t="n">
        <v>2</v>
      </c>
      <c r="AK37" t="n">
        <v>2</v>
      </c>
      <c r="AL37" t="n">
        <v>0</v>
      </c>
      <c r="AM37" t="n">
        <v>1</v>
      </c>
      <c r="AN37" t="n">
        <v>0</v>
      </c>
      <c r="AO37" t="n">
        <v>0</v>
      </c>
      <c r="AP37" t="inlineStr">
        <is>
          <t>No</t>
        </is>
      </c>
      <c r="AQ37" t="inlineStr">
        <is>
          <t>No</t>
        </is>
      </c>
      <c r="AS37">
        <f>HYPERLINK("https://creighton-primo.hosted.exlibrisgroup.com/primo-explore/search?tab=default_tab&amp;search_scope=EVERYTHING&amp;vid=01CRU&amp;lang=en_US&amp;offset=0&amp;query=any,contains,991002678269702656","Catalog Record")</f>
        <v/>
      </c>
      <c r="AT37">
        <f>HYPERLINK("http://www.worldcat.org/oclc/397619","WorldCat Record")</f>
        <v/>
      </c>
      <c r="AU37" t="inlineStr">
        <is>
          <t>1544689:eng</t>
        </is>
      </c>
      <c r="AV37" t="inlineStr">
        <is>
          <t>397619</t>
        </is>
      </c>
      <c r="AW37" t="inlineStr">
        <is>
          <t>991002678269702656</t>
        </is>
      </c>
      <c r="AX37" t="inlineStr">
        <is>
          <t>991002678269702656</t>
        </is>
      </c>
      <c r="AY37" t="inlineStr">
        <is>
          <t>2261655220002656</t>
        </is>
      </c>
      <c r="AZ37" t="inlineStr">
        <is>
          <t>BOOK</t>
        </is>
      </c>
      <c r="BC37" t="inlineStr">
        <is>
          <t>32285002460789</t>
        </is>
      </c>
      <c r="BD37" t="inlineStr">
        <is>
          <t>893716769</t>
        </is>
      </c>
    </row>
    <row r="38">
      <c r="A38" t="inlineStr">
        <is>
          <t>No</t>
        </is>
      </c>
      <c r="B38" t="inlineStr">
        <is>
          <t>DS102.95 .C85 2002</t>
        </is>
      </c>
      <c r="C38" t="inlineStr">
        <is>
          <t>0                      DS 0102950C  85          2002</t>
        </is>
      </c>
      <c r="D38" t="inlineStr">
        <is>
          <t>Cultures of the Jews : a new history / edited with an introduction by David Biale.</t>
        </is>
      </c>
      <c r="F38" t="inlineStr">
        <is>
          <t>No</t>
        </is>
      </c>
      <c r="G38" t="inlineStr">
        <is>
          <t>1</t>
        </is>
      </c>
      <c r="H38" t="inlineStr">
        <is>
          <t>No</t>
        </is>
      </c>
      <c r="I38" t="inlineStr">
        <is>
          <t>No</t>
        </is>
      </c>
      <c r="J38" t="inlineStr">
        <is>
          <t>0</t>
        </is>
      </c>
      <c r="L38" t="inlineStr">
        <is>
          <t>New York : Schocken Books, 2002</t>
        </is>
      </c>
      <c r="M38" t="inlineStr">
        <is>
          <t>2002</t>
        </is>
      </c>
      <c r="N38" t="inlineStr">
        <is>
          <t>1st ed.</t>
        </is>
      </c>
      <c r="O38" t="inlineStr">
        <is>
          <t>eng</t>
        </is>
      </c>
      <c r="P38" t="inlineStr">
        <is>
          <t>nyu</t>
        </is>
      </c>
      <c r="R38" t="inlineStr">
        <is>
          <t xml:space="preserve">DS </t>
        </is>
      </c>
      <c r="S38" t="n">
        <v>4</v>
      </c>
      <c r="T38" t="n">
        <v>4</v>
      </c>
      <c r="U38" t="inlineStr">
        <is>
          <t>2009-10-27</t>
        </is>
      </c>
      <c r="V38" t="inlineStr">
        <is>
          <t>2009-10-27</t>
        </is>
      </c>
      <c r="W38" t="inlineStr">
        <is>
          <t>2002-11-04</t>
        </is>
      </c>
      <c r="X38" t="inlineStr">
        <is>
          <t>2002-11-04</t>
        </is>
      </c>
      <c r="Y38" t="n">
        <v>960</v>
      </c>
      <c r="Z38" t="n">
        <v>860</v>
      </c>
      <c r="AA38" t="n">
        <v>937</v>
      </c>
      <c r="AB38" t="n">
        <v>5</v>
      </c>
      <c r="AC38" t="n">
        <v>6</v>
      </c>
      <c r="AD38" t="n">
        <v>33</v>
      </c>
      <c r="AE38" t="n">
        <v>36</v>
      </c>
      <c r="AF38" t="n">
        <v>16</v>
      </c>
      <c r="AG38" t="n">
        <v>18</v>
      </c>
      <c r="AH38" t="n">
        <v>10</v>
      </c>
      <c r="AI38" t="n">
        <v>10</v>
      </c>
      <c r="AJ38" t="n">
        <v>11</v>
      </c>
      <c r="AK38" t="n">
        <v>13</v>
      </c>
      <c r="AL38" t="n">
        <v>4</v>
      </c>
      <c r="AM38" t="n">
        <v>5</v>
      </c>
      <c r="AN38" t="n">
        <v>0</v>
      </c>
      <c r="AO38" t="n">
        <v>0</v>
      </c>
      <c r="AP38" t="inlineStr">
        <is>
          <t>No</t>
        </is>
      </c>
      <c r="AQ38" t="inlineStr">
        <is>
          <t>No</t>
        </is>
      </c>
      <c r="AS38">
        <f>HYPERLINK("https://creighton-primo.hosted.exlibrisgroup.com/primo-explore/search?tab=default_tab&amp;search_scope=EVERYTHING&amp;vid=01CRU&amp;lang=en_US&amp;offset=0&amp;query=any,contains,991003922109702656","Catalog Record")</f>
        <v/>
      </c>
      <c r="AT38">
        <f>HYPERLINK("http://www.worldcat.org/oclc/49226067","WorldCat Record")</f>
        <v/>
      </c>
      <c r="AU38" t="inlineStr">
        <is>
          <t>793896940:eng</t>
        </is>
      </c>
      <c r="AV38" t="inlineStr">
        <is>
          <t>49226067</t>
        </is>
      </c>
      <c r="AW38" t="inlineStr">
        <is>
          <t>991003922109702656</t>
        </is>
      </c>
      <c r="AX38" t="inlineStr">
        <is>
          <t>991003922109702656</t>
        </is>
      </c>
      <c r="AY38" t="inlineStr">
        <is>
          <t>2262540360002656</t>
        </is>
      </c>
      <c r="AZ38" t="inlineStr">
        <is>
          <t>BOOK</t>
        </is>
      </c>
      <c r="BB38" t="inlineStr">
        <is>
          <t>9780805241310</t>
        </is>
      </c>
      <c r="BC38" t="inlineStr">
        <is>
          <t>32285004659610</t>
        </is>
      </c>
      <c r="BD38" t="inlineStr">
        <is>
          <t>893888106</t>
        </is>
      </c>
    </row>
    <row r="39">
      <c r="A39" t="inlineStr">
        <is>
          <t>No</t>
        </is>
      </c>
      <c r="B39" t="inlineStr">
        <is>
          <t>DS102.95 .W65 1987</t>
        </is>
      </c>
      <c r="C39" t="inlineStr">
        <is>
          <t>0                      DS 0102950W  65          1987</t>
        </is>
      </c>
      <c r="D39" t="inlineStr">
        <is>
          <t>Israel : polity, society, economy, 1882-1986 : an introductory handbook / Michael Wolffsohn ; translated by Douglas Bokovoy.</t>
        </is>
      </c>
      <c r="F39" t="inlineStr">
        <is>
          <t>No</t>
        </is>
      </c>
      <c r="G39" t="inlineStr">
        <is>
          <t>1</t>
        </is>
      </c>
      <c r="H39" t="inlineStr">
        <is>
          <t>No</t>
        </is>
      </c>
      <c r="I39" t="inlineStr">
        <is>
          <t>No</t>
        </is>
      </c>
      <c r="J39" t="inlineStr">
        <is>
          <t>0</t>
        </is>
      </c>
      <c r="K39" t="inlineStr">
        <is>
          <t>Wolffsohn, Michael.</t>
        </is>
      </c>
      <c r="L39" t="inlineStr">
        <is>
          <t>Atlantic Highlands, NJ : Humanities Press International, 1987.</t>
        </is>
      </c>
      <c r="M39" t="inlineStr">
        <is>
          <t>1987</t>
        </is>
      </c>
      <c r="O39" t="inlineStr">
        <is>
          <t>eng</t>
        </is>
      </c>
      <c r="P39" t="inlineStr">
        <is>
          <t>nju</t>
        </is>
      </c>
      <c r="R39" t="inlineStr">
        <is>
          <t xml:space="preserve">DS </t>
        </is>
      </c>
      <c r="S39" t="n">
        <v>2</v>
      </c>
      <c r="T39" t="n">
        <v>2</v>
      </c>
      <c r="U39" t="inlineStr">
        <is>
          <t>1995-04-10</t>
        </is>
      </c>
      <c r="V39" t="inlineStr">
        <is>
          <t>1995-04-10</t>
        </is>
      </c>
      <c r="W39" t="inlineStr">
        <is>
          <t>1990-09-28</t>
        </is>
      </c>
      <c r="X39" t="inlineStr">
        <is>
          <t>1990-09-28</t>
        </is>
      </c>
      <c r="Y39" t="n">
        <v>286</v>
      </c>
      <c r="Z39" t="n">
        <v>237</v>
      </c>
      <c r="AA39" t="n">
        <v>239</v>
      </c>
      <c r="AB39" t="n">
        <v>2</v>
      </c>
      <c r="AC39" t="n">
        <v>2</v>
      </c>
      <c r="AD39" t="n">
        <v>11</v>
      </c>
      <c r="AE39" t="n">
        <v>11</v>
      </c>
      <c r="AF39" t="n">
        <v>4</v>
      </c>
      <c r="AG39" t="n">
        <v>4</v>
      </c>
      <c r="AH39" t="n">
        <v>6</v>
      </c>
      <c r="AI39" t="n">
        <v>6</v>
      </c>
      <c r="AJ39" t="n">
        <v>5</v>
      </c>
      <c r="AK39" t="n">
        <v>5</v>
      </c>
      <c r="AL39" t="n">
        <v>1</v>
      </c>
      <c r="AM39" t="n">
        <v>1</v>
      </c>
      <c r="AN39" t="n">
        <v>0</v>
      </c>
      <c r="AO39" t="n">
        <v>0</v>
      </c>
      <c r="AP39" t="inlineStr">
        <is>
          <t>No</t>
        </is>
      </c>
      <c r="AQ39" t="inlineStr">
        <is>
          <t>Yes</t>
        </is>
      </c>
      <c r="AR39">
        <f>HYPERLINK("http://catalog.hathitrust.org/Record/000869095","HathiTrust Record")</f>
        <v/>
      </c>
      <c r="AS39">
        <f>HYPERLINK("https://creighton-primo.hosted.exlibrisgroup.com/primo-explore/search?tab=default_tab&amp;search_scope=EVERYTHING&amp;vid=01CRU&amp;lang=en_US&amp;offset=0&amp;query=any,contains,991001026249702656","Catalog Record")</f>
        <v/>
      </c>
      <c r="AT39">
        <f>HYPERLINK("http://www.worldcat.org/oclc/15485690","WorldCat Record")</f>
        <v/>
      </c>
      <c r="AU39" t="inlineStr">
        <is>
          <t>5481505:eng</t>
        </is>
      </c>
      <c r="AV39" t="inlineStr">
        <is>
          <t>15485690</t>
        </is>
      </c>
      <c r="AW39" t="inlineStr">
        <is>
          <t>991001026249702656</t>
        </is>
      </c>
      <c r="AX39" t="inlineStr">
        <is>
          <t>991001026249702656</t>
        </is>
      </c>
      <c r="AY39" t="inlineStr">
        <is>
          <t>2272187520002656</t>
        </is>
      </c>
      <c r="AZ39" t="inlineStr">
        <is>
          <t>BOOK</t>
        </is>
      </c>
      <c r="BB39" t="inlineStr">
        <is>
          <t>9780391035713</t>
        </is>
      </c>
      <c r="BC39" t="inlineStr">
        <is>
          <t>32285000292556</t>
        </is>
      </c>
      <c r="BD39" t="inlineStr">
        <is>
          <t>893791097</t>
        </is>
      </c>
    </row>
    <row r="40">
      <c r="A40" t="inlineStr">
        <is>
          <t>No</t>
        </is>
      </c>
      <c r="B40" t="inlineStr">
        <is>
          <t>DS103 .H57 1976</t>
        </is>
      </c>
      <c r="C40" t="inlineStr">
        <is>
          <t>0                      DS 0103000H  57          1976</t>
        </is>
      </c>
      <c r="D40" t="inlineStr">
        <is>
          <t>Guide to the Holy Land / Eugene Hoade.</t>
        </is>
      </c>
      <c r="F40" t="inlineStr">
        <is>
          <t>No</t>
        </is>
      </c>
      <c r="G40" t="inlineStr">
        <is>
          <t>1</t>
        </is>
      </c>
      <c r="H40" t="inlineStr">
        <is>
          <t>No</t>
        </is>
      </c>
      <c r="I40" t="inlineStr">
        <is>
          <t>No</t>
        </is>
      </c>
      <c r="J40" t="inlineStr">
        <is>
          <t>0</t>
        </is>
      </c>
      <c r="K40" t="inlineStr">
        <is>
          <t>Hoade, Eugene.</t>
        </is>
      </c>
      <c r="L40" t="inlineStr">
        <is>
          <t>Jerusalem : Franciscan Printing Press, [1976].</t>
        </is>
      </c>
      <c r="M40" t="inlineStr">
        <is>
          <t>1976</t>
        </is>
      </c>
      <c r="N40" t="inlineStr">
        <is>
          <t>8th ed.</t>
        </is>
      </c>
      <c r="O40" t="inlineStr">
        <is>
          <t>eng</t>
        </is>
      </c>
      <c r="P40" t="inlineStr">
        <is>
          <t xml:space="preserve">is </t>
        </is>
      </c>
      <c r="R40" t="inlineStr">
        <is>
          <t xml:space="preserve">DS </t>
        </is>
      </c>
      <c r="S40" t="n">
        <v>1</v>
      </c>
      <c r="T40" t="n">
        <v>1</v>
      </c>
      <c r="U40" t="inlineStr">
        <is>
          <t>1993-03-02</t>
        </is>
      </c>
      <c r="V40" t="inlineStr">
        <is>
          <t>1993-03-02</t>
        </is>
      </c>
      <c r="W40" t="inlineStr">
        <is>
          <t>1990-09-28</t>
        </is>
      </c>
      <c r="X40" t="inlineStr">
        <is>
          <t>1990-09-28</t>
        </is>
      </c>
      <c r="Y40" t="n">
        <v>19</v>
      </c>
      <c r="Z40" t="n">
        <v>15</v>
      </c>
      <c r="AA40" t="n">
        <v>192</v>
      </c>
      <c r="AB40" t="n">
        <v>1</v>
      </c>
      <c r="AC40" t="n">
        <v>2</v>
      </c>
      <c r="AD40" t="n">
        <v>0</v>
      </c>
      <c r="AE40" t="n">
        <v>13</v>
      </c>
      <c r="AF40" t="n">
        <v>0</v>
      </c>
      <c r="AG40" t="n">
        <v>4</v>
      </c>
      <c r="AH40" t="n">
        <v>0</v>
      </c>
      <c r="AI40" t="n">
        <v>5</v>
      </c>
      <c r="AJ40" t="n">
        <v>0</v>
      </c>
      <c r="AK40" t="n">
        <v>8</v>
      </c>
      <c r="AL40" t="n">
        <v>0</v>
      </c>
      <c r="AM40" t="n">
        <v>0</v>
      </c>
      <c r="AN40" t="n">
        <v>0</v>
      </c>
      <c r="AO40" t="n">
        <v>0</v>
      </c>
      <c r="AP40" t="inlineStr">
        <is>
          <t>No</t>
        </is>
      </c>
      <c r="AQ40" t="inlineStr">
        <is>
          <t>No</t>
        </is>
      </c>
      <c r="AS40">
        <f>HYPERLINK("https://creighton-primo.hosted.exlibrisgroup.com/primo-explore/search?tab=default_tab&amp;search_scope=EVERYTHING&amp;vid=01CRU&amp;lang=en_US&amp;offset=0&amp;query=any,contains,991004432929702656","Catalog Record")</f>
        <v/>
      </c>
      <c r="AT40">
        <f>HYPERLINK("http://www.worldcat.org/oclc/3432577","WorldCat Record")</f>
        <v/>
      </c>
      <c r="AU40" t="inlineStr">
        <is>
          <t>1769126:eng</t>
        </is>
      </c>
      <c r="AV40" t="inlineStr">
        <is>
          <t>3432577</t>
        </is>
      </c>
      <c r="AW40" t="inlineStr">
        <is>
          <t>991004432929702656</t>
        </is>
      </c>
      <c r="AX40" t="inlineStr">
        <is>
          <t>991004432929702656</t>
        </is>
      </c>
      <c r="AY40" t="inlineStr">
        <is>
          <t>2265367950002656</t>
        </is>
      </c>
      <c r="AZ40" t="inlineStr">
        <is>
          <t>BOOK</t>
        </is>
      </c>
      <c r="BC40" t="inlineStr">
        <is>
          <t>32285000292564</t>
        </is>
      </c>
      <c r="BD40" t="inlineStr">
        <is>
          <t>893247578</t>
        </is>
      </c>
    </row>
    <row r="41">
      <c r="A41" t="inlineStr">
        <is>
          <t>No</t>
        </is>
      </c>
      <c r="B41" t="inlineStr">
        <is>
          <t>DS103 .H63 1999</t>
        </is>
      </c>
      <c r="C41" t="inlineStr">
        <is>
          <t>0                      DS 0103000H  63          1999</t>
        </is>
      </c>
      <c r="D41" t="inlineStr">
        <is>
          <t>A guide to the lands of the Bible / Leslie J. Hoppe.</t>
        </is>
      </c>
      <c r="F41" t="inlineStr">
        <is>
          <t>No</t>
        </is>
      </c>
      <c r="G41" t="inlineStr">
        <is>
          <t>1</t>
        </is>
      </c>
      <c r="H41" t="inlineStr">
        <is>
          <t>No</t>
        </is>
      </c>
      <c r="I41" t="inlineStr">
        <is>
          <t>No</t>
        </is>
      </c>
      <c r="J41" t="inlineStr">
        <is>
          <t>0</t>
        </is>
      </c>
      <c r="K41" t="inlineStr">
        <is>
          <t>Hoppe, Leslie J.</t>
        </is>
      </c>
      <c r="L41" t="inlineStr">
        <is>
          <t>Collegeville, Minn. : Liturgical Press, c1999.</t>
        </is>
      </c>
      <c r="M41" t="inlineStr">
        <is>
          <t>1999</t>
        </is>
      </c>
      <c r="O41" t="inlineStr">
        <is>
          <t>eng</t>
        </is>
      </c>
      <c r="P41" t="inlineStr">
        <is>
          <t>mnu</t>
        </is>
      </c>
      <c r="R41" t="inlineStr">
        <is>
          <t xml:space="preserve">DS </t>
        </is>
      </c>
      <c r="S41" t="n">
        <v>6</v>
      </c>
      <c r="T41" t="n">
        <v>6</v>
      </c>
      <c r="U41" t="inlineStr">
        <is>
          <t>2005-09-26</t>
        </is>
      </c>
      <c r="V41" t="inlineStr">
        <is>
          <t>2005-09-26</t>
        </is>
      </c>
      <c r="W41" t="inlineStr">
        <is>
          <t>1999-10-07</t>
        </is>
      </c>
      <c r="X41" t="inlineStr">
        <is>
          <t>1999-10-07</t>
        </is>
      </c>
      <c r="Y41" t="n">
        <v>124</v>
      </c>
      <c r="Z41" t="n">
        <v>110</v>
      </c>
      <c r="AA41" t="n">
        <v>110</v>
      </c>
      <c r="AB41" t="n">
        <v>2</v>
      </c>
      <c r="AC41" t="n">
        <v>2</v>
      </c>
      <c r="AD41" t="n">
        <v>10</v>
      </c>
      <c r="AE41" t="n">
        <v>10</v>
      </c>
      <c r="AF41" t="n">
        <v>3</v>
      </c>
      <c r="AG41" t="n">
        <v>3</v>
      </c>
      <c r="AH41" t="n">
        <v>2</v>
      </c>
      <c r="AI41" t="n">
        <v>2</v>
      </c>
      <c r="AJ41" t="n">
        <v>6</v>
      </c>
      <c r="AK41" t="n">
        <v>6</v>
      </c>
      <c r="AL41" t="n">
        <v>0</v>
      </c>
      <c r="AM41" t="n">
        <v>0</v>
      </c>
      <c r="AN41" t="n">
        <v>0</v>
      </c>
      <c r="AO41" t="n">
        <v>0</v>
      </c>
      <c r="AP41" t="inlineStr">
        <is>
          <t>No</t>
        </is>
      </c>
      <c r="AQ41" t="inlineStr">
        <is>
          <t>No</t>
        </is>
      </c>
      <c r="AS41">
        <f>HYPERLINK("https://creighton-primo.hosted.exlibrisgroup.com/primo-explore/search?tab=default_tab&amp;search_scope=EVERYTHING&amp;vid=01CRU&amp;lang=en_US&amp;offset=0&amp;query=any,contains,991002963749702656","Catalog Record")</f>
        <v/>
      </c>
      <c r="AT41">
        <f>HYPERLINK("http://www.worldcat.org/oclc/39655275","WorldCat Record")</f>
        <v/>
      </c>
      <c r="AU41" t="inlineStr">
        <is>
          <t>41501348:eng</t>
        </is>
      </c>
      <c r="AV41" t="inlineStr">
        <is>
          <t>39655275</t>
        </is>
      </c>
      <c r="AW41" t="inlineStr">
        <is>
          <t>991002963749702656</t>
        </is>
      </c>
      <c r="AX41" t="inlineStr">
        <is>
          <t>991002963749702656</t>
        </is>
      </c>
      <c r="AY41" t="inlineStr">
        <is>
          <t>2265377880002656</t>
        </is>
      </c>
      <c r="AZ41" t="inlineStr">
        <is>
          <t>BOOK</t>
        </is>
      </c>
      <c r="BB41" t="inlineStr">
        <is>
          <t>9780814658864</t>
        </is>
      </c>
      <c r="BC41" t="inlineStr">
        <is>
          <t>32285003593976</t>
        </is>
      </c>
      <c r="BD41" t="inlineStr">
        <is>
          <t>893616825</t>
        </is>
      </c>
    </row>
    <row r="42">
      <c r="A42" t="inlineStr">
        <is>
          <t>No</t>
        </is>
      </c>
      <c r="B42" t="inlineStr">
        <is>
          <t>DS103 .K47 1985</t>
        </is>
      </c>
      <c r="C42" t="inlineStr">
        <is>
          <t>0                      DS 0103000K  47          1985</t>
        </is>
      </c>
      <c r="D42" t="inlineStr">
        <is>
          <t>Treasures of the Holy Land : a visit to the places of Christian origins / Veselin and Lydia W. Kesich ; illustrations by June Magaziner.</t>
        </is>
      </c>
      <c r="F42" t="inlineStr">
        <is>
          <t>No</t>
        </is>
      </c>
      <c r="G42" t="inlineStr">
        <is>
          <t>1</t>
        </is>
      </c>
      <c r="H42" t="inlineStr">
        <is>
          <t>No</t>
        </is>
      </c>
      <c r="I42" t="inlineStr">
        <is>
          <t>No</t>
        </is>
      </c>
      <c r="J42" t="inlineStr">
        <is>
          <t>0</t>
        </is>
      </c>
      <c r="K42" t="inlineStr">
        <is>
          <t>Kesich, Veselin, 1921-2012.</t>
        </is>
      </c>
      <c r="L42" t="inlineStr">
        <is>
          <t>New York : St. Vladimir's Seminary Press, 1985.</t>
        </is>
      </c>
      <c r="M42" t="inlineStr">
        <is>
          <t>1985</t>
        </is>
      </c>
      <c r="O42" t="inlineStr">
        <is>
          <t>eng</t>
        </is>
      </c>
      <c r="P42" t="inlineStr">
        <is>
          <t>nyu</t>
        </is>
      </c>
      <c r="R42" t="inlineStr">
        <is>
          <t xml:space="preserve">DS </t>
        </is>
      </c>
      <c r="S42" t="n">
        <v>4</v>
      </c>
      <c r="T42" t="n">
        <v>4</v>
      </c>
      <c r="U42" t="inlineStr">
        <is>
          <t>2000-04-29</t>
        </is>
      </c>
      <c r="V42" t="inlineStr">
        <is>
          <t>2000-04-29</t>
        </is>
      </c>
      <c r="W42" t="inlineStr">
        <is>
          <t>1990-09-28</t>
        </is>
      </c>
      <c r="X42" t="inlineStr">
        <is>
          <t>1990-09-28</t>
        </is>
      </c>
      <c r="Y42" t="n">
        <v>109</v>
      </c>
      <c r="Z42" t="n">
        <v>92</v>
      </c>
      <c r="AA42" t="n">
        <v>93</v>
      </c>
      <c r="AB42" t="n">
        <v>1</v>
      </c>
      <c r="AC42" t="n">
        <v>1</v>
      </c>
      <c r="AD42" t="n">
        <v>7</v>
      </c>
      <c r="AE42" t="n">
        <v>7</v>
      </c>
      <c r="AF42" t="n">
        <v>3</v>
      </c>
      <c r="AG42" t="n">
        <v>3</v>
      </c>
      <c r="AH42" t="n">
        <v>2</v>
      </c>
      <c r="AI42" t="n">
        <v>2</v>
      </c>
      <c r="AJ42" t="n">
        <v>3</v>
      </c>
      <c r="AK42" t="n">
        <v>3</v>
      </c>
      <c r="AL42" t="n">
        <v>0</v>
      </c>
      <c r="AM42" t="n">
        <v>0</v>
      </c>
      <c r="AN42" t="n">
        <v>0</v>
      </c>
      <c r="AO42" t="n">
        <v>0</v>
      </c>
      <c r="AP42" t="inlineStr">
        <is>
          <t>No</t>
        </is>
      </c>
      <c r="AQ42" t="inlineStr">
        <is>
          <t>Yes</t>
        </is>
      </c>
      <c r="AR42">
        <f>HYPERLINK("http://catalog.hathitrust.org/Record/000822591","HathiTrust Record")</f>
        <v/>
      </c>
      <c r="AS42">
        <f>HYPERLINK("https://creighton-primo.hosted.exlibrisgroup.com/primo-explore/search?tab=default_tab&amp;search_scope=EVERYTHING&amp;vid=01CRU&amp;lang=en_US&amp;offset=0&amp;query=any,contains,991000683669702656","Catalog Record")</f>
        <v/>
      </c>
      <c r="AT42">
        <f>HYPERLINK("http://www.worldcat.org/oclc/12419368","WorldCat Record")</f>
        <v/>
      </c>
      <c r="AU42" t="inlineStr">
        <is>
          <t>143958847:eng</t>
        </is>
      </c>
      <c r="AV42" t="inlineStr">
        <is>
          <t>12419368</t>
        </is>
      </c>
      <c r="AW42" t="inlineStr">
        <is>
          <t>991000683669702656</t>
        </is>
      </c>
      <c r="AX42" t="inlineStr">
        <is>
          <t>991000683669702656</t>
        </is>
      </c>
      <c r="AY42" t="inlineStr">
        <is>
          <t>2262105180002656</t>
        </is>
      </c>
      <c r="AZ42" t="inlineStr">
        <is>
          <t>BOOK</t>
        </is>
      </c>
      <c r="BB42" t="inlineStr">
        <is>
          <t>9780881410457</t>
        </is>
      </c>
      <c r="BC42" t="inlineStr">
        <is>
          <t>32285000292572</t>
        </is>
      </c>
      <c r="BD42" t="inlineStr">
        <is>
          <t>893425940</t>
        </is>
      </c>
    </row>
    <row r="43">
      <c r="A43" t="inlineStr">
        <is>
          <t>No</t>
        </is>
      </c>
      <c r="B43" t="inlineStr">
        <is>
          <t>DS103 .K53 1987</t>
        </is>
      </c>
      <c r="C43" t="inlineStr">
        <is>
          <t>0                      DS 0103000K  53          1987</t>
        </is>
      </c>
      <c r="D43" t="inlineStr">
        <is>
          <t>A New Testament guide to the Holy Land / John J. Kilgallen.</t>
        </is>
      </c>
      <c r="F43" t="inlineStr">
        <is>
          <t>No</t>
        </is>
      </c>
      <c r="G43" t="inlineStr">
        <is>
          <t>1</t>
        </is>
      </c>
      <c r="H43" t="inlineStr">
        <is>
          <t>No</t>
        </is>
      </c>
      <c r="I43" t="inlineStr">
        <is>
          <t>Yes</t>
        </is>
      </c>
      <c r="J43" t="inlineStr">
        <is>
          <t>0</t>
        </is>
      </c>
      <c r="K43" t="inlineStr">
        <is>
          <t>Kilgallen, John J.</t>
        </is>
      </c>
      <c r="L43" t="inlineStr">
        <is>
          <t>Chicago, Ill. : Loyola University Press, c1987.</t>
        </is>
      </c>
      <c r="M43" t="inlineStr">
        <is>
          <t>1987</t>
        </is>
      </c>
      <c r="O43" t="inlineStr">
        <is>
          <t>eng</t>
        </is>
      </c>
      <c r="P43" t="inlineStr">
        <is>
          <t>ilu</t>
        </is>
      </c>
      <c r="R43" t="inlineStr">
        <is>
          <t xml:space="preserve">DS </t>
        </is>
      </c>
      <c r="S43" t="n">
        <v>5</v>
      </c>
      <c r="T43" t="n">
        <v>5</v>
      </c>
      <c r="U43" t="inlineStr">
        <is>
          <t>2004-08-31</t>
        </is>
      </c>
      <c r="V43" t="inlineStr">
        <is>
          <t>2004-08-31</t>
        </is>
      </c>
      <c r="W43" t="inlineStr">
        <is>
          <t>1990-09-28</t>
        </is>
      </c>
      <c r="X43" t="inlineStr">
        <is>
          <t>1990-09-28</t>
        </is>
      </c>
      <c r="Y43" t="n">
        <v>342</v>
      </c>
      <c r="Z43" t="n">
        <v>320</v>
      </c>
      <c r="AA43" t="n">
        <v>451</v>
      </c>
      <c r="AB43" t="n">
        <v>4</v>
      </c>
      <c r="AC43" t="n">
        <v>4</v>
      </c>
      <c r="AD43" t="n">
        <v>16</v>
      </c>
      <c r="AE43" t="n">
        <v>23</v>
      </c>
      <c r="AF43" t="n">
        <v>4</v>
      </c>
      <c r="AG43" t="n">
        <v>8</v>
      </c>
      <c r="AH43" t="n">
        <v>3</v>
      </c>
      <c r="AI43" t="n">
        <v>4</v>
      </c>
      <c r="AJ43" t="n">
        <v>13</v>
      </c>
      <c r="AK43" t="n">
        <v>17</v>
      </c>
      <c r="AL43" t="n">
        <v>1</v>
      </c>
      <c r="AM43" t="n">
        <v>1</v>
      </c>
      <c r="AN43" t="n">
        <v>0</v>
      </c>
      <c r="AO43" t="n">
        <v>0</v>
      </c>
      <c r="AP43" t="inlineStr">
        <is>
          <t>No</t>
        </is>
      </c>
      <c r="AQ43" t="inlineStr">
        <is>
          <t>Yes</t>
        </is>
      </c>
      <c r="AR43">
        <f>HYPERLINK("http://catalog.hathitrust.org/Record/000840048","HathiTrust Record")</f>
        <v/>
      </c>
      <c r="AS43">
        <f>HYPERLINK("https://creighton-primo.hosted.exlibrisgroup.com/primo-explore/search?tab=default_tab&amp;search_scope=EVERYTHING&amp;vid=01CRU&amp;lang=en_US&amp;offset=0&amp;query=any,contains,991001031819702656","Catalog Record")</f>
        <v/>
      </c>
      <c r="AT43">
        <f>HYPERLINK("http://www.worldcat.org/oclc/15519303","WorldCat Record")</f>
        <v/>
      </c>
      <c r="AU43" t="inlineStr">
        <is>
          <t>629990:eng</t>
        </is>
      </c>
      <c r="AV43" t="inlineStr">
        <is>
          <t>15519303</t>
        </is>
      </c>
      <c r="AW43" t="inlineStr">
        <is>
          <t>991001031819702656</t>
        </is>
      </c>
      <c r="AX43" t="inlineStr">
        <is>
          <t>991001031819702656</t>
        </is>
      </c>
      <c r="AY43" t="inlineStr">
        <is>
          <t>2265171460002656</t>
        </is>
      </c>
      <c r="AZ43" t="inlineStr">
        <is>
          <t>BOOK</t>
        </is>
      </c>
      <c r="BB43" t="inlineStr">
        <is>
          <t>9780829405439</t>
        </is>
      </c>
      <c r="BC43" t="inlineStr">
        <is>
          <t>32285000292580</t>
        </is>
      </c>
      <c r="BD43" t="inlineStr">
        <is>
          <t>893426264</t>
        </is>
      </c>
    </row>
    <row r="44">
      <c r="A44" t="inlineStr">
        <is>
          <t>No</t>
        </is>
      </c>
      <c r="B44" t="inlineStr">
        <is>
          <t>DS103 .K53 1998</t>
        </is>
      </c>
      <c r="C44" t="inlineStr">
        <is>
          <t>0                      DS 0103000K  53          1998</t>
        </is>
      </c>
      <c r="D44" t="inlineStr">
        <is>
          <t>A New Testament guide to the Holy Land / John J. Kilgallen.</t>
        </is>
      </c>
      <c r="F44" t="inlineStr">
        <is>
          <t>No</t>
        </is>
      </c>
      <c r="G44" t="inlineStr">
        <is>
          <t>1</t>
        </is>
      </c>
      <c r="H44" t="inlineStr">
        <is>
          <t>No</t>
        </is>
      </c>
      <c r="I44" t="inlineStr">
        <is>
          <t>Yes</t>
        </is>
      </c>
      <c r="J44" t="inlineStr">
        <is>
          <t>0</t>
        </is>
      </c>
      <c r="K44" t="inlineStr">
        <is>
          <t>Kilgallen, John J.</t>
        </is>
      </c>
      <c r="L44" t="inlineStr">
        <is>
          <t>Chicago, Ill. : Jesuit Way, c1998.</t>
        </is>
      </c>
      <c r="M44" t="inlineStr">
        <is>
          <t>1998</t>
        </is>
      </c>
      <c r="N44" t="inlineStr">
        <is>
          <t>2nd ed.</t>
        </is>
      </c>
      <c r="O44" t="inlineStr">
        <is>
          <t>eng</t>
        </is>
      </c>
      <c r="P44" t="inlineStr">
        <is>
          <t>ilu</t>
        </is>
      </c>
      <c r="R44" t="inlineStr">
        <is>
          <t xml:space="preserve">DS </t>
        </is>
      </c>
      <c r="S44" t="n">
        <v>2</v>
      </c>
      <c r="T44" t="n">
        <v>2</v>
      </c>
      <c r="U44" t="inlineStr">
        <is>
          <t>2004-08-31</t>
        </is>
      </c>
      <c r="V44" t="inlineStr">
        <is>
          <t>2004-08-31</t>
        </is>
      </c>
      <c r="W44" t="inlineStr">
        <is>
          <t>2001-08-07</t>
        </is>
      </c>
      <c r="X44" t="inlineStr">
        <is>
          <t>2001-08-07</t>
        </is>
      </c>
      <c r="Y44" t="n">
        <v>197</v>
      </c>
      <c r="Z44" t="n">
        <v>179</v>
      </c>
      <c r="AA44" t="n">
        <v>451</v>
      </c>
      <c r="AB44" t="n">
        <v>1</v>
      </c>
      <c r="AC44" t="n">
        <v>4</v>
      </c>
      <c r="AD44" t="n">
        <v>12</v>
      </c>
      <c r="AE44" t="n">
        <v>23</v>
      </c>
      <c r="AF44" t="n">
        <v>5</v>
      </c>
      <c r="AG44" t="n">
        <v>8</v>
      </c>
      <c r="AH44" t="n">
        <v>2</v>
      </c>
      <c r="AI44" t="n">
        <v>4</v>
      </c>
      <c r="AJ44" t="n">
        <v>8</v>
      </c>
      <c r="AK44" t="n">
        <v>17</v>
      </c>
      <c r="AL44" t="n">
        <v>0</v>
      </c>
      <c r="AM44" t="n">
        <v>1</v>
      </c>
      <c r="AN44" t="n">
        <v>0</v>
      </c>
      <c r="AO44" t="n">
        <v>0</v>
      </c>
      <c r="AP44" t="inlineStr">
        <is>
          <t>No</t>
        </is>
      </c>
      <c r="AQ44" t="inlineStr">
        <is>
          <t>No</t>
        </is>
      </c>
      <c r="AS44">
        <f>HYPERLINK("https://creighton-primo.hosted.exlibrisgroup.com/primo-explore/search?tab=default_tab&amp;search_scope=EVERYTHING&amp;vid=01CRU&amp;lang=en_US&amp;offset=0&amp;query=any,contains,991003592579702656","Catalog Record")</f>
        <v/>
      </c>
      <c r="AT44">
        <f>HYPERLINK("http://www.worldcat.org/oclc/38130547","WorldCat Record")</f>
        <v/>
      </c>
      <c r="AU44" t="inlineStr">
        <is>
          <t>629990:eng</t>
        </is>
      </c>
      <c r="AV44" t="inlineStr">
        <is>
          <t>38130547</t>
        </is>
      </c>
      <c r="AW44" t="inlineStr">
        <is>
          <t>991003592579702656</t>
        </is>
      </c>
      <c r="AX44" t="inlineStr">
        <is>
          <t>991003592579702656</t>
        </is>
      </c>
      <c r="AY44" t="inlineStr">
        <is>
          <t>2262259870002656</t>
        </is>
      </c>
      <c r="AZ44" t="inlineStr">
        <is>
          <t>BOOK</t>
        </is>
      </c>
      <c r="BB44" t="inlineStr">
        <is>
          <t>9780829410419</t>
        </is>
      </c>
      <c r="BC44" t="inlineStr">
        <is>
          <t>32285004376041</t>
        </is>
      </c>
      <c r="BD44" t="inlineStr">
        <is>
          <t>893793777</t>
        </is>
      </c>
    </row>
    <row r="45">
      <c r="A45" t="inlineStr">
        <is>
          <t>No</t>
        </is>
      </c>
      <c r="B45" t="inlineStr">
        <is>
          <t>DS103 .M54 1982</t>
        </is>
      </c>
      <c r="C45" t="inlineStr">
        <is>
          <t>0                      DS 0103000M  54          1982</t>
        </is>
      </c>
      <c r="D45" t="inlineStr">
        <is>
          <t>Introducing the Holy Land : a guidebook for first-time visitors / by J. Maxwell Miller.</t>
        </is>
      </c>
      <c r="F45" t="inlineStr">
        <is>
          <t>No</t>
        </is>
      </c>
      <c r="G45" t="inlineStr">
        <is>
          <t>1</t>
        </is>
      </c>
      <c r="H45" t="inlineStr">
        <is>
          <t>No</t>
        </is>
      </c>
      <c r="I45" t="inlineStr">
        <is>
          <t>No</t>
        </is>
      </c>
      <c r="J45" t="inlineStr">
        <is>
          <t>0</t>
        </is>
      </c>
      <c r="K45" t="inlineStr">
        <is>
          <t>Miller, J. Maxwell (James Maxwell), 1937-</t>
        </is>
      </c>
      <c r="L45" t="inlineStr">
        <is>
          <t>Macon, Ga. : Mercer University Press, c1982.</t>
        </is>
      </c>
      <c r="M45" t="inlineStr">
        <is>
          <t>1982</t>
        </is>
      </c>
      <c r="O45" t="inlineStr">
        <is>
          <t>eng</t>
        </is>
      </c>
      <c r="P45" t="inlineStr">
        <is>
          <t>gau</t>
        </is>
      </c>
      <c r="R45" t="inlineStr">
        <is>
          <t xml:space="preserve">DS </t>
        </is>
      </c>
      <c r="S45" t="n">
        <v>8</v>
      </c>
      <c r="T45" t="n">
        <v>8</v>
      </c>
      <c r="U45" t="inlineStr">
        <is>
          <t>2000-04-29</t>
        </is>
      </c>
      <c r="V45" t="inlineStr">
        <is>
          <t>2000-04-29</t>
        </is>
      </c>
      <c r="W45" t="inlineStr">
        <is>
          <t>1993-03-31</t>
        </is>
      </c>
      <c r="X45" t="inlineStr">
        <is>
          <t>1993-03-31</t>
        </is>
      </c>
      <c r="Y45" t="n">
        <v>467</v>
      </c>
      <c r="Z45" t="n">
        <v>435</v>
      </c>
      <c r="AA45" t="n">
        <v>437</v>
      </c>
      <c r="AB45" t="n">
        <v>2</v>
      </c>
      <c r="AC45" t="n">
        <v>2</v>
      </c>
      <c r="AD45" t="n">
        <v>13</v>
      </c>
      <c r="AE45" t="n">
        <v>13</v>
      </c>
      <c r="AF45" t="n">
        <v>8</v>
      </c>
      <c r="AG45" t="n">
        <v>8</v>
      </c>
      <c r="AH45" t="n">
        <v>3</v>
      </c>
      <c r="AI45" t="n">
        <v>3</v>
      </c>
      <c r="AJ45" t="n">
        <v>6</v>
      </c>
      <c r="AK45" t="n">
        <v>6</v>
      </c>
      <c r="AL45" t="n">
        <v>1</v>
      </c>
      <c r="AM45" t="n">
        <v>1</v>
      </c>
      <c r="AN45" t="n">
        <v>0</v>
      </c>
      <c r="AO45" t="n">
        <v>0</v>
      </c>
      <c r="AP45" t="inlineStr">
        <is>
          <t>No</t>
        </is>
      </c>
      <c r="AQ45" t="inlineStr">
        <is>
          <t>Yes</t>
        </is>
      </c>
      <c r="AR45">
        <f>HYPERLINK("http://catalog.hathitrust.org/Record/000771239","HathiTrust Record")</f>
        <v/>
      </c>
      <c r="AS45">
        <f>HYPERLINK("https://creighton-primo.hosted.exlibrisgroup.com/primo-explore/search?tab=default_tab&amp;search_scope=EVERYTHING&amp;vid=01CRU&amp;lang=en_US&amp;offset=0&amp;query=any,contains,991000071979702656","Catalog Record")</f>
        <v/>
      </c>
      <c r="AT45">
        <f>HYPERLINK("http://www.worldcat.org/oclc/8785650","WorldCat Record")</f>
        <v/>
      </c>
      <c r="AU45" t="inlineStr">
        <is>
          <t>836627013:eng</t>
        </is>
      </c>
      <c r="AV45" t="inlineStr">
        <is>
          <t>8785650</t>
        </is>
      </c>
      <c r="AW45" t="inlineStr">
        <is>
          <t>991000071979702656</t>
        </is>
      </c>
      <c r="AX45" t="inlineStr">
        <is>
          <t>991000071979702656</t>
        </is>
      </c>
      <c r="AY45" t="inlineStr">
        <is>
          <t>2266925610002656</t>
        </is>
      </c>
      <c r="AZ45" t="inlineStr">
        <is>
          <t>BOOK</t>
        </is>
      </c>
      <c r="BB45" t="inlineStr">
        <is>
          <t>9780865540347</t>
        </is>
      </c>
      <c r="BC45" t="inlineStr">
        <is>
          <t>32285001499507</t>
        </is>
      </c>
      <c r="BD45" t="inlineStr">
        <is>
          <t>893708071</t>
        </is>
      </c>
    </row>
    <row r="46">
      <c r="A46" t="inlineStr">
        <is>
          <t>No</t>
        </is>
      </c>
      <c r="B46" t="inlineStr">
        <is>
          <t>DS103 .P451 1996</t>
        </is>
      </c>
      <c r="C46" t="inlineStr">
        <is>
          <t>0                      DS 0103000P  451         1996</t>
        </is>
      </c>
      <c r="D46" t="inlineStr">
        <is>
          <t>Pilgrims &amp; travelers to the Holy Land / Bryan F. Le Beau, Menachem Mor, editors.</t>
        </is>
      </c>
      <c r="F46" t="inlineStr">
        <is>
          <t>No</t>
        </is>
      </c>
      <c r="G46" t="inlineStr">
        <is>
          <t>1</t>
        </is>
      </c>
      <c r="H46" t="inlineStr">
        <is>
          <t>No</t>
        </is>
      </c>
      <c r="I46" t="inlineStr">
        <is>
          <t>No</t>
        </is>
      </c>
      <c r="J46" t="inlineStr">
        <is>
          <t>0</t>
        </is>
      </c>
      <c r="K46" t="inlineStr">
        <is>
          <t>Philip M. and Ethel Klutznick Chair in Jewish Civilization. Symposium (7th : 1994 : Creighton University)</t>
        </is>
      </c>
      <c r="L46" t="inlineStr">
        <is>
          <t>Omaha, Neb. : Creighton University Press, c1996.</t>
        </is>
      </c>
      <c r="M46" t="inlineStr">
        <is>
          <t>1996</t>
        </is>
      </c>
      <c r="O46" t="inlineStr">
        <is>
          <t>eng</t>
        </is>
      </c>
      <c r="P46" t="inlineStr">
        <is>
          <t>nbu</t>
        </is>
      </c>
      <c r="Q46" t="inlineStr">
        <is>
          <t>Studies in Jewish civilization ; 7</t>
        </is>
      </c>
      <c r="R46" t="inlineStr">
        <is>
          <t xml:space="preserve">DS </t>
        </is>
      </c>
      <c r="S46" t="n">
        <v>14</v>
      </c>
      <c r="T46" t="n">
        <v>14</v>
      </c>
      <c r="U46" t="inlineStr">
        <is>
          <t>2000-02-27</t>
        </is>
      </c>
      <c r="V46" t="inlineStr">
        <is>
          <t>2000-02-27</t>
        </is>
      </c>
      <c r="W46" t="inlineStr">
        <is>
          <t>1996-08-22</t>
        </is>
      </c>
      <c r="X46" t="inlineStr">
        <is>
          <t>1996-08-22</t>
        </is>
      </c>
      <c r="Y46" t="n">
        <v>166</v>
      </c>
      <c r="Z46" t="n">
        <v>139</v>
      </c>
      <c r="AA46" t="n">
        <v>605</v>
      </c>
      <c r="AB46" t="n">
        <v>1</v>
      </c>
      <c r="AC46" t="n">
        <v>4</v>
      </c>
      <c r="AD46" t="n">
        <v>10</v>
      </c>
      <c r="AE46" t="n">
        <v>19</v>
      </c>
      <c r="AF46" t="n">
        <v>4</v>
      </c>
      <c r="AG46" t="n">
        <v>9</v>
      </c>
      <c r="AH46" t="n">
        <v>2</v>
      </c>
      <c r="AI46" t="n">
        <v>3</v>
      </c>
      <c r="AJ46" t="n">
        <v>6</v>
      </c>
      <c r="AK46" t="n">
        <v>8</v>
      </c>
      <c r="AL46" t="n">
        <v>0</v>
      </c>
      <c r="AM46" t="n">
        <v>3</v>
      </c>
      <c r="AN46" t="n">
        <v>0</v>
      </c>
      <c r="AO46" t="n">
        <v>0</v>
      </c>
      <c r="AP46" t="inlineStr">
        <is>
          <t>No</t>
        </is>
      </c>
      <c r="AQ46" t="inlineStr">
        <is>
          <t>Yes</t>
        </is>
      </c>
      <c r="AR46">
        <f>HYPERLINK("http://catalog.hathitrust.org/Record/003057555","HathiTrust Record")</f>
        <v/>
      </c>
      <c r="AS46">
        <f>HYPERLINK("https://creighton-primo.hosted.exlibrisgroup.com/primo-explore/search?tab=default_tab&amp;search_scope=EVERYTHING&amp;vid=01CRU&amp;lang=en_US&amp;offset=0&amp;query=any,contains,991002643729702656","Catalog Record")</f>
        <v/>
      </c>
      <c r="AT46">
        <f>HYPERLINK("http://www.worldcat.org/oclc/34598647","WorldCat Record")</f>
        <v/>
      </c>
      <c r="AU46" t="inlineStr">
        <is>
          <t>1067876:eng</t>
        </is>
      </c>
      <c r="AV46" t="inlineStr">
        <is>
          <t>34598647</t>
        </is>
      </c>
      <c r="AW46" t="inlineStr">
        <is>
          <t>991002643729702656</t>
        </is>
      </c>
      <c r="AX46" t="inlineStr">
        <is>
          <t>991002643729702656</t>
        </is>
      </c>
      <c r="AY46" t="inlineStr">
        <is>
          <t>2268671240002656</t>
        </is>
      </c>
      <c r="AZ46" t="inlineStr">
        <is>
          <t>BOOK</t>
        </is>
      </c>
      <c r="BB46" t="inlineStr">
        <is>
          <t>9781881871156</t>
        </is>
      </c>
      <c r="BC46" t="inlineStr">
        <is>
          <t>32285002197803</t>
        </is>
      </c>
      <c r="BD46" t="inlineStr">
        <is>
          <t>893434108</t>
        </is>
      </c>
    </row>
    <row r="47">
      <c r="A47" t="inlineStr">
        <is>
          <t>No</t>
        </is>
      </c>
      <c r="B47" t="inlineStr">
        <is>
          <t>DS103.5 .A9 1976</t>
        </is>
      </c>
      <c r="C47" t="inlineStr">
        <is>
          <t>0                      DS 0103500A  9           1976</t>
        </is>
      </c>
      <c r="D47" t="inlineStr">
        <is>
          <t>Gazetteer of Roman Palestine / Michael Avi-Yonah.</t>
        </is>
      </c>
      <c r="E47" t="inlineStr">
        <is>
          <t>V.5</t>
        </is>
      </c>
      <c r="F47" t="inlineStr">
        <is>
          <t>No</t>
        </is>
      </c>
      <c r="G47" t="inlineStr">
        <is>
          <t>1</t>
        </is>
      </c>
      <c r="H47" t="inlineStr">
        <is>
          <t>No</t>
        </is>
      </c>
      <c r="I47" t="inlineStr">
        <is>
          <t>No</t>
        </is>
      </c>
      <c r="J47" t="inlineStr">
        <is>
          <t>0</t>
        </is>
      </c>
      <c r="K47" t="inlineStr">
        <is>
          <t>Avi-Yonah, Michael, 1904-1974.</t>
        </is>
      </c>
      <c r="L47" t="inlineStr">
        <is>
          <t>[Jerusalem] : Institute of Archaeology, Hebrew University of Jerusalem, 1976.</t>
        </is>
      </c>
      <c r="M47" t="inlineStr">
        <is>
          <t>1976</t>
        </is>
      </c>
      <c r="O47" t="inlineStr">
        <is>
          <t>eng</t>
        </is>
      </c>
      <c r="P47" t="inlineStr">
        <is>
          <t xml:space="preserve">is </t>
        </is>
      </c>
      <c r="Q47" t="inlineStr">
        <is>
          <t>Qedem ; 5</t>
        </is>
      </c>
      <c r="R47" t="inlineStr">
        <is>
          <t xml:space="preserve">DS </t>
        </is>
      </c>
      <c r="S47" t="n">
        <v>1</v>
      </c>
      <c r="T47" t="n">
        <v>1</v>
      </c>
      <c r="U47" t="inlineStr">
        <is>
          <t>1992-07-27</t>
        </is>
      </c>
      <c r="V47" t="inlineStr">
        <is>
          <t>1992-07-27</t>
        </is>
      </c>
      <c r="W47" t="inlineStr">
        <is>
          <t>1990-09-28</t>
        </is>
      </c>
      <c r="X47" t="inlineStr">
        <is>
          <t>1990-09-28</t>
        </is>
      </c>
      <c r="Y47" t="n">
        <v>250</v>
      </c>
      <c r="Z47" t="n">
        <v>183</v>
      </c>
      <c r="AA47" t="n">
        <v>186</v>
      </c>
      <c r="AB47" t="n">
        <v>1</v>
      </c>
      <c r="AC47" t="n">
        <v>1</v>
      </c>
      <c r="AD47" t="n">
        <v>4</v>
      </c>
      <c r="AE47" t="n">
        <v>4</v>
      </c>
      <c r="AF47" t="n">
        <v>3</v>
      </c>
      <c r="AG47" t="n">
        <v>3</v>
      </c>
      <c r="AH47" t="n">
        <v>0</v>
      </c>
      <c r="AI47" t="n">
        <v>0</v>
      </c>
      <c r="AJ47" t="n">
        <v>3</v>
      </c>
      <c r="AK47" t="n">
        <v>3</v>
      </c>
      <c r="AL47" t="n">
        <v>0</v>
      </c>
      <c r="AM47" t="n">
        <v>0</v>
      </c>
      <c r="AN47" t="n">
        <v>0</v>
      </c>
      <c r="AO47" t="n">
        <v>0</v>
      </c>
      <c r="AP47" t="inlineStr">
        <is>
          <t>No</t>
        </is>
      </c>
      <c r="AQ47" t="inlineStr">
        <is>
          <t>Yes</t>
        </is>
      </c>
      <c r="AR47">
        <f>HYPERLINK("http://catalog.hathitrust.org/Record/000176347","HathiTrust Record")</f>
        <v/>
      </c>
      <c r="AS47">
        <f>HYPERLINK("https://creighton-primo.hosted.exlibrisgroup.com/primo-explore/search?tab=default_tab&amp;search_scope=EVERYTHING&amp;vid=01CRU&amp;lang=en_US&amp;offset=0&amp;query=any,contains,991004561539702656","Catalog Record")</f>
        <v/>
      </c>
      <c r="AT47">
        <f>HYPERLINK("http://www.worldcat.org/oclc/4002993","WorldCat Record")</f>
        <v/>
      </c>
      <c r="AU47" t="inlineStr">
        <is>
          <t>13582483:eng</t>
        </is>
      </c>
      <c r="AV47" t="inlineStr">
        <is>
          <t>4002993</t>
        </is>
      </c>
      <c r="AW47" t="inlineStr">
        <is>
          <t>991004561539702656</t>
        </is>
      </c>
      <c r="AX47" t="inlineStr">
        <is>
          <t>991004561539702656</t>
        </is>
      </c>
      <c r="AY47" t="inlineStr">
        <is>
          <t>2268096320002656</t>
        </is>
      </c>
      <c r="AZ47" t="inlineStr">
        <is>
          <t>BOOK</t>
        </is>
      </c>
      <c r="BC47" t="inlineStr">
        <is>
          <t>32285000292598</t>
        </is>
      </c>
      <c r="BD47" t="inlineStr">
        <is>
          <t>893722497</t>
        </is>
      </c>
    </row>
    <row r="48">
      <c r="A48" t="inlineStr">
        <is>
          <t>No</t>
        </is>
      </c>
      <c r="B48" t="inlineStr">
        <is>
          <t>DS103.5 .T3 1994</t>
        </is>
      </c>
      <c r="C48" t="inlineStr">
        <is>
          <t>0                      DS 0103500T  3           1994</t>
        </is>
      </c>
      <c r="D48" t="inlineStr">
        <is>
          <t>Tabula Imperii Romani Iudaea-Palestina: Eretz Israel in the Hellenistic, Roman and Byzantine Periods ; maps and gazetteer / Yoram Tsafrir, Leah di Segni and Judith Green ; with contributions by Israel Roll and Tsvika Tsuk</t>
        </is>
      </c>
      <c r="F48" t="inlineStr">
        <is>
          <t>No</t>
        </is>
      </c>
      <c r="G48" t="inlineStr">
        <is>
          <t>1</t>
        </is>
      </c>
      <c r="H48" t="inlineStr">
        <is>
          <t>No</t>
        </is>
      </c>
      <c r="I48" t="inlineStr">
        <is>
          <t>No</t>
        </is>
      </c>
      <c r="J48" t="inlineStr">
        <is>
          <t>0</t>
        </is>
      </c>
      <c r="L48" t="inlineStr">
        <is>
          <t>Jerusalem: The Israel Academy of Sciences and Humanities, 1994</t>
        </is>
      </c>
      <c r="M48" t="inlineStr">
        <is>
          <t>1994</t>
        </is>
      </c>
      <c r="O48" t="inlineStr">
        <is>
          <t>eng</t>
        </is>
      </c>
      <c r="P48" t="inlineStr">
        <is>
          <t xml:space="preserve">is </t>
        </is>
      </c>
      <c r="Q48" t="inlineStr">
        <is>
          <t>Publications of the Israel Academy of Sciences and Humanities. Section of Humanities</t>
        </is>
      </c>
      <c r="R48" t="inlineStr">
        <is>
          <t xml:space="preserve">DS </t>
        </is>
      </c>
      <c r="S48" t="n">
        <v>3</v>
      </c>
      <c r="T48" t="n">
        <v>3</v>
      </c>
      <c r="U48" t="inlineStr">
        <is>
          <t>1996-02-08</t>
        </is>
      </c>
      <c r="V48" t="inlineStr">
        <is>
          <t>1996-02-08</t>
        </is>
      </c>
      <c r="W48" t="inlineStr">
        <is>
          <t>1996-01-24</t>
        </is>
      </c>
      <c r="X48" t="inlineStr">
        <is>
          <t>1996-01-24</t>
        </is>
      </c>
      <c r="Y48" t="n">
        <v>117</v>
      </c>
      <c r="Z48" t="n">
        <v>84</v>
      </c>
      <c r="AA48" t="n">
        <v>108</v>
      </c>
      <c r="AB48" t="n">
        <v>1</v>
      </c>
      <c r="AC48" t="n">
        <v>1</v>
      </c>
      <c r="AD48" t="n">
        <v>6</v>
      </c>
      <c r="AE48" t="n">
        <v>7</v>
      </c>
      <c r="AF48" t="n">
        <v>2</v>
      </c>
      <c r="AG48" t="n">
        <v>2</v>
      </c>
      <c r="AH48" t="n">
        <v>3</v>
      </c>
      <c r="AI48" t="n">
        <v>3</v>
      </c>
      <c r="AJ48" t="n">
        <v>3</v>
      </c>
      <c r="AK48" t="n">
        <v>4</v>
      </c>
      <c r="AL48" t="n">
        <v>0</v>
      </c>
      <c r="AM48" t="n">
        <v>0</v>
      </c>
      <c r="AN48" t="n">
        <v>0</v>
      </c>
      <c r="AO48" t="n">
        <v>0</v>
      </c>
      <c r="AP48" t="inlineStr">
        <is>
          <t>No</t>
        </is>
      </c>
      <c r="AQ48" t="inlineStr">
        <is>
          <t>Yes</t>
        </is>
      </c>
      <c r="AR48">
        <f>HYPERLINK("http://catalog.hathitrust.org/Record/002887598","HathiTrust Record")</f>
        <v/>
      </c>
      <c r="AS48">
        <f>HYPERLINK("https://creighton-primo.hosted.exlibrisgroup.com/primo-explore/search?tab=default_tab&amp;search_scope=EVERYTHING&amp;vid=01CRU&amp;lang=en_US&amp;offset=0&amp;query=any,contains,991002359299702656","Catalog Record")</f>
        <v/>
      </c>
      <c r="AT48">
        <f>HYPERLINK("http://www.worldcat.org/oclc/35015373","WorldCat Record")</f>
        <v/>
      </c>
      <c r="AU48" t="inlineStr">
        <is>
          <t>39865675:eng</t>
        </is>
      </c>
      <c r="AV48" t="inlineStr">
        <is>
          <t>35015373</t>
        </is>
      </c>
      <c r="AW48" t="inlineStr">
        <is>
          <t>991002359299702656</t>
        </is>
      </c>
      <c r="AX48" t="inlineStr">
        <is>
          <t>991002359299702656</t>
        </is>
      </c>
      <c r="AY48" t="inlineStr">
        <is>
          <t>2265226350002656</t>
        </is>
      </c>
      <c r="AZ48" t="inlineStr">
        <is>
          <t>BOOK</t>
        </is>
      </c>
      <c r="BB48" t="inlineStr">
        <is>
          <t>9789652081070</t>
        </is>
      </c>
      <c r="BC48" t="inlineStr">
        <is>
          <t>32285002125820</t>
        </is>
      </c>
      <c r="BD48" t="inlineStr">
        <is>
          <t>893892459</t>
        </is>
      </c>
    </row>
    <row r="49">
      <c r="A49" t="inlineStr">
        <is>
          <t>No</t>
        </is>
      </c>
      <c r="B49" t="inlineStr">
        <is>
          <t>DS104.3 .B349 1987</t>
        </is>
      </c>
      <c r="C49" t="inlineStr">
        <is>
          <t>0                      DS 0104300B  349         1987</t>
        </is>
      </c>
      <c r="D49" t="inlineStr">
        <is>
          <t>Basic biblical geography / Denis Baly.</t>
        </is>
      </c>
      <c r="F49" t="inlineStr">
        <is>
          <t>No</t>
        </is>
      </c>
      <c r="G49" t="inlineStr">
        <is>
          <t>1</t>
        </is>
      </c>
      <c r="H49" t="inlineStr">
        <is>
          <t>No</t>
        </is>
      </c>
      <c r="I49" t="inlineStr">
        <is>
          <t>No</t>
        </is>
      </c>
      <c r="J49" t="inlineStr">
        <is>
          <t>0</t>
        </is>
      </c>
      <c r="K49" t="inlineStr">
        <is>
          <t>Baly, Denis.</t>
        </is>
      </c>
      <c r="L49" t="inlineStr">
        <is>
          <t>Philadelphia : Fortress Press, c1987.</t>
        </is>
      </c>
      <c r="M49" t="inlineStr">
        <is>
          <t>1987</t>
        </is>
      </c>
      <c r="O49" t="inlineStr">
        <is>
          <t>eng</t>
        </is>
      </c>
      <c r="P49" t="inlineStr">
        <is>
          <t>pau</t>
        </is>
      </c>
      <c r="R49" t="inlineStr">
        <is>
          <t xml:space="preserve">DS </t>
        </is>
      </c>
      <c r="S49" t="n">
        <v>5</v>
      </c>
      <c r="T49" t="n">
        <v>5</v>
      </c>
      <c r="U49" t="inlineStr">
        <is>
          <t>2005-04-25</t>
        </is>
      </c>
      <c r="V49" t="inlineStr">
        <is>
          <t>2005-04-25</t>
        </is>
      </c>
      <c r="W49" t="inlineStr">
        <is>
          <t>1990-09-28</t>
        </is>
      </c>
      <c r="X49" t="inlineStr">
        <is>
          <t>1990-09-28</t>
        </is>
      </c>
      <c r="Y49" t="n">
        <v>315</v>
      </c>
      <c r="Z49" t="n">
        <v>272</v>
      </c>
      <c r="AA49" t="n">
        <v>279</v>
      </c>
      <c r="AB49" t="n">
        <v>2</v>
      </c>
      <c r="AC49" t="n">
        <v>2</v>
      </c>
      <c r="AD49" t="n">
        <v>19</v>
      </c>
      <c r="AE49" t="n">
        <v>19</v>
      </c>
      <c r="AF49" t="n">
        <v>8</v>
      </c>
      <c r="AG49" t="n">
        <v>8</v>
      </c>
      <c r="AH49" t="n">
        <v>6</v>
      </c>
      <c r="AI49" t="n">
        <v>6</v>
      </c>
      <c r="AJ49" t="n">
        <v>10</v>
      </c>
      <c r="AK49" t="n">
        <v>10</v>
      </c>
      <c r="AL49" t="n">
        <v>0</v>
      </c>
      <c r="AM49" t="n">
        <v>0</v>
      </c>
      <c r="AN49" t="n">
        <v>0</v>
      </c>
      <c r="AO49" t="n">
        <v>0</v>
      </c>
      <c r="AP49" t="inlineStr">
        <is>
          <t>No</t>
        </is>
      </c>
      <c r="AQ49" t="inlineStr">
        <is>
          <t>Yes</t>
        </is>
      </c>
      <c r="AR49">
        <f>HYPERLINK("http://catalog.hathitrust.org/Record/000813580","HathiTrust Record")</f>
        <v/>
      </c>
      <c r="AS49">
        <f>HYPERLINK("https://creighton-primo.hosted.exlibrisgroup.com/primo-explore/search?tab=default_tab&amp;search_scope=EVERYTHING&amp;vid=01CRU&amp;lang=en_US&amp;offset=0&amp;query=any,contains,991000853889702656","Catalog Record")</f>
        <v/>
      </c>
      <c r="AT49">
        <f>HYPERLINK("http://www.worldcat.org/oclc/13642660","WorldCat Record")</f>
        <v/>
      </c>
      <c r="AU49" t="inlineStr">
        <is>
          <t>7679415:eng</t>
        </is>
      </c>
      <c r="AV49" t="inlineStr">
        <is>
          <t>13642660</t>
        </is>
      </c>
      <c r="AW49" t="inlineStr">
        <is>
          <t>991000853889702656</t>
        </is>
      </c>
      <c r="AX49" t="inlineStr">
        <is>
          <t>991000853889702656</t>
        </is>
      </c>
      <c r="AY49" t="inlineStr">
        <is>
          <t>2271841760002656</t>
        </is>
      </c>
      <c r="AZ49" t="inlineStr">
        <is>
          <t>BOOK</t>
        </is>
      </c>
      <c r="BB49" t="inlineStr">
        <is>
          <t>9780800619220</t>
        </is>
      </c>
      <c r="BC49" t="inlineStr">
        <is>
          <t>32285000292606</t>
        </is>
      </c>
      <c r="BD49" t="inlineStr">
        <is>
          <t>893690097</t>
        </is>
      </c>
    </row>
    <row r="50">
      <c r="A50" t="inlineStr">
        <is>
          <t>No</t>
        </is>
      </c>
      <c r="B50" t="inlineStr">
        <is>
          <t>DS105 .P74</t>
        </is>
      </c>
      <c r="C50" t="inlineStr">
        <is>
          <t>0                      DS 0105000P  74</t>
        </is>
      </c>
      <c r="D50" t="inlineStr">
        <is>
          <t>Friar Felix at large : a fifteenth-century pilgrimage to the Holy Land.</t>
        </is>
      </c>
      <c r="F50" t="inlineStr">
        <is>
          <t>No</t>
        </is>
      </c>
      <c r="G50" t="inlineStr">
        <is>
          <t>1</t>
        </is>
      </c>
      <c r="H50" t="inlineStr">
        <is>
          <t>No</t>
        </is>
      </c>
      <c r="I50" t="inlineStr">
        <is>
          <t>No</t>
        </is>
      </c>
      <c r="J50" t="inlineStr">
        <is>
          <t>0</t>
        </is>
      </c>
      <c r="K50" t="inlineStr">
        <is>
          <t>Prescott, H. F. M. (Hilda Frances Margaret), 1896-1972.</t>
        </is>
      </c>
      <c r="L50" t="inlineStr">
        <is>
          <t>New Haven : Yale University Press, 1950.</t>
        </is>
      </c>
      <c r="M50" t="inlineStr">
        <is>
          <t>1950</t>
        </is>
      </c>
      <c r="O50" t="inlineStr">
        <is>
          <t>eng</t>
        </is>
      </c>
      <c r="P50" t="inlineStr">
        <is>
          <t>ctu</t>
        </is>
      </c>
      <c r="R50" t="inlineStr">
        <is>
          <t xml:space="preserve">DS </t>
        </is>
      </c>
      <c r="S50" t="n">
        <v>2</v>
      </c>
      <c r="T50" t="n">
        <v>2</v>
      </c>
      <c r="U50" t="inlineStr">
        <is>
          <t>2000-04-24</t>
        </is>
      </c>
      <c r="V50" t="inlineStr">
        <is>
          <t>2000-04-24</t>
        </is>
      </c>
      <c r="W50" t="inlineStr">
        <is>
          <t>1991-09-17</t>
        </is>
      </c>
      <c r="X50" t="inlineStr">
        <is>
          <t>1991-09-17</t>
        </is>
      </c>
      <c r="Y50" t="n">
        <v>480</v>
      </c>
      <c r="Z50" t="n">
        <v>453</v>
      </c>
      <c r="AA50" t="n">
        <v>588</v>
      </c>
      <c r="AB50" t="n">
        <v>3</v>
      </c>
      <c r="AC50" t="n">
        <v>3</v>
      </c>
      <c r="AD50" t="n">
        <v>31</v>
      </c>
      <c r="AE50" t="n">
        <v>33</v>
      </c>
      <c r="AF50" t="n">
        <v>11</v>
      </c>
      <c r="AG50" t="n">
        <v>12</v>
      </c>
      <c r="AH50" t="n">
        <v>6</v>
      </c>
      <c r="AI50" t="n">
        <v>7</v>
      </c>
      <c r="AJ50" t="n">
        <v>21</v>
      </c>
      <c r="AK50" t="n">
        <v>21</v>
      </c>
      <c r="AL50" t="n">
        <v>1</v>
      </c>
      <c r="AM50" t="n">
        <v>1</v>
      </c>
      <c r="AN50" t="n">
        <v>0</v>
      </c>
      <c r="AO50" t="n">
        <v>0</v>
      </c>
      <c r="AP50" t="inlineStr">
        <is>
          <t>No</t>
        </is>
      </c>
      <c r="AQ50" t="inlineStr">
        <is>
          <t>Yes</t>
        </is>
      </c>
      <c r="AR50">
        <f>HYPERLINK("http://catalog.hathitrust.org/Record/001242052","HathiTrust Record")</f>
        <v/>
      </c>
      <c r="AS50">
        <f>HYPERLINK("https://creighton-primo.hosted.exlibrisgroup.com/primo-explore/search?tab=default_tab&amp;search_scope=EVERYTHING&amp;vid=01CRU&amp;lang=en_US&amp;offset=0&amp;query=any,contains,991005358899702656","Catalog Record")</f>
        <v/>
      </c>
      <c r="AT50">
        <f>HYPERLINK("http://www.worldcat.org/oclc/1356764","WorldCat Record")</f>
        <v/>
      </c>
      <c r="AU50" t="inlineStr">
        <is>
          <t>282947305:eng</t>
        </is>
      </c>
      <c r="AV50" t="inlineStr">
        <is>
          <t>1356764</t>
        </is>
      </c>
      <c r="AW50" t="inlineStr">
        <is>
          <t>991005358899702656</t>
        </is>
      </c>
      <c r="AX50" t="inlineStr">
        <is>
          <t>991005358899702656</t>
        </is>
      </c>
      <c r="AY50" t="inlineStr">
        <is>
          <t>2271864990002656</t>
        </is>
      </c>
      <c r="AZ50" t="inlineStr">
        <is>
          <t>BOOK</t>
        </is>
      </c>
      <c r="BC50" t="inlineStr">
        <is>
          <t>32285000756626</t>
        </is>
      </c>
      <c r="BD50" t="inlineStr">
        <is>
          <t>893501811</t>
        </is>
      </c>
    </row>
    <row r="51">
      <c r="A51" t="inlineStr">
        <is>
          <t>No</t>
        </is>
      </c>
      <c r="B51" t="inlineStr">
        <is>
          <t>DS105 .T4713 1986</t>
        </is>
      </c>
      <c r="C51" t="inlineStr">
        <is>
          <t>0                      DS 0105000T  4713        1986</t>
        </is>
      </c>
      <c r="D51" t="inlineStr">
        <is>
          <t>Guide to the Holy Land / Theoderich ; translated by Aubrey Stewart ; with new introduction, notes and bibliography by Ronald G. Musto.</t>
        </is>
      </c>
      <c r="F51" t="inlineStr">
        <is>
          <t>No</t>
        </is>
      </c>
      <c r="G51" t="inlineStr">
        <is>
          <t>1</t>
        </is>
      </c>
      <c r="H51" t="inlineStr">
        <is>
          <t>No</t>
        </is>
      </c>
      <c r="I51" t="inlineStr">
        <is>
          <t>No</t>
        </is>
      </c>
      <c r="J51" t="inlineStr">
        <is>
          <t>0</t>
        </is>
      </c>
      <c r="K51" t="inlineStr">
        <is>
          <t>Theodericus, of Würzburg, active 1172.</t>
        </is>
      </c>
      <c r="L51" t="inlineStr">
        <is>
          <t>New York : Italica Press, c1986.</t>
        </is>
      </c>
      <c r="M51" t="inlineStr">
        <is>
          <t>1986</t>
        </is>
      </c>
      <c r="N51" t="inlineStr">
        <is>
          <t>2nd ed.</t>
        </is>
      </c>
      <c r="O51" t="inlineStr">
        <is>
          <t>eng</t>
        </is>
      </c>
      <c r="P51" t="inlineStr">
        <is>
          <t>nyu</t>
        </is>
      </c>
      <c r="R51" t="inlineStr">
        <is>
          <t xml:space="preserve">DS </t>
        </is>
      </c>
      <c r="S51" t="n">
        <v>1</v>
      </c>
      <c r="T51" t="n">
        <v>1</v>
      </c>
      <c r="U51" t="inlineStr">
        <is>
          <t>2010-01-19</t>
        </is>
      </c>
      <c r="V51" t="inlineStr">
        <is>
          <t>2010-01-19</t>
        </is>
      </c>
      <c r="W51" t="inlineStr">
        <is>
          <t>2010-01-19</t>
        </is>
      </c>
      <c r="X51" t="inlineStr">
        <is>
          <t>2010-01-19</t>
        </is>
      </c>
      <c r="Y51" t="n">
        <v>300</v>
      </c>
      <c r="Z51" t="n">
        <v>275</v>
      </c>
      <c r="AA51" t="n">
        <v>383</v>
      </c>
      <c r="AB51" t="n">
        <v>3</v>
      </c>
      <c r="AC51" t="n">
        <v>3</v>
      </c>
      <c r="AD51" t="n">
        <v>20</v>
      </c>
      <c r="AE51" t="n">
        <v>26</v>
      </c>
      <c r="AF51" t="n">
        <v>6</v>
      </c>
      <c r="AG51" t="n">
        <v>11</v>
      </c>
      <c r="AH51" t="n">
        <v>6</v>
      </c>
      <c r="AI51" t="n">
        <v>8</v>
      </c>
      <c r="AJ51" t="n">
        <v>11</v>
      </c>
      <c r="AK51" t="n">
        <v>12</v>
      </c>
      <c r="AL51" t="n">
        <v>2</v>
      </c>
      <c r="AM51" t="n">
        <v>2</v>
      </c>
      <c r="AN51" t="n">
        <v>0</v>
      </c>
      <c r="AO51" t="n">
        <v>0</v>
      </c>
      <c r="AP51" t="inlineStr">
        <is>
          <t>No</t>
        </is>
      </c>
      <c r="AQ51" t="inlineStr">
        <is>
          <t>Yes</t>
        </is>
      </c>
      <c r="AR51">
        <f>HYPERLINK("http://catalog.hathitrust.org/Record/000821066","HathiTrust Record")</f>
        <v/>
      </c>
      <c r="AS51">
        <f>HYPERLINK("https://creighton-primo.hosted.exlibrisgroup.com/primo-explore/search?tab=default_tab&amp;search_scope=EVERYTHING&amp;vid=01CRU&amp;lang=en_US&amp;offset=0&amp;query=any,contains,991005350599702656","Catalog Record")</f>
        <v/>
      </c>
      <c r="AT51">
        <f>HYPERLINK("http://www.worldcat.org/oclc/14931178","WorldCat Record")</f>
        <v/>
      </c>
      <c r="AU51" t="inlineStr">
        <is>
          <t>9566209191:eng</t>
        </is>
      </c>
      <c r="AV51" t="inlineStr">
        <is>
          <t>14931178</t>
        </is>
      </c>
      <c r="AW51" t="inlineStr">
        <is>
          <t>991005350599702656</t>
        </is>
      </c>
      <c r="AX51" t="inlineStr">
        <is>
          <t>991005350599702656</t>
        </is>
      </c>
      <c r="AY51" t="inlineStr">
        <is>
          <t>2257080520002656</t>
        </is>
      </c>
      <c r="AZ51" t="inlineStr">
        <is>
          <t>BOOK</t>
        </is>
      </c>
      <c r="BB51" t="inlineStr">
        <is>
          <t>9780934977036</t>
        </is>
      </c>
      <c r="BC51" t="inlineStr">
        <is>
          <t>32285005558423</t>
        </is>
      </c>
      <c r="BD51" t="inlineStr">
        <is>
          <t>893248766</t>
        </is>
      </c>
    </row>
    <row r="52">
      <c r="A52" t="inlineStr">
        <is>
          <t>No</t>
        </is>
      </c>
      <c r="B52" t="inlineStr">
        <is>
          <t>DS107.4 .H62 1969</t>
        </is>
      </c>
      <c r="C52" t="inlineStr">
        <is>
          <t>0                      DS 0107400H  62          1969</t>
        </is>
      </c>
      <c r="D52" t="inlineStr">
        <is>
          <t>Holy places : Jewish, Christian, and Muslim monuments in the Holy Land / [by] Christopher Hollis and Ronald Brownrigg.</t>
        </is>
      </c>
      <c r="F52" t="inlineStr">
        <is>
          <t>No</t>
        </is>
      </c>
      <c r="G52" t="inlineStr">
        <is>
          <t>1</t>
        </is>
      </c>
      <c r="H52" t="inlineStr">
        <is>
          <t>No</t>
        </is>
      </c>
      <c r="I52" t="inlineStr">
        <is>
          <t>No</t>
        </is>
      </c>
      <c r="J52" t="inlineStr">
        <is>
          <t>0</t>
        </is>
      </c>
      <c r="K52" t="inlineStr">
        <is>
          <t>Hollis, Christopher, 1902-1977.</t>
        </is>
      </c>
      <c r="L52" t="inlineStr">
        <is>
          <t>New York : Praeger, [1969]</t>
        </is>
      </c>
      <c r="M52" t="inlineStr">
        <is>
          <t>1969</t>
        </is>
      </c>
      <c r="O52" t="inlineStr">
        <is>
          <t>eng</t>
        </is>
      </c>
      <c r="P52" t="inlineStr">
        <is>
          <t>nyu</t>
        </is>
      </c>
      <c r="R52" t="inlineStr">
        <is>
          <t xml:space="preserve">DS </t>
        </is>
      </c>
      <c r="S52" t="n">
        <v>1</v>
      </c>
      <c r="T52" t="n">
        <v>1</v>
      </c>
      <c r="U52" t="inlineStr">
        <is>
          <t>2002-11-14</t>
        </is>
      </c>
      <c r="V52" t="inlineStr">
        <is>
          <t>2002-11-14</t>
        </is>
      </c>
      <c r="W52" t="inlineStr">
        <is>
          <t>1997-02-27</t>
        </is>
      </c>
      <c r="X52" t="inlineStr">
        <is>
          <t>1997-02-27</t>
        </is>
      </c>
      <c r="Y52" t="n">
        <v>613</v>
      </c>
      <c r="Z52" t="n">
        <v>585</v>
      </c>
      <c r="AA52" t="n">
        <v>619</v>
      </c>
      <c r="AB52" t="n">
        <v>6</v>
      </c>
      <c r="AC52" t="n">
        <v>6</v>
      </c>
      <c r="AD52" t="n">
        <v>21</v>
      </c>
      <c r="AE52" t="n">
        <v>22</v>
      </c>
      <c r="AF52" t="n">
        <v>11</v>
      </c>
      <c r="AG52" t="n">
        <v>12</v>
      </c>
      <c r="AH52" t="n">
        <v>5</v>
      </c>
      <c r="AI52" t="n">
        <v>5</v>
      </c>
      <c r="AJ52" t="n">
        <v>10</v>
      </c>
      <c r="AK52" t="n">
        <v>10</v>
      </c>
      <c r="AL52" t="n">
        <v>2</v>
      </c>
      <c r="AM52" t="n">
        <v>2</v>
      </c>
      <c r="AN52" t="n">
        <v>0</v>
      </c>
      <c r="AO52" t="n">
        <v>0</v>
      </c>
      <c r="AP52" t="inlineStr">
        <is>
          <t>No</t>
        </is>
      </c>
      <c r="AQ52" t="inlineStr">
        <is>
          <t>Yes</t>
        </is>
      </c>
      <c r="AR52">
        <f>HYPERLINK("http://catalog.hathitrust.org/Record/001242127","HathiTrust Record")</f>
        <v/>
      </c>
      <c r="AS52">
        <f>HYPERLINK("https://creighton-primo.hosted.exlibrisgroup.com/primo-explore/search?tab=default_tab&amp;search_scope=EVERYTHING&amp;vid=01CRU&amp;lang=en_US&amp;offset=0&amp;query=any,contains,991000060329702656","Catalog Record")</f>
        <v/>
      </c>
      <c r="AT52">
        <f>HYPERLINK("http://www.worldcat.org/oclc/24444","WorldCat Record")</f>
        <v/>
      </c>
      <c r="AU52" t="inlineStr">
        <is>
          <t>1146657:eng</t>
        </is>
      </c>
      <c r="AV52" t="inlineStr">
        <is>
          <t>24444</t>
        </is>
      </c>
      <c r="AW52" t="inlineStr">
        <is>
          <t>991000060329702656</t>
        </is>
      </c>
      <c r="AX52" t="inlineStr">
        <is>
          <t>991000060329702656</t>
        </is>
      </c>
      <c r="AY52" t="inlineStr">
        <is>
          <t>2266723110002656</t>
        </is>
      </c>
      <c r="AZ52" t="inlineStr">
        <is>
          <t>BOOK</t>
        </is>
      </c>
      <c r="BC52" t="inlineStr">
        <is>
          <t>32285002463023</t>
        </is>
      </c>
      <c r="BD52" t="inlineStr">
        <is>
          <t>893437965</t>
        </is>
      </c>
    </row>
    <row r="53">
      <c r="A53" t="inlineStr">
        <is>
          <t>No</t>
        </is>
      </c>
      <c r="B53" t="inlineStr">
        <is>
          <t>DS107.4 .K7 1990</t>
        </is>
      </c>
      <c r="C53" t="inlineStr">
        <is>
          <t>0                      DS 0107400K  7           1990</t>
        </is>
      </c>
      <c r="D53" t="inlineStr">
        <is>
          <t>Auf den Spuren Jesu / Gerhard Kroll.</t>
        </is>
      </c>
      <c r="F53" t="inlineStr">
        <is>
          <t>No</t>
        </is>
      </c>
      <c r="G53" t="inlineStr">
        <is>
          <t>1</t>
        </is>
      </c>
      <c r="H53" t="inlineStr">
        <is>
          <t>No</t>
        </is>
      </c>
      <c r="I53" t="inlineStr">
        <is>
          <t>No</t>
        </is>
      </c>
      <c r="J53" t="inlineStr">
        <is>
          <t>0</t>
        </is>
      </c>
      <c r="K53" t="inlineStr">
        <is>
          <t>Kroll, Gerhard.</t>
        </is>
      </c>
      <c r="L53" t="inlineStr">
        <is>
          <t>Leipzig : St. Benno-Verlag, 1990.</t>
        </is>
      </c>
      <c r="M53" t="inlineStr">
        <is>
          <t>1990</t>
        </is>
      </c>
      <c r="N53" t="inlineStr">
        <is>
          <t>11. Aufl.</t>
        </is>
      </c>
      <c r="O53" t="inlineStr">
        <is>
          <t>ger</t>
        </is>
      </c>
      <c r="P53" t="inlineStr">
        <is>
          <t xml:space="preserve">gw </t>
        </is>
      </c>
      <c r="R53" t="inlineStr">
        <is>
          <t xml:space="preserve">DS </t>
        </is>
      </c>
      <c r="S53" t="n">
        <v>3</v>
      </c>
      <c r="T53" t="n">
        <v>3</v>
      </c>
      <c r="U53" t="inlineStr">
        <is>
          <t>2004-10-08</t>
        </is>
      </c>
      <c r="V53" t="inlineStr">
        <is>
          <t>2004-10-08</t>
        </is>
      </c>
      <c r="W53" t="inlineStr">
        <is>
          <t>2000-09-19</t>
        </is>
      </c>
      <c r="X53" t="inlineStr">
        <is>
          <t>2000-09-19</t>
        </is>
      </c>
      <c r="Y53" t="n">
        <v>14</v>
      </c>
      <c r="Z53" t="n">
        <v>2</v>
      </c>
      <c r="AA53" t="n">
        <v>15</v>
      </c>
      <c r="AB53" t="n">
        <v>1</v>
      </c>
      <c r="AC53" t="n">
        <v>1</v>
      </c>
      <c r="AD53" t="n">
        <v>0</v>
      </c>
      <c r="AE53" t="n">
        <v>0</v>
      </c>
      <c r="AF53" t="n">
        <v>0</v>
      </c>
      <c r="AG53" t="n">
        <v>0</v>
      </c>
      <c r="AH53" t="n">
        <v>0</v>
      </c>
      <c r="AI53" t="n">
        <v>0</v>
      </c>
      <c r="AJ53" t="n">
        <v>0</v>
      </c>
      <c r="AK53" t="n">
        <v>0</v>
      </c>
      <c r="AL53" t="n">
        <v>0</v>
      </c>
      <c r="AM53" t="n">
        <v>0</v>
      </c>
      <c r="AN53" t="n">
        <v>0</v>
      </c>
      <c r="AO53" t="n">
        <v>0</v>
      </c>
      <c r="AP53" t="inlineStr">
        <is>
          <t>No</t>
        </is>
      </c>
      <c r="AQ53" t="inlineStr">
        <is>
          <t>No</t>
        </is>
      </c>
      <c r="AS53">
        <f>HYPERLINK("https://creighton-primo.hosted.exlibrisgroup.com/primo-explore/search?tab=default_tab&amp;search_scope=EVERYTHING&amp;vid=01CRU&amp;lang=en_US&amp;offset=0&amp;query=any,contains,991003292389702656","Catalog Record")</f>
        <v/>
      </c>
      <c r="AT53">
        <f>HYPERLINK("http://www.worldcat.org/oclc/28812923","WorldCat Record")</f>
        <v/>
      </c>
      <c r="AU53" t="inlineStr">
        <is>
          <t>3825915:ger</t>
        </is>
      </c>
      <c r="AV53" t="inlineStr">
        <is>
          <t>28812923</t>
        </is>
      </c>
      <c r="AW53" t="inlineStr">
        <is>
          <t>991003292389702656</t>
        </is>
      </c>
      <c r="AX53" t="inlineStr">
        <is>
          <t>991003292389702656</t>
        </is>
      </c>
      <c r="AY53" t="inlineStr">
        <is>
          <t>2254946000002656</t>
        </is>
      </c>
      <c r="AZ53" t="inlineStr">
        <is>
          <t>BOOK</t>
        </is>
      </c>
      <c r="BB53" t="inlineStr">
        <is>
          <t>9783746200507</t>
        </is>
      </c>
      <c r="BC53" t="inlineStr">
        <is>
          <t>32285003773081</t>
        </is>
      </c>
      <c r="BD53" t="inlineStr">
        <is>
          <t>893524644</t>
        </is>
      </c>
    </row>
    <row r="54">
      <c r="A54" t="inlineStr">
        <is>
          <t>No</t>
        </is>
      </c>
      <c r="B54" t="inlineStr">
        <is>
          <t>DS108.5 .E6</t>
        </is>
      </c>
      <c r="C54" t="inlineStr">
        <is>
          <t>0                      DS 0108500E  6</t>
        </is>
      </c>
      <c r="D54" t="inlineStr">
        <is>
          <t>A camera crusade through the Holy Land, by Dwight L. Elmendorf. One hundred illustrations from photographs by the author.</t>
        </is>
      </c>
      <c r="F54" t="inlineStr">
        <is>
          <t>No</t>
        </is>
      </c>
      <c r="G54" t="inlineStr">
        <is>
          <t>1</t>
        </is>
      </c>
      <c r="H54" t="inlineStr">
        <is>
          <t>No</t>
        </is>
      </c>
      <c r="I54" t="inlineStr">
        <is>
          <t>No</t>
        </is>
      </c>
      <c r="J54" t="inlineStr">
        <is>
          <t>0</t>
        </is>
      </c>
      <c r="K54" t="inlineStr">
        <is>
          <t>Elmendorf, Dwight L. (Dwight Lathrop), 1859-1929.</t>
        </is>
      </c>
      <c r="L54" t="inlineStr">
        <is>
          <t>New York, C. Scribner's Sons, 1912.</t>
        </is>
      </c>
      <c r="M54" t="inlineStr">
        <is>
          <t>1912</t>
        </is>
      </c>
      <c r="O54" t="inlineStr">
        <is>
          <t>eng</t>
        </is>
      </c>
      <c r="P54" t="inlineStr">
        <is>
          <t xml:space="preserve">xx </t>
        </is>
      </c>
      <c r="R54" t="inlineStr">
        <is>
          <t xml:space="preserve">DS </t>
        </is>
      </c>
      <c r="S54" t="n">
        <v>1</v>
      </c>
      <c r="T54" t="n">
        <v>1</v>
      </c>
      <c r="U54" t="inlineStr">
        <is>
          <t>1997-03-17</t>
        </is>
      </c>
      <c r="V54" t="inlineStr">
        <is>
          <t>1997-03-17</t>
        </is>
      </c>
      <c r="W54" t="inlineStr">
        <is>
          <t>1997-02-25</t>
        </is>
      </c>
      <c r="X54" t="inlineStr">
        <is>
          <t>1997-02-25</t>
        </is>
      </c>
      <c r="Y54" t="n">
        <v>165</v>
      </c>
      <c r="Z54" t="n">
        <v>156</v>
      </c>
      <c r="AA54" t="n">
        <v>184</v>
      </c>
      <c r="AB54" t="n">
        <v>1</v>
      </c>
      <c r="AC54" t="n">
        <v>1</v>
      </c>
      <c r="AD54" t="n">
        <v>9</v>
      </c>
      <c r="AE54" t="n">
        <v>10</v>
      </c>
      <c r="AF54" t="n">
        <v>3</v>
      </c>
      <c r="AG54" t="n">
        <v>3</v>
      </c>
      <c r="AH54" t="n">
        <v>3</v>
      </c>
      <c r="AI54" t="n">
        <v>4</v>
      </c>
      <c r="AJ54" t="n">
        <v>6</v>
      </c>
      <c r="AK54" t="n">
        <v>7</v>
      </c>
      <c r="AL54" t="n">
        <v>0</v>
      </c>
      <c r="AM54" t="n">
        <v>0</v>
      </c>
      <c r="AN54" t="n">
        <v>0</v>
      </c>
      <c r="AO54" t="n">
        <v>0</v>
      </c>
      <c r="AP54" t="inlineStr">
        <is>
          <t>Yes</t>
        </is>
      </c>
      <c r="AQ54" t="inlineStr">
        <is>
          <t>No</t>
        </is>
      </c>
      <c r="AR54">
        <f>HYPERLINK("http://catalog.hathitrust.org/Record/006600163","HathiTrust Record")</f>
        <v/>
      </c>
      <c r="AS54">
        <f>HYPERLINK("https://creighton-primo.hosted.exlibrisgroup.com/primo-explore/search?tab=default_tab&amp;search_scope=EVERYTHING&amp;vid=01CRU&amp;lang=en_US&amp;offset=0&amp;query=any,contains,991003514279702656","Catalog Record")</f>
        <v/>
      </c>
      <c r="AT54">
        <f>HYPERLINK("http://www.worldcat.org/oclc/1070826","WorldCat Record")</f>
        <v/>
      </c>
      <c r="AU54" t="inlineStr">
        <is>
          <t>2024590:eng</t>
        </is>
      </c>
      <c r="AV54" t="inlineStr">
        <is>
          <t>1070826</t>
        </is>
      </c>
      <c r="AW54" t="inlineStr">
        <is>
          <t>991003514279702656</t>
        </is>
      </c>
      <c r="AX54" t="inlineStr">
        <is>
          <t>991003514279702656</t>
        </is>
      </c>
      <c r="AY54" t="inlineStr">
        <is>
          <t>2255918640002656</t>
        </is>
      </c>
      <c r="AZ54" t="inlineStr">
        <is>
          <t>BOOK</t>
        </is>
      </c>
      <c r="BC54" t="inlineStr">
        <is>
          <t>32285002460946</t>
        </is>
      </c>
      <c r="BD54" t="inlineStr">
        <is>
          <t>893330366</t>
        </is>
      </c>
    </row>
    <row r="55">
      <c r="A55" t="inlineStr">
        <is>
          <t>No</t>
        </is>
      </c>
      <c r="B55" t="inlineStr">
        <is>
          <t>DS108.5 .G24 1982</t>
        </is>
      </c>
      <c r="C55" t="inlineStr">
        <is>
          <t>0                      DS 0108500G  24          1982</t>
        </is>
      </c>
      <c r="D55" t="inlineStr">
        <is>
          <t>The glory of the Holy Land / Shlomo S. Gafni, A. van der Heyden.</t>
        </is>
      </c>
      <c r="F55" t="inlineStr">
        <is>
          <t>No</t>
        </is>
      </c>
      <c r="G55" t="inlineStr">
        <is>
          <t>1</t>
        </is>
      </c>
      <c r="H55" t="inlineStr">
        <is>
          <t>No</t>
        </is>
      </c>
      <c r="I55" t="inlineStr">
        <is>
          <t>No</t>
        </is>
      </c>
      <c r="J55" t="inlineStr">
        <is>
          <t>0</t>
        </is>
      </c>
      <c r="K55" t="inlineStr">
        <is>
          <t>Gafni, Shlomo S., 1932-</t>
        </is>
      </c>
      <c r="L55" t="inlineStr">
        <is>
          <t>Cambridge [Cambridgeshire] ; New York : Cambridge University Press, c1982.</t>
        </is>
      </c>
      <c r="M55" t="inlineStr">
        <is>
          <t>1982</t>
        </is>
      </c>
      <c r="O55" t="inlineStr">
        <is>
          <t>eng</t>
        </is>
      </c>
      <c r="P55" t="inlineStr">
        <is>
          <t>enk</t>
        </is>
      </c>
      <c r="R55" t="inlineStr">
        <is>
          <t xml:space="preserve">DS </t>
        </is>
      </c>
      <c r="S55" t="n">
        <v>3</v>
      </c>
      <c r="T55" t="n">
        <v>3</v>
      </c>
      <c r="U55" t="inlineStr">
        <is>
          <t>2004-08-31</t>
        </is>
      </c>
      <c r="V55" t="inlineStr">
        <is>
          <t>2004-08-31</t>
        </is>
      </c>
      <c r="W55" t="inlineStr">
        <is>
          <t>1990-08-16</t>
        </is>
      </c>
      <c r="X55" t="inlineStr">
        <is>
          <t>1990-08-16</t>
        </is>
      </c>
      <c r="Y55" t="n">
        <v>335</v>
      </c>
      <c r="Z55" t="n">
        <v>315</v>
      </c>
      <c r="AA55" t="n">
        <v>340</v>
      </c>
      <c r="AB55" t="n">
        <v>2</v>
      </c>
      <c r="AC55" t="n">
        <v>2</v>
      </c>
      <c r="AD55" t="n">
        <v>10</v>
      </c>
      <c r="AE55" t="n">
        <v>10</v>
      </c>
      <c r="AF55" t="n">
        <v>3</v>
      </c>
      <c r="AG55" t="n">
        <v>3</v>
      </c>
      <c r="AH55" t="n">
        <v>3</v>
      </c>
      <c r="AI55" t="n">
        <v>3</v>
      </c>
      <c r="AJ55" t="n">
        <v>8</v>
      </c>
      <c r="AK55" t="n">
        <v>8</v>
      </c>
      <c r="AL55" t="n">
        <v>1</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HYPERLINK("https://creighton-primo.hosted.exlibrisgroup.com/primo-explore/search?tab=default_tab&amp;search_scope=EVERYTHING&amp;vid=01CRU&amp;lang=en_US&amp;offset=0&amp;query=any,contains,991005171849702656","Catalog Record")</f>
        <v/>
      </c>
      <c r="AT55">
        <f>HYPERLINK("http://www.worldcat.org/oclc/7875583","WorldCat Record")</f>
        <v/>
      </c>
      <c r="AU55" t="inlineStr">
        <is>
          <t>10227160557:eng</t>
        </is>
      </c>
      <c r="AV55" t="inlineStr">
        <is>
          <t>7875583</t>
        </is>
      </c>
      <c r="AW55" t="inlineStr">
        <is>
          <t>991005171849702656</t>
        </is>
      </c>
      <c r="AX55" t="inlineStr">
        <is>
          <t>991005171849702656</t>
        </is>
      </c>
      <c r="AY55" t="inlineStr">
        <is>
          <t>2268287300002656</t>
        </is>
      </c>
      <c r="AZ55" t="inlineStr">
        <is>
          <t>BOOK</t>
        </is>
      </c>
      <c r="BB55" t="inlineStr">
        <is>
          <t>9780521246125</t>
        </is>
      </c>
      <c r="BC55" t="inlineStr">
        <is>
          <t>32285000274828</t>
        </is>
      </c>
      <c r="BD55" t="inlineStr">
        <is>
          <t>893870645</t>
        </is>
      </c>
    </row>
    <row r="56">
      <c r="A56" t="inlineStr">
        <is>
          <t>No</t>
        </is>
      </c>
      <c r="B56" t="inlineStr">
        <is>
          <t>DS108.5 .K5</t>
        </is>
      </c>
      <c r="C56" t="inlineStr">
        <is>
          <t>0                      DS 0108500K  5</t>
        </is>
      </c>
      <c r="D56" t="inlineStr">
        <is>
          <t>The Catholic shrines of the Holy Land / by Paschal Kinsel and Leonard Henry; with photos. by Alfred Wagg.</t>
        </is>
      </c>
      <c r="F56" t="inlineStr">
        <is>
          <t>No</t>
        </is>
      </c>
      <c r="G56" t="inlineStr">
        <is>
          <t>1</t>
        </is>
      </c>
      <c r="H56" t="inlineStr">
        <is>
          <t>No</t>
        </is>
      </c>
      <c r="I56" t="inlineStr">
        <is>
          <t>No</t>
        </is>
      </c>
      <c r="J56" t="inlineStr">
        <is>
          <t>0</t>
        </is>
      </c>
      <c r="K56" t="inlineStr">
        <is>
          <t>Kinsel, Paschal.</t>
        </is>
      </c>
      <c r="L56" t="inlineStr">
        <is>
          <t>New York : Farrar, Straus, and Young, [1951]</t>
        </is>
      </c>
      <c r="M56" t="inlineStr">
        <is>
          <t>1951</t>
        </is>
      </c>
      <c r="O56" t="inlineStr">
        <is>
          <t>eng</t>
        </is>
      </c>
      <c r="P56" t="inlineStr">
        <is>
          <t xml:space="preserve">xx </t>
        </is>
      </c>
      <c r="R56" t="inlineStr">
        <is>
          <t xml:space="preserve">DS </t>
        </is>
      </c>
      <c r="S56" t="n">
        <v>1</v>
      </c>
      <c r="T56" t="n">
        <v>1</v>
      </c>
      <c r="U56" t="inlineStr">
        <is>
          <t>2000-05-11</t>
        </is>
      </c>
      <c r="V56" t="inlineStr">
        <is>
          <t>2000-05-11</t>
        </is>
      </c>
      <c r="W56" t="inlineStr">
        <is>
          <t>1991-10-07</t>
        </is>
      </c>
      <c r="X56" t="inlineStr">
        <is>
          <t>1991-10-07</t>
        </is>
      </c>
      <c r="Y56" t="n">
        <v>300</v>
      </c>
      <c r="Z56" t="n">
        <v>279</v>
      </c>
      <c r="AA56" t="n">
        <v>329</v>
      </c>
      <c r="AB56" t="n">
        <v>3</v>
      </c>
      <c r="AC56" t="n">
        <v>5</v>
      </c>
      <c r="AD56" t="n">
        <v>20</v>
      </c>
      <c r="AE56" t="n">
        <v>26</v>
      </c>
      <c r="AF56" t="n">
        <v>7</v>
      </c>
      <c r="AG56" t="n">
        <v>9</v>
      </c>
      <c r="AH56" t="n">
        <v>4</v>
      </c>
      <c r="AI56" t="n">
        <v>4</v>
      </c>
      <c r="AJ56" t="n">
        <v>16</v>
      </c>
      <c r="AK56" t="n">
        <v>20</v>
      </c>
      <c r="AL56" t="n">
        <v>0</v>
      </c>
      <c r="AM56" t="n">
        <v>1</v>
      </c>
      <c r="AN56" t="n">
        <v>0</v>
      </c>
      <c r="AO56" t="n">
        <v>0</v>
      </c>
      <c r="AP56" t="inlineStr">
        <is>
          <t>No</t>
        </is>
      </c>
      <c r="AQ56" t="inlineStr">
        <is>
          <t>No</t>
        </is>
      </c>
      <c r="AR56">
        <f>HYPERLINK("http://catalog.hathitrust.org/Record/102106843","HathiTrust Record")</f>
        <v/>
      </c>
      <c r="AS56">
        <f>HYPERLINK("https://creighton-primo.hosted.exlibrisgroup.com/primo-explore/search?tab=default_tab&amp;search_scope=EVERYTHING&amp;vid=01CRU&amp;lang=en_US&amp;offset=0&amp;query=any,contains,991005356669702656","Catalog Record")</f>
        <v/>
      </c>
      <c r="AT56">
        <f>HYPERLINK("http://www.worldcat.org/oclc/736333","WorldCat Record")</f>
        <v/>
      </c>
      <c r="AU56" t="inlineStr">
        <is>
          <t>1780083:eng</t>
        </is>
      </c>
      <c r="AV56" t="inlineStr">
        <is>
          <t>736333</t>
        </is>
      </c>
      <c r="AW56" t="inlineStr">
        <is>
          <t>991005356669702656</t>
        </is>
      </c>
      <c r="AX56" t="inlineStr">
        <is>
          <t>991005356669702656</t>
        </is>
      </c>
      <c r="AY56" t="inlineStr">
        <is>
          <t>2254831730002656</t>
        </is>
      </c>
      <c r="AZ56" t="inlineStr">
        <is>
          <t>BOOK</t>
        </is>
      </c>
      <c r="BC56" t="inlineStr">
        <is>
          <t>32285000772219</t>
        </is>
      </c>
      <c r="BD56" t="inlineStr">
        <is>
          <t>893236705</t>
        </is>
      </c>
    </row>
    <row r="57">
      <c r="A57" t="inlineStr">
        <is>
          <t>No</t>
        </is>
      </c>
      <c r="B57" t="inlineStr">
        <is>
          <t>DS108.9 .A6</t>
        </is>
      </c>
      <c r="C57" t="inlineStr">
        <is>
          <t>0                      DS 0108900A  6</t>
        </is>
      </c>
      <c r="D57" t="inlineStr">
        <is>
          <t>The archaeology of Palestine.</t>
        </is>
      </c>
      <c r="F57" t="inlineStr">
        <is>
          <t>No</t>
        </is>
      </c>
      <c r="G57" t="inlineStr">
        <is>
          <t>1</t>
        </is>
      </c>
      <c r="H57" t="inlineStr">
        <is>
          <t>No</t>
        </is>
      </c>
      <c r="I57" t="inlineStr">
        <is>
          <t>No</t>
        </is>
      </c>
      <c r="J57" t="inlineStr">
        <is>
          <t>0</t>
        </is>
      </c>
      <c r="K57" t="inlineStr">
        <is>
          <t>Albright, William Foxwell, 1891-1971.</t>
        </is>
      </c>
      <c r="L57" t="inlineStr">
        <is>
          <t>Harmondsworth, Middlesex, Penguin Books [1949]</t>
        </is>
      </c>
      <c r="M57" t="inlineStr">
        <is>
          <t>1949</t>
        </is>
      </c>
      <c r="O57" t="inlineStr">
        <is>
          <t>eng</t>
        </is>
      </c>
      <c r="P57" t="inlineStr">
        <is>
          <t>enk</t>
        </is>
      </c>
      <c r="Q57" t="inlineStr">
        <is>
          <t>Pelican books ; A199</t>
        </is>
      </c>
      <c r="R57" t="inlineStr">
        <is>
          <t xml:space="preserve">DS </t>
        </is>
      </c>
      <c r="S57" t="n">
        <v>3</v>
      </c>
      <c r="T57" t="n">
        <v>3</v>
      </c>
      <c r="U57" t="inlineStr">
        <is>
          <t>1998-02-10</t>
        </is>
      </c>
      <c r="V57" t="inlineStr">
        <is>
          <t>1998-02-10</t>
        </is>
      </c>
      <c r="W57" t="inlineStr">
        <is>
          <t>1997-02-25</t>
        </is>
      </c>
      <c r="X57" t="inlineStr">
        <is>
          <t>1997-02-25</t>
        </is>
      </c>
      <c r="Y57" t="n">
        <v>506</v>
      </c>
      <c r="Z57" t="n">
        <v>373</v>
      </c>
      <c r="AA57" t="n">
        <v>1061</v>
      </c>
      <c r="AB57" t="n">
        <v>2</v>
      </c>
      <c r="AC57" t="n">
        <v>8</v>
      </c>
      <c r="AD57" t="n">
        <v>12</v>
      </c>
      <c r="AE57" t="n">
        <v>50</v>
      </c>
      <c r="AF57" t="n">
        <v>5</v>
      </c>
      <c r="AG57" t="n">
        <v>22</v>
      </c>
      <c r="AH57" t="n">
        <v>3</v>
      </c>
      <c r="AI57" t="n">
        <v>10</v>
      </c>
      <c r="AJ57" t="n">
        <v>7</v>
      </c>
      <c r="AK57" t="n">
        <v>26</v>
      </c>
      <c r="AL57" t="n">
        <v>0</v>
      </c>
      <c r="AM57" t="n">
        <v>5</v>
      </c>
      <c r="AN57" t="n">
        <v>0</v>
      </c>
      <c r="AO57" t="n">
        <v>0</v>
      </c>
      <c r="AP57" t="inlineStr">
        <is>
          <t>No</t>
        </is>
      </c>
      <c r="AQ57" t="inlineStr">
        <is>
          <t>Yes</t>
        </is>
      </c>
      <c r="AR57">
        <f>HYPERLINK("http://catalog.hathitrust.org/Record/001242157","HathiTrust Record")</f>
        <v/>
      </c>
      <c r="AS57">
        <f>HYPERLINK("https://creighton-primo.hosted.exlibrisgroup.com/primo-explore/search?tab=default_tab&amp;search_scope=EVERYTHING&amp;vid=01CRU&amp;lang=en_US&amp;offset=0&amp;query=any,contains,991003323039702656","Catalog Record")</f>
        <v/>
      </c>
      <c r="AT57">
        <f>HYPERLINK("http://www.worldcat.org/oclc/851400","WorldCat Record")</f>
        <v/>
      </c>
      <c r="AU57" t="inlineStr">
        <is>
          <t>1732320:eng</t>
        </is>
      </c>
      <c r="AV57" t="inlineStr">
        <is>
          <t>851400</t>
        </is>
      </c>
      <c r="AW57" t="inlineStr">
        <is>
          <t>991003323039702656</t>
        </is>
      </c>
      <c r="AX57" t="inlineStr">
        <is>
          <t>991003323039702656</t>
        </is>
      </c>
      <c r="AY57" t="inlineStr">
        <is>
          <t>2265765650002656</t>
        </is>
      </c>
      <c r="AZ57" t="inlineStr">
        <is>
          <t>BOOK</t>
        </is>
      </c>
      <c r="BC57" t="inlineStr">
        <is>
          <t>32285002460961</t>
        </is>
      </c>
      <c r="BD57" t="inlineStr">
        <is>
          <t>893809938</t>
        </is>
      </c>
    </row>
    <row r="58">
      <c r="A58" t="inlineStr">
        <is>
          <t>No</t>
        </is>
      </c>
      <c r="B58" t="inlineStr">
        <is>
          <t>DS108.9 .B78 1983</t>
        </is>
      </c>
      <c r="C58" t="inlineStr">
        <is>
          <t>0                      DS 0108900B  78          1983</t>
        </is>
      </c>
      <c r="D58" t="inlineStr">
        <is>
          <t>Jesus and Paul : places they knew / by F.F. Bruce.</t>
        </is>
      </c>
      <c r="F58" t="inlineStr">
        <is>
          <t>No</t>
        </is>
      </c>
      <c r="G58" t="inlineStr">
        <is>
          <t>1</t>
        </is>
      </c>
      <c r="H58" t="inlineStr">
        <is>
          <t>No</t>
        </is>
      </c>
      <c r="I58" t="inlineStr">
        <is>
          <t>No</t>
        </is>
      </c>
      <c r="J58" t="inlineStr">
        <is>
          <t>0</t>
        </is>
      </c>
      <c r="K58" t="inlineStr">
        <is>
          <t>Bruce, F. F. (Frederick Fyvie), 1910-1990.</t>
        </is>
      </c>
      <c r="L58" t="inlineStr">
        <is>
          <t>Nashville : T. Nelson Publishers, 1983.</t>
        </is>
      </c>
      <c r="M58" t="inlineStr">
        <is>
          <t>1983</t>
        </is>
      </c>
      <c r="O58" t="inlineStr">
        <is>
          <t>eng</t>
        </is>
      </c>
      <c r="P58" t="inlineStr">
        <is>
          <t>tnu</t>
        </is>
      </c>
      <c r="R58" t="inlineStr">
        <is>
          <t xml:space="preserve">DS </t>
        </is>
      </c>
      <c r="S58" t="n">
        <v>5</v>
      </c>
      <c r="T58" t="n">
        <v>5</v>
      </c>
      <c r="U58" t="inlineStr">
        <is>
          <t>2004-08-31</t>
        </is>
      </c>
      <c r="V58" t="inlineStr">
        <is>
          <t>2004-08-31</t>
        </is>
      </c>
      <c r="W58" t="inlineStr">
        <is>
          <t>1990-08-16</t>
        </is>
      </c>
      <c r="X58" t="inlineStr">
        <is>
          <t>1990-08-16</t>
        </is>
      </c>
      <c r="Y58" t="n">
        <v>297</v>
      </c>
      <c r="Z58" t="n">
        <v>276</v>
      </c>
      <c r="AA58" t="n">
        <v>283</v>
      </c>
      <c r="AB58" t="n">
        <v>1</v>
      </c>
      <c r="AC58" t="n">
        <v>1</v>
      </c>
      <c r="AD58" t="n">
        <v>5</v>
      </c>
      <c r="AE58" t="n">
        <v>5</v>
      </c>
      <c r="AF58" t="n">
        <v>2</v>
      </c>
      <c r="AG58" t="n">
        <v>2</v>
      </c>
      <c r="AH58" t="n">
        <v>1</v>
      </c>
      <c r="AI58" t="n">
        <v>1</v>
      </c>
      <c r="AJ58" t="n">
        <v>2</v>
      </c>
      <c r="AK58" t="n">
        <v>2</v>
      </c>
      <c r="AL58" t="n">
        <v>0</v>
      </c>
      <c r="AM58" t="n">
        <v>0</v>
      </c>
      <c r="AN58" t="n">
        <v>0</v>
      </c>
      <c r="AO58" t="n">
        <v>0</v>
      </c>
      <c r="AP58" t="inlineStr">
        <is>
          <t>No</t>
        </is>
      </c>
      <c r="AQ58" t="inlineStr">
        <is>
          <t>No</t>
        </is>
      </c>
      <c r="AS58">
        <f>HYPERLINK("https://creighton-primo.hosted.exlibrisgroup.com/primo-explore/search?tab=default_tab&amp;search_scope=EVERYTHING&amp;vid=01CRU&amp;lang=en_US&amp;offset=0&amp;query=any,contains,991000409539702656","Catalog Record")</f>
        <v/>
      </c>
      <c r="AT58">
        <f>HYPERLINK("http://www.worldcat.org/oclc/10697135","WorldCat Record")</f>
        <v/>
      </c>
      <c r="AU58" t="inlineStr">
        <is>
          <t>325045550:eng</t>
        </is>
      </c>
      <c r="AV58" t="inlineStr">
        <is>
          <t>10697135</t>
        </is>
      </c>
      <c r="AW58" t="inlineStr">
        <is>
          <t>991000409539702656</t>
        </is>
      </c>
      <c r="AX58" t="inlineStr">
        <is>
          <t>991000409539702656</t>
        </is>
      </c>
      <c r="AY58" t="inlineStr">
        <is>
          <t>2270481540002656</t>
        </is>
      </c>
      <c r="AZ58" t="inlineStr">
        <is>
          <t>BOOK</t>
        </is>
      </c>
      <c r="BB58" t="inlineStr">
        <is>
          <t>9780840752819</t>
        </is>
      </c>
      <c r="BC58" t="inlineStr">
        <is>
          <t>32285000274836</t>
        </is>
      </c>
      <c r="BD58" t="inlineStr">
        <is>
          <t>893796614</t>
        </is>
      </c>
    </row>
    <row r="59">
      <c r="A59" t="inlineStr">
        <is>
          <t>No</t>
        </is>
      </c>
      <c r="B59" t="inlineStr">
        <is>
          <t>DS108.9 .L3 1990</t>
        </is>
      </c>
      <c r="C59" t="inlineStr">
        <is>
          <t>0                      DS 0108900L  3           1990</t>
        </is>
      </c>
      <c r="D59" t="inlineStr">
        <is>
          <t>The Land that became Israel : studies in historical geography / edited by Ruth Kark ; [translated from the Hebrew by Michael Gordon].</t>
        </is>
      </c>
      <c r="F59" t="inlineStr">
        <is>
          <t>No</t>
        </is>
      </c>
      <c r="G59" t="inlineStr">
        <is>
          <t>1</t>
        </is>
      </c>
      <c r="H59" t="inlineStr">
        <is>
          <t>No</t>
        </is>
      </c>
      <c r="I59" t="inlineStr">
        <is>
          <t>No</t>
        </is>
      </c>
      <c r="J59" t="inlineStr">
        <is>
          <t>0</t>
        </is>
      </c>
      <c r="L59" t="inlineStr">
        <is>
          <t>New Haven : Yale University Press ; Jerusalem : Magnes Press, Hebrew University, 1990.</t>
        </is>
      </c>
      <c r="M59" t="inlineStr">
        <is>
          <t>1990</t>
        </is>
      </c>
      <c r="O59" t="inlineStr">
        <is>
          <t>eng</t>
        </is>
      </c>
      <c r="P59" t="inlineStr">
        <is>
          <t>ctu</t>
        </is>
      </c>
      <c r="R59" t="inlineStr">
        <is>
          <t xml:space="preserve">DS </t>
        </is>
      </c>
      <c r="S59" t="n">
        <v>2</v>
      </c>
      <c r="T59" t="n">
        <v>2</v>
      </c>
      <c r="U59" t="inlineStr">
        <is>
          <t>1997-02-04</t>
        </is>
      </c>
      <c r="V59" t="inlineStr">
        <is>
          <t>1997-02-04</t>
        </is>
      </c>
      <c r="W59" t="inlineStr">
        <is>
          <t>1990-10-13</t>
        </is>
      </c>
      <c r="X59" t="inlineStr">
        <is>
          <t>1990-10-13</t>
        </is>
      </c>
      <c r="Y59" t="n">
        <v>679</v>
      </c>
      <c r="Z59" t="n">
        <v>579</v>
      </c>
      <c r="AA59" t="n">
        <v>593</v>
      </c>
      <c r="AB59" t="n">
        <v>8</v>
      </c>
      <c r="AC59" t="n">
        <v>8</v>
      </c>
      <c r="AD59" t="n">
        <v>29</v>
      </c>
      <c r="AE59" t="n">
        <v>29</v>
      </c>
      <c r="AF59" t="n">
        <v>12</v>
      </c>
      <c r="AG59" t="n">
        <v>12</v>
      </c>
      <c r="AH59" t="n">
        <v>7</v>
      </c>
      <c r="AI59" t="n">
        <v>7</v>
      </c>
      <c r="AJ59" t="n">
        <v>11</v>
      </c>
      <c r="AK59" t="n">
        <v>11</v>
      </c>
      <c r="AL59" t="n">
        <v>7</v>
      </c>
      <c r="AM59" t="n">
        <v>7</v>
      </c>
      <c r="AN59" t="n">
        <v>0</v>
      </c>
      <c r="AO59" t="n">
        <v>0</v>
      </c>
      <c r="AP59" t="inlineStr">
        <is>
          <t>No</t>
        </is>
      </c>
      <c r="AQ59" t="inlineStr">
        <is>
          <t>No</t>
        </is>
      </c>
      <c r="AS59">
        <f>HYPERLINK("https://creighton-primo.hosted.exlibrisgroup.com/primo-explore/search?tab=default_tab&amp;search_scope=EVERYTHING&amp;vid=01CRU&amp;lang=en_US&amp;offset=0&amp;query=any,contains,991001714109702656","Catalog Record")</f>
        <v/>
      </c>
      <c r="AT59">
        <f>HYPERLINK("http://www.worldcat.org/oclc/21287153","WorldCat Record")</f>
        <v/>
      </c>
      <c r="AU59" t="inlineStr">
        <is>
          <t>836876734:eng</t>
        </is>
      </c>
      <c r="AV59" t="inlineStr">
        <is>
          <t>21287153</t>
        </is>
      </c>
      <c r="AW59" t="inlineStr">
        <is>
          <t>991001714109702656</t>
        </is>
      </c>
      <c r="AX59" t="inlineStr">
        <is>
          <t>991001714109702656</t>
        </is>
      </c>
      <c r="AY59" t="inlineStr">
        <is>
          <t>2267759550002656</t>
        </is>
      </c>
      <c r="AZ59" t="inlineStr">
        <is>
          <t>BOOK</t>
        </is>
      </c>
      <c r="BB59" t="inlineStr">
        <is>
          <t>9780300047189</t>
        </is>
      </c>
      <c r="BC59" t="inlineStr">
        <is>
          <t>32285000310374</t>
        </is>
      </c>
      <c r="BD59" t="inlineStr">
        <is>
          <t>893590576</t>
        </is>
      </c>
    </row>
    <row r="60">
      <c r="A60" t="inlineStr">
        <is>
          <t>No</t>
        </is>
      </c>
      <c r="B60" t="inlineStr">
        <is>
          <t>DS108.9 .O35 1991</t>
        </is>
      </c>
      <c r="C60" t="inlineStr">
        <is>
          <t>0                      DS 0108900O  35          1991</t>
        </is>
      </c>
      <c r="D60" t="inlineStr">
        <is>
          <t>Where Jesus walked : the land and culture of New Testament times / D. Kelly Ogden.</t>
        </is>
      </c>
      <c r="F60" t="inlineStr">
        <is>
          <t>No</t>
        </is>
      </c>
      <c r="G60" t="inlineStr">
        <is>
          <t>1</t>
        </is>
      </c>
      <c r="H60" t="inlineStr">
        <is>
          <t>No</t>
        </is>
      </c>
      <c r="I60" t="inlineStr">
        <is>
          <t>No</t>
        </is>
      </c>
      <c r="J60" t="inlineStr">
        <is>
          <t>0</t>
        </is>
      </c>
      <c r="K60" t="inlineStr">
        <is>
          <t>Ogden, D. Kelly (Daniel Kelly), 1947-</t>
        </is>
      </c>
      <c r="L60" t="inlineStr">
        <is>
          <t>Salt Lake City, Utah : Deseret Book Co., c1991.</t>
        </is>
      </c>
      <c r="M60" t="inlineStr">
        <is>
          <t>1991</t>
        </is>
      </c>
      <c r="O60" t="inlineStr">
        <is>
          <t>eng</t>
        </is>
      </c>
      <c r="P60" t="inlineStr">
        <is>
          <t>utu</t>
        </is>
      </c>
      <c r="R60" t="inlineStr">
        <is>
          <t xml:space="preserve">DS </t>
        </is>
      </c>
      <c r="S60" t="n">
        <v>9</v>
      </c>
      <c r="T60" t="n">
        <v>9</v>
      </c>
      <c r="U60" t="inlineStr">
        <is>
          <t>2002-01-21</t>
        </is>
      </c>
      <c r="V60" t="inlineStr">
        <is>
          <t>2002-01-21</t>
        </is>
      </c>
      <c r="W60" t="inlineStr">
        <is>
          <t>1992-09-09</t>
        </is>
      </c>
      <c r="X60" t="inlineStr">
        <is>
          <t>1992-09-09</t>
        </is>
      </c>
      <c r="Y60" t="n">
        <v>21</v>
      </c>
      <c r="Z60" t="n">
        <v>21</v>
      </c>
      <c r="AA60" t="n">
        <v>21</v>
      </c>
      <c r="AB60" t="n">
        <v>1</v>
      </c>
      <c r="AC60" t="n">
        <v>1</v>
      </c>
      <c r="AD60" t="n">
        <v>0</v>
      </c>
      <c r="AE60" t="n">
        <v>0</v>
      </c>
      <c r="AF60" t="n">
        <v>0</v>
      </c>
      <c r="AG60" t="n">
        <v>0</v>
      </c>
      <c r="AH60" t="n">
        <v>0</v>
      </c>
      <c r="AI60" t="n">
        <v>0</v>
      </c>
      <c r="AJ60" t="n">
        <v>0</v>
      </c>
      <c r="AK60" t="n">
        <v>0</v>
      </c>
      <c r="AL60" t="n">
        <v>0</v>
      </c>
      <c r="AM60" t="n">
        <v>0</v>
      </c>
      <c r="AN60" t="n">
        <v>0</v>
      </c>
      <c r="AO60" t="n">
        <v>0</v>
      </c>
      <c r="AP60" t="inlineStr">
        <is>
          <t>No</t>
        </is>
      </c>
      <c r="AQ60" t="inlineStr">
        <is>
          <t>No</t>
        </is>
      </c>
      <c r="AS60">
        <f>HYPERLINK("https://creighton-primo.hosted.exlibrisgroup.com/primo-explore/search?tab=default_tab&amp;search_scope=EVERYTHING&amp;vid=01CRU&amp;lang=en_US&amp;offset=0&amp;query=any,contains,991001853979702656","Catalog Record")</f>
        <v/>
      </c>
      <c r="AT60">
        <f>HYPERLINK("http://www.worldcat.org/oclc/23254526","WorldCat Record")</f>
        <v/>
      </c>
      <c r="AU60" t="inlineStr">
        <is>
          <t>9826919251:eng</t>
        </is>
      </c>
      <c r="AV60" t="inlineStr">
        <is>
          <t>23254526</t>
        </is>
      </c>
      <c r="AW60" t="inlineStr">
        <is>
          <t>991001853979702656</t>
        </is>
      </c>
      <c r="AX60" t="inlineStr">
        <is>
          <t>991001853979702656</t>
        </is>
      </c>
      <c r="AY60" t="inlineStr">
        <is>
          <t>2268766560002656</t>
        </is>
      </c>
      <c r="AZ60" t="inlineStr">
        <is>
          <t>BOOK</t>
        </is>
      </c>
      <c r="BB60" t="inlineStr">
        <is>
          <t>9780875795300</t>
        </is>
      </c>
      <c r="BC60" t="inlineStr">
        <is>
          <t>32285001286714</t>
        </is>
      </c>
      <c r="BD60" t="inlineStr">
        <is>
          <t>893879242</t>
        </is>
      </c>
    </row>
    <row r="61">
      <c r="A61" t="inlineStr">
        <is>
          <t>No</t>
        </is>
      </c>
      <c r="B61" t="inlineStr">
        <is>
          <t>DS109 .A45 1994</t>
        </is>
      </c>
      <c r="C61" t="inlineStr">
        <is>
          <t>0                      DS 0109000A  45          1994</t>
        </is>
      </c>
      <c r="D61" t="inlineStr">
        <is>
          <t>Ancient Jerusalem revealed / edited by Hillel Geva ; [English version, Joseph Shadur].</t>
        </is>
      </c>
      <c r="F61" t="inlineStr">
        <is>
          <t>No</t>
        </is>
      </c>
      <c r="G61" t="inlineStr">
        <is>
          <t>1</t>
        </is>
      </c>
      <c r="H61" t="inlineStr">
        <is>
          <t>No</t>
        </is>
      </c>
      <c r="I61" t="inlineStr">
        <is>
          <t>No</t>
        </is>
      </c>
      <c r="J61" t="inlineStr">
        <is>
          <t>0</t>
        </is>
      </c>
      <c r="L61" t="inlineStr">
        <is>
          <t>[Israel] : Israel Exploration Society, 1994.</t>
        </is>
      </c>
      <c r="M61" t="inlineStr">
        <is>
          <t>1994</t>
        </is>
      </c>
      <c r="O61" t="inlineStr">
        <is>
          <t>eng</t>
        </is>
      </c>
      <c r="P61" t="inlineStr">
        <is>
          <t xml:space="preserve">is </t>
        </is>
      </c>
      <c r="R61" t="inlineStr">
        <is>
          <t xml:space="preserve">DS </t>
        </is>
      </c>
      <c r="S61" t="n">
        <v>13</v>
      </c>
      <c r="T61" t="n">
        <v>13</v>
      </c>
      <c r="U61" t="inlineStr">
        <is>
          <t>2004-03-21</t>
        </is>
      </c>
      <c r="V61" t="inlineStr">
        <is>
          <t>2004-03-21</t>
        </is>
      </c>
      <c r="W61" t="inlineStr">
        <is>
          <t>1996-01-18</t>
        </is>
      </c>
      <c r="X61" t="inlineStr">
        <is>
          <t>1996-01-18</t>
        </is>
      </c>
      <c r="Y61" t="n">
        <v>329</v>
      </c>
      <c r="Z61" t="n">
        <v>258</v>
      </c>
      <c r="AA61" t="n">
        <v>295</v>
      </c>
      <c r="AB61" t="n">
        <v>3</v>
      </c>
      <c r="AC61" t="n">
        <v>3</v>
      </c>
      <c r="AD61" t="n">
        <v>16</v>
      </c>
      <c r="AE61" t="n">
        <v>17</v>
      </c>
      <c r="AF61" t="n">
        <v>5</v>
      </c>
      <c r="AG61" t="n">
        <v>6</v>
      </c>
      <c r="AH61" t="n">
        <v>4</v>
      </c>
      <c r="AI61" t="n">
        <v>4</v>
      </c>
      <c r="AJ61" t="n">
        <v>9</v>
      </c>
      <c r="AK61" t="n">
        <v>9</v>
      </c>
      <c r="AL61" t="n">
        <v>1</v>
      </c>
      <c r="AM61" t="n">
        <v>1</v>
      </c>
      <c r="AN61" t="n">
        <v>0</v>
      </c>
      <c r="AO61" t="n">
        <v>0</v>
      </c>
      <c r="AP61" t="inlineStr">
        <is>
          <t>No</t>
        </is>
      </c>
      <c r="AQ61" t="inlineStr">
        <is>
          <t>Yes</t>
        </is>
      </c>
      <c r="AR61">
        <f>HYPERLINK("http://catalog.hathitrust.org/Record/002881117","HathiTrust Record")</f>
        <v/>
      </c>
      <c r="AS61">
        <f>HYPERLINK("https://creighton-primo.hosted.exlibrisgroup.com/primo-explore/search?tab=default_tab&amp;search_scope=EVERYTHING&amp;vid=01CRU&amp;lang=en_US&amp;offset=0&amp;query=any,contains,991002412469702656","Catalog Record")</f>
        <v/>
      </c>
      <c r="AT61">
        <f>HYPERLINK("http://www.worldcat.org/oclc/31408640","WorldCat Record")</f>
        <v/>
      </c>
      <c r="AU61" t="inlineStr">
        <is>
          <t>1151453683:eng</t>
        </is>
      </c>
      <c r="AV61" t="inlineStr">
        <is>
          <t>31408640</t>
        </is>
      </c>
      <c r="AW61" t="inlineStr">
        <is>
          <t>991002412469702656</t>
        </is>
      </c>
      <c r="AX61" t="inlineStr">
        <is>
          <t>991002412469702656</t>
        </is>
      </c>
      <c r="AY61" t="inlineStr">
        <is>
          <t>2267552320002656</t>
        </is>
      </c>
      <c r="AZ61" t="inlineStr">
        <is>
          <t>BOOK</t>
        </is>
      </c>
      <c r="BB61" t="inlineStr">
        <is>
          <t>9789652210210</t>
        </is>
      </c>
      <c r="BC61" t="inlineStr">
        <is>
          <t>32285002119328</t>
        </is>
      </c>
      <c r="BD61" t="inlineStr">
        <is>
          <t>893786105</t>
        </is>
      </c>
    </row>
    <row r="62">
      <c r="A62" t="inlineStr">
        <is>
          <t>No</t>
        </is>
      </c>
      <c r="B62" t="inlineStr">
        <is>
          <t>DS109 .A74813 1983</t>
        </is>
      </c>
      <c r="C62" t="inlineStr">
        <is>
          <t>0                      DS 0109000A  74813       1983</t>
        </is>
      </c>
      <c r="D62" t="inlineStr">
        <is>
          <t>Discovering Jerusalem / by Nahman Avigad.</t>
        </is>
      </c>
      <c r="F62" t="inlineStr">
        <is>
          <t>No</t>
        </is>
      </c>
      <c r="G62" t="inlineStr">
        <is>
          <t>1</t>
        </is>
      </c>
      <c r="H62" t="inlineStr">
        <is>
          <t>No</t>
        </is>
      </c>
      <c r="I62" t="inlineStr">
        <is>
          <t>No</t>
        </is>
      </c>
      <c r="J62" t="inlineStr">
        <is>
          <t>0</t>
        </is>
      </c>
      <c r="K62" t="inlineStr">
        <is>
          <t>Avigad, Nahman.</t>
        </is>
      </c>
      <c r="L62" t="inlineStr">
        <is>
          <t>Nashville : T. Nelson, [1983]</t>
        </is>
      </c>
      <c r="M62" t="inlineStr">
        <is>
          <t>1983</t>
        </is>
      </c>
      <c r="O62" t="inlineStr">
        <is>
          <t>eng</t>
        </is>
      </c>
      <c r="P62" t="inlineStr">
        <is>
          <t>tnu</t>
        </is>
      </c>
      <c r="R62" t="inlineStr">
        <is>
          <t xml:space="preserve">DS </t>
        </is>
      </c>
      <c r="S62" t="n">
        <v>14</v>
      </c>
      <c r="T62" t="n">
        <v>14</v>
      </c>
      <c r="U62" t="inlineStr">
        <is>
          <t>2000-02-10</t>
        </is>
      </c>
      <c r="V62" t="inlineStr">
        <is>
          <t>2000-02-10</t>
        </is>
      </c>
      <c r="W62" t="inlineStr">
        <is>
          <t>1990-09-28</t>
        </is>
      </c>
      <c r="X62" t="inlineStr">
        <is>
          <t>1990-09-28</t>
        </is>
      </c>
      <c r="Y62" t="n">
        <v>432</v>
      </c>
      <c r="Z62" t="n">
        <v>375</v>
      </c>
      <c r="AA62" t="n">
        <v>380</v>
      </c>
      <c r="AB62" t="n">
        <v>3</v>
      </c>
      <c r="AC62" t="n">
        <v>3</v>
      </c>
      <c r="AD62" t="n">
        <v>16</v>
      </c>
      <c r="AE62" t="n">
        <v>16</v>
      </c>
      <c r="AF62" t="n">
        <v>4</v>
      </c>
      <c r="AG62" t="n">
        <v>4</v>
      </c>
      <c r="AH62" t="n">
        <v>5</v>
      </c>
      <c r="AI62" t="n">
        <v>5</v>
      </c>
      <c r="AJ62" t="n">
        <v>10</v>
      </c>
      <c r="AK62" t="n">
        <v>10</v>
      </c>
      <c r="AL62" t="n">
        <v>1</v>
      </c>
      <c r="AM62" t="n">
        <v>1</v>
      </c>
      <c r="AN62" t="n">
        <v>0</v>
      </c>
      <c r="AO62" t="n">
        <v>0</v>
      </c>
      <c r="AP62" t="inlineStr">
        <is>
          <t>No</t>
        </is>
      </c>
      <c r="AQ62" t="inlineStr">
        <is>
          <t>Yes</t>
        </is>
      </c>
      <c r="AR62">
        <f>HYPERLINK("http://catalog.hathitrust.org/Record/000203044","HathiTrust Record")</f>
        <v/>
      </c>
      <c r="AS62">
        <f>HYPERLINK("https://creighton-primo.hosted.exlibrisgroup.com/primo-explore/search?tab=default_tab&amp;search_scope=EVERYTHING&amp;vid=01CRU&amp;lang=en_US&amp;offset=0&amp;query=any,contains,991000264969702656","Catalog Record")</f>
        <v/>
      </c>
      <c r="AT62">
        <f>HYPERLINK("http://www.worldcat.org/oclc/9828514","WorldCat Record")</f>
        <v/>
      </c>
      <c r="AU62" t="inlineStr">
        <is>
          <t>4922255:eng</t>
        </is>
      </c>
      <c r="AV62" t="inlineStr">
        <is>
          <t>9828514</t>
        </is>
      </c>
      <c r="AW62" t="inlineStr">
        <is>
          <t>991000264969702656</t>
        </is>
      </c>
      <c r="AX62" t="inlineStr">
        <is>
          <t>991000264969702656</t>
        </is>
      </c>
      <c r="AY62" t="inlineStr">
        <is>
          <t>2269428520002656</t>
        </is>
      </c>
      <c r="AZ62" t="inlineStr">
        <is>
          <t>BOOK</t>
        </is>
      </c>
      <c r="BB62" t="inlineStr">
        <is>
          <t>9780840752994</t>
        </is>
      </c>
      <c r="BC62" t="inlineStr">
        <is>
          <t>32285000292663</t>
        </is>
      </c>
      <c r="BD62" t="inlineStr">
        <is>
          <t>893701980</t>
        </is>
      </c>
    </row>
    <row r="63">
      <c r="A63" t="inlineStr">
        <is>
          <t>No</t>
        </is>
      </c>
      <c r="B63" t="inlineStr">
        <is>
          <t>DS109 .A95 1996, v...</t>
        </is>
      </c>
      <c r="C63" t="inlineStr">
        <is>
          <t>0                      DS 0109000A  95          1996                                        v...</t>
        </is>
      </c>
      <c r="D63" t="inlineStr">
        <is>
          <t>Jerusalem / Graeme Auld, Margreet Steiner.</t>
        </is>
      </c>
      <c r="E63" t="inlineStr">
        <is>
          <t>V. 1</t>
        </is>
      </c>
      <c r="F63" t="inlineStr">
        <is>
          <t>No</t>
        </is>
      </c>
      <c r="G63" t="inlineStr">
        <is>
          <t>1</t>
        </is>
      </c>
      <c r="H63" t="inlineStr">
        <is>
          <t>No</t>
        </is>
      </c>
      <c r="I63" t="inlineStr">
        <is>
          <t>No</t>
        </is>
      </c>
      <c r="J63" t="inlineStr">
        <is>
          <t>0</t>
        </is>
      </c>
      <c r="K63" t="inlineStr">
        <is>
          <t>Auld, A. Graeme.</t>
        </is>
      </c>
      <c r="L63" t="inlineStr">
        <is>
          <t>Macon, Ga., USA : Mercer University Press, c1996-</t>
        </is>
      </c>
      <c r="M63" t="inlineStr">
        <is>
          <t>1996</t>
        </is>
      </c>
      <c r="O63" t="inlineStr">
        <is>
          <t>eng</t>
        </is>
      </c>
      <c r="P63" t="inlineStr">
        <is>
          <t>gau</t>
        </is>
      </c>
      <c r="Q63" t="inlineStr">
        <is>
          <t>Cities of the Biblical World</t>
        </is>
      </c>
      <c r="R63" t="inlineStr">
        <is>
          <t xml:space="preserve">DS </t>
        </is>
      </c>
      <c r="S63" t="n">
        <v>6</v>
      </c>
      <c r="T63" t="n">
        <v>6</v>
      </c>
      <c r="U63" t="inlineStr">
        <is>
          <t>2000-02-10</t>
        </is>
      </c>
      <c r="V63" t="inlineStr">
        <is>
          <t>2000-02-10</t>
        </is>
      </c>
      <c r="W63" t="inlineStr">
        <is>
          <t>1997-10-21</t>
        </is>
      </c>
      <c r="X63" t="inlineStr">
        <is>
          <t>1997-10-21</t>
        </is>
      </c>
      <c r="Y63" t="n">
        <v>128</v>
      </c>
      <c r="Z63" t="n">
        <v>115</v>
      </c>
      <c r="AA63" t="n">
        <v>227</v>
      </c>
      <c r="AB63" t="n">
        <v>1</v>
      </c>
      <c r="AC63" t="n">
        <v>2</v>
      </c>
      <c r="AD63" t="n">
        <v>8</v>
      </c>
      <c r="AE63" t="n">
        <v>15</v>
      </c>
      <c r="AF63" t="n">
        <v>2</v>
      </c>
      <c r="AG63" t="n">
        <v>5</v>
      </c>
      <c r="AH63" t="n">
        <v>1</v>
      </c>
      <c r="AI63" t="n">
        <v>3</v>
      </c>
      <c r="AJ63" t="n">
        <v>6</v>
      </c>
      <c r="AK63" t="n">
        <v>9</v>
      </c>
      <c r="AL63" t="n">
        <v>0</v>
      </c>
      <c r="AM63" t="n">
        <v>1</v>
      </c>
      <c r="AN63" t="n">
        <v>0</v>
      </c>
      <c r="AO63" t="n">
        <v>0</v>
      </c>
      <c r="AP63" t="inlineStr">
        <is>
          <t>No</t>
        </is>
      </c>
      <c r="AQ63" t="inlineStr">
        <is>
          <t>No</t>
        </is>
      </c>
      <c r="AS63">
        <f>HYPERLINK("https://creighton-primo.hosted.exlibrisgroup.com/primo-explore/search?tab=default_tab&amp;search_scope=EVERYTHING&amp;vid=01CRU&amp;lang=en_US&amp;offset=0&amp;query=any,contains,991002732489702656","Catalog Record")</f>
        <v/>
      </c>
      <c r="AT63">
        <f>HYPERLINK("http://www.worldcat.org/oclc/35842717","WorldCat Record")</f>
        <v/>
      </c>
      <c r="AU63" t="inlineStr">
        <is>
          <t>3943792013:eng</t>
        </is>
      </c>
      <c r="AV63" t="inlineStr">
        <is>
          <t>35842717</t>
        </is>
      </c>
      <c r="AW63" t="inlineStr">
        <is>
          <t>991002732489702656</t>
        </is>
      </c>
      <c r="AX63" t="inlineStr">
        <is>
          <t>991002732489702656</t>
        </is>
      </c>
      <c r="AY63" t="inlineStr">
        <is>
          <t>2268630480002656</t>
        </is>
      </c>
      <c r="AZ63" t="inlineStr">
        <is>
          <t>BOOK</t>
        </is>
      </c>
      <c r="BB63" t="inlineStr">
        <is>
          <t>9780865545205</t>
        </is>
      </c>
      <c r="BC63" t="inlineStr">
        <is>
          <t>32285003257150</t>
        </is>
      </c>
      <c r="BD63" t="inlineStr">
        <is>
          <t>893530386</t>
        </is>
      </c>
    </row>
    <row r="64">
      <c r="A64" t="inlineStr">
        <is>
          <t>No</t>
        </is>
      </c>
      <c r="B64" t="inlineStr">
        <is>
          <t>DS109 .F74 1987</t>
        </is>
      </c>
      <c r="C64" t="inlineStr">
        <is>
          <t>0                      DS 0109000F  74          1987</t>
        </is>
      </c>
      <c r="D64" t="inlineStr">
        <is>
          <t>The beauty of Jerusalem and the holy places of the Gospels / G.S.P. Freeman-Grenville ; [illustrated by P. Giggle].</t>
        </is>
      </c>
      <c r="F64" t="inlineStr">
        <is>
          <t>No</t>
        </is>
      </c>
      <c r="G64" t="inlineStr">
        <is>
          <t>1</t>
        </is>
      </c>
      <c r="H64" t="inlineStr">
        <is>
          <t>No</t>
        </is>
      </c>
      <c r="I64" t="inlineStr">
        <is>
          <t>No</t>
        </is>
      </c>
      <c r="J64" t="inlineStr">
        <is>
          <t>0</t>
        </is>
      </c>
      <c r="K64" t="inlineStr">
        <is>
          <t>Freeman-Grenville, G. S. P. (Greville Stewart Parker)</t>
        </is>
      </c>
      <c r="L64" t="inlineStr">
        <is>
          <t>New York : Continuum, 1987.</t>
        </is>
      </c>
      <c r="M64" t="inlineStr">
        <is>
          <t>1987</t>
        </is>
      </c>
      <c r="N64" t="inlineStr">
        <is>
          <t>2nd ed.</t>
        </is>
      </c>
      <c r="O64" t="inlineStr">
        <is>
          <t>eng</t>
        </is>
      </c>
      <c r="P64" t="inlineStr">
        <is>
          <t>nyu</t>
        </is>
      </c>
      <c r="R64" t="inlineStr">
        <is>
          <t xml:space="preserve">DS </t>
        </is>
      </c>
      <c r="S64" t="n">
        <v>11</v>
      </c>
      <c r="T64" t="n">
        <v>11</v>
      </c>
      <c r="U64" t="inlineStr">
        <is>
          <t>1998-02-03</t>
        </is>
      </c>
      <c r="V64" t="inlineStr">
        <is>
          <t>1998-02-03</t>
        </is>
      </c>
      <c r="W64" t="inlineStr">
        <is>
          <t>1990-09-28</t>
        </is>
      </c>
      <c r="X64" t="inlineStr">
        <is>
          <t>1990-09-28</t>
        </is>
      </c>
      <c r="Y64" t="n">
        <v>70</v>
      </c>
      <c r="Z64" t="n">
        <v>62</v>
      </c>
      <c r="AA64" t="n">
        <v>85</v>
      </c>
      <c r="AB64" t="n">
        <v>1</v>
      </c>
      <c r="AC64" t="n">
        <v>1</v>
      </c>
      <c r="AD64" t="n">
        <v>2</v>
      </c>
      <c r="AE64" t="n">
        <v>2</v>
      </c>
      <c r="AF64" t="n">
        <v>1</v>
      </c>
      <c r="AG64" t="n">
        <v>1</v>
      </c>
      <c r="AH64" t="n">
        <v>1</v>
      </c>
      <c r="AI64" t="n">
        <v>1</v>
      </c>
      <c r="AJ64" t="n">
        <v>0</v>
      </c>
      <c r="AK64" t="n">
        <v>0</v>
      </c>
      <c r="AL64" t="n">
        <v>0</v>
      </c>
      <c r="AM64" t="n">
        <v>0</v>
      </c>
      <c r="AN64" t="n">
        <v>0</v>
      </c>
      <c r="AO64" t="n">
        <v>0</v>
      </c>
      <c r="AP64" t="inlineStr">
        <is>
          <t>No</t>
        </is>
      </c>
      <c r="AQ64" t="inlineStr">
        <is>
          <t>No</t>
        </is>
      </c>
      <c r="AS64">
        <f>HYPERLINK("https://creighton-primo.hosted.exlibrisgroup.com/primo-explore/search?tab=default_tab&amp;search_scope=EVERYTHING&amp;vid=01CRU&amp;lang=en_US&amp;offset=0&amp;query=any,contains,991001021449702656","Catalog Record")</f>
        <v/>
      </c>
      <c r="AT64">
        <f>HYPERLINK("http://www.worldcat.org/oclc/15367128","WorldCat Record")</f>
        <v/>
      </c>
      <c r="AU64" t="inlineStr">
        <is>
          <t>223684112:eng</t>
        </is>
      </c>
      <c r="AV64" t="inlineStr">
        <is>
          <t>15367128</t>
        </is>
      </c>
      <c r="AW64" t="inlineStr">
        <is>
          <t>991001021449702656</t>
        </is>
      </c>
      <c r="AX64" t="inlineStr">
        <is>
          <t>991001021449702656</t>
        </is>
      </c>
      <c r="AY64" t="inlineStr">
        <is>
          <t>2260429310002656</t>
        </is>
      </c>
      <c r="AZ64" t="inlineStr">
        <is>
          <t>BOOK</t>
        </is>
      </c>
      <c r="BB64" t="inlineStr">
        <is>
          <t>9780826403988</t>
        </is>
      </c>
      <c r="BC64" t="inlineStr">
        <is>
          <t>32285000292671</t>
        </is>
      </c>
      <c r="BD64" t="inlineStr">
        <is>
          <t>893683948</t>
        </is>
      </c>
    </row>
    <row r="65">
      <c r="A65" t="inlineStr">
        <is>
          <t>No</t>
        </is>
      </c>
      <c r="B65" t="inlineStr">
        <is>
          <t>DS109 .J44</t>
        </is>
      </c>
      <c r="C65" t="inlineStr">
        <is>
          <t>0                      DS 0109000J  44</t>
        </is>
      </c>
      <c r="D65" t="inlineStr">
        <is>
          <t>Jerusalem revealed : archaeology in the Holy City, 1968-1974 / editor, Y. Yadin, associate editor, E. Stern ; English translation and abridgement by R. Grafman.</t>
        </is>
      </c>
      <c r="F65" t="inlineStr">
        <is>
          <t>No</t>
        </is>
      </c>
      <c r="G65" t="inlineStr">
        <is>
          <t>1</t>
        </is>
      </c>
      <c r="H65" t="inlineStr">
        <is>
          <t>No</t>
        </is>
      </c>
      <c r="I65" t="inlineStr">
        <is>
          <t>No</t>
        </is>
      </c>
      <c r="J65" t="inlineStr">
        <is>
          <t>0</t>
        </is>
      </c>
      <c r="L65" t="inlineStr">
        <is>
          <t>Jerusalem : Israel Exploration Society, 1975.</t>
        </is>
      </c>
      <c r="M65" t="inlineStr">
        <is>
          <t>1975</t>
        </is>
      </c>
      <c r="O65" t="inlineStr">
        <is>
          <t>eng</t>
        </is>
      </c>
      <c r="P65" t="inlineStr">
        <is>
          <t xml:space="preserve">is </t>
        </is>
      </c>
      <c r="R65" t="inlineStr">
        <is>
          <t xml:space="preserve">DS </t>
        </is>
      </c>
      <c r="S65" t="n">
        <v>4</v>
      </c>
      <c r="T65" t="n">
        <v>4</v>
      </c>
      <c r="U65" t="inlineStr">
        <is>
          <t>2004-03-21</t>
        </is>
      </c>
      <c r="V65" t="inlineStr">
        <is>
          <t>2004-03-21</t>
        </is>
      </c>
      <c r="W65" t="inlineStr">
        <is>
          <t>1997-02-25</t>
        </is>
      </c>
      <c r="X65" t="inlineStr">
        <is>
          <t>1997-02-25</t>
        </is>
      </c>
      <c r="Y65" t="n">
        <v>301</v>
      </c>
      <c r="Z65" t="n">
        <v>214</v>
      </c>
      <c r="AA65" t="n">
        <v>750</v>
      </c>
      <c r="AB65" t="n">
        <v>1</v>
      </c>
      <c r="AC65" t="n">
        <v>7</v>
      </c>
      <c r="AD65" t="n">
        <v>10</v>
      </c>
      <c r="AE65" t="n">
        <v>39</v>
      </c>
      <c r="AF65" t="n">
        <v>4</v>
      </c>
      <c r="AG65" t="n">
        <v>18</v>
      </c>
      <c r="AH65" t="n">
        <v>4</v>
      </c>
      <c r="AI65" t="n">
        <v>9</v>
      </c>
      <c r="AJ65" t="n">
        <v>6</v>
      </c>
      <c r="AK65" t="n">
        <v>16</v>
      </c>
      <c r="AL65" t="n">
        <v>0</v>
      </c>
      <c r="AM65" t="n">
        <v>5</v>
      </c>
      <c r="AN65" t="n">
        <v>0</v>
      </c>
      <c r="AO65" t="n">
        <v>0</v>
      </c>
      <c r="AP65" t="inlineStr">
        <is>
          <t>No</t>
        </is>
      </c>
      <c r="AQ65" t="inlineStr">
        <is>
          <t>Yes</t>
        </is>
      </c>
      <c r="AR65">
        <f>HYPERLINK("http://catalog.hathitrust.org/Record/000026199","HathiTrust Record")</f>
        <v/>
      </c>
      <c r="AS65">
        <f>HYPERLINK("https://creighton-primo.hosted.exlibrisgroup.com/primo-explore/search?tab=default_tab&amp;search_scope=EVERYTHING&amp;vid=01CRU&amp;lang=en_US&amp;offset=0&amp;query=any,contains,991003818619702656","Catalog Record")</f>
        <v/>
      </c>
      <c r="AT65">
        <f>HYPERLINK("http://www.worldcat.org/oclc/1551923","WorldCat Record")</f>
        <v/>
      </c>
      <c r="AU65" t="inlineStr">
        <is>
          <t>793871675:eng</t>
        </is>
      </c>
      <c r="AV65" t="inlineStr">
        <is>
          <t>1551923</t>
        </is>
      </c>
      <c r="AW65" t="inlineStr">
        <is>
          <t>991003818619702656</t>
        </is>
      </c>
      <c r="AX65" t="inlineStr">
        <is>
          <t>991003818619702656</t>
        </is>
      </c>
      <c r="AY65" t="inlineStr">
        <is>
          <t>2265811030002656</t>
        </is>
      </c>
      <c r="AZ65" t="inlineStr">
        <is>
          <t>BOOK</t>
        </is>
      </c>
      <c r="BC65" t="inlineStr">
        <is>
          <t>32285002460987</t>
        </is>
      </c>
      <c r="BD65" t="inlineStr">
        <is>
          <t>893617806</t>
        </is>
      </c>
    </row>
    <row r="66">
      <c r="A66" t="inlineStr">
        <is>
          <t>No</t>
        </is>
      </c>
      <c r="B66" t="inlineStr">
        <is>
          <t>DS109 .J713 1958</t>
        </is>
      </c>
      <c r="C66" t="inlineStr">
        <is>
          <t>0                      DS 0109000J  713         1958</t>
        </is>
      </c>
      <c r="D66" t="inlineStr">
        <is>
          <t>Jerusalem. Translated by Charlotte Haldane.</t>
        </is>
      </c>
      <c r="F66" t="inlineStr">
        <is>
          <t>No</t>
        </is>
      </c>
      <c r="G66" t="inlineStr">
        <is>
          <t>1</t>
        </is>
      </c>
      <c r="H66" t="inlineStr">
        <is>
          <t>No</t>
        </is>
      </c>
      <c r="I66" t="inlineStr">
        <is>
          <t>No</t>
        </is>
      </c>
      <c r="J66" t="inlineStr">
        <is>
          <t>0</t>
        </is>
      </c>
      <c r="K66" t="inlineStr">
        <is>
          <t>Join-Lambert, Michel.</t>
        </is>
      </c>
      <c r="L66" t="inlineStr">
        <is>
          <t>New York, F. Ungar Pub. Co. [c1958]</t>
        </is>
      </c>
      <c r="M66" t="inlineStr">
        <is>
          <t>1958</t>
        </is>
      </c>
      <c r="O66" t="inlineStr">
        <is>
          <t>eng</t>
        </is>
      </c>
      <c r="P66" t="inlineStr">
        <is>
          <t>nyu</t>
        </is>
      </c>
      <c r="Q66" t="inlineStr">
        <is>
          <t>Ancient cities and temples</t>
        </is>
      </c>
      <c r="R66" t="inlineStr">
        <is>
          <t xml:space="preserve">DS </t>
        </is>
      </c>
      <c r="S66" t="n">
        <v>6</v>
      </c>
      <c r="T66" t="n">
        <v>6</v>
      </c>
      <c r="U66" t="inlineStr">
        <is>
          <t>2000-04-29</t>
        </is>
      </c>
      <c r="V66" t="inlineStr">
        <is>
          <t>2000-04-29</t>
        </is>
      </c>
      <c r="W66" t="inlineStr">
        <is>
          <t>1996-08-02</t>
        </is>
      </c>
      <c r="X66" t="inlineStr">
        <is>
          <t>1996-08-02</t>
        </is>
      </c>
      <c r="Y66" t="n">
        <v>99</v>
      </c>
      <c r="Z66" t="n">
        <v>90</v>
      </c>
      <c r="AA66" t="n">
        <v>602</v>
      </c>
      <c r="AB66" t="n">
        <v>2</v>
      </c>
      <c r="AC66" t="n">
        <v>2</v>
      </c>
      <c r="AD66" t="n">
        <v>5</v>
      </c>
      <c r="AE66" t="n">
        <v>24</v>
      </c>
      <c r="AF66" t="n">
        <v>1</v>
      </c>
      <c r="AG66" t="n">
        <v>9</v>
      </c>
      <c r="AH66" t="n">
        <v>1</v>
      </c>
      <c r="AI66" t="n">
        <v>4</v>
      </c>
      <c r="AJ66" t="n">
        <v>2</v>
      </c>
      <c r="AK66" t="n">
        <v>14</v>
      </c>
      <c r="AL66" t="n">
        <v>1</v>
      </c>
      <c r="AM66" t="n">
        <v>1</v>
      </c>
      <c r="AN66" t="n">
        <v>0</v>
      </c>
      <c r="AO66" t="n">
        <v>0</v>
      </c>
      <c r="AP66" t="inlineStr">
        <is>
          <t>No</t>
        </is>
      </c>
      <c r="AQ66" t="inlineStr">
        <is>
          <t>No</t>
        </is>
      </c>
      <c r="AS66">
        <f>HYPERLINK("https://creighton-primo.hosted.exlibrisgroup.com/primo-explore/search?tab=default_tab&amp;search_scope=EVERYTHING&amp;vid=01CRU&amp;lang=en_US&amp;offset=0&amp;query=any,contains,991004289589702656","Catalog Record")</f>
        <v/>
      </c>
      <c r="AT66">
        <f>HYPERLINK("http://www.worldcat.org/oclc/2938802","WorldCat Record")</f>
        <v/>
      </c>
      <c r="AU66" t="inlineStr">
        <is>
          <t>259251:eng</t>
        </is>
      </c>
      <c r="AV66" t="inlineStr">
        <is>
          <t>2938802</t>
        </is>
      </c>
      <c r="AW66" t="inlineStr">
        <is>
          <t>991004289589702656</t>
        </is>
      </c>
      <c r="AX66" t="inlineStr">
        <is>
          <t>991004289589702656</t>
        </is>
      </c>
      <c r="AY66" t="inlineStr">
        <is>
          <t>2261188320002656</t>
        </is>
      </c>
      <c r="AZ66" t="inlineStr">
        <is>
          <t>BOOK</t>
        </is>
      </c>
      <c r="BC66" t="inlineStr">
        <is>
          <t>32285002209632</t>
        </is>
      </c>
      <c r="BD66" t="inlineStr">
        <is>
          <t>893423623</t>
        </is>
      </c>
    </row>
    <row r="67">
      <c r="A67" t="inlineStr">
        <is>
          <t>No</t>
        </is>
      </c>
      <c r="B67" t="inlineStr">
        <is>
          <t>DS109 .K4</t>
        </is>
      </c>
      <c r="C67" t="inlineStr">
        <is>
          <t>0                      DS 0109000K  4</t>
        </is>
      </c>
      <c r="D67" t="inlineStr">
        <is>
          <t>Jerusalem; excavating 3000 years of history by Kathleen M. Kenyon.</t>
        </is>
      </c>
      <c r="F67" t="inlineStr">
        <is>
          <t>No</t>
        </is>
      </c>
      <c r="G67" t="inlineStr">
        <is>
          <t>1</t>
        </is>
      </c>
      <c r="H67" t="inlineStr">
        <is>
          <t>No</t>
        </is>
      </c>
      <c r="I67" t="inlineStr">
        <is>
          <t>No</t>
        </is>
      </c>
      <c r="J67" t="inlineStr">
        <is>
          <t>0</t>
        </is>
      </c>
      <c r="K67" t="inlineStr">
        <is>
          <t>Kenyon, Kathleen M., 1906-1978.</t>
        </is>
      </c>
      <c r="L67" t="inlineStr">
        <is>
          <t>New York, McGraw-Hill [c1967]</t>
        </is>
      </c>
      <c r="M67" t="inlineStr">
        <is>
          <t>1967</t>
        </is>
      </c>
      <c r="O67" t="inlineStr">
        <is>
          <t>eng</t>
        </is>
      </c>
      <c r="P67" t="inlineStr">
        <is>
          <t>nyu</t>
        </is>
      </c>
      <c r="Q67" t="inlineStr">
        <is>
          <t>New aspects of archaeology</t>
        </is>
      </c>
      <c r="R67" t="inlineStr">
        <is>
          <t xml:space="preserve">DS </t>
        </is>
      </c>
      <c r="S67" t="n">
        <v>14</v>
      </c>
      <c r="T67" t="n">
        <v>14</v>
      </c>
      <c r="U67" t="inlineStr">
        <is>
          <t>2009-11-25</t>
        </is>
      </c>
      <c r="V67" t="inlineStr">
        <is>
          <t>2009-11-25</t>
        </is>
      </c>
      <c r="W67" t="inlineStr">
        <is>
          <t>1997-02-25</t>
        </is>
      </c>
      <c r="X67" t="inlineStr">
        <is>
          <t>1997-02-25</t>
        </is>
      </c>
      <c r="Y67" t="n">
        <v>804</v>
      </c>
      <c r="Z67" t="n">
        <v>771</v>
      </c>
      <c r="AA67" t="n">
        <v>839</v>
      </c>
      <c r="AB67" t="n">
        <v>5</v>
      </c>
      <c r="AC67" t="n">
        <v>5</v>
      </c>
      <c r="AD67" t="n">
        <v>32</v>
      </c>
      <c r="AE67" t="n">
        <v>35</v>
      </c>
      <c r="AF67" t="n">
        <v>13</v>
      </c>
      <c r="AG67" t="n">
        <v>16</v>
      </c>
      <c r="AH67" t="n">
        <v>7</v>
      </c>
      <c r="AI67" t="n">
        <v>7</v>
      </c>
      <c r="AJ67" t="n">
        <v>15</v>
      </c>
      <c r="AK67" t="n">
        <v>17</v>
      </c>
      <c r="AL67" t="n">
        <v>4</v>
      </c>
      <c r="AM67" t="n">
        <v>4</v>
      </c>
      <c r="AN67" t="n">
        <v>0</v>
      </c>
      <c r="AO67" t="n">
        <v>0</v>
      </c>
      <c r="AP67" t="inlineStr">
        <is>
          <t>No</t>
        </is>
      </c>
      <c r="AQ67" t="inlineStr">
        <is>
          <t>No</t>
        </is>
      </c>
      <c r="AS67">
        <f>HYPERLINK("https://creighton-primo.hosted.exlibrisgroup.com/primo-explore/search?tab=default_tab&amp;search_scope=EVERYTHING&amp;vid=01CRU&amp;lang=en_US&amp;offset=0&amp;query=any,contains,991003595959702656","Catalog Record")</f>
        <v/>
      </c>
      <c r="AT67">
        <f>HYPERLINK("http://www.worldcat.org/oclc/1175670","WorldCat Record")</f>
        <v/>
      </c>
      <c r="AU67" t="inlineStr">
        <is>
          <t>2120946:eng</t>
        </is>
      </c>
      <c r="AV67" t="inlineStr">
        <is>
          <t>1175670</t>
        </is>
      </c>
      <c r="AW67" t="inlineStr">
        <is>
          <t>991003595959702656</t>
        </is>
      </c>
      <c r="AX67" t="inlineStr">
        <is>
          <t>991003595959702656</t>
        </is>
      </c>
      <c r="AY67" t="inlineStr">
        <is>
          <t>2271900210002656</t>
        </is>
      </c>
      <c r="AZ67" t="inlineStr">
        <is>
          <t>BOOK</t>
        </is>
      </c>
      <c r="BC67" t="inlineStr">
        <is>
          <t>32285002461001</t>
        </is>
      </c>
      <c r="BD67" t="inlineStr">
        <is>
          <t>893868602</t>
        </is>
      </c>
    </row>
    <row r="68">
      <c r="A68" t="inlineStr">
        <is>
          <t>No</t>
        </is>
      </c>
      <c r="B68" t="inlineStr">
        <is>
          <t>DS109 .M2</t>
        </is>
      </c>
      <c r="C68" t="inlineStr">
        <is>
          <t>0                      DS 0109000M  2</t>
        </is>
      </c>
      <c r="D68" t="inlineStr">
        <is>
          <t>Jerusalem, city of Jesus : an exploration of the traditions, writings, and remains of the Holy City from the time of Christ / text by Richard M. Mackowski ; photography by Garo Nalbandian.</t>
        </is>
      </c>
      <c r="F68" t="inlineStr">
        <is>
          <t>No</t>
        </is>
      </c>
      <c r="G68" t="inlineStr">
        <is>
          <t>1</t>
        </is>
      </c>
      <c r="H68" t="inlineStr">
        <is>
          <t>No</t>
        </is>
      </c>
      <c r="I68" t="inlineStr">
        <is>
          <t>No</t>
        </is>
      </c>
      <c r="J68" t="inlineStr">
        <is>
          <t>0</t>
        </is>
      </c>
      <c r="K68" t="inlineStr">
        <is>
          <t>Mackowski, Richard M., 1929-</t>
        </is>
      </c>
      <c r="L68" t="inlineStr">
        <is>
          <t>Grand Rapids, Mich. : W. B. Eerdmans Pub. Co., c1980.</t>
        </is>
      </c>
      <c r="M68" t="inlineStr">
        <is>
          <t>1980</t>
        </is>
      </c>
      <c r="O68" t="inlineStr">
        <is>
          <t>eng</t>
        </is>
      </c>
      <c r="P68" t="inlineStr">
        <is>
          <t>miu</t>
        </is>
      </c>
      <c r="R68" t="inlineStr">
        <is>
          <t xml:space="preserve">DS </t>
        </is>
      </c>
      <c r="S68" t="n">
        <v>4</v>
      </c>
      <c r="T68" t="n">
        <v>4</v>
      </c>
      <c r="U68" t="inlineStr">
        <is>
          <t>1996-06-13</t>
        </is>
      </c>
      <c r="V68" t="inlineStr">
        <is>
          <t>1996-06-13</t>
        </is>
      </c>
      <c r="W68" t="inlineStr">
        <is>
          <t>1990-09-28</t>
        </is>
      </c>
      <c r="X68" t="inlineStr">
        <is>
          <t>1990-09-28</t>
        </is>
      </c>
      <c r="Y68" t="n">
        <v>698</v>
      </c>
      <c r="Z68" t="n">
        <v>629</v>
      </c>
      <c r="AA68" t="n">
        <v>638</v>
      </c>
      <c r="AB68" t="n">
        <v>4</v>
      </c>
      <c r="AC68" t="n">
        <v>4</v>
      </c>
      <c r="AD68" t="n">
        <v>33</v>
      </c>
      <c r="AE68" t="n">
        <v>33</v>
      </c>
      <c r="AF68" t="n">
        <v>14</v>
      </c>
      <c r="AG68" t="n">
        <v>14</v>
      </c>
      <c r="AH68" t="n">
        <v>9</v>
      </c>
      <c r="AI68" t="n">
        <v>9</v>
      </c>
      <c r="AJ68" t="n">
        <v>21</v>
      </c>
      <c r="AK68" t="n">
        <v>21</v>
      </c>
      <c r="AL68" t="n">
        <v>0</v>
      </c>
      <c r="AM68" t="n">
        <v>0</v>
      </c>
      <c r="AN68" t="n">
        <v>0</v>
      </c>
      <c r="AO68" t="n">
        <v>0</v>
      </c>
      <c r="AP68" t="inlineStr">
        <is>
          <t>No</t>
        </is>
      </c>
      <c r="AQ68" t="inlineStr">
        <is>
          <t>Yes</t>
        </is>
      </c>
      <c r="AR68">
        <f>HYPERLINK("http://catalog.hathitrust.org/Record/000139035","HathiTrust Record")</f>
        <v/>
      </c>
      <c r="AS68">
        <f>HYPERLINK("https://creighton-primo.hosted.exlibrisgroup.com/primo-explore/search?tab=default_tab&amp;search_scope=EVERYTHING&amp;vid=01CRU&amp;lang=en_US&amp;offset=0&amp;query=any,contains,991004884839702656","Catalog Record")</f>
        <v/>
      </c>
      <c r="AT68">
        <f>HYPERLINK("http://www.worldcat.org/oclc/5831287","WorldCat Record")</f>
        <v/>
      </c>
      <c r="AU68" t="inlineStr">
        <is>
          <t>180816152:eng</t>
        </is>
      </c>
      <c r="AV68" t="inlineStr">
        <is>
          <t>5831287</t>
        </is>
      </c>
      <c r="AW68" t="inlineStr">
        <is>
          <t>991004884839702656</t>
        </is>
      </c>
      <c r="AX68" t="inlineStr">
        <is>
          <t>991004884839702656</t>
        </is>
      </c>
      <c r="AY68" t="inlineStr">
        <is>
          <t>2263188250002656</t>
        </is>
      </c>
      <c r="AZ68" t="inlineStr">
        <is>
          <t>BOOK</t>
        </is>
      </c>
      <c r="BB68" t="inlineStr">
        <is>
          <t>9780802835260</t>
        </is>
      </c>
      <c r="BC68" t="inlineStr">
        <is>
          <t>32285000292689</t>
        </is>
      </c>
      <c r="BD68" t="inlineStr">
        <is>
          <t>893532894</t>
        </is>
      </c>
    </row>
    <row r="69">
      <c r="A69" t="inlineStr">
        <is>
          <t>No</t>
        </is>
      </c>
      <c r="B69" t="inlineStr">
        <is>
          <t>DS109 .M3413 1971</t>
        </is>
      </c>
      <c r="C69" t="inlineStr">
        <is>
          <t>0                      DS 0109000M  3413        1971</t>
        </is>
      </c>
      <c r="D69" t="inlineStr">
        <is>
          <t>The excavations in the Old City of Jerusalem near the Temple Mount; preliminary report of the second and third seasons, 1969-1970, by B. Mazar. The Omayyad structures near the Temple Mount, by M. Ben-Dov.</t>
        </is>
      </c>
      <c r="F69" t="inlineStr">
        <is>
          <t>No</t>
        </is>
      </c>
      <c r="G69" t="inlineStr">
        <is>
          <t>1</t>
        </is>
      </c>
      <c r="H69" t="inlineStr">
        <is>
          <t>No</t>
        </is>
      </c>
      <c r="I69" t="inlineStr">
        <is>
          <t>No</t>
        </is>
      </c>
      <c r="J69" t="inlineStr">
        <is>
          <t>0</t>
        </is>
      </c>
      <c r="K69" t="inlineStr">
        <is>
          <t>Mazar, Benjamin, 1906-1995.</t>
        </is>
      </c>
      <c r="L69" t="inlineStr">
        <is>
          <t>Jerusalem, Institute of Archaeology, Hebrew University, 1971.</t>
        </is>
      </c>
      <c r="M69" t="inlineStr">
        <is>
          <t>1971</t>
        </is>
      </c>
      <c r="O69" t="inlineStr">
        <is>
          <t>eng</t>
        </is>
      </c>
      <c r="P69" t="inlineStr">
        <is>
          <t xml:space="preserve">is </t>
        </is>
      </c>
      <c r="R69" t="inlineStr">
        <is>
          <t xml:space="preserve">DS </t>
        </is>
      </c>
      <c r="S69" t="n">
        <v>2</v>
      </c>
      <c r="T69" t="n">
        <v>2</v>
      </c>
      <c r="U69" t="inlineStr">
        <is>
          <t>2008-01-17</t>
        </is>
      </c>
      <c r="V69" t="inlineStr">
        <is>
          <t>2008-01-17</t>
        </is>
      </c>
      <c r="W69" t="inlineStr">
        <is>
          <t>1997-02-25</t>
        </is>
      </c>
      <c r="X69" t="inlineStr">
        <is>
          <t>1997-02-25</t>
        </is>
      </c>
      <c r="Y69" t="n">
        <v>150</v>
      </c>
      <c r="Z69" t="n">
        <v>108</v>
      </c>
      <c r="AA69" t="n">
        <v>110</v>
      </c>
      <c r="AB69" t="n">
        <v>1</v>
      </c>
      <c r="AC69" t="n">
        <v>1</v>
      </c>
      <c r="AD69" t="n">
        <v>3</v>
      </c>
      <c r="AE69" t="n">
        <v>3</v>
      </c>
      <c r="AF69" t="n">
        <v>1</v>
      </c>
      <c r="AG69" t="n">
        <v>1</v>
      </c>
      <c r="AH69" t="n">
        <v>0</v>
      </c>
      <c r="AI69" t="n">
        <v>0</v>
      </c>
      <c r="AJ69" t="n">
        <v>2</v>
      </c>
      <c r="AK69" t="n">
        <v>2</v>
      </c>
      <c r="AL69" t="n">
        <v>0</v>
      </c>
      <c r="AM69" t="n">
        <v>0</v>
      </c>
      <c r="AN69" t="n">
        <v>0</v>
      </c>
      <c r="AO69" t="n">
        <v>0</v>
      </c>
      <c r="AP69" t="inlineStr">
        <is>
          <t>No</t>
        </is>
      </c>
      <c r="AQ69" t="inlineStr">
        <is>
          <t>Yes</t>
        </is>
      </c>
      <c r="AR69">
        <f>HYPERLINK("http://catalog.hathitrust.org/Record/001242193","HathiTrust Record")</f>
        <v/>
      </c>
      <c r="AS69">
        <f>HYPERLINK("https://creighton-primo.hosted.exlibrisgroup.com/primo-explore/search?tab=default_tab&amp;search_scope=EVERYTHING&amp;vid=01CRU&amp;lang=en_US&amp;offset=0&amp;query=any,contains,991003064609702656","Catalog Record")</f>
        <v/>
      </c>
      <c r="AT69">
        <f>HYPERLINK("http://www.worldcat.org/oclc/621243","WorldCat Record")</f>
        <v/>
      </c>
      <c r="AU69" t="inlineStr">
        <is>
          <t>3857556356:eng</t>
        </is>
      </c>
      <c r="AV69" t="inlineStr">
        <is>
          <t>621243</t>
        </is>
      </c>
      <c r="AW69" t="inlineStr">
        <is>
          <t>991003064609702656</t>
        </is>
      </c>
      <c r="AX69" t="inlineStr">
        <is>
          <t>991003064609702656</t>
        </is>
      </c>
      <c r="AY69" t="inlineStr">
        <is>
          <t>2256513460002656</t>
        </is>
      </c>
      <c r="AZ69" t="inlineStr">
        <is>
          <t>BOOK</t>
        </is>
      </c>
      <c r="BC69" t="inlineStr">
        <is>
          <t>32285002461019</t>
        </is>
      </c>
      <c r="BD69" t="inlineStr">
        <is>
          <t>893434615</t>
        </is>
      </c>
    </row>
    <row r="70">
      <c r="A70" t="inlineStr">
        <is>
          <t>No</t>
        </is>
      </c>
      <c r="B70" t="inlineStr">
        <is>
          <t>DS109 .T55 1976</t>
        </is>
      </c>
      <c r="C70" t="inlineStr">
        <is>
          <t>0                      DS 0109000T  55          1976</t>
        </is>
      </c>
      <c r="D70" t="inlineStr">
        <is>
          <t>Jerusalem / by Colin Thubron and the editors of Time-Life Books ; photographs by Jay Maisel.</t>
        </is>
      </c>
      <c r="F70" t="inlineStr">
        <is>
          <t>No</t>
        </is>
      </c>
      <c r="G70" t="inlineStr">
        <is>
          <t>1</t>
        </is>
      </c>
      <c r="H70" t="inlineStr">
        <is>
          <t>No</t>
        </is>
      </c>
      <c r="I70" t="inlineStr">
        <is>
          <t>No</t>
        </is>
      </c>
      <c r="J70" t="inlineStr">
        <is>
          <t>0</t>
        </is>
      </c>
      <c r="K70" t="inlineStr">
        <is>
          <t>Thubron, Colin, 1939-</t>
        </is>
      </c>
      <c r="L70" t="inlineStr">
        <is>
          <t>Amsterdam : Time-Life Books, c1976.</t>
        </is>
      </c>
      <c r="M70" t="inlineStr">
        <is>
          <t>1976</t>
        </is>
      </c>
      <c r="O70" t="inlineStr">
        <is>
          <t>eng</t>
        </is>
      </c>
      <c r="P70" t="inlineStr">
        <is>
          <t xml:space="preserve">ne </t>
        </is>
      </c>
      <c r="Q70" t="inlineStr">
        <is>
          <t>The Great cities</t>
        </is>
      </c>
      <c r="R70" t="inlineStr">
        <is>
          <t xml:space="preserve">DS </t>
        </is>
      </c>
      <c r="S70" t="n">
        <v>1</v>
      </c>
      <c r="T70" t="n">
        <v>1</v>
      </c>
      <c r="U70" t="inlineStr">
        <is>
          <t>2008-06-11</t>
        </is>
      </c>
      <c r="V70" t="inlineStr">
        <is>
          <t>2008-06-11</t>
        </is>
      </c>
      <c r="W70" t="inlineStr">
        <is>
          <t>2008-06-11</t>
        </is>
      </c>
      <c r="X70" t="inlineStr">
        <is>
          <t>2008-06-11</t>
        </is>
      </c>
      <c r="Y70" t="n">
        <v>1082</v>
      </c>
      <c r="Z70" t="n">
        <v>953</v>
      </c>
      <c r="AA70" t="n">
        <v>1235</v>
      </c>
      <c r="AB70" t="n">
        <v>7</v>
      </c>
      <c r="AC70" t="n">
        <v>8</v>
      </c>
      <c r="AD70" t="n">
        <v>12</v>
      </c>
      <c r="AE70" t="n">
        <v>20</v>
      </c>
      <c r="AF70" t="n">
        <v>5</v>
      </c>
      <c r="AG70" t="n">
        <v>7</v>
      </c>
      <c r="AH70" t="n">
        <v>0</v>
      </c>
      <c r="AI70" t="n">
        <v>3</v>
      </c>
      <c r="AJ70" t="n">
        <v>6</v>
      </c>
      <c r="AK70" t="n">
        <v>10</v>
      </c>
      <c r="AL70" t="n">
        <v>3</v>
      </c>
      <c r="AM70" t="n">
        <v>4</v>
      </c>
      <c r="AN70" t="n">
        <v>0</v>
      </c>
      <c r="AO70" t="n">
        <v>0</v>
      </c>
      <c r="AP70" t="inlineStr">
        <is>
          <t>No</t>
        </is>
      </c>
      <c r="AQ70" t="inlineStr">
        <is>
          <t>Yes</t>
        </is>
      </c>
      <c r="AR70">
        <f>HYPERLINK("http://catalog.hathitrust.org/Record/101737686","HathiTrust Record")</f>
        <v/>
      </c>
      <c r="AS70">
        <f>HYPERLINK("https://creighton-primo.hosted.exlibrisgroup.com/primo-explore/search?tab=default_tab&amp;search_scope=EVERYTHING&amp;vid=01CRU&amp;lang=en_US&amp;offset=0&amp;query=any,contains,991005233969702656","Catalog Record")</f>
        <v/>
      </c>
      <c r="AT70">
        <f>HYPERLINK("http://www.worldcat.org/oclc/2295439","WorldCat Record")</f>
        <v/>
      </c>
      <c r="AU70" t="inlineStr">
        <is>
          <t>467392:eng</t>
        </is>
      </c>
      <c r="AV70" t="inlineStr">
        <is>
          <t>2295439</t>
        </is>
      </c>
      <c r="AW70" t="inlineStr">
        <is>
          <t>991005233969702656</t>
        </is>
      </c>
      <c r="AX70" t="inlineStr">
        <is>
          <t>991005233969702656</t>
        </is>
      </c>
      <c r="AY70" t="inlineStr">
        <is>
          <t>2264658560002656</t>
        </is>
      </c>
      <c r="AZ70" t="inlineStr">
        <is>
          <t>BOOK</t>
        </is>
      </c>
      <c r="BC70" t="inlineStr">
        <is>
          <t>32285005444806</t>
        </is>
      </c>
      <c r="BD70" t="inlineStr">
        <is>
          <t>893353779</t>
        </is>
      </c>
    </row>
    <row r="71">
      <c r="A71" t="inlineStr">
        <is>
          <t>No</t>
        </is>
      </c>
      <c r="B71" t="inlineStr">
        <is>
          <t>DS109.15 .E46 1995</t>
        </is>
      </c>
      <c r="C71" t="inlineStr">
        <is>
          <t>0                      DS 0109150E  46          1995</t>
        </is>
      </c>
      <c r="D71" t="inlineStr">
        <is>
          <t>Jerusalem, battlegrounds of memory / Amos Elon.</t>
        </is>
      </c>
      <c r="F71" t="inlineStr">
        <is>
          <t>No</t>
        </is>
      </c>
      <c r="G71" t="inlineStr">
        <is>
          <t>1</t>
        </is>
      </c>
      <c r="H71" t="inlineStr">
        <is>
          <t>No</t>
        </is>
      </c>
      <c r="I71" t="inlineStr">
        <is>
          <t>No</t>
        </is>
      </c>
      <c r="J71" t="inlineStr">
        <is>
          <t>0</t>
        </is>
      </c>
      <c r="K71" t="inlineStr">
        <is>
          <t>Elon, Amos.</t>
        </is>
      </c>
      <c r="L71" t="inlineStr">
        <is>
          <t>New York : Kodansha International, 1995.</t>
        </is>
      </c>
      <c r="M71" t="inlineStr">
        <is>
          <t>1995</t>
        </is>
      </c>
      <c r="O71" t="inlineStr">
        <is>
          <t>eng</t>
        </is>
      </c>
      <c r="P71" t="inlineStr">
        <is>
          <t>nyu</t>
        </is>
      </c>
      <c r="Q71" t="inlineStr">
        <is>
          <t>Kodansha globe</t>
        </is>
      </c>
      <c r="R71" t="inlineStr">
        <is>
          <t xml:space="preserve">DS </t>
        </is>
      </c>
      <c r="S71" t="n">
        <v>2</v>
      </c>
      <c r="T71" t="n">
        <v>2</v>
      </c>
      <c r="U71" t="inlineStr">
        <is>
          <t>2010-12-09</t>
        </is>
      </c>
      <c r="V71" t="inlineStr">
        <is>
          <t>2010-12-09</t>
        </is>
      </c>
      <c r="W71" t="inlineStr">
        <is>
          <t>2010-12-09</t>
        </is>
      </c>
      <c r="X71" t="inlineStr">
        <is>
          <t>2010-12-09</t>
        </is>
      </c>
      <c r="Y71" t="n">
        <v>159</v>
      </c>
      <c r="Z71" t="n">
        <v>140</v>
      </c>
      <c r="AA71" t="n">
        <v>146</v>
      </c>
      <c r="AB71" t="n">
        <v>1</v>
      </c>
      <c r="AC71" t="n">
        <v>1</v>
      </c>
      <c r="AD71" t="n">
        <v>7</v>
      </c>
      <c r="AE71" t="n">
        <v>7</v>
      </c>
      <c r="AF71" t="n">
        <v>2</v>
      </c>
      <c r="AG71" t="n">
        <v>2</v>
      </c>
      <c r="AH71" t="n">
        <v>2</v>
      </c>
      <c r="AI71" t="n">
        <v>2</v>
      </c>
      <c r="AJ71" t="n">
        <v>5</v>
      </c>
      <c r="AK71" t="n">
        <v>5</v>
      </c>
      <c r="AL71" t="n">
        <v>0</v>
      </c>
      <c r="AM71" t="n">
        <v>0</v>
      </c>
      <c r="AN71" t="n">
        <v>0</v>
      </c>
      <c r="AO71" t="n">
        <v>0</v>
      </c>
      <c r="AP71" t="inlineStr">
        <is>
          <t>No</t>
        </is>
      </c>
      <c r="AQ71" t="inlineStr">
        <is>
          <t>Yes</t>
        </is>
      </c>
      <c r="AR71">
        <f>HYPERLINK("http://catalog.hathitrust.org/Record/012268636","HathiTrust Record")</f>
        <v/>
      </c>
      <c r="AS71">
        <f>HYPERLINK("https://creighton-primo.hosted.exlibrisgroup.com/primo-explore/search?tab=default_tab&amp;search_scope=EVERYTHING&amp;vid=01CRU&amp;lang=en_US&amp;offset=0&amp;query=any,contains,991000393669702656","Catalog Record")</f>
        <v/>
      </c>
      <c r="AT71">
        <f>HYPERLINK("http://www.worldcat.org/oclc/32664949","WorldCat Record")</f>
        <v/>
      </c>
      <c r="AU71" t="inlineStr">
        <is>
          <t>3901850973:eng</t>
        </is>
      </c>
      <c r="AV71" t="inlineStr">
        <is>
          <t>32664949</t>
        </is>
      </c>
      <c r="AW71" t="inlineStr">
        <is>
          <t>991000393669702656</t>
        </is>
      </c>
      <c r="AX71" t="inlineStr">
        <is>
          <t>991000393669702656</t>
        </is>
      </c>
      <c r="AY71" t="inlineStr">
        <is>
          <t>2265655380002656</t>
        </is>
      </c>
      <c r="AZ71" t="inlineStr">
        <is>
          <t>BOOK</t>
        </is>
      </c>
      <c r="BB71" t="inlineStr">
        <is>
          <t>9781568360997</t>
        </is>
      </c>
      <c r="BC71" t="inlineStr">
        <is>
          <t>32285005650279</t>
        </is>
      </c>
      <c r="BD71" t="inlineStr">
        <is>
          <t>893620437</t>
        </is>
      </c>
    </row>
    <row r="72">
      <c r="A72" t="inlineStr">
        <is>
          <t>No</t>
        </is>
      </c>
      <c r="B72" t="inlineStr">
        <is>
          <t>DS109.15 .G66 2008</t>
        </is>
      </c>
      <c r="C72" t="inlineStr">
        <is>
          <t>0                      DS 0109150G  66          2008</t>
        </is>
      </c>
      <c r="D72" t="inlineStr">
        <is>
          <t>Jerusalem : city of longing / Simon Goldhill.</t>
        </is>
      </c>
      <c r="F72" t="inlineStr">
        <is>
          <t>No</t>
        </is>
      </c>
      <c r="G72" t="inlineStr">
        <is>
          <t>1</t>
        </is>
      </c>
      <c r="H72" t="inlineStr">
        <is>
          <t>No</t>
        </is>
      </c>
      <c r="I72" t="inlineStr">
        <is>
          <t>No</t>
        </is>
      </c>
      <c r="J72" t="inlineStr">
        <is>
          <t>0</t>
        </is>
      </c>
      <c r="K72" t="inlineStr">
        <is>
          <t>Goldhill, Simon.</t>
        </is>
      </c>
      <c r="L72" t="inlineStr">
        <is>
          <t>Cambridge, Mass. : Belknap Press of Harvard University Press, 2008.</t>
        </is>
      </c>
      <c r="M72" t="inlineStr">
        <is>
          <t>2008</t>
        </is>
      </c>
      <c r="O72" t="inlineStr">
        <is>
          <t>eng</t>
        </is>
      </c>
      <c r="P72" t="inlineStr">
        <is>
          <t>mau</t>
        </is>
      </c>
      <c r="R72" t="inlineStr">
        <is>
          <t xml:space="preserve">DS </t>
        </is>
      </c>
      <c r="S72" t="n">
        <v>2</v>
      </c>
      <c r="T72" t="n">
        <v>2</v>
      </c>
      <c r="U72" t="inlineStr">
        <is>
          <t>2010-04-07</t>
        </is>
      </c>
      <c r="V72" t="inlineStr">
        <is>
          <t>2010-04-07</t>
        </is>
      </c>
      <c r="W72" t="inlineStr">
        <is>
          <t>2009-04-29</t>
        </is>
      </c>
      <c r="X72" t="inlineStr">
        <is>
          <t>2009-04-29</t>
        </is>
      </c>
      <c r="Y72" t="n">
        <v>857</v>
      </c>
      <c r="Z72" t="n">
        <v>744</v>
      </c>
      <c r="AA72" t="n">
        <v>1370</v>
      </c>
      <c r="AB72" t="n">
        <v>4</v>
      </c>
      <c r="AC72" t="n">
        <v>21</v>
      </c>
      <c r="AD72" t="n">
        <v>26</v>
      </c>
      <c r="AE72" t="n">
        <v>46</v>
      </c>
      <c r="AF72" t="n">
        <v>12</v>
      </c>
      <c r="AG72" t="n">
        <v>16</v>
      </c>
      <c r="AH72" t="n">
        <v>6</v>
      </c>
      <c r="AI72" t="n">
        <v>8</v>
      </c>
      <c r="AJ72" t="n">
        <v>10</v>
      </c>
      <c r="AK72" t="n">
        <v>15</v>
      </c>
      <c r="AL72" t="n">
        <v>2</v>
      </c>
      <c r="AM72" t="n">
        <v>13</v>
      </c>
      <c r="AN72" t="n">
        <v>0</v>
      </c>
      <c r="AO72" t="n">
        <v>1</v>
      </c>
      <c r="AP72" t="inlineStr">
        <is>
          <t>No</t>
        </is>
      </c>
      <c r="AQ72" t="inlineStr">
        <is>
          <t>Yes</t>
        </is>
      </c>
      <c r="AR72">
        <f>HYPERLINK("http://catalog.hathitrust.org/Record/005688932","HathiTrust Record")</f>
        <v/>
      </c>
      <c r="AS72">
        <f>HYPERLINK("https://creighton-primo.hosted.exlibrisgroup.com/primo-explore/search?tab=default_tab&amp;search_scope=EVERYTHING&amp;vid=01CRU&amp;lang=en_US&amp;offset=0&amp;query=any,contains,991005311169702656","Catalog Record")</f>
        <v/>
      </c>
      <c r="AT72">
        <f>HYPERLINK("http://www.worldcat.org/oclc/179801166","WorldCat Record")</f>
        <v/>
      </c>
      <c r="AU72" t="inlineStr">
        <is>
          <t>801793287:eng</t>
        </is>
      </c>
      <c r="AV72" t="inlineStr">
        <is>
          <t>179801166</t>
        </is>
      </c>
      <c r="AW72" t="inlineStr">
        <is>
          <t>991005311169702656</t>
        </is>
      </c>
      <c r="AX72" t="inlineStr">
        <is>
          <t>991005311169702656</t>
        </is>
      </c>
      <c r="AY72" t="inlineStr">
        <is>
          <t>2256998190002656</t>
        </is>
      </c>
      <c r="AZ72" t="inlineStr">
        <is>
          <t>BOOK</t>
        </is>
      </c>
      <c r="BB72" t="inlineStr">
        <is>
          <t>9780674028661</t>
        </is>
      </c>
      <c r="BC72" t="inlineStr">
        <is>
          <t>32285005519946</t>
        </is>
      </c>
      <c r="BD72" t="inlineStr">
        <is>
          <t>893443745</t>
        </is>
      </c>
    </row>
    <row r="73">
      <c r="A73" t="inlineStr">
        <is>
          <t>No</t>
        </is>
      </c>
      <c r="B73" t="inlineStr">
        <is>
          <t>DS109.2 .A953 1976</t>
        </is>
      </c>
      <c r="C73" t="inlineStr">
        <is>
          <t>0                      DS 0109200A  953         1976</t>
        </is>
      </c>
      <c r="D73" t="inlineStr">
        <is>
          <t>Jerusalem the Holy / Michael Avi-Yonah ; photography, Werner Braun.</t>
        </is>
      </c>
      <c r="F73" t="inlineStr">
        <is>
          <t>No</t>
        </is>
      </c>
      <c r="G73" t="inlineStr">
        <is>
          <t>1</t>
        </is>
      </c>
      <c r="H73" t="inlineStr">
        <is>
          <t>No</t>
        </is>
      </c>
      <c r="I73" t="inlineStr">
        <is>
          <t>No</t>
        </is>
      </c>
      <c r="J73" t="inlineStr">
        <is>
          <t>0</t>
        </is>
      </c>
      <c r="K73" t="inlineStr">
        <is>
          <t>Avi-Yonah, Michael, 1904-1974.</t>
        </is>
      </c>
      <c r="L73" t="inlineStr">
        <is>
          <t>New York : Schocken Books, 1976, [c1973]</t>
        </is>
      </c>
      <c r="M73" t="inlineStr">
        <is>
          <t>1976</t>
        </is>
      </c>
      <c r="O73" t="inlineStr">
        <is>
          <t>eng</t>
        </is>
      </c>
      <c r="P73" t="inlineStr">
        <is>
          <t>nyu</t>
        </is>
      </c>
      <c r="R73" t="inlineStr">
        <is>
          <t xml:space="preserve">DS </t>
        </is>
      </c>
      <c r="S73" t="n">
        <v>2</v>
      </c>
      <c r="T73" t="n">
        <v>2</v>
      </c>
      <c r="U73" t="inlineStr">
        <is>
          <t>2000-04-29</t>
        </is>
      </c>
      <c r="V73" t="inlineStr">
        <is>
          <t>2000-04-29</t>
        </is>
      </c>
      <c r="W73" t="inlineStr">
        <is>
          <t>1997-02-25</t>
        </is>
      </c>
      <c r="X73" t="inlineStr">
        <is>
          <t>1997-02-25</t>
        </is>
      </c>
      <c r="Y73" t="n">
        <v>363</v>
      </c>
      <c r="Z73" t="n">
        <v>332</v>
      </c>
      <c r="AA73" t="n">
        <v>348</v>
      </c>
      <c r="AB73" t="n">
        <v>2</v>
      </c>
      <c r="AC73" t="n">
        <v>3</v>
      </c>
      <c r="AD73" t="n">
        <v>11</v>
      </c>
      <c r="AE73" t="n">
        <v>13</v>
      </c>
      <c r="AF73" t="n">
        <v>4</v>
      </c>
      <c r="AG73" t="n">
        <v>5</v>
      </c>
      <c r="AH73" t="n">
        <v>3</v>
      </c>
      <c r="AI73" t="n">
        <v>3</v>
      </c>
      <c r="AJ73" t="n">
        <v>6</v>
      </c>
      <c r="AK73" t="n">
        <v>7</v>
      </c>
      <c r="AL73" t="n">
        <v>0</v>
      </c>
      <c r="AM73" t="n">
        <v>1</v>
      </c>
      <c r="AN73" t="n">
        <v>0</v>
      </c>
      <c r="AO73" t="n">
        <v>0</v>
      </c>
      <c r="AP73" t="inlineStr">
        <is>
          <t>No</t>
        </is>
      </c>
      <c r="AQ73" t="inlineStr">
        <is>
          <t>Yes</t>
        </is>
      </c>
      <c r="AR73">
        <f>HYPERLINK("http://catalog.hathitrust.org/Record/006041082","HathiTrust Record")</f>
        <v/>
      </c>
      <c r="AS73">
        <f>HYPERLINK("https://creighton-primo.hosted.exlibrisgroup.com/primo-explore/search?tab=default_tab&amp;search_scope=EVERYTHING&amp;vid=01CRU&amp;lang=en_US&amp;offset=0&amp;query=any,contains,991004005139702656","Catalog Record")</f>
        <v/>
      </c>
      <c r="AT73">
        <f>HYPERLINK("http://www.worldcat.org/oclc/2082704","WorldCat Record")</f>
        <v/>
      </c>
      <c r="AU73" t="inlineStr">
        <is>
          <t>2196781:eng</t>
        </is>
      </c>
      <c r="AV73" t="inlineStr">
        <is>
          <t>2082704</t>
        </is>
      </c>
      <c r="AW73" t="inlineStr">
        <is>
          <t>991004005139702656</t>
        </is>
      </c>
      <c r="AX73" t="inlineStr">
        <is>
          <t>991004005139702656</t>
        </is>
      </c>
      <c r="AY73" t="inlineStr">
        <is>
          <t>2259570610002656</t>
        </is>
      </c>
      <c r="AZ73" t="inlineStr">
        <is>
          <t>BOOK</t>
        </is>
      </c>
      <c r="BB73" t="inlineStr">
        <is>
          <t>9780805236040</t>
        </is>
      </c>
      <c r="BC73" t="inlineStr">
        <is>
          <t>32285002461035</t>
        </is>
      </c>
      <c r="BD73" t="inlineStr">
        <is>
          <t>893512676</t>
        </is>
      </c>
    </row>
    <row r="74">
      <c r="A74" t="inlineStr">
        <is>
          <t>No</t>
        </is>
      </c>
      <c r="B74" t="inlineStr">
        <is>
          <t>DS109.2 .U74 1971</t>
        </is>
      </c>
      <c r="C74" t="inlineStr">
        <is>
          <t>0                      DS 0109200U  74          1971</t>
        </is>
      </c>
      <c r="D74" t="inlineStr">
        <is>
          <t>Jerusalem, song of songs / Jill and Leon Uris.</t>
        </is>
      </c>
      <c r="F74" t="inlineStr">
        <is>
          <t>No</t>
        </is>
      </c>
      <c r="G74" t="inlineStr">
        <is>
          <t>1</t>
        </is>
      </c>
      <c r="H74" t="inlineStr">
        <is>
          <t>No</t>
        </is>
      </c>
      <c r="I74" t="inlineStr">
        <is>
          <t>No</t>
        </is>
      </c>
      <c r="J74" t="inlineStr">
        <is>
          <t>0</t>
        </is>
      </c>
      <c r="K74" t="inlineStr">
        <is>
          <t>Uris, Jill, 1947-</t>
        </is>
      </c>
      <c r="L74" t="inlineStr">
        <is>
          <t>Garden City, N.Y. : Doubleday, 1981.</t>
        </is>
      </c>
      <c r="M74" t="inlineStr">
        <is>
          <t>1981</t>
        </is>
      </c>
      <c r="N74" t="inlineStr">
        <is>
          <t>1st ed.</t>
        </is>
      </c>
      <c r="O74" t="inlineStr">
        <is>
          <t>eng</t>
        </is>
      </c>
      <c r="P74" t="inlineStr">
        <is>
          <t>nyu</t>
        </is>
      </c>
      <c r="R74" t="inlineStr">
        <is>
          <t xml:space="preserve">DS </t>
        </is>
      </c>
      <c r="S74" t="n">
        <v>3</v>
      </c>
      <c r="T74" t="n">
        <v>3</v>
      </c>
      <c r="U74" t="inlineStr">
        <is>
          <t>1996-06-13</t>
        </is>
      </c>
      <c r="V74" t="inlineStr">
        <is>
          <t>1996-06-13</t>
        </is>
      </c>
      <c r="W74" t="inlineStr">
        <is>
          <t>1990-09-28</t>
        </is>
      </c>
      <c r="X74" t="inlineStr">
        <is>
          <t>1990-09-28</t>
        </is>
      </c>
      <c r="Y74" t="n">
        <v>604</v>
      </c>
      <c r="Z74" t="n">
        <v>574</v>
      </c>
      <c r="AA74" t="n">
        <v>593</v>
      </c>
      <c r="AB74" t="n">
        <v>6</v>
      </c>
      <c r="AC74" t="n">
        <v>6</v>
      </c>
      <c r="AD74" t="n">
        <v>14</v>
      </c>
      <c r="AE74" t="n">
        <v>15</v>
      </c>
      <c r="AF74" t="n">
        <v>8</v>
      </c>
      <c r="AG74" t="n">
        <v>8</v>
      </c>
      <c r="AH74" t="n">
        <v>4</v>
      </c>
      <c r="AI74" t="n">
        <v>5</v>
      </c>
      <c r="AJ74" t="n">
        <v>6</v>
      </c>
      <c r="AK74" t="n">
        <v>7</v>
      </c>
      <c r="AL74" t="n">
        <v>0</v>
      </c>
      <c r="AM74" t="n">
        <v>0</v>
      </c>
      <c r="AN74" t="n">
        <v>0</v>
      </c>
      <c r="AO74" t="n">
        <v>0</v>
      </c>
      <c r="AP74" t="inlineStr">
        <is>
          <t>No</t>
        </is>
      </c>
      <c r="AQ74" t="inlineStr">
        <is>
          <t>Yes</t>
        </is>
      </c>
      <c r="AR74">
        <f>HYPERLINK("http://catalog.hathitrust.org/Record/000141150","HathiTrust Record")</f>
        <v/>
      </c>
      <c r="AS74">
        <f>HYPERLINK("https://creighton-primo.hosted.exlibrisgroup.com/primo-explore/search?tab=default_tab&amp;search_scope=EVERYTHING&amp;vid=01CRU&amp;lang=en_US&amp;offset=0&amp;query=any,contains,991005048819702656","Catalog Record")</f>
        <v/>
      </c>
      <c r="AT74">
        <f>HYPERLINK("http://www.worldcat.org/oclc/6863077","WorldCat Record")</f>
        <v/>
      </c>
      <c r="AU74" t="inlineStr">
        <is>
          <t>4907547:eng</t>
        </is>
      </c>
      <c r="AV74" t="inlineStr">
        <is>
          <t>6863077</t>
        </is>
      </c>
      <c r="AW74" t="inlineStr">
        <is>
          <t>991005048819702656</t>
        </is>
      </c>
      <c r="AX74" t="inlineStr">
        <is>
          <t>991005048819702656</t>
        </is>
      </c>
      <c r="AY74" t="inlineStr">
        <is>
          <t>2271831350002656</t>
        </is>
      </c>
      <c r="AZ74" t="inlineStr">
        <is>
          <t>BOOK</t>
        </is>
      </c>
      <c r="BB74" t="inlineStr">
        <is>
          <t>9780385148634</t>
        </is>
      </c>
      <c r="BC74" t="inlineStr">
        <is>
          <t>32285000292721</t>
        </is>
      </c>
      <c r="BD74" t="inlineStr">
        <is>
          <t>893443318</t>
        </is>
      </c>
    </row>
    <row r="75">
      <c r="A75" t="inlineStr">
        <is>
          <t>No</t>
        </is>
      </c>
      <c r="B75" t="inlineStr">
        <is>
          <t>DS109.25 .U8413 1993</t>
        </is>
      </c>
      <c r="C75" t="inlineStr">
        <is>
          <t>0                      DS 0109250U  8413        1993</t>
        </is>
      </c>
      <c r="D75" t="inlineStr">
        <is>
          <t>The village of Silwan : the necropolis from the period of the Judean kingdom / David Ussishkin ; [English translation, Inna Pommerantz].</t>
        </is>
      </c>
      <c r="F75" t="inlineStr">
        <is>
          <t>No</t>
        </is>
      </c>
      <c r="G75" t="inlineStr">
        <is>
          <t>1</t>
        </is>
      </c>
      <c r="H75" t="inlineStr">
        <is>
          <t>No</t>
        </is>
      </c>
      <c r="I75" t="inlineStr">
        <is>
          <t>No</t>
        </is>
      </c>
      <c r="J75" t="inlineStr">
        <is>
          <t>0</t>
        </is>
      </c>
      <c r="K75" t="inlineStr">
        <is>
          <t>Ussishkin, David.</t>
        </is>
      </c>
      <c r="L75" t="inlineStr">
        <is>
          <t>Jerusalem : Israel Exploration Society : Yad Izhak Ben-Zvi, 1993.</t>
        </is>
      </c>
      <c r="M75" t="inlineStr">
        <is>
          <t>1993</t>
        </is>
      </c>
      <c r="O75" t="inlineStr">
        <is>
          <t>eng</t>
        </is>
      </c>
      <c r="P75" t="inlineStr">
        <is>
          <t xml:space="preserve">is </t>
        </is>
      </c>
      <c r="R75" t="inlineStr">
        <is>
          <t xml:space="preserve">DS </t>
        </is>
      </c>
      <c r="S75" t="n">
        <v>1</v>
      </c>
      <c r="T75" t="n">
        <v>1</v>
      </c>
      <c r="U75" t="inlineStr">
        <is>
          <t>2003-11-26</t>
        </is>
      </c>
      <c r="V75" t="inlineStr">
        <is>
          <t>2003-11-26</t>
        </is>
      </c>
      <c r="W75" t="inlineStr">
        <is>
          <t>1997-07-01</t>
        </is>
      </c>
      <c r="X75" t="inlineStr">
        <is>
          <t>1997-07-01</t>
        </is>
      </c>
      <c r="Y75" t="n">
        <v>132</v>
      </c>
      <c r="Z75" t="n">
        <v>88</v>
      </c>
      <c r="AA75" t="n">
        <v>88</v>
      </c>
      <c r="AB75" t="n">
        <v>1</v>
      </c>
      <c r="AC75" t="n">
        <v>1</v>
      </c>
      <c r="AD75" t="n">
        <v>3</v>
      </c>
      <c r="AE75" t="n">
        <v>3</v>
      </c>
      <c r="AF75" t="n">
        <v>0</v>
      </c>
      <c r="AG75" t="n">
        <v>0</v>
      </c>
      <c r="AH75" t="n">
        <v>1</v>
      </c>
      <c r="AI75" t="n">
        <v>1</v>
      </c>
      <c r="AJ75" t="n">
        <v>3</v>
      </c>
      <c r="AK75" t="n">
        <v>3</v>
      </c>
      <c r="AL75" t="n">
        <v>0</v>
      </c>
      <c r="AM75" t="n">
        <v>0</v>
      </c>
      <c r="AN75" t="n">
        <v>0</v>
      </c>
      <c r="AO75" t="n">
        <v>0</v>
      </c>
      <c r="AP75" t="inlineStr">
        <is>
          <t>No</t>
        </is>
      </c>
      <c r="AQ75" t="inlineStr">
        <is>
          <t>No</t>
        </is>
      </c>
      <c r="AS75">
        <f>HYPERLINK("https://creighton-primo.hosted.exlibrisgroup.com/primo-explore/search?tab=default_tab&amp;search_scope=EVERYTHING&amp;vid=01CRU&amp;lang=en_US&amp;offset=0&amp;query=any,contains,991002235349702656","Catalog Record")</f>
        <v/>
      </c>
      <c r="AT75">
        <f>HYPERLINK("http://www.worldcat.org/oclc/28810281","WorldCat Record")</f>
        <v/>
      </c>
      <c r="AU75" t="inlineStr">
        <is>
          <t>31005908:eng</t>
        </is>
      </c>
      <c r="AV75" t="inlineStr">
        <is>
          <t>28810281</t>
        </is>
      </c>
      <c r="AW75" t="inlineStr">
        <is>
          <t>991002235349702656</t>
        </is>
      </c>
      <c r="AX75" t="inlineStr">
        <is>
          <t>991002235349702656</t>
        </is>
      </c>
      <c r="AY75" t="inlineStr">
        <is>
          <t>2257133670002656</t>
        </is>
      </c>
      <c r="AZ75" t="inlineStr">
        <is>
          <t>BOOK</t>
        </is>
      </c>
      <c r="BB75" t="inlineStr">
        <is>
          <t>9789652210180</t>
        </is>
      </c>
      <c r="BC75" t="inlineStr">
        <is>
          <t>32285002754728</t>
        </is>
      </c>
      <c r="BD75" t="inlineStr">
        <is>
          <t>893445044</t>
        </is>
      </c>
    </row>
    <row r="76">
      <c r="A76" t="inlineStr">
        <is>
          <t>No</t>
        </is>
      </c>
      <c r="B76" t="inlineStr">
        <is>
          <t>DS109.28 .B4613 1985</t>
        </is>
      </c>
      <c r="C76" t="inlineStr">
        <is>
          <t>0                      DS 0109280B  4613        1985</t>
        </is>
      </c>
      <c r="D76" t="inlineStr">
        <is>
          <t>In the shadow of the Temple : the discovery of ancient Jerusalem / Meir Ben-Dov ; translated from the Hebrew by Ina Friedman.</t>
        </is>
      </c>
      <c r="F76" t="inlineStr">
        <is>
          <t>No</t>
        </is>
      </c>
      <c r="G76" t="inlineStr">
        <is>
          <t>1</t>
        </is>
      </c>
      <c r="H76" t="inlineStr">
        <is>
          <t>No</t>
        </is>
      </c>
      <c r="I76" t="inlineStr">
        <is>
          <t>No</t>
        </is>
      </c>
      <c r="J76" t="inlineStr">
        <is>
          <t>0</t>
        </is>
      </c>
      <c r="K76" t="inlineStr">
        <is>
          <t>Ben-Dov, M.</t>
        </is>
      </c>
      <c r="L76" t="inlineStr">
        <is>
          <t>New York : Harper &amp; Row, c1985.</t>
        </is>
      </c>
      <c r="M76" t="inlineStr">
        <is>
          <t>1985</t>
        </is>
      </c>
      <c r="N76" t="inlineStr">
        <is>
          <t>1st U.S. ed.</t>
        </is>
      </c>
      <c r="O76" t="inlineStr">
        <is>
          <t>eng</t>
        </is>
      </c>
      <c r="P76" t="inlineStr">
        <is>
          <t>nyu</t>
        </is>
      </c>
      <c r="R76" t="inlineStr">
        <is>
          <t xml:space="preserve">DS </t>
        </is>
      </c>
      <c r="S76" t="n">
        <v>4</v>
      </c>
      <c r="T76" t="n">
        <v>4</v>
      </c>
      <c r="U76" t="inlineStr">
        <is>
          <t>2008-11-13</t>
        </is>
      </c>
      <c r="V76" t="inlineStr">
        <is>
          <t>2008-11-13</t>
        </is>
      </c>
      <c r="W76" t="inlineStr">
        <is>
          <t>1990-08-16</t>
        </is>
      </c>
      <c r="X76" t="inlineStr">
        <is>
          <t>1990-08-16</t>
        </is>
      </c>
      <c r="Y76" t="n">
        <v>552</v>
      </c>
      <c r="Z76" t="n">
        <v>501</v>
      </c>
      <c r="AA76" t="n">
        <v>524</v>
      </c>
      <c r="AB76" t="n">
        <v>1</v>
      </c>
      <c r="AC76" t="n">
        <v>1</v>
      </c>
      <c r="AD76" t="n">
        <v>10</v>
      </c>
      <c r="AE76" t="n">
        <v>11</v>
      </c>
      <c r="AF76" t="n">
        <v>3</v>
      </c>
      <c r="AG76" t="n">
        <v>4</v>
      </c>
      <c r="AH76" t="n">
        <v>4</v>
      </c>
      <c r="AI76" t="n">
        <v>4</v>
      </c>
      <c r="AJ76" t="n">
        <v>5</v>
      </c>
      <c r="AK76" t="n">
        <v>5</v>
      </c>
      <c r="AL76" t="n">
        <v>0</v>
      </c>
      <c r="AM76" t="n">
        <v>0</v>
      </c>
      <c r="AN76" t="n">
        <v>0</v>
      </c>
      <c r="AO76" t="n">
        <v>0</v>
      </c>
      <c r="AP76" t="inlineStr">
        <is>
          <t>No</t>
        </is>
      </c>
      <c r="AQ76" t="inlineStr">
        <is>
          <t>Yes</t>
        </is>
      </c>
      <c r="AR76">
        <f>HYPERLINK("http://catalog.hathitrust.org/Record/000653989","HathiTrust Record")</f>
        <v/>
      </c>
      <c r="AS76">
        <f>HYPERLINK("https://creighton-primo.hosted.exlibrisgroup.com/primo-explore/search?tab=default_tab&amp;search_scope=EVERYTHING&amp;vid=01CRU&amp;lang=en_US&amp;offset=0&amp;query=any,contains,991000570979702656","Catalog Record")</f>
        <v/>
      </c>
      <c r="AT76">
        <f>HYPERLINK("http://www.worldcat.org/oclc/11650373","WorldCat Record")</f>
        <v/>
      </c>
      <c r="AU76" t="inlineStr">
        <is>
          <t>4234133:eng</t>
        </is>
      </c>
      <c r="AV76" t="inlineStr">
        <is>
          <t>11650373</t>
        </is>
      </c>
      <c r="AW76" t="inlineStr">
        <is>
          <t>991000570979702656</t>
        </is>
      </c>
      <c r="AX76" t="inlineStr">
        <is>
          <t>991000570979702656</t>
        </is>
      </c>
      <c r="AY76" t="inlineStr">
        <is>
          <t>2269771010002656</t>
        </is>
      </c>
      <c r="AZ76" t="inlineStr">
        <is>
          <t>BOOK</t>
        </is>
      </c>
      <c r="BB76" t="inlineStr">
        <is>
          <t>9780060153625</t>
        </is>
      </c>
      <c r="BC76" t="inlineStr">
        <is>
          <t>32285000274851</t>
        </is>
      </c>
      <c r="BD76" t="inlineStr">
        <is>
          <t>893689820</t>
        </is>
      </c>
    </row>
    <row r="77">
      <c r="A77" t="inlineStr">
        <is>
          <t>No</t>
        </is>
      </c>
      <c r="B77" t="inlineStr">
        <is>
          <t>DS109.3 .P313</t>
        </is>
      </c>
      <c r="C77" t="inlineStr">
        <is>
          <t>0                      DS 0109300P  313</t>
        </is>
      </c>
      <c r="D77" t="inlineStr">
        <is>
          <t>The Temple of Jerusalem. [Translated by B. E. Hooke.]</t>
        </is>
      </c>
      <c r="F77" t="inlineStr">
        <is>
          <t>No</t>
        </is>
      </c>
      <c r="G77" t="inlineStr">
        <is>
          <t>1</t>
        </is>
      </c>
      <c r="H77" t="inlineStr">
        <is>
          <t>No</t>
        </is>
      </c>
      <c r="I77" t="inlineStr">
        <is>
          <t>No</t>
        </is>
      </c>
      <c r="J77" t="inlineStr">
        <is>
          <t>0</t>
        </is>
      </c>
      <c r="K77" t="inlineStr">
        <is>
          <t>Parrot, André, 1901-1980.</t>
        </is>
      </c>
      <c r="L77" t="inlineStr">
        <is>
          <t>New York, Philosophical Library [1955]</t>
        </is>
      </c>
      <c r="M77" t="inlineStr">
        <is>
          <t>1955</t>
        </is>
      </c>
      <c r="O77" t="inlineStr">
        <is>
          <t>eng</t>
        </is>
      </c>
      <c r="P77" t="inlineStr">
        <is>
          <t>nyu</t>
        </is>
      </c>
      <c r="Q77" t="inlineStr">
        <is>
          <t>Studies in biblical archaeology ; no. 5</t>
        </is>
      </c>
      <c r="R77" t="inlineStr">
        <is>
          <t xml:space="preserve">DS </t>
        </is>
      </c>
      <c r="S77" t="n">
        <v>4</v>
      </c>
      <c r="T77" t="n">
        <v>4</v>
      </c>
      <c r="U77" t="inlineStr">
        <is>
          <t>2008-11-13</t>
        </is>
      </c>
      <c r="V77" t="inlineStr">
        <is>
          <t>2008-11-13</t>
        </is>
      </c>
      <c r="W77" t="inlineStr">
        <is>
          <t>1997-06-24</t>
        </is>
      </c>
      <c r="X77" t="inlineStr">
        <is>
          <t>1997-06-24</t>
        </is>
      </c>
      <c r="Y77" t="n">
        <v>389</v>
      </c>
      <c r="Z77" t="n">
        <v>372</v>
      </c>
      <c r="AA77" t="n">
        <v>566</v>
      </c>
      <c r="AB77" t="n">
        <v>3</v>
      </c>
      <c r="AC77" t="n">
        <v>4</v>
      </c>
      <c r="AD77" t="n">
        <v>18</v>
      </c>
      <c r="AE77" t="n">
        <v>27</v>
      </c>
      <c r="AF77" t="n">
        <v>8</v>
      </c>
      <c r="AG77" t="n">
        <v>11</v>
      </c>
      <c r="AH77" t="n">
        <v>4</v>
      </c>
      <c r="AI77" t="n">
        <v>6</v>
      </c>
      <c r="AJ77" t="n">
        <v>11</v>
      </c>
      <c r="AK77" t="n">
        <v>17</v>
      </c>
      <c r="AL77" t="n">
        <v>1</v>
      </c>
      <c r="AM77" t="n">
        <v>2</v>
      </c>
      <c r="AN77" t="n">
        <v>0</v>
      </c>
      <c r="AO77" t="n">
        <v>0</v>
      </c>
      <c r="AP77" t="inlineStr">
        <is>
          <t>No</t>
        </is>
      </c>
      <c r="AQ77" t="inlineStr">
        <is>
          <t>No</t>
        </is>
      </c>
      <c r="AR77">
        <f>HYPERLINK("http://catalog.hathitrust.org/Record/001242228","HathiTrust Record")</f>
        <v/>
      </c>
      <c r="AS77">
        <f>HYPERLINK("https://creighton-primo.hosted.exlibrisgroup.com/primo-explore/search?tab=default_tab&amp;search_scope=EVERYTHING&amp;vid=01CRU&amp;lang=en_US&amp;offset=0&amp;query=any,contains,991003140419702656","Catalog Record")</f>
        <v/>
      </c>
      <c r="AT77">
        <f>HYPERLINK("http://www.worldcat.org/oclc/681991","WorldCat Record")</f>
        <v/>
      </c>
      <c r="AU77" t="inlineStr">
        <is>
          <t>422756923:eng</t>
        </is>
      </c>
      <c r="AV77" t="inlineStr">
        <is>
          <t>681991</t>
        </is>
      </c>
      <c r="AW77" t="inlineStr">
        <is>
          <t>991003140419702656</t>
        </is>
      </c>
      <c r="AX77" t="inlineStr">
        <is>
          <t>991003140419702656</t>
        </is>
      </c>
      <c r="AY77" t="inlineStr">
        <is>
          <t>2266547210002656</t>
        </is>
      </c>
      <c r="AZ77" t="inlineStr">
        <is>
          <t>BOOK</t>
        </is>
      </c>
      <c r="BC77" t="inlineStr">
        <is>
          <t>32285002831138</t>
        </is>
      </c>
      <c r="BD77" t="inlineStr">
        <is>
          <t>893422214</t>
        </is>
      </c>
    </row>
    <row r="78">
      <c r="A78" t="inlineStr">
        <is>
          <t>No</t>
        </is>
      </c>
      <c r="B78" t="inlineStr">
        <is>
          <t>DS109.3 .S84 2006</t>
        </is>
      </c>
      <c r="C78" t="inlineStr">
        <is>
          <t>0                      DS 0109300S  84          2006</t>
        </is>
      </c>
      <c r="D78" t="inlineStr">
        <is>
          <t>Temples, tithes, and taxes : the temple and the economic life of ancient Israel / Marty E. Stevens.</t>
        </is>
      </c>
      <c r="F78" t="inlineStr">
        <is>
          <t>No</t>
        </is>
      </c>
      <c r="G78" t="inlineStr">
        <is>
          <t>1</t>
        </is>
      </c>
      <c r="H78" t="inlineStr">
        <is>
          <t>No</t>
        </is>
      </c>
      <c r="I78" t="inlineStr">
        <is>
          <t>No</t>
        </is>
      </c>
      <c r="J78" t="inlineStr">
        <is>
          <t>0</t>
        </is>
      </c>
      <c r="K78" t="inlineStr">
        <is>
          <t>Stevens, Marty E., 1953-</t>
        </is>
      </c>
      <c r="L78" t="inlineStr">
        <is>
          <t>Peabody, Mass. : Hendrickson Publishers, c2006.</t>
        </is>
      </c>
      <c r="M78" t="inlineStr">
        <is>
          <t>2006</t>
        </is>
      </c>
      <c r="O78" t="inlineStr">
        <is>
          <t>eng</t>
        </is>
      </c>
      <c r="P78" t="inlineStr">
        <is>
          <t>mau</t>
        </is>
      </c>
      <c r="R78" t="inlineStr">
        <is>
          <t xml:space="preserve">DS </t>
        </is>
      </c>
      <c r="S78" t="n">
        <v>2</v>
      </c>
      <c r="T78" t="n">
        <v>2</v>
      </c>
      <c r="U78" t="inlineStr">
        <is>
          <t>2008-11-13</t>
        </is>
      </c>
      <c r="V78" t="inlineStr">
        <is>
          <t>2008-11-13</t>
        </is>
      </c>
      <c r="W78" t="inlineStr">
        <is>
          <t>2007-04-10</t>
        </is>
      </c>
      <c r="X78" t="inlineStr">
        <is>
          <t>2007-04-10</t>
        </is>
      </c>
      <c r="Y78" t="n">
        <v>251</v>
      </c>
      <c r="Z78" t="n">
        <v>190</v>
      </c>
      <c r="AA78" t="n">
        <v>200</v>
      </c>
      <c r="AB78" t="n">
        <v>1</v>
      </c>
      <c r="AC78" t="n">
        <v>1</v>
      </c>
      <c r="AD78" t="n">
        <v>10</v>
      </c>
      <c r="AE78" t="n">
        <v>12</v>
      </c>
      <c r="AF78" t="n">
        <v>3</v>
      </c>
      <c r="AG78" t="n">
        <v>5</v>
      </c>
      <c r="AH78" t="n">
        <v>2</v>
      </c>
      <c r="AI78" t="n">
        <v>3</v>
      </c>
      <c r="AJ78" t="n">
        <v>5</v>
      </c>
      <c r="AK78" t="n">
        <v>5</v>
      </c>
      <c r="AL78" t="n">
        <v>0</v>
      </c>
      <c r="AM78" t="n">
        <v>0</v>
      </c>
      <c r="AN78" t="n">
        <v>0</v>
      </c>
      <c r="AO78" t="n">
        <v>0</v>
      </c>
      <c r="AP78" t="inlineStr">
        <is>
          <t>No</t>
        </is>
      </c>
      <c r="AQ78" t="inlineStr">
        <is>
          <t>No</t>
        </is>
      </c>
      <c r="AS78">
        <f>HYPERLINK("https://creighton-primo.hosted.exlibrisgroup.com/primo-explore/search?tab=default_tab&amp;search_scope=EVERYTHING&amp;vid=01CRU&amp;lang=en_US&amp;offset=0&amp;query=any,contains,991005070499702656","Catalog Record")</f>
        <v/>
      </c>
      <c r="AT78">
        <f>HYPERLINK("http://www.worldcat.org/oclc/68416829","WorldCat Record")</f>
        <v/>
      </c>
      <c r="AU78" t="inlineStr">
        <is>
          <t>51760689:eng</t>
        </is>
      </c>
      <c r="AV78" t="inlineStr">
        <is>
          <t>68416829</t>
        </is>
      </c>
      <c r="AW78" t="inlineStr">
        <is>
          <t>991005070499702656</t>
        </is>
      </c>
      <c r="AX78" t="inlineStr">
        <is>
          <t>991005070499702656</t>
        </is>
      </c>
      <c r="AY78" t="inlineStr">
        <is>
          <t>2255520800002656</t>
        </is>
      </c>
      <c r="AZ78" t="inlineStr">
        <is>
          <t>BOOK</t>
        </is>
      </c>
      <c r="BB78" t="inlineStr">
        <is>
          <t>9781565639348</t>
        </is>
      </c>
      <c r="BC78" t="inlineStr">
        <is>
          <t>32285005286017</t>
        </is>
      </c>
      <c r="BD78" t="inlineStr">
        <is>
          <t>893248304</t>
        </is>
      </c>
    </row>
    <row r="79">
      <c r="A79" t="inlineStr">
        <is>
          <t>No</t>
        </is>
      </c>
      <c r="B79" t="inlineStr">
        <is>
          <t>DS109.3 .T46 1991</t>
        </is>
      </c>
      <c r="C79" t="inlineStr">
        <is>
          <t>0                      DS 0109300T  46          1991</t>
        </is>
      </c>
      <c r="D79" t="inlineStr">
        <is>
          <t>Templum Amicitiae : essays on the second temple presented to Ernst Bammel / edited by William Horbury.</t>
        </is>
      </c>
      <c r="F79" t="inlineStr">
        <is>
          <t>No</t>
        </is>
      </c>
      <c r="G79" t="inlineStr">
        <is>
          <t>1</t>
        </is>
      </c>
      <c r="H79" t="inlineStr">
        <is>
          <t>No</t>
        </is>
      </c>
      <c r="I79" t="inlineStr">
        <is>
          <t>No</t>
        </is>
      </c>
      <c r="J79" t="inlineStr">
        <is>
          <t>0</t>
        </is>
      </c>
      <c r="L79" t="inlineStr">
        <is>
          <t>Sheffield : JSOT Press, 1991.</t>
        </is>
      </c>
      <c r="M79" t="inlineStr">
        <is>
          <t>1991</t>
        </is>
      </c>
      <c r="O79" t="inlineStr">
        <is>
          <t>eng</t>
        </is>
      </c>
      <c r="P79" t="inlineStr">
        <is>
          <t>enk</t>
        </is>
      </c>
      <c r="Q79" t="inlineStr">
        <is>
          <t>Journal for the study of the New Testament. Supplement series ; v. 48</t>
        </is>
      </c>
      <c r="R79" t="inlineStr">
        <is>
          <t xml:space="preserve">DS </t>
        </is>
      </c>
      <c r="S79" t="n">
        <v>9</v>
      </c>
      <c r="T79" t="n">
        <v>9</v>
      </c>
      <c r="U79" t="inlineStr">
        <is>
          <t>2002-02-21</t>
        </is>
      </c>
      <c r="V79" t="inlineStr">
        <is>
          <t>2002-02-21</t>
        </is>
      </c>
      <c r="W79" t="inlineStr">
        <is>
          <t>1995-05-08</t>
        </is>
      </c>
      <c r="X79" t="inlineStr">
        <is>
          <t>1995-05-08</t>
        </is>
      </c>
      <c r="Y79" t="n">
        <v>244</v>
      </c>
      <c r="Z79" t="n">
        <v>160</v>
      </c>
      <c r="AA79" t="n">
        <v>165</v>
      </c>
      <c r="AB79" t="n">
        <v>1</v>
      </c>
      <c r="AC79" t="n">
        <v>1</v>
      </c>
      <c r="AD79" t="n">
        <v>7</v>
      </c>
      <c r="AE79" t="n">
        <v>7</v>
      </c>
      <c r="AF79" t="n">
        <v>1</v>
      </c>
      <c r="AG79" t="n">
        <v>1</v>
      </c>
      <c r="AH79" t="n">
        <v>1</v>
      </c>
      <c r="AI79" t="n">
        <v>1</v>
      </c>
      <c r="AJ79" t="n">
        <v>6</v>
      </c>
      <c r="AK79" t="n">
        <v>6</v>
      </c>
      <c r="AL79" t="n">
        <v>0</v>
      </c>
      <c r="AM79" t="n">
        <v>0</v>
      </c>
      <c r="AN79" t="n">
        <v>0</v>
      </c>
      <c r="AO79" t="n">
        <v>0</v>
      </c>
      <c r="AP79" t="inlineStr">
        <is>
          <t>No</t>
        </is>
      </c>
      <c r="AQ79" t="inlineStr">
        <is>
          <t>Yes</t>
        </is>
      </c>
      <c r="AR79">
        <f>HYPERLINK("http://catalog.hathitrust.org/Record/002478581","HathiTrust Record")</f>
        <v/>
      </c>
      <c r="AS79">
        <f>HYPERLINK("https://creighton-primo.hosted.exlibrisgroup.com/primo-explore/search?tab=default_tab&amp;search_scope=EVERYTHING&amp;vid=01CRU&amp;lang=en_US&amp;offset=0&amp;query=any,contains,991001805949702656","Catalog Record")</f>
        <v/>
      </c>
      <c r="AT79">
        <f>HYPERLINK("http://www.worldcat.org/oclc/22706797","WorldCat Record")</f>
        <v/>
      </c>
      <c r="AU79" t="inlineStr">
        <is>
          <t>808785395:eng</t>
        </is>
      </c>
      <c r="AV79" t="inlineStr">
        <is>
          <t>22706797</t>
        </is>
      </c>
      <c r="AW79" t="inlineStr">
        <is>
          <t>991001805949702656</t>
        </is>
      </c>
      <c r="AX79" t="inlineStr">
        <is>
          <t>991001805949702656</t>
        </is>
      </c>
      <c r="AY79" t="inlineStr">
        <is>
          <t>2259680140002656</t>
        </is>
      </c>
      <c r="AZ79" t="inlineStr">
        <is>
          <t>BOOK</t>
        </is>
      </c>
      <c r="BB79" t="inlineStr">
        <is>
          <t>9781850752738</t>
        </is>
      </c>
      <c r="BC79" t="inlineStr">
        <is>
          <t>32285002038510</t>
        </is>
      </c>
      <c r="BD79" t="inlineStr">
        <is>
          <t>893590661</t>
        </is>
      </c>
    </row>
    <row r="80">
      <c r="A80" t="inlineStr">
        <is>
          <t>No</t>
        </is>
      </c>
      <c r="B80" t="inlineStr">
        <is>
          <t>DS109.4 .B53 1999</t>
        </is>
      </c>
      <c r="C80" t="inlineStr">
        <is>
          <t>0                      DS 0109400B  53          1999</t>
        </is>
      </c>
      <c r="D80" t="inlineStr">
        <is>
          <t>The tomb of Christ / Martin Biddle.</t>
        </is>
      </c>
      <c r="F80" t="inlineStr">
        <is>
          <t>No</t>
        </is>
      </c>
      <c r="G80" t="inlineStr">
        <is>
          <t>1</t>
        </is>
      </c>
      <c r="H80" t="inlineStr">
        <is>
          <t>No</t>
        </is>
      </c>
      <c r="I80" t="inlineStr">
        <is>
          <t>No</t>
        </is>
      </c>
      <c r="J80" t="inlineStr">
        <is>
          <t>0</t>
        </is>
      </c>
      <c r="K80" t="inlineStr">
        <is>
          <t>Biddle, Martin.</t>
        </is>
      </c>
      <c r="L80" t="inlineStr">
        <is>
          <t>Stroud, Gloucestershire : Sutton Pub., 1999.</t>
        </is>
      </c>
      <c r="M80" t="inlineStr">
        <is>
          <t>1999</t>
        </is>
      </c>
      <c r="O80" t="inlineStr">
        <is>
          <t>eng</t>
        </is>
      </c>
      <c r="P80" t="inlineStr">
        <is>
          <t>enk</t>
        </is>
      </c>
      <c r="R80" t="inlineStr">
        <is>
          <t xml:space="preserve">DS </t>
        </is>
      </c>
      <c r="S80" t="n">
        <v>1</v>
      </c>
      <c r="T80" t="n">
        <v>1</v>
      </c>
      <c r="U80" t="inlineStr">
        <is>
          <t>2008-05-20</t>
        </is>
      </c>
      <c r="V80" t="inlineStr">
        <is>
          <t>2008-05-20</t>
        </is>
      </c>
      <c r="W80" t="inlineStr">
        <is>
          <t>2008-05-20</t>
        </is>
      </c>
      <c r="X80" t="inlineStr">
        <is>
          <t>2008-05-20</t>
        </is>
      </c>
      <c r="Y80" t="n">
        <v>484</v>
      </c>
      <c r="Z80" t="n">
        <v>356</v>
      </c>
      <c r="AA80" t="n">
        <v>373</v>
      </c>
      <c r="AB80" t="n">
        <v>2</v>
      </c>
      <c r="AC80" t="n">
        <v>2</v>
      </c>
      <c r="AD80" t="n">
        <v>13</v>
      </c>
      <c r="AE80" t="n">
        <v>13</v>
      </c>
      <c r="AF80" t="n">
        <v>2</v>
      </c>
      <c r="AG80" t="n">
        <v>2</v>
      </c>
      <c r="AH80" t="n">
        <v>3</v>
      </c>
      <c r="AI80" t="n">
        <v>3</v>
      </c>
      <c r="AJ80" t="n">
        <v>10</v>
      </c>
      <c r="AK80" t="n">
        <v>10</v>
      </c>
      <c r="AL80" t="n">
        <v>1</v>
      </c>
      <c r="AM80" t="n">
        <v>1</v>
      </c>
      <c r="AN80" t="n">
        <v>0</v>
      </c>
      <c r="AO80" t="n">
        <v>0</v>
      </c>
      <c r="AP80" t="inlineStr">
        <is>
          <t>No</t>
        </is>
      </c>
      <c r="AQ80" t="inlineStr">
        <is>
          <t>Yes</t>
        </is>
      </c>
      <c r="AR80">
        <f>HYPERLINK("http://catalog.hathitrust.org/Record/004024571","HathiTrust Record")</f>
        <v/>
      </c>
      <c r="AS80">
        <f>HYPERLINK("https://creighton-primo.hosted.exlibrisgroup.com/primo-explore/search?tab=default_tab&amp;search_scope=EVERYTHING&amp;vid=01CRU&amp;lang=en_US&amp;offset=0&amp;query=any,contains,991005223539702656","Catalog Record")</f>
        <v/>
      </c>
      <c r="AT80">
        <f>HYPERLINK("http://www.worldcat.org/oclc/41244452","WorldCat Record")</f>
        <v/>
      </c>
      <c r="AU80" t="inlineStr">
        <is>
          <t>2725910:eng</t>
        </is>
      </c>
      <c r="AV80" t="inlineStr">
        <is>
          <t>41244452</t>
        </is>
      </c>
      <c r="AW80" t="inlineStr">
        <is>
          <t>991005223539702656</t>
        </is>
      </c>
      <c r="AX80" t="inlineStr">
        <is>
          <t>991005223539702656</t>
        </is>
      </c>
      <c r="AY80" t="inlineStr">
        <is>
          <t>2261529670002656</t>
        </is>
      </c>
      <c r="AZ80" t="inlineStr">
        <is>
          <t>BOOK</t>
        </is>
      </c>
      <c r="BB80" t="inlineStr">
        <is>
          <t>9780750919265</t>
        </is>
      </c>
      <c r="BC80" t="inlineStr">
        <is>
          <t>32285005409742</t>
        </is>
      </c>
      <c r="BD80" t="inlineStr">
        <is>
          <t>893607032</t>
        </is>
      </c>
    </row>
    <row r="81">
      <c r="A81" t="inlineStr">
        <is>
          <t>No</t>
        </is>
      </c>
      <c r="B81" t="inlineStr">
        <is>
          <t>DS109.4 .C64 2008</t>
        </is>
      </c>
      <c r="C81" t="inlineStr">
        <is>
          <t>0                      DS 0109400C  64          2008</t>
        </is>
      </c>
      <c r="D81" t="inlineStr">
        <is>
          <t>Saving the Holy Sepulchre : how rival Christians came together to rescue their holiest shrine / Raymond Cohen.</t>
        </is>
      </c>
      <c r="F81" t="inlineStr">
        <is>
          <t>No</t>
        </is>
      </c>
      <c r="G81" t="inlineStr">
        <is>
          <t>1</t>
        </is>
      </c>
      <c r="H81" t="inlineStr">
        <is>
          <t>No</t>
        </is>
      </c>
      <c r="I81" t="inlineStr">
        <is>
          <t>No</t>
        </is>
      </c>
      <c r="J81" t="inlineStr">
        <is>
          <t>0</t>
        </is>
      </c>
      <c r="K81" t="inlineStr">
        <is>
          <t>Cohen, Raymond, 1947-</t>
        </is>
      </c>
      <c r="L81" t="inlineStr">
        <is>
          <t>Oxford ; New York : Oxford University Press, 2008.</t>
        </is>
      </c>
      <c r="M81" t="inlineStr">
        <is>
          <t>2008</t>
        </is>
      </c>
      <c r="O81" t="inlineStr">
        <is>
          <t>eng</t>
        </is>
      </c>
      <c r="P81" t="inlineStr">
        <is>
          <t>enk</t>
        </is>
      </c>
      <c r="R81" t="inlineStr">
        <is>
          <t xml:space="preserve">DS </t>
        </is>
      </c>
      <c r="S81" t="n">
        <v>2</v>
      </c>
      <c r="T81" t="n">
        <v>2</v>
      </c>
      <c r="U81" t="inlineStr">
        <is>
          <t>2010-04-07</t>
        </is>
      </c>
      <c r="V81" t="inlineStr">
        <is>
          <t>2010-04-07</t>
        </is>
      </c>
      <c r="W81" t="inlineStr">
        <is>
          <t>2008-10-14</t>
        </is>
      </c>
      <c r="X81" t="inlineStr">
        <is>
          <t>2008-10-14</t>
        </is>
      </c>
      <c r="Y81" t="n">
        <v>368</v>
      </c>
      <c r="Z81" t="n">
        <v>328</v>
      </c>
      <c r="AA81" t="n">
        <v>701</v>
      </c>
      <c r="AB81" t="n">
        <v>5</v>
      </c>
      <c r="AC81" t="n">
        <v>8</v>
      </c>
      <c r="AD81" t="n">
        <v>17</v>
      </c>
      <c r="AE81" t="n">
        <v>31</v>
      </c>
      <c r="AF81" t="n">
        <v>6</v>
      </c>
      <c r="AG81" t="n">
        <v>10</v>
      </c>
      <c r="AH81" t="n">
        <v>5</v>
      </c>
      <c r="AI81" t="n">
        <v>8</v>
      </c>
      <c r="AJ81" t="n">
        <v>8</v>
      </c>
      <c r="AK81" t="n">
        <v>13</v>
      </c>
      <c r="AL81" t="n">
        <v>2</v>
      </c>
      <c r="AM81" t="n">
        <v>5</v>
      </c>
      <c r="AN81" t="n">
        <v>0</v>
      </c>
      <c r="AO81" t="n">
        <v>1</v>
      </c>
      <c r="AP81" t="inlineStr">
        <is>
          <t>No</t>
        </is>
      </c>
      <c r="AQ81" t="inlineStr">
        <is>
          <t>Yes</t>
        </is>
      </c>
      <c r="AR81">
        <f>HYPERLINK("http://catalog.hathitrust.org/Record/005660398","HathiTrust Record")</f>
        <v/>
      </c>
      <c r="AS81">
        <f>HYPERLINK("https://creighton-primo.hosted.exlibrisgroup.com/primo-explore/search?tab=default_tab&amp;search_scope=EVERYTHING&amp;vid=01CRU&amp;lang=en_US&amp;offset=0&amp;query=any,contains,991005268259702656","Catalog Record")</f>
        <v/>
      </c>
      <c r="AT81">
        <f>HYPERLINK("http://www.worldcat.org/oclc/167495331","WorldCat Record")</f>
        <v/>
      </c>
      <c r="AU81" t="inlineStr">
        <is>
          <t>865850298:eng</t>
        </is>
      </c>
      <c r="AV81" t="inlineStr">
        <is>
          <t>167495331</t>
        </is>
      </c>
      <c r="AW81" t="inlineStr">
        <is>
          <t>991005268259702656</t>
        </is>
      </c>
      <c r="AX81" t="inlineStr">
        <is>
          <t>991005268259702656</t>
        </is>
      </c>
      <c r="AY81" t="inlineStr">
        <is>
          <t>2257854010002656</t>
        </is>
      </c>
      <c r="AZ81" t="inlineStr">
        <is>
          <t>BOOK</t>
        </is>
      </c>
      <c r="BB81" t="inlineStr">
        <is>
          <t>9780195189667</t>
        </is>
      </c>
      <c r="BC81" t="inlineStr">
        <is>
          <t>32285005463772</t>
        </is>
      </c>
      <c r="BD81" t="inlineStr">
        <is>
          <t>893533469</t>
        </is>
      </c>
    </row>
    <row r="82">
      <c r="A82" t="inlineStr">
        <is>
          <t>No</t>
        </is>
      </c>
      <c r="B82" t="inlineStr">
        <is>
          <t>DS109.8.J45 J49 2000</t>
        </is>
      </c>
      <c r="C82" t="inlineStr">
        <is>
          <t>0                      DS 0109800J  45                 J  49          2000</t>
        </is>
      </c>
      <c r="D82" t="inlineStr">
        <is>
          <t>Jewish Quarter excavations in the Old City of Jerusalem : conducted by Nahman Avigad, 1969-1982 / editor, Hillel Geva.</t>
        </is>
      </c>
      <c r="E82" t="inlineStr">
        <is>
          <t>V. 1</t>
        </is>
      </c>
      <c r="F82" t="inlineStr">
        <is>
          <t>No</t>
        </is>
      </c>
      <c r="G82" t="inlineStr">
        <is>
          <t>1</t>
        </is>
      </c>
      <c r="H82" t="inlineStr">
        <is>
          <t>No</t>
        </is>
      </c>
      <c r="I82" t="inlineStr">
        <is>
          <t>No</t>
        </is>
      </c>
      <c r="J82" t="inlineStr">
        <is>
          <t>0</t>
        </is>
      </c>
      <c r="L82" t="inlineStr">
        <is>
          <t>Jerusalem : Israel Exploration Society : Institute of Archaeology, Hebrew University of Jerusalem, 2000-</t>
        </is>
      </c>
      <c r="M82" t="inlineStr">
        <is>
          <t>2000</t>
        </is>
      </c>
      <c r="O82" t="inlineStr">
        <is>
          <t>eng</t>
        </is>
      </c>
      <c r="P82" t="inlineStr">
        <is>
          <t xml:space="preserve">is </t>
        </is>
      </c>
      <c r="R82" t="inlineStr">
        <is>
          <t xml:space="preserve">DS </t>
        </is>
      </c>
      <c r="S82" t="n">
        <v>4</v>
      </c>
      <c r="T82" t="n">
        <v>4</v>
      </c>
      <c r="U82" t="inlineStr">
        <is>
          <t>2007-03-25</t>
        </is>
      </c>
      <c r="V82" t="inlineStr">
        <is>
          <t>2007-03-25</t>
        </is>
      </c>
      <c r="W82" t="inlineStr">
        <is>
          <t>2002-03-27</t>
        </is>
      </c>
      <c r="X82" t="inlineStr">
        <is>
          <t>2002-03-27</t>
        </is>
      </c>
      <c r="Y82" t="n">
        <v>123</v>
      </c>
      <c r="Z82" t="n">
        <v>82</v>
      </c>
      <c r="AA82" t="n">
        <v>86</v>
      </c>
      <c r="AB82" t="n">
        <v>1</v>
      </c>
      <c r="AC82" t="n">
        <v>1</v>
      </c>
      <c r="AD82" t="n">
        <v>5</v>
      </c>
      <c r="AE82" t="n">
        <v>5</v>
      </c>
      <c r="AF82" t="n">
        <v>1</v>
      </c>
      <c r="AG82" t="n">
        <v>1</v>
      </c>
      <c r="AH82" t="n">
        <v>1</v>
      </c>
      <c r="AI82" t="n">
        <v>1</v>
      </c>
      <c r="AJ82" t="n">
        <v>5</v>
      </c>
      <c r="AK82" t="n">
        <v>5</v>
      </c>
      <c r="AL82" t="n">
        <v>0</v>
      </c>
      <c r="AM82" t="n">
        <v>0</v>
      </c>
      <c r="AN82" t="n">
        <v>0</v>
      </c>
      <c r="AO82" t="n">
        <v>0</v>
      </c>
      <c r="AP82" t="inlineStr">
        <is>
          <t>No</t>
        </is>
      </c>
      <c r="AQ82" t="inlineStr">
        <is>
          <t>Yes</t>
        </is>
      </c>
      <c r="AR82">
        <f>HYPERLINK("http://catalog.hathitrust.org/Record/004121973","HathiTrust Record")</f>
        <v/>
      </c>
      <c r="AS82">
        <f>HYPERLINK("https://creighton-primo.hosted.exlibrisgroup.com/primo-explore/search?tab=default_tab&amp;search_scope=EVERYTHING&amp;vid=01CRU&amp;lang=en_US&amp;offset=0&amp;query=any,contains,991003648829702656","Catalog Record")</f>
        <v/>
      </c>
      <c r="AT82">
        <f>HYPERLINK("http://www.worldcat.org/oclc/45346108","WorldCat Record")</f>
        <v/>
      </c>
      <c r="AU82" t="inlineStr">
        <is>
          <t>3768564586:eng</t>
        </is>
      </c>
      <c r="AV82" t="inlineStr">
        <is>
          <t>45346108</t>
        </is>
      </c>
      <c r="AW82" t="inlineStr">
        <is>
          <t>991003648829702656</t>
        </is>
      </c>
      <c r="AX82" t="inlineStr">
        <is>
          <t>991003648829702656</t>
        </is>
      </c>
      <c r="AY82" t="inlineStr">
        <is>
          <t>2262639890002656</t>
        </is>
      </c>
      <c r="AZ82" t="inlineStr">
        <is>
          <t>BOOK</t>
        </is>
      </c>
      <c r="BB82" t="inlineStr">
        <is>
          <t>9789652210401</t>
        </is>
      </c>
      <c r="BC82" t="inlineStr">
        <is>
          <t>32285004475512</t>
        </is>
      </c>
      <c r="BD82" t="inlineStr">
        <is>
          <t>893435241</t>
        </is>
      </c>
    </row>
    <row r="83">
      <c r="A83" t="inlineStr">
        <is>
          <t>No</t>
        </is>
      </c>
      <c r="B83" t="inlineStr">
        <is>
          <t>DS109.8.M36 E34 1998</t>
        </is>
      </c>
      <c r="C83" t="inlineStr">
        <is>
          <t>0                      DS 0109800M  36                 E  34          1998</t>
        </is>
      </c>
      <c r="D83" t="inlineStr">
        <is>
          <t>The Rephaim Valley project : villages, terraces and stone mounds : excavations at Mana*hat, Jerusalem, 1987-1989 / Gershon Edelstein, Ianir Milevski, Sara Aurant ; with contributions by Haim Gitler ... [et al.].</t>
        </is>
      </c>
      <c r="F83" t="inlineStr">
        <is>
          <t>No</t>
        </is>
      </c>
      <c r="G83" t="inlineStr">
        <is>
          <t>1</t>
        </is>
      </c>
      <c r="H83" t="inlineStr">
        <is>
          <t>No</t>
        </is>
      </c>
      <c r="I83" t="inlineStr">
        <is>
          <t>No</t>
        </is>
      </c>
      <c r="J83" t="inlineStr">
        <is>
          <t>0</t>
        </is>
      </c>
      <c r="K83" t="inlineStr">
        <is>
          <t>Edelstein, Gershon.</t>
        </is>
      </c>
      <c r="L83" t="inlineStr">
        <is>
          <t>Jerusalem : Israel Antiquities Authority, 1998.</t>
        </is>
      </c>
      <c r="M83" t="inlineStr">
        <is>
          <t>1998</t>
        </is>
      </c>
      <c r="O83" t="inlineStr">
        <is>
          <t>eng</t>
        </is>
      </c>
      <c r="P83" t="inlineStr">
        <is>
          <t xml:space="preserve">is </t>
        </is>
      </c>
      <c r="Q83" t="inlineStr">
        <is>
          <t>IAA reports ; no. 3</t>
        </is>
      </c>
      <c r="R83" t="inlineStr">
        <is>
          <t xml:space="preserve">DS </t>
        </is>
      </c>
      <c r="S83" t="n">
        <v>2</v>
      </c>
      <c r="T83" t="n">
        <v>2</v>
      </c>
      <c r="U83" t="inlineStr">
        <is>
          <t>2008-11-20</t>
        </is>
      </c>
      <c r="V83" t="inlineStr">
        <is>
          <t>2008-11-20</t>
        </is>
      </c>
      <c r="W83" t="inlineStr">
        <is>
          <t>2002-02-25</t>
        </is>
      </c>
      <c r="X83" t="inlineStr">
        <is>
          <t>2002-02-25</t>
        </is>
      </c>
      <c r="Y83" t="n">
        <v>48</v>
      </c>
      <c r="Z83" t="n">
        <v>31</v>
      </c>
      <c r="AA83" t="n">
        <v>82</v>
      </c>
      <c r="AB83" t="n">
        <v>1</v>
      </c>
      <c r="AC83" t="n">
        <v>2</v>
      </c>
      <c r="AD83" t="n">
        <v>0</v>
      </c>
      <c r="AE83" t="n">
        <v>6</v>
      </c>
      <c r="AF83" t="n">
        <v>0</v>
      </c>
      <c r="AG83" t="n">
        <v>4</v>
      </c>
      <c r="AH83" t="n">
        <v>0</v>
      </c>
      <c r="AI83" t="n">
        <v>1</v>
      </c>
      <c r="AJ83" t="n">
        <v>0</v>
      </c>
      <c r="AK83" t="n">
        <v>1</v>
      </c>
      <c r="AL83" t="n">
        <v>0</v>
      </c>
      <c r="AM83" t="n">
        <v>1</v>
      </c>
      <c r="AN83" t="n">
        <v>0</v>
      </c>
      <c r="AO83" t="n">
        <v>0</v>
      </c>
      <c r="AP83" t="inlineStr">
        <is>
          <t>No</t>
        </is>
      </c>
      <c r="AQ83" t="inlineStr">
        <is>
          <t>No</t>
        </is>
      </c>
      <c r="AS83">
        <f>HYPERLINK("https://creighton-primo.hosted.exlibrisgroup.com/primo-explore/search?tab=default_tab&amp;search_scope=EVERYTHING&amp;vid=01CRU&amp;lang=en_US&amp;offset=0&amp;query=any,contains,991003648799702656","Catalog Record")</f>
        <v/>
      </c>
      <c r="AT83">
        <f>HYPERLINK("http://www.worldcat.org/oclc/41454390","WorldCat Record")</f>
        <v/>
      </c>
      <c r="AU83" t="inlineStr">
        <is>
          <t>26509799:eng</t>
        </is>
      </c>
      <c r="AV83" t="inlineStr">
        <is>
          <t>41454390</t>
        </is>
      </c>
      <c r="AW83" t="inlineStr">
        <is>
          <t>991003648799702656</t>
        </is>
      </c>
      <c r="AX83" t="inlineStr">
        <is>
          <t>991003648799702656</t>
        </is>
      </c>
      <c r="AY83" t="inlineStr">
        <is>
          <t>2266258410002656</t>
        </is>
      </c>
      <c r="AZ83" t="inlineStr">
        <is>
          <t>BOOK</t>
        </is>
      </c>
      <c r="BB83" t="inlineStr">
        <is>
          <t>9789654060318</t>
        </is>
      </c>
      <c r="BC83" t="inlineStr">
        <is>
          <t>32285004456876</t>
        </is>
      </c>
      <c r="BD83" t="inlineStr">
        <is>
          <t>893429034</t>
        </is>
      </c>
    </row>
    <row r="84">
      <c r="A84" t="inlineStr">
        <is>
          <t>No</t>
        </is>
      </c>
      <c r="B84" t="inlineStr">
        <is>
          <t>DS109.8.M57 H64 2000</t>
        </is>
      </c>
      <c r="C84" t="inlineStr">
        <is>
          <t>0                      DS 0109800M  57                 H  64          2000</t>
        </is>
      </c>
      <c r="D84" t="inlineStr">
        <is>
          <t>House of windows : portraits from a Jerusalem neighborhood / Adina Hoffman.</t>
        </is>
      </c>
      <c r="F84" t="inlineStr">
        <is>
          <t>No</t>
        </is>
      </c>
      <c r="G84" t="inlineStr">
        <is>
          <t>1</t>
        </is>
      </c>
      <c r="H84" t="inlineStr">
        <is>
          <t>No</t>
        </is>
      </c>
      <c r="I84" t="inlineStr">
        <is>
          <t>No</t>
        </is>
      </c>
      <c r="J84" t="inlineStr">
        <is>
          <t>0</t>
        </is>
      </c>
      <c r="K84" t="inlineStr">
        <is>
          <t>Hoffman, Adina.</t>
        </is>
      </c>
      <c r="L84" t="inlineStr">
        <is>
          <t>South Royalton, Vt. : Steerforth Press, c2000.</t>
        </is>
      </c>
      <c r="M84" t="inlineStr">
        <is>
          <t>2000</t>
        </is>
      </c>
      <c r="O84" t="inlineStr">
        <is>
          <t>eng</t>
        </is>
      </c>
      <c r="P84" t="inlineStr">
        <is>
          <t>vtu</t>
        </is>
      </c>
      <c r="R84" t="inlineStr">
        <is>
          <t xml:space="preserve">DS </t>
        </is>
      </c>
      <c r="S84" t="n">
        <v>2</v>
      </c>
      <c r="T84" t="n">
        <v>2</v>
      </c>
      <c r="U84" t="inlineStr">
        <is>
          <t>2010-07-27</t>
        </is>
      </c>
      <c r="V84" t="inlineStr">
        <is>
          <t>2010-07-27</t>
        </is>
      </c>
      <c r="W84" t="inlineStr">
        <is>
          <t>2000-12-05</t>
        </is>
      </c>
      <c r="X84" t="inlineStr">
        <is>
          <t>2000-12-05</t>
        </is>
      </c>
      <c r="Y84" t="n">
        <v>230</v>
      </c>
      <c r="Z84" t="n">
        <v>206</v>
      </c>
      <c r="AA84" t="n">
        <v>296</v>
      </c>
      <c r="AB84" t="n">
        <v>1</v>
      </c>
      <c r="AC84" t="n">
        <v>1</v>
      </c>
      <c r="AD84" t="n">
        <v>6</v>
      </c>
      <c r="AE84" t="n">
        <v>7</v>
      </c>
      <c r="AF84" t="n">
        <v>0</v>
      </c>
      <c r="AG84" t="n">
        <v>0</v>
      </c>
      <c r="AH84" t="n">
        <v>2</v>
      </c>
      <c r="AI84" t="n">
        <v>3</v>
      </c>
      <c r="AJ84" t="n">
        <v>6</v>
      </c>
      <c r="AK84" t="n">
        <v>6</v>
      </c>
      <c r="AL84" t="n">
        <v>0</v>
      </c>
      <c r="AM84" t="n">
        <v>0</v>
      </c>
      <c r="AN84" t="n">
        <v>0</v>
      </c>
      <c r="AO84" t="n">
        <v>0</v>
      </c>
      <c r="AP84" t="inlineStr">
        <is>
          <t>No</t>
        </is>
      </c>
      <c r="AQ84" t="inlineStr">
        <is>
          <t>Yes</t>
        </is>
      </c>
      <c r="AR84">
        <f>HYPERLINK("http://catalog.hathitrust.org/Record/004120907","HathiTrust Record")</f>
        <v/>
      </c>
      <c r="AS84">
        <f>HYPERLINK("https://creighton-primo.hosted.exlibrisgroup.com/primo-explore/search?tab=default_tab&amp;search_scope=EVERYTHING&amp;vid=01CRU&amp;lang=en_US&amp;offset=0&amp;query=any,contains,991003320549702656","Catalog Record")</f>
        <v/>
      </c>
      <c r="AT84">
        <f>HYPERLINK("http://www.worldcat.org/oclc/43903686","WorldCat Record")</f>
        <v/>
      </c>
      <c r="AU84" t="inlineStr">
        <is>
          <t>57319:eng</t>
        </is>
      </c>
      <c r="AV84" t="inlineStr">
        <is>
          <t>43903686</t>
        </is>
      </c>
      <c r="AW84" t="inlineStr">
        <is>
          <t>991003320549702656</t>
        </is>
      </c>
      <c r="AX84" t="inlineStr">
        <is>
          <t>991003320549702656</t>
        </is>
      </c>
      <c r="AY84" t="inlineStr">
        <is>
          <t>2258223200002656</t>
        </is>
      </c>
      <c r="AZ84" t="inlineStr">
        <is>
          <t>BOOK</t>
        </is>
      </c>
      <c r="BB84" t="inlineStr">
        <is>
          <t>9781586420017</t>
        </is>
      </c>
      <c r="BC84" t="inlineStr">
        <is>
          <t>32285004269782</t>
        </is>
      </c>
      <c r="BD84" t="inlineStr">
        <is>
          <t>893428678</t>
        </is>
      </c>
    </row>
    <row r="85">
      <c r="A85" t="inlineStr">
        <is>
          <t>No</t>
        </is>
      </c>
      <c r="B85" t="inlineStr">
        <is>
          <t>DS109.8.R6 D85</t>
        </is>
      </c>
      <c r="C85" t="inlineStr">
        <is>
          <t>0                      DS 0109800R  6                  D  85</t>
        </is>
      </c>
      <c r="D85" t="inlineStr">
        <is>
          <t>The noble sanctuary; portrait of a Holy Place in Arab Jerusalem, with acknowledgement to Al-Haram al-Sharif by Aref al-Aref.</t>
        </is>
      </c>
      <c r="F85" t="inlineStr">
        <is>
          <t>No</t>
        </is>
      </c>
      <c r="G85" t="inlineStr">
        <is>
          <t>1</t>
        </is>
      </c>
      <c r="H85" t="inlineStr">
        <is>
          <t>No</t>
        </is>
      </c>
      <c r="I85" t="inlineStr">
        <is>
          <t>No</t>
        </is>
      </c>
      <c r="J85" t="inlineStr">
        <is>
          <t>0</t>
        </is>
      </c>
      <c r="K85" t="inlineStr">
        <is>
          <t>Duncan, Alastair, 1942-</t>
        </is>
      </c>
      <c r="L85" t="inlineStr">
        <is>
          <t>London, Longmans [1972]</t>
        </is>
      </c>
      <c r="M85" t="inlineStr">
        <is>
          <t>1972</t>
        </is>
      </c>
      <c r="O85" t="inlineStr">
        <is>
          <t>eng</t>
        </is>
      </c>
      <c r="P85" t="inlineStr">
        <is>
          <t>enk</t>
        </is>
      </c>
      <c r="R85" t="inlineStr">
        <is>
          <t xml:space="preserve">DS </t>
        </is>
      </c>
      <c r="S85" t="n">
        <v>7</v>
      </c>
      <c r="T85" t="n">
        <v>7</v>
      </c>
      <c r="U85" t="inlineStr">
        <is>
          <t>2008-04-21</t>
        </is>
      </c>
      <c r="V85" t="inlineStr">
        <is>
          <t>2008-04-21</t>
        </is>
      </c>
      <c r="W85" t="inlineStr">
        <is>
          <t>1997-02-25</t>
        </is>
      </c>
      <c r="X85" t="inlineStr">
        <is>
          <t>1997-02-25</t>
        </is>
      </c>
      <c r="Y85" t="n">
        <v>314</v>
      </c>
      <c r="Z85" t="n">
        <v>223</v>
      </c>
      <c r="AA85" t="n">
        <v>256</v>
      </c>
      <c r="AB85" t="n">
        <v>2</v>
      </c>
      <c r="AC85" t="n">
        <v>2</v>
      </c>
      <c r="AD85" t="n">
        <v>14</v>
      </c>
      <c r="AE85" t="n">
        <v>18</v>
      </c>
      <c r="AF85" t="n">
        <v>5</v>
      </c>
      <c r="AG85" t="n">
        <v>6</v>
      </c>
      <c r="AH85" t="n">
        <v>2</v>
      </c>
      <c r="AI85" t="n">
        <v>5</v>
      </c>
      <c r="AJ85" t="n">
        <v>9</v>
      </c>
      <c r="AK85" t="n">
        <v>11</v>
      </c>
      <c r="AL85" t="n">
        <v>1</v>
      </c>
      <c r="AM85" t="n">
        <v>1</v>
      </c>
      <c r="AN85" t="n">
        <v>0</v>
      </c>
      <c r="AO85" t="n">
        <v>0</v>
      </c>
      <c r="AP85" t="inlineStr">
        <is>
          <t>No</t>
        </is>
      </c>
      <c r="AQ85" t="inlineStr">
        <is>
          <t>Yes</t>
        </is>
      </c>
      <c r="AR85">
        <f>HYPERLINK("http://catalog.hathitrust.org/Record/003326350","HathiTrust Record")</f>
        <v/>
      </c>
      <c r="AS85">
        <f>HYPERLINK("https://creighton-primo.hosted.exlibrisgroup.com/primo-explore/search?tab=default_tab&amp;search_scope=EVERYTHING&amp;vid=01CRU&amp;lang=en_US&amp;offset=0&amp;query=any,contains,991002865799702656","Catalog Record")</f>
        <v/>
      </c>
      <c r="AT85">
        <f>HYPERLINK("http://www.worldcat.org/oclc/495634","WorldCat Record")</f>
        <v/>
      </c>
      <c r="AU85" t="inlineStr">
        <is>
          <t>1589781:eng</t>
        </is>
      </c>
      <c r="AV85" t="inlineStr">
        <is>
          <t>495634</t>
        </is>
      </c>
      <c r="AW85" t="inlineStr">
        <is>
          <t>991002865799702656</t>
        </is>
      </c>
      <c r="AX85" t="inlineStr">
        <is>
          <t>991002865799702656</t>
        </is>
      </c>
      <c r="AY85" t="inlineStr">
        <is>
          <t>2256772260002656</t>
        </is>
      </c>
      <c r="AZ85" t="inlineStr">
        <is>
          <t>BOOK</t>
        </is>
      </c>
      <c r="BB85" t="inlineStr">
        <is>
          <t>9780582780293</t>
        </is>
      </c>
      <c r="BC85" t="inlineStr">
        <is>
          <t>32285002461068</t>
        </is>
      </c>
      <c r="BD85" t="inlineStr">
        <is>
          <t>893251716</t>
        </is>
      </c>
    </row>
    <row r="86">
      <c r="A86" t="inlineStr">
        <is>
          <t>No</t>
        </is>
      </c>
      <c r="B86" t="inlineStr">
        <is>
          <t>DS109.9 .J459 1990</t>
        </is>
      </c>
      <c r="C86" t="inlineStr">
        <is>
          <t>0                      DS 0109900J  459         1990</t>
        </is>
      </c>
      <c r="D86" t="inlineStr">
        <is>
          <t>Jerusalem in history / edited by K.J. Asali.</t>
        </is>
      </c>
      <c r="F86" t="inlineStr">
        <is>
          <t>No</t>
        </is>
      </c>
      <c r="G86" t="inlineStr">
        <is>
          <t>1</t>
        </is>
      </c>
      <c r="H86" t="inlineStr">
        <is>
          <t>No</t>
        </is>
      </c>
      <c r="I86" t="inlineStr">
        <is>
          <t>No</t>
        </is>
      </c>
      <c r="J86" t="inlineStr">
        <is>
          <t>0</t>
        </is>
      </c>
      <c r="L86" t="inlineStr">
        <is>
          <t>Brooklyn, N.Y. : Olive Branch Press, 1990.</t>
        </is>
      </c>
      <c r="M86" t="inlineStr">
        <is>
          <t>1990</t>
        </is>
      </c>
      <c r="N86" t="inlineStr">
        <is>
          <t>1st American ed.</t>
        </is>
      </c>
      <c r="O86" t="inlineStr">
        <is>
          <t>eng</t>
        </is>
      </c>
      <c r="P86" t="inlineStr">
        <is>
          <t>nyu</t>
        </is>
      </c>
      <c r="R86" t="inlineStr">
        <is>
          <t xml:space="preserve">DS </t>
        </is>
      </c>
      <c r="S86" t="n">
        <v>12</v>
      </c>
      <c r="T86" t="n">
        <v>12</v>
      </c>
      <c r="U86" t="inlineStr">
        <is>
          <t>1999-11-01</t>
        </is>
      </c>
      <c r="V86" t="inlineStr">
        <is>
          <t>1999-11-01</t>
        </is>
      </c>
      <c r="W86" t="inlineStr">
        <is>
          <t>1991-12-30</t>
        </is>
      </c>
      <c r="X86" t="inlineStr">
        <is>
          <t>1991-12-30</t>
        </is>
      </c>
      <c r="Y86" t="n">
        <v>245</v>
      </c>
      <c r="Z86" t="n">
        <v>215</v>
      </c>
      <c r="AA86" t="n">
        <v>421</v>
      </c>
      <c r="AB86" t="n">
        <v>1</v>
      </c>
      <c r="AC86" t="n">
        <v>4</v>
      </c>
      <c r="AD86" t="n">
        <v>8</v>
      </c>
      <c r="AE86" t="n">
        <v>17</v>
      </c>
      <c r="AF86" t="n">
        <v>4</v>
      </c>
      <c r="AG86" t="n">
        <v>7</v>
      </c>
      <c r="AH86" t="n">
        <v>3</v>
      </c>
      <c r="AI86" t="n">
        <v>4</v>
      </c>
      <c r="AJ86" t="n">
        <v>4</v>
      </c>
      <c r="AK86" t="n">
        <v>7</v>
      </c>
      <c r="AL86" t="n">
        <v>0</v>
      </c>
      <c r="AM86" t="n">
        <v>2</v>
      </c>
      <c r="AN86" t="n">
        <v>0</v>
      </c>
      <c r="AO86" t="n">
        <v>0</v>
      </c>
      <c r="AP86" t="inlineStr">
        <is>
          <t>No</t>
        </is>
      </c>
      <c r="AQ86" t="inlineStr">
        <is>
          <t>Yes</t>
        </is>
      </c>
      <c r="AR86">
        <f>HYPERLINK("http://catalog.hathitrust.org/Record/009492116","HathiTrust Record")</f>
        <v/>
      </c>
      <c r="AS86">
        <f>HYPERLINK("https://creighton-primo.hosted.exlibrisgroup.com/primo-explore/search?tab=default_tab&amp;search_scope=EVERYTHING&amp;vid=01CRU&amp;lang=en_US&amp;offset=0&amp;query=any,contains,991001519679702656","Catalog Record")</f>
        <v/>
      </c>
      <c r="AT86">
        <f>HYPERLINK("http://www.worldcat.org/oclc/19971463","WorldCat Record")</f>
        <v/>
      </c>
      <c r="AU86" t="inlineStr">
        <is>
          <t>55231250:eng</t>
        </is>
      </c>
      <c r="AV86" t="inlineStr">
        <is>
          <t>19971463</t>
        </is>
      </c>
      <c r="AW86" t="inlineStr">
        <is>
          <t>991001519679702656</t>
        </is>
      </c>
      <c r="AX86" t="inlineStr">
        <is>
          <t>991001519679702656</t>
        </is>
      </c>
      <c r="AY86" t="inlineStr">
        <is>
          <t>2260828500002656</t>
        </is>
      </c>
      <c r="AZ86" t="inlineStr">
        <is>
          <t>BOOK</t>
        </is>
      </c>
      <c r="BB86" t="inlineStr">
        <is>
          <t>9780940793446</t>
        </is>
      </c>
      <c r="BC86" t="inlineStr">
        <is>
          <t>32285000862291</t>
        </is>
      </c>
      <c r="BD86" t="inlineStr">
        <is>
          <t>893503466</t>
        </is>
      </c>
    </row>
    <row r="87">
      <c r="A87" t="inlineStr">
        <is>
          <t>No</t>
        </is>
      </c>
      <c r="B87" t="inlineStr">
        <is>
          <t>DS109.9 .P7</t>
        </is>
      </c>
      <c r="C87" t="inlineStr">
        <is>
          <t>0                      DS 0109900P  7</t>
        </is>
      </c>
      <c r="D87" t="inlineStr">
        <is>
          <t>Wanderings: Chaim Potok's History of the Jews / by Chaim Potok. --</t>
        </is>
      </c>
      <c r="F87" t="inlineStr">
        <is>
          <t>No</t>
        </is>
      </c>
      <c r="G87" t="inlineStr">
        <is>
          <t>1</t>
        </is>
      </c>
      <c r="H87" t="inlineStr">
        <is>
          <t>No</t>
        </is>
      </c>
      <c r="I87" t="inlineStr">
        <is>
          <t>No</t>
        </is>
      </c>
      <c r="J87" t="inlineStr">
        <is>
          <t>0</t>
        </is>
      </c>
      <c r="K87" t="inlineStr">
        <is>
          <t>Potok, Chaim.</t>
        </is>
      </c>
      <c r="L87" t="inlineStr">
        <is>
          <t>New York : Knopf, 1978.</t>
        </is>
      </c>
      <c r="M87" t="inlineStr">
        <is>
          <t>1978</t>
        </is>
      </c>
      <c r="O87" t="inlineStr">
        <is>
          <t>eng</t>
        </is>
      </c>
      <c r="P87" t="inlineStr">
        <is>
          <t>nyu</t>
        </is>
      </c>
      <c r="R87" t="inlineStr">
        <is>
          <t xml:space="preserve">DS </t>
        </is>
      </c>
      <c r="S87" t="n">
        <v>4</v>
      </c>
      <c r="T87" t="n">
        <v>4</v>
      </c>
      <c r="U87" t="inlineStr">
        <is>
          <t>1994-11-20</t>
        </is>
      </c>
      <c r="V87" t="inlineStr">
        <is>
          <t>1994-11-20</t>
        </is>
      </c>
      <c r="W87" t="inlineStr">
        <is>
          <t>1990-09-28</t>
        </is>
      </c>
      <c r="X87" t="inlineStr">
        <is>
          <t>1990-09-28</t>
        </is>
      </c>
      <c r="Y87" t="n">
        <v>1572</v>
      </c>
      <c r="Z87" t="n">
        <v>1473</v>
      </c>
      <c r="AA87" t="n">
        <v>1770</v>
      </c>
      <c r="AB87" t="n">
        <v>11</v>
      </c>
      <c r="AC87" t="n">
        <v>14</v>
      </c>
      <c r="AD87" t="n">
        <v>32</v>
      </c>
      <c r="AE87" t="n">
        <v>39</v>
      </c>
      <c r="AF87" t="n">
        <v>16</v>
      </c>
      <c r="AG87" t="n">
        <v>18</v>
      </c>
      <c r="AH87" t="n">
        <v>7</v>
      </c>
      <c r="AI87" t="n">
        <v>8</v>
      </c>
      <c r="AJ87" t="n">
        <v>10</v>
      </c>
      <c r="AK87" t="n">
        <v>14</v>
      </c>
      <c r="AL87" t="n">
        <v>6</v>
      </c>
      <c r="AM87" t="n">
        <v>8</v>
      </c>
      <c r="AN87" t="n">
        <v>0</v>
      </c>
      <c r="AO87" t="n">
        <v>0</v>
      </c>
      <c r="AP87" t="inlineStr">
        <is>
          <t>No</t>
        </is>
      </c>
      <c r="AQ87" t="inlineStr">
        <is>
          <t>Yes</t>
        </is>
      </c>
      <c r="AR87">
        <f>HYPERLINK("http://catalog.hathitrust.org/Record/000176469","HathiTrust Record")</f>
        <v/>
      </c>
      <c r="AS87">
        <f>HYPERLINK("https://creighton-primo.hosted.exlibrisgroup.com/primo-explore/search?tab=default_tab&amp;search_scope=EVERYTHING&amp;vid=01CRU&amp;lang=en_US&amp;offset=0&amp;query=any,contains,991004640779702656","Catalog Record")</f>
        <v/>
      </c>
      <c r="AT87">
        <f>HYPERLINK("http://www.worldcat.org/oclc/4003760","WorldCat Record")</f>
        <v/>
      </c>
      <c r="AU87" t="inlineStr">
        <is>
          <t>462694:eng</t>
        </is>
      </c>
      <c r="AV87" t="inlineStr">
        <is>
          <t>4003760</t>
        </is>
      </c>
      <c r="AW87" t="inlineStr">
        <is>
          <t>991004640779702656</t>
        </is>
      </c>
      <c r="AX87" t="inlineStr">
        <is>
          <t>991004640779702656</t>
        </is>
      </c>
      <c r="AY87" t="inlineStr">
        <is>
          <t>2269744730002656</t>
        </is>
      </c>
      <c r="AZ87" t="inlineStr">
        <is>
          <t>BOOK</t>
        </is>
      </c>
      <c r="BC87" t="inlineStr">
        <is>
          <t>32285000292762</t>
        </is>
      </c>
      <c r="BD87" t="inlineStr">
        <is>
          <t>893526342</t>
        </is>
      </c>
    </row>
    <row r="88">
      <c r="A88" t="inlineStr">
        <is>
          <t>No</t>
        </is>
      </c>
      <c r="B88" t="inlineStr">
        <is>
          <t>DS109.9 .S485 1995</t>
        </is>
      </c>
      <c r="C88" t="inlineStr">
        <is>
          <t>0                      DS 0109900S  485         1995</t>
        </is>
      </c>
      <c r="D88" t="inlineStr">
        <is>
          <t>Jerusalem : an archaeological biography / by Hershel Shanks.</t>
        </is>
      </c>
      <c r="F88" t="inlineStr">
        <is>
          <t>No</t>
        </is>
      </c>
      <c r="G88" t="inlineStr">
        <is>
          <t>1</t>
        </is>
      </c>
      <c r="H88" t="inlineStr">
        <is>
          <t>No</t>
        </is>
      </c>
      <c r="I88" t="inlineStr">
        <is>
          <t>No</t>
        </is>
      </c>
      <c r="J88" t="inlineStr">
        <is>
          <t>0</t>
        </is>
      </c>
      <c r="K88" t="inlineStr">
        <is>
          <t>Shanks, Hershel.</t>
        </is>
      </c>
      <c r="L88" t="inlineStr">
        <is>
          <t>New York : Random House, 1995.</t>
        </is>
      </c>
      <c r="M88" t="inlineStr">
        <is>
          <t>1995</t>
        </is>
      </c>
      <c r="N88" t="inlineStr">
        <is>
          <t>1st ed.</t>
        </is>
      </c>
      <c r="O88" t="inlineStr">
        <is>
          <t>eng</t>
        </is>
      </c>
      <c r="P88" t="inlineStr">
        <is>
          <t>nyu</t>
        </is>
      </c>
      <c r="R88" t="inlineStr">
        <is>
          <t xml:space="preserve">DS </t>
        </is>
      </c>
      <c r="S88" t="n">
        <v>16</v>
      </c>
      <c r="T88" t="n">
        <v>16</v>
      </c>
      <c r="U88" t="inlineStr">
        <is>
          <t>2007-03-25</t>
        </is>
      </c>
      <c r="V88" t="inlineStr">
        <is>
          <t>2007-03-25</t>
        </is>
      </c>
      <c r="W88" t="inlineStr">
        <is>
          <t>1996-09-24</t>
        </is>
      </c>
      <c r="X88" t="inlineStr">
        <is>
          <t>1996-09-24</t>
        </is>
      </c>
      <c r="Y88" t="n">
        <v>930</v>
      </c>
      <c r="Z88" t="n">
        <v>845</v>
      </c>
      <c r="AA88" t="n">
        <v>852</v>
      </c>
      <c r="AB88" t="n">
        <v>9</v>
      </c>
      <c r="AC88" t="n">
        <v>9</v>
      </c>
      <c r="AD88" t="n">
        <v>27</v>
      </c>
      <c r="AE88" t="n">
        <v>27</v>
      </c>
      <c r="AF88" t="n">
        <v>12</v>
      </c>
      <c r="AG88" t="n">
        <v>12</v>
      </c>
      <c r="AH88" t="n">
        <v>5</v>
      </c>
      <c r="AI88" t="n">
        <v>5</v>
      </c>
      <c r="AJ88" t="n">
        <v>10</v>
      </c>
      <c r="AK88" t="n">
        <v>10</v>
      </c>
      <c r="AL88" t="n">
        <v>6</v>
      </c>
      <c r="AM88" t="n">
        <v>6</v>
      </c>
      <c r="AN88" t="n">
        <v>0</v>
      </c>
      <c r="AO88" t="n">
        <v>0</v>
      </c>
      <c r="AP88" t="inlineStr">
        <is>
          <t>No</t>
        </is>
      </c>
      <c r="AQ88" t="inlineStr">
        <is>
          <t>Yes</t>
        </is>
      </c>
      <c r="AR88">
        <f>HYPERLINK("http://catalog.hathitrust.org/Record/003010459","HathiTrust Record")</f>
        <v/>
      </c>
      <c r="AS88">
        <f>HYPERLINK("https://creighton-primo.hosted.exlibrisgroup.com/primo-explore/search?tab=default_tab&amp;search_scope=EVERYTHING&amp;vid=01CRU&amp;lang=en_US&amp;offset=0&amp;query=any,contains,991002519409702656","Catalog Record")</f>
        <v/>
      </c>
      <c r="AT88">
        <f>HYPERLINK("http://www.worldcat.org/oclc/32778599","WorldCat Record")</f>
        <v/>
      </c>
      <c r="AU88" t="inlineStr">
        <is>
          <t>476698920:eng</t>
        </is>
      </c>
      <c r="AV88" t="inlineStr">
        <is>
          <t>32778599</t>
        </is>
      </c>
      <c r="AW88" t="inlineStr">
        <is>
          <t>991002519409702656</t>
        </is>
      </c>
      <c r="AX88" t="inlineStr">
        <is>
          <t>991002519409702656</t>
        </is>
      </c>
      <c r="AY88" t="inlineStr">
        <is>
          <t>2260206740002656</t>
        </is>
      </c>
      <c r="AZ88" t="inlineStr">
        <is>
          <t>BOOK</t>
        </is>
      </c>
      <c r="BB88" t="inlineStr">
        <is>
          <t>9780679445265</t>
        </is>
      </c>
      <c r="BC88" t="inlineStr">
        <is>
          <t>32285002319209</t>
        </is>
      </c>
      <c r="BD88" t="inlineStr">
        <is>
          <t>893867326</t>
        </is>
      </c>
    </row>
    <row r="89">
      <c r="A89" t="inlineStr">
        <is>
          <t>No</t>
        </is>
      </c>
      <c r="B89" t="inlineStr">
        <is>
          <t>DS109.912 .J413 1969</t>
        </is>
      </c>
      <c r="C89" t="inlineStr">
        <is>
          <t>0                      DS 0109912J  413         1969</t>
        </is>
      </c>
      <c r="D89" t="inlineStr">
        <is>
          <t>Jerusalem in the time of Jesus : an investigation into economic and social conditions during the New Testament period / [Translated by F. H. and C. H. Cave]</t>
        </is>
      </c>
      <c r="F89" t="inlineStr">
        <is>
          <t>No</t>
        </is>
      </c>
      <c r="G89" t="inlineStr">
        <is>
          <t>1</t>
        </is>
      </c>
      <c r="H89" t="inlineStr">
        <is>
          <t>No</t>
        </is>
      </c>
      <c r="I89" t="inlineStr">
        <is>
          <t>No</t>
        </is>
      </c>
      <c r="J89" t="inlineStr">
        <is>
          <t>0</t>
        </is>
      </c>
      <c r="K89" t="inlineStr">
        <is>
          <t>Jeremias, Joachim, 1900-1979.</t>
        </is>
      </c>
      <c r="L89" t="inlineStr">
        <is>
          <t>Philadelphia : Fortress Press, [1969]</t>
        </is>
      </c>
      <c r="M89" t="inlineStr">
        <is>
          <t>1969</t>
        </is>
      </c>
      <c r="O89" t="inlineStr">
        <is>
          <t>eng</t>
        </is>
      </c>
      <c r="P89" t="inlineStr">
        <is>
          <t>pau</t>
        </is>
      </c>
      <c r="R89" t="inlineStr">
        <is>
          <t xml:space="preserve">DS </t>
        </is>
      </c>
      <c r="S89" t="n">
        <v>13</v>
      </c>
      <c r="T89" t="n">
        <v>13</v>
      </c>
      <c r="U89" t="inlineStr">
        <is>
          <t>1999-12-08</t>
        </is>
      </c>
      <c r="V89" t="inlineStr">
        <is>
          <t>1999-12-08</t>
        </is>
      </c>
      <c r="W89" t="inlineStr">
        <is>
          <t>1990-06-08</t>
        </is>
      </c>
      <c r="X89" t="inlineStr">
        <is>
          <t>1990-06-08</t>
        </is>
      </c>
      <c r="Y89" t="n">
        <v>757</v>
      </c>
      <c r="Z89" t="n">
        <v>716</v>
      </c>
      <c r="AA89" t="n">
        <v>857</v>
      </c>
      <c r="AB89" t="n">
        <v>8</v>
      </c>
      <c r="AC89" t="n">
        <v>8</v>
      </c>
      <c r="AD89" t="n">
        <v>48</v>
      </c>
      <c r="AE89" t="n">
        <v>53</v>
      </c>
      <c r="AF89" t="n">
        <v>23</v>
      </c>
      <c r="AG89" t="n">
        <v>23</v>
      </c>
      <c r="AH89" t="n">
        <v>10</v>
      </c>
      <c r="AI89" t="n">
        <v>11</v>
      </c>
      <c r="AJ89" t="n">
        <v>22</v>
      </c>
      <c r="AK89" t="n">
        <v>26</v>
      </c>
      <c r="AL89" t="n">
        <v>7</v>
      </c>
      <c r="AM89" t="n">
        <v>7</v>
      </c>
      <c r="AN89" t="n">
        <v>0</v>
      </c>
      <c r="AO89" t="n">
        <v>0</v>
      </c>
      <c r="AP89" t="inlineStr">
        <is>
          <t>No</t>
        </is>
      </c>
      <c r="AQ89" t="inlineStr">
        <is>
          <t>No</t>
        </is>
      </c>
      <c r="AS89">
        <f>HYPERLINK("https://creighton-primo.hosted.exlibrisgroup.com/primo-explore/search?tab=default_tab&amp;search_scope=EVERYTHING&amp;vid=01CRU&amp;lang=en_US&amp;offset=0&amp;query=any,contains,991000082969702656","Catalog Record")</f>
        <v/>
      </c>
      <c r="AT89">
        <f>HYPERLINK("http://www.worldcat.org/oclc/32436","WorldCat Record")</f>
        <v/>
      </c>
      <c r="AU89" t="inlineStr">
        <is>
          <t>1102581866:eng</t>
        </is>
      </c>
      <c r="AV89" t="inlineStr">
        <is>
          <t>32436</t>
        </is>
      </c>
      <c r="AW89" t="inlineStr">
        <is>
          <t>991000082969702656</t>
        </is>
      </c>
      <c r="AX89" t="inlineStr">
        <is>
          <t>991000082969702656</t>
        </is>
      </c>
      <c r="AY89" t="inlineStr">
        <is>
          <t>2258340020002656</t>
        </is>
      </c>
      <c r="AZ89" t="inlineStr">
        <is>
          <t>BOOK</t>
        </is>
      </c>
      <c r="BC89" t="inlineStr">
        <is>
          <t>32285000177096</t>
        </is>
      </c>
      <c r="BD89" t="inlineStr">
        <is>
          <t>893425397</t>
        </is>
      </c>
    </row>
    <row r="90">
      <c r="A90" t="inlineStr">
        <is>
          <t>No</t>
        </is>
      </c>
      <c r="B90" t="inlineStr">
        <is>
          <t>DS109.93 .J49 1997</t>
        </is>
      </c>
      <c r="C90" t="inlineStr">
        <is>
          <t>0                      DS 0109930J  49          1997</t>
        </is>
      </c>
      <c r="D90" t="inlineStr">
        <is>
          <t>Jerusalem today : what future for the peace process? / edited by Ghada Karmi ; with a contribution by Edward Said.</t>
        </is>
      </c>
      <c r="F90" t="inlineStr">
        <is>
          <t>No</t>
        </is>
      </c>
      <c r="G90" t="inlineStr">
        <is>
          <t>1</t>
        </is>
      </c>
      <c r="H90" t="inlineStr">
        <is>
          <t>No</t>
        </is>
      </c>
      <c r="I90" t="inlineStr">
        <is>
          <t>No</t>
        </is>
      </c>
      <c r="J90" t="inlineStr">
        <is>
          <t>0</t>
        </is>
      </c>
      <c r="L90" t="inlineStr">
        <is>
          <t>Reading : Ithaca Press, 1997.</t>
        </is>
      </c>
      <c r="M90" t="inlineStr">
        <is>
          <t>1997</t>
        </is>
      </c>
      <c r="N90" t="inlineStr">
        <is>
          <t>1st ed.</t>
        </is>
      </c>
      <c r="O90" t="inlineStr">
        <is>
          <t>eng</t>
        </is>
      </c>
      <c r="P90" t="inlineStr">
        <is>
          <t>enk</t>
        </is>
      </c>
      <c r="R90" t="inlineStr">
        <is>
          <t xml:space="preserve">DS </t>
        </is>
      </c>
      <c r="S90" t="n">
        <v>3</v>
      </c>
      <c r="T90" t="n">
        <v>3</v>
      </c>
      <c r="U90" t="inlineStr">
        <is>
          <t>2010-04-16</t>
        </is>
      </c>
      <c r="V90" t="inlineStr">
        <is>
          <t>2010-04-16</t>
        </is>
      </c>
      <c r="W90" t="inlineStr">
        <is>
          <t>2001-03-27</t>
        </is>
      </c>
      <c r="X90" t="inlineStr">
        <is>
          <t>2001-03-27</t>
        </is>
      </c>
      <c r="Y90" t="n">
        <v>34</v>
      </c>
      <c r="Z90" t="n">
        <v>17</v>
      </c>
      <c r="AA90" t="n">
        <v>70</v>
      </c>
      <c r="AB90" t="n">
        <v>1</v>
      </c>
      <c r="AC90" t="n">
        <v>1</v>
      </c>
      <c r="AD90" t="n">
        <v>0</v>
      </c>
      <c r="AE90" t="n">
        <v>3</v>
      </c>
      <c r="AF90" t="n">
        <v>0</v>
      </c>
      <c r="AG90" t="n">
        <v>0</v>
      </c>
      <c r="AH90" t="n">
        <v>0</v>
      </c>
      <c r="AI90" t="n">
        <v>2</v>
      </c>
      <c r="AJ90" t="n">
        <v>0</v>
      </c>
      <c r="AK90" t="n">
        <v>3</v>
      </c>
      <c r="AL90" t="n">
        <v>0</v>
      </c>
      <c r="AM90" t="n">
        <v>0</v>
      </c>
      <c r="AN90" t="n">
        <v>0</v>
      </c>
      <c r="AO90" t="n">
        <v>0</v>
      </c>
      <c r="AP90" t="inlineStr">
        <is>
          <t>No</t>
        </is>
      </c>
      <c r="AQ90" t="inlineStr">
        <is>
          <t>No</t>
        </is>
      </c>
      <c r="AS90">
        <f>HYPERLINK("https://creighton-primo.hosted.exlibrisgroup.com/primo-explore/search?tab=default_tab&amp;search_scope=EVERYTHING&amp;vid=01CRU&amp;lang=en_US&amp;offset=0&amp;query=any,contains,991003480249702656","Catalog Record")</f>
        <v/>
      </c>
      <c r="AT90">
        <f>HYPERLINK("http://www.worldcat.org/oclc/39722369","WorldCat Record")</f>
        <v/>
      </c>
      <c r="AU90" t="inlineStr">
        <is>
          <t>801642322:eng</t>
        </is>
      </c>
      <c r="AV90" t="inlineStr">
        <is>
          <t>39722369</t>
        </is>
      </c>
      <c r="AW90" t="inlineStr">
        <is>
          <t>991003480249702656</t>
        </is>
      </c>
      <c r="AX90" t="inlineStr">
        <is>
          <t>991003480249702656</t>
        </is>
      </c>
      <c r="AY90" t="inlineStr">
        <is>
          <t>2272169270002656</t>
        </is>
      </c>
      <c r="AZ90" t="inlineStr">
        <is>
          <t>BOOK</t>
        </is>
      </c>
      <c r="BB90" t="inlineStr">
        <is>
          <t>9780863722264</t>
        </is>
      </c>
      <c r="BC90" t="inlineStr">
        <is>
          <t>32285004307475</t>
        </is>
      </c>
      <c r="BD90" t="inlineStr">
        <is>
          <t>893717697</t>
        </is>
      </c>
    </row>
    <row r="91">
      <c r="A91" t="inlineStr">
        <is>
          <t>No</t>
        </is>
      </c>
      <c r="B91" t="inlineStr">
        <is>
          <t>DS109.94 .F75 1996</t>
        </is>
      </c>
      <c r="C91" t="inlineStr">
        <is>
          <t>0                      DS 0109940F  75          1996</t>
        </is>
      </c>
      <c r="D91" t="inlineStr">
        <is>
          <t>To rule Jerusalem / Roger Friedland, Richard Hecht.</t>
        </is>
      </c>
      <c r="F91" t="inlineStr">
        <is>
          <t>No</t>
        </is>
      </c>
      <c r="G91" t="inlineStr">
        <is>
          <t>1</t>
        </is>
      </c>
      <c r="H91" t="inlineStr">
        <is>
          <t>No</t>
        </is>
      </c>
      <c r="I91" t="inlineStr">
        <is>
          <t>No</t>
        </is>
      </c>
      <c r="J91" t="inlineStr">
        <is>
          <t>0</t>
        </is>
      </c>
      <c r="K91" t="inlineStr">
        <is>
          <t>Friedland, Roger.</t>
        </is>
      </c>
      <c r="L91" t="inlineStr">
        <is>
          <t>New York : Cambridge University Press, 1996.</t>
        </is>
      </c>
      <c r="M91" t="inlineStr">
        <is>
          <t>1996</t>
        </is>
      </c>
      <c r="O91" t="inlineStr">
        <is>
          <t>eng</t>
        </is>
      </c>
      <c r="P91" t="inlineStr">
        <is>
          <t>nyu</t>
        </is>
      </c>
      <c r="Q91" t="inlineStr">
        <is>
          <t>Cambridge cultural social studies</t>
        </is>
      </c>
      <c r="R91" t="inlineStr">
        <is>
          <t xml:space="preserve">DS </t>
        </is>
      </c>
      <c r="S91" t="n">
        <v>7</v>
      </c>
      <c r="T91" t="n">
        <v>7</v>
      </c>
      <c r="U91" t="inlineStr">
        <is>
          <t>2000-03-17</t>
        </is>
      </c>
      <c r="V91" t="inlineStr">
        <is>
          <t>2000-03-17</t>
        </is>
      </c>
      <c r="W91" t="inlineStr">
        <is>
          <t>1996-11-15</t>
        </is>
      </c>
      <c r="X91" t="inlineStr">
        <is>
          <t>1996-11-15</t>
        </is>
      </c>
      <c r="Y91" t="n">
        <v>437</v>
      </c>
      <c r="Z91" t="n">
        <v>337</v>
      </c>
      <c r="AA91" t="n">
        <v>353</v>
      </c>
      <c r="AB91" t="n">
        <v>4</v>
      </c>
      <c r="AC91" t="n">
        <v>4</v>
      </c>
      <c r="AD91" t="n">
        <v>17</v>
      </c>
      <c r="AE91" t="n">
        <v>18</v>
      </c>
      <c r="AF91" t="n">
        <v>6</v>
      </c>
      <c r="AG91" t="n">
        <v>7</v>
      </c>
      <c r="AH91" t="n">
        <v>5</v>
      </c>
      <c r="AI91" t="n">
        <v>5</v>
      </c>
      <c r="AJ91" t="n">
        <v>8</v>
      </c>
      <c r="AK91" t="n">
        <v>8</v>
      </c>
      <c r="AL91" t="n">
        <v>3</v>
      </c>
      <c r="AM91" t="n">
        <v>3</v>
      </c>
      <c r="AN91" t="n">
        <v>0</v>
      </c>
      <c r="AO91" t="n">
        <v>0</v>
      </c>
      <c r="AP91" t="inlineStr">
        <is>
          <t>No</t>
        </is>
      </c>
      <c r="AQ91" t="inlineStr">
        <is>
          <t>No</t>
        </is>
      </c>
      <c r="AS91">
        <f>HYPERLINK("https://creighton-primo.hosted.exlibrisgroup.com/primo-explore/search?tab=default_tab&amp;search_scope=EVERYTHING&amp;vid=01CRU&amp;lang=en_US&amp;offset=0&amp;query=any,contains,991002547239702656","Catalog Record")</f>
        <v/>
      </c>
      <c r="AT91">
        <f>HYPERLINK("http://www.worldcat.org/oclc/33101120","WorldCat Record")</f>
        <v/>
      </c>
      <c r="AU91" t="inlineStr">
        <is>
          <t>9593547193:eng</t>
        </is>
      </c>
      <c r="AV91" t="inlineStr">
        <is>
          <t>33101120</t>
        </is>
      </c>
      <c r="AW91" t="inlineStr">
        <is>
          <t>991002547239702656</t>
        </is>
      </c>
      <c r="AX91" t="inlineStr">
        <is>
          <t>991002547239702656</t>
        </is>
      </c>
      <c r="AY91" t="inlineStr">
        <is>
          <t>2272486700002656</t>
        </is>
      </c>
      <c r="AZ91" t="inlineStr">
        <is>
          <t>BOOK</t>
        </is>
      </c>
      <c r="BB91" t="inlineStr">
        <is>
          <t>9780521440462</t>
        </is>
      </c>
      <c r="BC91" t="inlineStr">
        <is>
          <t>32285002373628</t>
        </is>
      </c>
      <c r="BD91" t="inlineStr">
        <is>
          <t>893498246</t>
        </is>
      </c>
    </row>
    <row r="92">
      <c r="A92" t="inlineStr">
        <is>
          <t>No</t>
        </is>
      </c>
      <c r="B92" t="inlineStr">
        <is>
          <t>DS109.95 .P75 2001</t>
        </is>
      </c>
      <c r="C92" t="inlineStr">
        <is>
          <t>0                      DS 0109950P  75          2001</t>
        </is>
      </c>
      <c r="D92" t="inlineStr">
        <is>
          <t>Unholy war / Randall Price.</t>
        </is>
      </c>
      <c r="F92" t="inlineStr">
        <is>
          <t>No</t>
        </is>
      </c>
      <c r="G92" t="inlineStr">
        <is>
          <t>1</t>
        </is>
      </c>
      <c r="H92" t="inlineStr">
        <is>
          <t>No</t>
        </is>
      </c>
      <c r="I92" t="inlineStr">
        <is>
          <t>No</t>
        </is>
      </c>
      <c r="J92" t="inlineStr">
        <is>
          <t>0</t>
        </is>
      </c>
      <c r="K92" t="inlineStr">
        <is>
          <t>Price, Randall, 1951-</t>
        </is>
      </c>
      <c r="L92" t="inlineStr">
        <is>
          <t>Eugene, OR : Harvest House Publishers, c2001.</t>
        </is>
      </c>
      <c r="M92" t="inlineStr">
        <is>
          <t>2001</t>
        </is>
      </c>
      <c r="O92" t="inlineStr">
        <is>
          <t>eng</t>
        </is>
      </c>
      <c r="P92" t="inlineStr">
        <is>
          <t>oru</t>
        </is>
      </c>
      <c r="R92" t="inlineStr">
        <is>
          <t xml:space="preserve">DS </t>
        </is>
      </c>
      <c r="S92" t="n">
        <v>7</v>
      </c>
      <c r="T92" t="n">
        <v>7</v>
      </c>
      <c r="U92" t="inlineStr">
        <is>
          <t>2006-09-08</t>
        </is>
      </c>
      <c r="V92" t="inlineStr">
        <is>
          <t>2006-09-08</t>
        </is>
      </c>
      <c r="W92" t="inlineStr">
        <is>
          <t>2002-01-29</t>
        </is>
      </c>
      <c r="X92" t="inlineStr">
        <is>
          <t>2002-01-29</t>
        </is>
      </c>
      <c r="Y92" t="n">
        <v>182</v>
      </c>
      <c r="Z92" t="n">
        <v>172</v>
      </c>
      <c r="AA92" t="n">
        <v>184</v>
      </c>
      <c r="AB92" t="n">
        <v>1</v>
      </c>
      <c r="AC92" t="n">
        <v>1</v>
      </c>
      <c r="AD92" t="n">
        <v>1</v>
      </c>
      <c r="AE92" t="n">
        <v>1</v>
      </c>
      <c r="AF92" t="n">
        <v>1</v>
      </c>
      <c r="AG92" t="n">
        <v>1</v>
      </c>
      <c r="AH92" t="n">
        <v>0</v>
      </c>
      <c r="AI92" t="n">
        <v>0</v>
      </c>
      <c r="AJ92" t="n">
        <v>0</v>
      </c>
      <c r="AK92" t="n">
        <v>0</v>
      </c>
      <c r="AL92" t="n">
        <v>0</v>
      </c>
      <c r="AM92" t="n">
        <v>0</v>
      </c>
      <c r="AN92" t="n">
        <v>0</v>
      </c>
      <c r="AO92" t="n">
        <v>0</v>
      </c>
      <c r="AP92" t="inlineStr">
        <is>
          <t>No</t>
        </is>
      </c>
      <c r="AQ92" t="inlineStr">
        <is>
          <t>No</t>
        </is>
      </c>
      <c r="AS92">
        <f>HYPERLINK("https://creighton-primo.hosted.exlibrisgroup.com/primo-explore/search?tab=default_tab&amp;search_scope=EVERYTHING&amp;vid=01CRU&amp;lang=en_US&amp;offset=0&amp;query=any,contains,991003684299702656","Catalog Record")</f>
        <v/>
      </c>
      <c r="AT92">
        <f>HYPERLINK("http://www.worldcat.org/oclc/47916042","WorldCat Record")</f>
        <v/>
      </c>
      <c r="AU92" t="inlineStr">
        <is>
          <t>9216842:eng</t>
        </is>
      </c>
      <c r="AV92" t="inlineStr">
        <is>
          <t>47916042</t>
        </is>
      </c>
      <c r="AW92" t="inlineStr">
        <is>
          <t>991003684299702656</t>
        </is>
      </c>
      <c r="AX92" t="inlineStr">
        <is>
          <t>991003684299702656</t>
        </is>
      </c>
      <c r="AY92" t="inlineStr">
        <is>
          <t>2268008530002656</t>
        </is>
      </c>
      <c r="AZ92" t="inlineStr">
        <is>
          <t>BOOK</t>
        </is>
      </c>
      <c r="BB92" t="inlineStr">
        <is>
          <t>9780736908238</t>
        </is>
      </c>
      <c r="BC92" t="inlineStr">
        <is>
          <t>32285004451059</t>
        </is>
      </c>
      <c r="BD92" t="inlineStr">
        <is>
          <t>893318255</t>
        </is>
      </c>
    </row>
    <row r="93">
      <c r="A93" t="inlineStr">
        <is>
          <t>No</t>
        </is>
      </c>
      <c r="B93" t="inlineStr">
        <is>
          <t>DS110.5 .G55</t>
        </is>
      </c>
      <c r="C93" t="inlineStr">
        <is>
          <t>0                      DS 0110500G  55</t>
        </is>
      </c>
      <c r="D93" t="inlineStr">
        <is>
          <t>Deities and dolphins : the story of the Nabataeans.</t>
        </is>
      </c>
      <c r="F93" t="inlineStr">
        <is>
          <t>No</t>
        </is>
      </c>
      <c r="G93" t="inlineStr">
        <is>
          <t>1</t>
        </is>
      </c>
      <c r="H93" t="inlineStr">
        <is>
          <t>No</t>
        </is>
      </c>
      <c r="I93" t="inlineStr">
        <is>
          <t>No</t>
        </is>
      </c>
      <c r="J93" t="inlineStr">
        <is>
          <t>0</t>
        </is>
      </c>
      <c r="K93" t="inlineStr">
        <is>
          <t>Glueck, Nelson, 1900-1972.</t>
        </is>
      </c>
      <c r="L93" t="inlineStr">
        <is>
          <t>New York, Farrar, Straus and Giroux [1965]</t>
        </is>
      </c>
      <c r="M93" t="inlineStr">
        <is>
          <t>1965</t>
        </is>
      </c>
      <c r="O93" t="inlineStr">
        <is>
          <t>eng</t>
        </is>
      </c>
      <c r="P93" t="inlineStr">
        <is>
          <t>nyu</t>
        </is>
      </c>
      <c r="R93" t="inlineStr">
        <is>
          <t xml:space="preserve">DS </t>
        </is>
      </c>
      <c r="S93" t="n">
        <v>6</v>
      </c>
      <c r="T93" t="n">
        <v>6</v>
      </c>
      <c r="U93" t="inlineStr">
        <is>
          <t>2008-03-05</t>
        </is>
      </c>
      <c r="V93" t="inlineStr">
        <is>
          <t>2008-03-05</t>
        </is>
      </c>
      <c r="W93" t="inlineStr">
        <is>
          <t>1997-03-04</t>
        </is>
      </c>
      <c r="X93" t="inlineStr">
        <is>
          <t>1997-03-04</t>
        </is>
      </c>
      <c r="Y93" t="n">
        <v>1078</v>
      </c>
      <c r="Z93" t="n">
        <v>978</v>
      </c>
      <c r="AA93" t="n">
        <v>1014</v>
      </c>
      <c r="AB93" t="n">
        <v>6</v>
      </c>
      <c r="AC93" t="n">
        <v>6</v>
      </c>
      <c r="AD93" t="n">
        <v>33</v>
      </c>
      <c r="AE93" t="n">
        <v>35</v>
      </c>
      <c r="AF93" t="n">
        <v>12</v>
      </c>
      <c r="AG93" t="n">
        <v>13</v>
      </c>
      <c r="AH93" t="n">
        <v>9</v>
      </c>
      <c r="AI93" t="n">
        <v>9</v>
      </c>
      <c r="AJ93" t="n">
        <v>15</v>
      </c>
      <c r="AK93" t="n">
        <v>17</v>
      </c>
      <c r="AL93" t="n">
        <v>5</v>
      </c>
      <c r="AM93" t="n">
        <v>5</v>
      </c>
      <c r="AN93" t="n">
        <v>0</v>
      </c>
      <c r="AO93" t="n">
        <v>0</v>
      </c>
      <c r="AP93" t="inlineStr">
        <is>
          <t>No</t>
        </is>
      </c>
      <c r="AQ93" t="inlineStr">
        <is>
          <t>Yes</t>
        </is>
      </c>
      <c r="AR93">
        <f>HYPERLINK("http://catalog.hathitrust.org/Record/001242424","HathiTrust Record")</f>
        <v/>
      </c>
      <c r="AS93">
        <f>HYPERLINK("https://creighton-primo.hosted.exlibrisgroup.com/primo-explore/search?tab=default_tab&amp;search_scope=EVERYTHING&amp;vid=01CRU&amp;lang=en_US&amp;offset=0&amp;query=any,contains,991002403859702656","Catalog Record")</f>
        <v/>
      </c>
      <c r="AT93">
        <f>HYPERLINK("http://www.worldcat.org/oclc/338175","WorldCat Record")</f>
        <v/>
      </c>
      <c r="AU93" t="inlineStr">
        <is>
          <t>1463716:eng</t>
        </is>
      </c>
      <c r="AV93" t="inlineStr">
        <is>
          <t>338175</t>
        </is>
      </c>
      <c r="AW93" t="inlineStr">
        <is>
          <t>991002403859702656</t>
        </is>
      </c>
      <c r="AX93" t="inlineStr">
        <is>
          <t>991002403859702656</t>
        </is>
      </c>
      <c r="AY93" t="inlineStr">
        <is>
          <t>2257043130002656</t>
        </is>
      </c>
      <c r="AZ93" t="inlineStr">
        <is>
          <t>BOOK</t>
        </is>
      </c>
      <c r="BC93" t="inlineStr">
        <is>
          <t>32285002463049</t>
        </is>
      </c>
      <c r="BD93" t="inlineStr">
        <is>
          <t>893597422</t>
        </is>
      </c>
    </row>
    <row r="94">
      <c r="A94" t="inlineStr">
        <is>
          <t>No</t>
        </is>
      </c>
      <c r="B94" t="inlineStr">
        <is>
          <t>DS110.5 .H63 1995</t>
        </is>
      </c>
      <c r="C94" t="inlineStr">
        <is>
          <t>0                      DS 0110500H  63          1995</t>
        </is>
      </c>
      <c r="D94" t="inlineStr">
        <is>
          <t>Mount Sinai / Joseph J. Hobbs.</t>
        </is>
      </c>
      <c r="F94" t="inlineStr">
        <is>
          <t>No</t>
        </is>
      </c>
      <c r="G94" t="inlineStr">
        <is>
          <t>1</t>
        </is>
      </c>
      <c r="H94" t="inlineStr">
        <is>
          <t>No</t>
        </is>
      </c>
      <c r="I94" t="inlineStr">
        <is>
          <t>No</t>
        </is>
      </c>
      <c r="J94" t="inlineStr">
        <is>
          <t>0</t>
        </is>
      </c>
      <c r="K94" t="inlineStr">
        <is>
          <t>Hobbs, Joseph J. (Joseph John), 1956-</t>
        </is>
      </c>
      <c r="L94" t="inlineStr">
        <is>
          <t>Austin, TX : University of Texas Press, c1995.</t>
        </is>
      </c>
      <c r="M94" t="inlineStr">
        <is>
          <t>1995</t>
        </is>
      </c>
      <c r="N94" t="inlineStr">
        <is>
          <t>1st ed.</t>
        </is>
      </c>
      <c r="O94" t="inlineStr">
        <is>
          <t>eng</t>
        </is>
      </c>
      <c r="P94" t="inlineStr">
        <is>
          <t>txu</t>
        </is>
      </c>
      <c r="R94" t="inlineStr">
        <is>
          <t xml:space="preserve">DS </t>
        </is>
      </c>
      <c r="S94" t="n">
        <v>9</v>
      </c>
      <c r="T94" t="n">
        <v>9</v>
      </c>
      <c r="U94" t="inlineStr">
        <is>
          <t>1995-11-16</t>
        </is>
      </c>
      <c r="V94" t="inlineStr">
        <is>
          <t>1995-11-16</t>
        </is>
      </c>
      <c r="W94" t="inlineStr">
        <is>
          <t>1995-05-24</t>
        </is>
      </c>
      <c r="X94" t="inlineStr">
        <is>
          <t>1995-05-24</t>
        </is>
      </c>
      <c r="Y94" t="n">
        <v>561</v>
      </c>
      <c r="Z94" t="n">
        <v>507</v>
      </c>
      <c r="AA94" t="n">
        <v>527</v>
      </c>
      <c r="AB94" t="n">
        <v>2</v>
      </c>
      <c r="AC94" t="n">
        <v>3</v>
      </c>
      <c r="AD94" t="n">
        <v>15</v>
      </c>
      <c r="AE94" t="n">
        <v>17</v>
      </c>
      <c r="AF94" t="n">
        <v>3</v>
      </c>
      <c r="AG94" t="n">
        <v>4</v>
      </c>
      <c r="AH94" t="n">
        <v>4</v>
      </c>
      <c r="AI94" t="n">
        <v>5</v>
      </c>
      <c r="AJ94" t="n">
        <v>10</v>
      </c>
      <c r="AK94" t="n">
        <v>10</v>
      </c>
      <c r="AL94" t="n">
        <v>1</v>
      </c>
      <c r="AM94" t="n">
        <v>2</v>
      </c>
      <c r="AN94" t="n">
        <v>0</v>
      </c>
      <c r="AO94" t="n">
        <v>0</v>
      </c>
      <c r="AP94" t="inlineStr">
        <is>
          <t>No</t>
        </is>
      </c>
      <c r="AQ94" t="inlineStr">
        <is>
          <t>Yes</t>
        </is>
      </c>
      <c r="AR94">
        <f>HYPERLINK("http://catalog.hathitrust.org/Record/002966443","HathiTrust Record")</f>
        <v/>
      </c>
      <c r="AS94">
        <f>HYPERLINK("https://creighton-primo.hosted.exlibrisgroup.com/primo-explore/search?tab=default_tab&amp;search_scope=EVERYTHING&amp;vid=01CRU&amp;lang=en_US&amp;offset=0&amp;query=any,contains,991002387179702656","Catalog Record")</f>
        <v/>
      </c>
      <c r="AT94">
        <f>HYPERLINK("http://www.worldcat.org/oclc/31012301","WorldCat Record")</f>
        <v/>
      </c>
      <c r="AU94" t="inlineStr">
        <is>
          <t>32761026:eng</t>
        </is>
      </c>
      <c r="AV94" t="inlineStr">
        <is>
          <t>31012301</t>
        </is>
      </c>
      <c r="AW94" t="inlineStr">
        <is>
          <t>991002387179702656</t>
        </is>
      </c>
      <c r="AX94" t="inlineStr">
        <is>
          <t>991002387179702656</t>
        </is>
      </c>
      <c r="AY94" t="inlineStr">
        <is>
          <t>2272569640002656</t>
        </is>
      </c>
      <c r="AZ94" t="inlineStr">
        <is>
          <t>BOOK</t>
        </is>
      </c>
      <c r="BB94" t="inlineStr">
        <is>
          <t>9780292730915</t>
        </is>
      </c>
      <c r="BC94" t="inlineStr">
        <is>
          <t>32285002047016</t>
        </is>
      </c>
      <c r="BD94" t="inlineStr">
        <is>
          <t>893879852</t>
        </is>
      </c>
    </row>
    <row r="95">
      <c r="A95" t="inlineStr">
        <is>
          <t>No</t>
        </is>
      </c>
      <c r="B95" t="inlineStr">
        <is>
          <t>DS110.A685 A58 1978, v...</t>
        </is>
      </c>
      <c r="C95" t="inlineStr">
        <is>
          <t>0                      DS 0110000A  685                A  58          1978                  v...</t>
        </is>
      </c>
      <c r="D95" t="inlineStr">
        <is>
          <t>Early Arad : the Chalcolitic settlement and early bronze city / by Ruth Amiran ... [et al.], with contributions by Pirhiya Beck ... [et al.].</t>
        </is>
      </c>
      <c r="E95" t="inlineStr">
        <is>
          <t>V.2</t>
        </is>
      </c>
      <c r="F95" t="inlineStr">
        <is>
          <t>Yes</t>
        </is>
      </c>
      <c r="G95" t="inlineStr">
        <is>
          <t>1</t>
        </is>
      </c>
      <c r="H95" t="inlineStr">
        <is>
          <t>Yes</t>
        </is>
      </c>
      <c r="I95" t="inlineStr">
        <is>
          <t>No</t>
        </is>
      </c>
      <c r="J95" t="inlineStr">
        <is>
          <t>0</t>
        </is>
      </c>
      <c r="K95" t="inlineStr">
        <is>
          <t>Amiran, Ruth.</t>
        </is>
      </c>
      <c r="L95" t="inlineStr">
        <is>
          <t>Jerusalem : Israel Exploration Society, 1978-</t>
        </is>
      </c>
      <c r="M95" t="inlineStr">
        <is>
          <t>1978</t>
        </is>
      </c>
      <c r="O95" t="inlineStr">
        <is>
          <t>eng</t>
        </is>
      </c>
      <c r="P95" t="inlineStr">
        <is>
          <t xml:space="preserve">is </t>
        </is>
      </c>
      <c r="Q95" t="inlineStr">
        <is>
          <t>Judean Desert studies</t>
        </is>
      </c>
      <c r="R95" t="inlineStr">
        <is>
          <t xml:space="preserve">DS </t>
        </is>
      </c>
      <c r="S95" t="n">
        <v>2</v>
      </c>
      <c r="T95" t="n">
        <v>22</v>
      </c>
      <c r="U95" t="inlineStr">
        <is>
          <t>2009-11-25</t>
        </is>
      </c>
      <c r="V95" t="inlineStr">
        <is>
          <t>2009-11-25</t>
        </is>
      </c>
      <c r="W95" t="inlineStr">
        <is>
          <t>1999-12-15</t>
        </is>
      </c>
      <c r="X95" t="inlineStr">
        <is>
          <t>1999-12-15</t>
        </is>
      </c>
      <c r="Y95" t="n">
        <v>190</v>
      </c>
      <c r="Z95" t="n">
        <v>134</v>
      </c>
      <c r="AA95" t="n">
        <v>139</v>
      </c>
      <c r="AB95" t="n">
        <v>1</v>
      </c>
      <c r="AC95" t="n">
        <v>1</v>
      </c>
      <c r="AD95" t="n">
        <v>4</v>
      </c>
      <c r="AE95" t="n">
        <v>4</v>
      </c>
      <c r="AF95" t="n">
        <v>2</v>
      </c>
      <c r="AG95" t="n">
        <v>2</v>
      </c>
      <c r="AH95" t="n">
        <v>1</v>
      </c>
      <c r="AI95" t="n">
        <v>1</v>
      </c>
      <c r="AJ95" t="n">
        <v>3</v>
      </c>
      <c r="AK95" t="n">
        <v>3</v>
      </c>
      <c r="AL95" t="n">
        <v>0</v>
      </c>
      <c r="AM95" t="n">
        <v>0</v>
      </c>
      <c r="AN95" t="n">
        <v>0</v>
      </c>
      <c r="AO95" t="n">
        <v>0</v>
      </c>
      <c r="AP95" t="inlineStr">
        <is>
          <t>No</t>
        </is>
      </c>
      <c r="AQ95" t="inlineStr">
        <is>
          <t>Yes</t>
        </is>
      </c>
      <c r="AR95">
        <f>HYPERLINK("http://catalog.hathitrust.org/Record/003123960","HathiTrust Record")</f>
        <v/>
      </c>
      <c r="AS95">
        <f>HYPERLINK("https://creighton-primo.hosted.exlibrisgroup.com/primo-explore/search?tab=default_tab&amp;search_scope=EVERYTHING&amp;vid=01CRU&amp;lang=en_US&amp;offset=0&amp;query=any,contains,991004719059702656","Catalog Record")</f>
        <v/>
      </c>
      <c r="AT95">
        <f>HYPERLINK("http://www.worldcat.org/oclc/4790540","WorldCat Record")</f>
        <v/>
      </c>
      <c r="AU95" t="inlineStr">
        <is>
          <t>2486054318:eng</t>
        </is>
      </c>
      <c r="AV95" t="inlineStr">
        <is>
          <t>4790540</t>
        </is>
      </c>
      <c r="AW95" t="inlineStr">
        <is>
          <t>991004719059702656</t>
        </is>
      </c>
      <c r="AX95" t="inlineStr">
        <is>
          <t>991004719059702656</t>
        </is>
      </c>
      <c r="AY95" t="inlineStr">
        <is>
          <t>2271865720002656</t>
        </is>
      </c>
      <c r="AZ95" t="inlineStr">
        <is>
          <t>BOOK</t>
        </is>
      </c>
      <c r="BC95" t="inlineStr">
        <is>
          <t>32285003634119</t>
        </is>
      </c>
      <c r="BD95" t="inlineStr">
        <is>
          <t>893417939</t>
        </is>
      </c>
    </row>
    <row r="96">
      <c r="A96" t="inlineStr">
        <is>
          <t>No</t>
        </is>
      </c>
      <c r="B96" t="inlineStr">
        <is>
          <t>DS110.A685 A58 1978, v...</t>
        </is>
      </c>
      <c r="C96" t="inlineStr">
        <is>
          <t>0                      DS 0110000A  685                A  58          1978                  v...</t>
        </is>
      </c>
      <c r="D96" t="inlineStr">
        <is>
          <t>Early Arad : the Chalcolitic settlement and early bronze city / by Ruth Amiran ... [et al.], with contributions by Pirhiya Beck ... [et al.].</t>
        </is>
      </c>
      <c r="E96" t="inlineStr">
        <is>
          <t>V.2</t>
        </is>
      </c>
      <c r="F96" t="inlineStr">
        <is>
          <t>Yes</t>
        </is>
      </c>
      <c r="G96" t="inlineStr">
        <is>
          <t>1</t>
        </is>
      </c>
      <c r="H96" t="inlineStr">
        <is>
          <t>Yes</t>
        </is>
      </c>
      <c r="I96" t="inlineStr">
        <is>
          <t>No</t>
        </is>
      </c>
      <c r="J96" t="inlineStr">
        <is>
          <t>0</t>
        </is>
      </c>
      <c r="K96" t="inlineStr">
        <is>
          <t>Amiran, Ruth.</t>
        </is>
      </c>
      <c r="L96" t="inlineStr">
        <is>
          <t>Jerusalem : Israel Exploration Society, 1978-</t>
        </is>
      </c>
      <c r="M96" t="inlineStr">
        <is>
          <t>1978</t>
        </is>
      </c>
      <c r="O96" t="inlineStr">
        <is>
          <t>eng</t>
        </is>
      </c>
      <c r="P96" t="inlineStr">
        <is>
          <t xml:space="preserve">is </t>
        </is>
      </c>
      <c r="Q96" t="inlineStr">
        <is>
          <t>Judean Desert studies</t>
        </is>
      </c>
      <c r="R96" t="inlineStr">
        <is>
          <t xml:space="preserve">DS </t>
        </is>
      </c>
      <c r="S96" t="n">
        <v>10</v>
      </c>
      <c r="T96" t="n">
        <v>22</v>
      </c>
      <c r="U96" t="inlineStr">
        <is>
          <t>2009-09-04</t>
        </is>
      </c>
      <c r="V96" t="inlineStr">
        <is>
          <t>2009-11-25</t>
        </is>
      </c>
      <c r="W96" t="inlineStr">
        <is>
          <t>1997-10-16</t>
        </is>
      </c>
      <c r="X96" t="inlineStr">
        <is>
          <t>1999-12-15</t>
        </is>
      </c>
      <c r="Y96" t="n">
        <v>190</v>
      </c>
      <c r="Z96" t="n">
        <v>134</v>
      </c>
      <c r="AA96" t="n">
        <v>139</v>
      </c>
      <c r="AB96" t="n">
        <v>1</v>
      </c>
      <c r="AC96" t="n">
        <v>1</v>
      </c>
      <c r="AD96" t="n">
        <v>4</v>
      </c>
      <c r="AE96" t="n">
        <v>4</v>
      </c>
      <c r="AF96" t="n">
        <v>2</v>
      </c>
      <c r="AG96" t="n">
        <v>2</v>
      </c>
      <c r="AH96" t="n">
        <v>1</v>
      </c>
      <c r="AI96" t="n">
        <v>1</v>
      </c>
      <c r="AJ96" t="n">
        <v>3</v>
      </c>
      <c r="AK96" t="n">
        <v>3</v>
      </c>
      <c r="AL96" t="n">
        <v>0</v>
      </c>
      <c r="AM96" t="n">
        <v>0</v>
      </c>
      <c r="AN96" t="n">
        <v>0</v>
      </c>
      <c r="AO96" t="n">
        <v>0</v>
      </c>
      <c r="AP96" t="inlineStr">
        <is>
          <t>No</t>
        </is>
      </c>
      <c r="AQ96" t="inlineStr">
        <is>
          <t>Yes</t>
        </is>
      </c>
      <c r="AR96">
        <f>HYPERLINK("http://catalog.hathitrust.org/Record/003123960","HathiTrust Record")</f>
        <v/>
      </c>
      <c r="AS96">
        <f>HYPERLINK("https://creighton-primo.hosted.exlibrisgroup.com/primo-explore/search?tab=default_tab&amp;search_scope=EVERYTHING&amp;vid=01CRU&amp;lang=en_US&amp;offset=0&amp;query=any,contains,991004719059702656","Catalog Record")</f>
        <v/>
      </c>
      <c r="AT96">
        <f>HYPERLINK("http://www.worldcat.org/oclc/4790540","WorldCat Record")</f>
        <v/>
      </c>
      <c r="AU96" t="inlineStr">
        <is>
          <t>2486054318:eng</t>
        </is>
      </c>
      <c r="AV96" t="inlineStr">
        <is>
          <t>4790540</t>
        </is>
      </c>
      <c r="AW96" t="inlineStr">
        <is>
          <t>991004719059702656</t>
        </is>
      </c>
      <c r="AX96" t="inlineStr">
        <is>
          <t>991004719059702656</t>
        </is>
      </c>
      <c r="AY96" t="inlineStr">
        <is>
          <t>2271865720002656</t>
        </is>
      </c>
      <c r="AZ96" t="inlineStr">
        <is>
          <t>BOOK</t>
        </is>
      </c>
      <c r="BC96" t="inlineStr">
        <is>
          <t>32285003255436</t>
        </is>
      </c>
      <c r="BD96" t="inlineStr">
        <is>
          <t>893417940</t>
        </is>
      </c>
    </row>
    <row r="97">
      <c r="A97" t="inlineStr">
        <is>
          <t>No</t>
        </is>
      </c>
      <c r="B97" t="inlineStr">
        <is>
          <t>DS110.A685 A58 1978, v...</t>
        </is>
      </c>
      <c r="C97" t="inlineStr">
        <is>
          <t>0                      DS 0110000A  685                A  58          1978                  v...</t>
        </is>
      </c>
      <c r="D97" t="inlineStr">
        <is>
          <t>Early Arad : the Chalcolitic settlement and early bronze city / by Ruth Amiran ... [et al.], with contributions by Pirhiya Beck ... [et al.].</t>
        </is>
      </c>
      <c r="E97" t="inlineStr">
        <is>
          <t>V.1</t>
        </is>
      </c>
      <c r="F97" t="inlineStr">
        <is>
          <t>Yes</t>
        </is>
      </c>
      <c r="G97" t="inlineStr">
        <is>
          <t>1</t>
        </is>
      </c>
      <c r="H97" t="inlineStr">
        <is>
          <t>No</t>
        </is>
      </c>
      <c r="I97" t="inlineStr">
        <is>
          <t>No</t>
        </is>
      </c>
      <c r="J97" t="inlineStr">
        <is>
          <t>0</t>
        </is>
      </c>
      <c r="K97" t="inlineStr">
        <is>
          <t>Amiran, Ruth.</t>
        </is>
      </c>
      <c r="L97" t="inlineStr">
        <is>
          <t>Jerusalem : Israel Exploration Society, 1978-</t>
        </is>
      </c>
      <c r="M97" t="inlineStr">
        <is>
          <t>1978</t>
        </is>
      </c>
      <c r="O97" t="inlineStr">
        <is>
          <t>eng</t>
        </is>
      </c>
      <c r="P97" t="inlineStr">
        <is>
          <t xml:space="preserve">is </t>
        </is>
      </c>
      <c r="Q97" t="inlineStr">
        <is>
          <t>Judean Desert studies</t>
        </is>
      </c>
      <c r="R97" t="inlineStr">
        <is>
          <t xml:space="preserve">DS </t>
        </is>
      </c>
      <c r="S97" t="n">
        <v>10</v>
      </c>
      <c r="T97" t="n">
        <v>22</v>
      </c>
      <c r="U97" t="inlineStr">
        <is>
          <t>2009-09-04</t>
        </is>
      </c>
      <c r="V97" t="inlineStr">
        <is>
          <t>2009-11-25</t>
        </is>
      </c>
      <c r="W97" t="inlineStr">
        <is>
          <t>1997-10-16</t>
        </is>
      </c>
      <c r="X97" t="inlineStr">
        <is>
          <t>1999-12-15</t>
        </is>
      </c>
      <c r="Y97" t="n">
        <v>190</v>
      </c>
      <c r="Z97" t="n">
        <v>134</v>
      </c>
      <c r="AA97" t="n">
        <v>139</v>
      </c>
      <c r="AB97" t="n">
        <v>1</v>
      </c>
      <c r="AC97" t="n">
        <v>1</v>
      </c>
      <c r="AD97" t="n">
        <v>4</v>
      </c>
      <c r="AE97" t="n">
        <v>4</v>
      </c>
      <c r="AF97" t="n">
        <v>2</v>
      </c>
      <c r="AG97" t="n">
        <v>2</v>
      </c>
      <c r="AH97" t="n">
        <v>1</v>
      </c>
      <c r="AI97" t="n">
        <v>1</v>
      </c>
      <c r="AJ97" t="n">
        <v>3</v>
      </c>
      <c r="AK97" t="n">
        <v>3</v>
      </c>
      <c r="AL97" t="n">
        <v>0</v>
      </c>
      <c r="AM97" t="n">
        <v>0</v>
      </c>
      <c r="AN97" t="n">
        <v>0</v>
      </c>
      <c r="AO97" t="n">
        <v>0</v>
      </c>
      <c r="AP97" t="inlineStr">
        <is>
          <t>No</t>
        </is>
      </c>
      <c r="AQ97" t="inlineStr">
        <is>
          <t>Yes</t>
        </is>
      </c>
      <c r="AR97">
        <f>HYPERLINK("http://catalog.hathitrust.org/Record/003123960","HathiTrust Record")</f>
        <v/>
      </c>
      <c r="AS97">
        <f>HYPERLINK("https://creighton-primo.hosted.exlibrisgroup.com/primo-explore/search?tab=default_tab&amp;search_scope=EVERYTHING&amp;vid=01CRU&amp;lang=en_US&amp;offset=0&amp;query=any,contains,991004719059702656","Catalog Record")</f>
        <v/>
      </c>
      <c r="AT97">
        <f>HYPERLINK("http://www.worldcat.org/oclc/4790540","WorldCat Record")</f>
        <v/>
      </c>
      <c r="AU97" t="inlineStr">
        <is>
          <t>2486054318:eng</t>
        </is>
      </c>
      <c r="AV97" t="inlineStr">
        <is>
          <t>4790540</t>
        </is>
      </c>
      <c r="AW97" t="inlineStr">
        <is>
          <t>991004719059702656</t>
        </is>
      </c>
      <c r="AX97" t="inlineStr">
        <is>
          <t>991004719059702656</t>
        </is>
      </c>
      <c r="AY97" t="inlineStr">
        <is>
          <t>2271865720002656</t>
        </is>
      </c>
      <c r="AZ97" t="inlineStr">
        <is>
          <t>BOOK</t>
        </is>
      </c>
      <c r="BC97" t="inlineStr">
        <is>
          <t>32285003255428</t>
        </is>
      </c>
      <c r="BD97" t="inlineStr">
        <is>
          <t>893417938</t>
        </is>
      </c>
    </row>
    <row r="98">
      <c r="A98" t="inlineStr">
        <is>
          <t>No</t>
        </is>
      </c>
      <c r="B98" t="inlineStr">
        <is>
          <t>DS110.B35 B38 1973</t>
        </is>
      </c>
      <c r="C98" t="inlineStr">
        <is>
          <t>0                      DS 0110000B  35                 B  38          1973</t>
        </is>
      </c>
      <c r="D98" t="inlineStr">
        <is>
          <t>Beer-sheba I : exavations at Tel Beer-sheba, 1969-1971 seasons / edited by Yohanan Aharoni.</t>
        </is>
      </c>
      <c r="F98" t="inlineStr">
        <is>
          <t>No</t>
        </is>
      </c>
      <c r="G98" t="inlineStr">
        <is>
          <t>1</t>
        </is>
      </c>
      <c r="H98" t="inlineStr">
        <is>
          <t>No</t>
        </is>
      </c>
      <c r="I98" t="inlineStr">
        <is>
          <t>No</t>
        </is>
      </c>
      <c r="J98" t="inlineStr">
        <is>
          <t>0</t>
        </is>
      </c>
      <c r="L98" t="inlineStr">
        <is>
          <t>Tel Aviv : Tel Aviv University, Institute of Archaeology, c1973.</t>
        </is>
      </c>
      <c r="M98" t="inlineStr">
        <is>
          <t>1973</t>
        </is>
      </c>
      <c r="O98" t="inlineStr">
        <is>
          <t>eng</t>
        </is>
      </c>
      <c r="P98" t="inlineStr">
        <is>
          <t xml:space="preserve">is </t>
        </is>
      </c>
      <c r="Q98" t="inlineStr">
        <is>
          <t>Publications of the Institute of Archaeology ; no. 2</t>
        </is>
      </c>
      <c r="R98" t="inlineStr">
        <is>
          <t xml:space="preserve">DS </t>
        </is>
      </c>
      <c r="S98" t="n">
        <v>4</v>
      </c>
      <c r="T98" t="n">
        <v>4</v>
      </c>
      <c r="U98" t="inlineStr">
        <is>
          <t>2004-02-17</t>
        </is>
      </c>
      <c r="V98" t="inlineStr">
        <is>
          <t>2004-02-17</t>
        </is>
      </c>
      <c r="W98" t="inlineStr">
        <is>
          <t>1997-07-01</t>
        </is>
      </c>
      <c r="X98" t="inlineStr">
        <is>
          <t>1997-07-01</t>
        </is>
      </c>
      <c r="Y98" t="n">
        <v>22</v>
      </c>
      <c r="Z98" t="n">
        <v>18</v>
      </c>
      <c r="AA98" t="n">
        <v>18</v>
      </c>
      <c r="AB98" t="n">
        <v>1</v>
      </c>
      <c r="AC98" t="n">
        <v>1</v>
      </c>
      <c r="AD98" t="n">
        <v>0</v>
      </c>
      <c r="AE98" t="n">
        <v>0</v>
      </c>
      <c r="AF98" t="n">
        <v>0</v>
      </c>
      <c r="AG98" t="n">
        <v>0</v>
      </c>
      <c r="AH98" t="n">
        <v>0</v>
      </c>
      <c r="AI98" t="n">
        <v>0</v>
      </c>
      <c r="AJ98" t="n">
        <v>0</v>
      </c>
      <c r="AK98" t="n">
        <v>0</v>
      </c>
      <c r="AL98" t="n">
        <v>0</v>
      </c>
      <c r="AM98" t="n">
        <v>0</v>
      </c>
      <c r="AN98" t="n">
        <v>0</v>
      </c>
      <c r="AO98" t="n">
        <v>0</v>
      </c>
      <c r="AP98" t="inlineStr">
        <is>
          <t>No</t>
        </is>
      </c>
      <c r="AQ98" t="inlineStr">
        <is>
          <t>No</t>
        </is>
      </c>
      <c r="AS98">
        <f>HYPERLINK("https://creighton-primo.hosted.exlibrisgroup.com/primo-explore/search?tab=default_tab&amp;search_scope=EVERYTHING&amp;vid=01CRU&amp;lang=en_US&amp;offset=0&amp;query=any,contains,991000942929702656","Catalog Record")</f>
        <v/>
      </c>
      <c r="AT98">
        <f>HYPERLINK("http://www.worldcat.org/oclc/14438197","WorldCat Record")</f>
        <v/>
      </c>
      <c r="AU98" t="inlineStr">
        <is>
          <t>5609075396:eng</t>
        </is>
      </c>
      <c r="AV98" t="inlineStr">
        <is>
          <t>14438197</t>
        </is>
      </c>
      <c r="AW98" t="inlineStr">
        <is>
          <t>991000942929702656</t>
        </is>
      </c>
      <c r="AX98" t="inlineStr">
        <is>
          <t>991000942929702656</t>
        </is>
      </c>
      <c r="AY98" t="inlineStr">
        <is>
          <t>2258479310002656</t>
        </is>
      </c>
      <c r="AZ98" t="inlineStr">
        <is>
          <t>BOOK</t>
        </is>
      </c>
      <c r="BC98" t="inlineStr">
        <is>
          <t>32285002754769</t>
        </is>
      </c>
      <c r="BD98" t="inlineStr">
        <is>
          <t>893784667</t>
        </is>
      </c>
    </row>
    <row r="99">
      <c r="A99" t="inlineStr">
        <is>
          <t>No</t>
        </is>
      </c>
      <c r="B99" t="inlineStr">
        <is>
          <t>DS110.B35 H47 1984</t>
        </is>
      </c>
      <c r="C99" t="inlineStr">
        <is>
          <t>0                      DS 0110000B  35                 H  47          1984</t>
        </is>
      </c>
      <c r="D99" t="inlineStr">
        <is>
          <t>Beer-Sheba II : the early Iron Age settlements / by Zee̓v Herzog ; with participation of Fredric R. Brandfon and Anson F. Rainey ; contributions by Raphael Giveon ... [et al.].</t>
        </is>
      </c>
      <c r="F99" t="inlineStr">
        <is>
          <t>No</t>
        </is>
      </c>
      <c r="G99" t="inlineStr">
        <is>
          <t>1</t>
        </is>
      </c>
      <c r="H99" t="inlineStr">
        <is>
          <t>No</t>
        </is>
      </c>
      <c r="I99" t="inlineStr">
        <is>
          <t>No</t>
        </is>
      </c>
      <c r="J99" t="inlineStr">
        <is>
          <t>0</t>
        </is>
      </c>
      <c r="K99" t="inlineStr">
        <is>
          <t>Herzog, Zeʼev.</t>
        </is>
      </c>
      <c r="L99" t="inlineStr">
        <is>
          <t>Tel Aviv : Tel Aviv University, Institute of Archaeology : Ramot Pub. Co., 1984.</t>
        </is>
      </c>
      <c r="M99" t="inlineStr">
        <is>
          <t>1984</t>
        </is>
      </c>
      <c r="O99" t="inlineStr">
        <is>
          <t>eng</t>
        </is>
      </c>
      <c r="P99" t="inlineStr">
        <is>
          <t xml:space="preserve">is </t>
        </is>
      </c>
      <c r="Q99" t="inlineStr">
        <is>
          <t>Publications of the Institute of Archaeology ; no. 7</t>
        </is>
      </c>
      <c r="R99" t="inlineStr">
        <is>
          <t xml:space="preserve">DS </t>
        </is>
      </c>
      <c r="S99" t="n">
        <v>4</v>
      </c>
      <c r="T99" t="n">
        <v>4</v>
      </c>
      <c r="U99" t="inlineStr">
        <is>
          <t>2009-11-25</t>
        </is>
      </c>
      <c r="V99" t="inlineStr">
        <is>
          <t>2009-11-25</t>
        </is>
      </c>
      <c r="W99" t="inlineStr">
        <is>
          <t>1997-07-01</t>
        </is>
      </c>
      <c r="X99" t="inlineStr">
        <is>
          <t>1997-07-01</t>
        </is>
      </c>
      <c r="Y99" t="n">
        <v>83</v>
      </c>
      <c r="Z99" t="n">
        <v>64</v>
      </c>
      <c r="AA99" t="n">
        <v>77</v>
      </c>
      <c r="AB99" t="n">
        <v>1</v>
      </c>
      <c r="AC99" t="n">
        <v>1</v>
      </c>
      <c r="AD99" t="n">
        <v>2</v>
      </c>
      <c r="AE99" t="n">
        <v>2</v>
      </c>
      <c r="AF99" t="n">
        <v>2</v>
      </c>
      <c r="AG99" t="n">
        <v>2</v>
      </c>
      <c r="AH99" t="n">
        <v>0</v>
      </c>
      <c r="AI99" t="n">
        <v>0</v>
      </c>
      <c r="AJ99" t="n">
        <v>1</v>
      </c>
      <c r="AK99" t="n">
        <v>1</v>
      </c>
      <c r="AL99" t="n">
        <v>0</v>
      </c>
      <c r="AM99" t="n">
        <v>0</v>
      </c>
      <c r="AN99" t="n">
        <v>0</v>
      </c>
      <c r="AO99" t="n">
        <v>0</v>
      </c>
      <c r="AP99" t="inlineStr">
        <is>
          <t>No</t>
        </is>
      </c>
      <c r="AQ99" t="inlineStr">
        <is>
          <t>Yes</t>
        </is>
      </c>
      <c r="AR99">
        <f>HYPERLINK("http://catalog.hathitrust.org/Record/000643023","HathiTrust Record")</f>
        <v/>
      </c>
      <c r="AS99">
        <f>HYPERLINK("https://creighton-primo.hosted.exlibrisgroup.com/primo-explore/search?tab=default_tab&amp;search_scope=EVERYTHING&amp;vid=01CRU&amp;lang=en_US&amp;offset=0&amp;query=any,contains,991000764759702656","Catalog Record")</f>
        <v/>
      </c>
      <c r="AT99">
        <f>HYPERLINK("http://www.worldcat.org/oclc/12981413","WorldCat Record")</f>
        <v/>
      </c>
      <c r="AU99" t="inlineStr">
        <is>
          <t>324988178:eng</t>
        </is>
      </c>
      <c r="AV99" t="inlineStr">
        <is>
          <t>12981413</t>
        </is>
      </c>
      <c r="AW99" t="inlineStr">
        <is>
          <t>991000764759702656</t>
        </is>
      </c>
      <c r="AX99" t="inlineStr">
        <is>
          <t>991000764759702656</t>
        </is>
      </c>
      <c r="AY99" t="inlineStr">
        <is>
          <t>2266477450002656</t>
        </is>
      </c>
      <c r="AZ99" t="inlineStr">
        <is>
          <t>BOOK</t>
        </is>
      </c>
      <c r="BC99" t="inlineStr">
        <is>
          <t>32285002754744</t>
        </is>
      </c>
      <c r="BD99" t="inlineStr">
        <is>
          <t>893255711</t>
        </is>
      </c>
    </row>
    <row r="100">
      <c r="A100" t="inlineStr">
        <is>
          <t>No</t>
        </is>
      </c>
      <c r="B100" t="inlineStr">
        <is>
          <t>DS110.B3926 A955 2008</t>
        </is>
      </c>
      <c r="C100" t="inlineStr">
        <is>
          <t>0                      DS 0110000B  3926               A  955         2008</t>
        </is>
      </c>
      <c r="D100" t="inlineStr">
        <is>
          <t>The necropolis of Bet Guvrin-Eleutheropolis / Gideon Avni, Uzi Dahari and Amos Kloner ; with contributions by Jodi Magness, Talila Michaeli and Tamar Winter.</t>
        </is>
      </c>
      <c r="F100" t="inlineStr">
        <is>
          <t>No</t>
        </is>
      </c>
      <c r="G100" t="inlineStr">
        <is>
          <t>1</t>
        </is>
      </c>
      <c r="H100" t="inlineStr">
        <is>
          <t>No</t>
        </is>
      </c>
      <c r="I100" t="inlineStr">
        <is>
          <t>No</t>
        </is>
      </c>
      <c r="J100" t="inlineStr">
        <is>
          <t>0</t>
        </is>
      </c>
      <c r="K100" t="inlineStr">
        <is>
          <t>Avni, Gideon.</t>
        </is>
      </c>
      <c r="L100" t="inlineStr">
        <is>
          <t>Jerusalem : Israel Antiquities Authority, 2008.</t>
        </is>
      </c>
      <c r="M100" t="inlineStr">
        <is>
          <t>2008</t>
        </is>
      </c>
      <c r="O100" t="inlineStr">
        <is>
          <t>eng</t>
        </is>
      </c>
      <c r="P100" t="inlineStr">
        <is>
          <t xml:space="preserve">is </t>
        </is>
      </c>
      <c r="Q100" t="inlineStr">
        <is>
          <t>IAA reports ; no. 36</t>
        </is>
      </c>
      <c r="R100" t="inlineStr">
        <is>
          <t xml:space="preserve">DS </t>
        </is>
      </c>
      <c r="S100" t="n">
        <v>1</v>
      </c>
      <c r="T100" t="n">
        <v>1</v>
      </c>
      <c r="U100" t="inlineStr">
        <is>
          <t>2010-01-18</t>
        </is>
      </c>
      <c r="V100" t="inlineStr">
        <is>
          <t>2010-01-18</t>
        </is>
      </c>
      <c r="W100" t="inlineStr">
        <is>
          <t>2010-01-18</t>
        </is>
      </c>
      <c r="X100" t="inlineStr">
        <is>
          <t>2010-01-18</t>
        </is>
      </c>
      <c r="Y100" t="n">
        <v>55</v>
      </c>
      <c r="Z100" t="n">
        <v>30</v>
      </c>
      <c r="AA100" t="n">
        <v>85</v>
      </c>
      <c r="AB100" t="n">
        <v>1</v>
      </c>
      <c r="AC100" t="n">
        <v>2</v>
      </c>
      <c r="AD100" t="n">
        <v>0</v>
      </c>
      <c r="AE100" t="n">
        <v>6</v>
      </c>
      <c r="AF100" t="n">
        <v>0</v>
      </c>
      <c r="AG100" t="n">
        <v>4</v>
      </c>
      <c r="AH100" t="n">
        <v>0</v>
      </c>
      <c r="AI100" t="n">
        <v>1</v>
      </c>
      <c r="AJ100" t="n">
        <v>0</v>
      </c>
      <c r="AK100" t="n">
        <v>1</v>
      </c>
      <c r="AL100" t="n">
        <v>0</v>
      </c>
      <c r="AM100" t="n">
        <v>1</v>
      </c>
      <c r="AN100" t="n">
        <v>0</v>
      </c>
      <c r="AO100" t="n">
        <v>0</v>
      </c>
      <c r="AP100" t="inlineStr">
        <is>
          <t>No</t>
        </is>
      </c>
      <c r="AQ100" t="inlineStr">
        <is>
          <t>Yes</t>
        </is>
      </c>
      <c r="AR100">
        <f>HYPERLINK("http://catalog.hathitrust.org/Record/008565465","HathiTrust Record")</f>
        <v/>
      </c>
      <c r="AS100">
        <f>HYPERLINK("https://creighton-primo.hosted.exlibrisgroup.com/primo-explore/search?tab=default_tab&amp;search_scope=EVERYTHING&amp;vid=01CRU&amp;lang=en_US&amp;offset=0&amp;query=any,contains,991005351919702656","Catalog Record")</f>
        <v/>
      </c>
      <c r="AT100">
        <f>HYPERLINK("http://www.worldcat.org/oclc/318339324","WorldCat Record")</f>
        <v/>
      </c>
      <c r="AU100" t="inlineStr">
        <is>
          <t>195500785:eng</t>
        </is>
      </c>
      <c r="AV100" t="inlineStr">
        <is>
          <t>318339324</t>
        </is>
      </c>
      <c r="AW100" t="inlineStr">
        <is>
          <t>991005351919702656</t>
        </is>
      </c>
      <c r="AX100" t="inlineStr">
        <is>
          <t>991005351919702656</t>
        </is>
      </c>
      <c r="AY100" t="inlineStr">
        <is>
          <t>2270205000002656</t>
        </is>
      </c>
      <c r="AZ100" t="inlineStr">
        <is>
          <t>BOOK</t>
        </is>
      </c>
      <c r="BB100" t="inlineStr">
        <is>
          <t>9789654062145</t>
        </is>
      </c>
      <c r="BC100" t="inlineStr">
        <is>
          <t>32285005557987</t>
        </is>
      </c>
      <c r="BD100" t="inlineStr">
        <is>
          <t>893613559</t>
        </is>
      </c>
    </row>
    <row r="101">
      <c r="A101" t="inlineStr">
        <is>
          <t>No</t>
        </is>
      </c>
      <c r="B101" t="inlineStr">
        <is>
          <t>DS110.B476 B48 1995, v...</t>
        </is>
      </c>
      <c r="C101" t="inlineStr">
        <is>
          <t>0                      DS 0110000B  476                B  48          1995                  v...</t>
        </is>
      </c>
      <c r="D101" t="inlineStr">
        <is>
          <t>Bethsaida Excavations Project reports &amp; contextual studies.</t>
        </is>
      </c>
      <c r="E101" t="inlineStr">
        <is>
          <t>V.1</t>
        </is>
      </c>
      <c r="F101" t="inlineStr">
        <is>
          <t>No</t>
        </is>
      </c>
      <c r="G101" t="inlineStr">
        <is>
          <t>1</t>
        </is>
      </c>
      <c r="H101" t="inlineStr">
        <is>
          <t>No</t>
        </is>
      </c>
      <c r="I101" t="inlineStr">
        <is>
          <t>No</t>
        </is>
      </c>
      <c r="J101" t="inlineStr">
        <is>
          <t>0</t>
        </is>
      </c>
      <c r="L101" t="inlineStr">
        <is>
          <t>Kirksville, Mo. : Thomas Jefferson University Press, 1995-</t>
        </is>
      </c>
      <c r="M101" t="inlineStr">
        <is>
          <t>1995</t>
        </is>
      </c>
      <c r="O101" t="inlineStr">
        <is>
          <t>eng</t>
        </is>
      </c>
      <c r="P101" t="inlineStr">
        <is>
          <t>mou</t>
        </is>
      </c>
      <c r="R101" t="inlineStr">
        <is>
          <t xml:space="preserve">DS </t>
        </is>
      </c>
      <c r="S101" t="n">
        <v>16</v>
      </c>
      <c r="T101" t="n">
        <v>16</v>
      </c>
      <c r="U101" t="inlineStr">
        <is>
          <t>2010-12-20</t>
        </is>
      </c>
      <c r="V101" t="inlineStr">
        <is>
          <t>2010-12-20</t>
        </is>
      </c>
      <c r="W101" t="inlineStr">
        <is>
          <t>1996-12-11</t>
        </is>
      </c>
      <c r="X101" t="inlineStr">
        <is>
          <t>1996-12-11</t>
        </is>
      </c>
      <c r="Y101" t="n">
        <v>169</v>
      </c>
      <c r="Z101" t="n">
        <v>152</v>
      </c>
      <c r="AA101" t="n">
        <v>156</v>
      </c>
      <c r="AB101" t="n">
        <v>6</v>
      </c>
      <c r="AC101" t="n">
        <v>6</v>
      </c>
      <c r="AD101" t="n">
        <v>11</v>
      </c>
      <c r="AE101" t="n">
        <v>11</v>
      </c>
      <c r="AF101" t="n">
        <v>2</v>
      </c>
      <c r="AG101" t="n">
        <v>2</v>
      </c>
      <c r="AH101" t="n">
        <v>3</v>
      </c>
      <c r="AI101" t="n">
        <v>3</v>
      </c>
      <c r="AJ101" t="n">
        <v>5</v>
      </c>
      <c r="AK101" t="n">
        <v>5</v>
      </c>
      <c r="AL101" t="n">
        <v>4</v>
      </c>
      <c r="AM101" t="n">
        <v>4</v>
      </c>
      <c r="AN101" t="n">
        <v>0</v>
      </c>
      <c r="AO101" t="n">
        <v>0</v>
      </c>
      <c r="AP101" t="inlineStr">
        <is>
          <t>No</t>
        </is>
      </c>
      <c r="AQ101" t="inlineStr">
        <is>
          <t>No</t>
        </is>
      </c>
      <c r="AS101">
        <f>HYPERLINK("https://creighton-primo.hosted.exlibrisgroup.com/primo-explore/search?tab=default_tab&amp;search_scope=EVERYTHING&amp;vid=01CRU&amp;lang=en_US&amp;offset=0&amp;query=any,contains,991002422279702656","Catalog Record")</f>
        <v/>
      </c>
      <c r="AT101">
        <f>HYPERLINK("http://www.worldcat.org/oclc/31604560","WorldCat Record")</f>
        <v/>
      </c>
      <c r="AU101" t="inlineStr">
        <is>
          <t>3373341878:eng</t>
        </is>
      </c>
      <c r="AV101" t="inlineStr">
        <is>
          <t>31604560</t>
        </is>
      </c>
      <c r="AW101" t="inlineStr">
        <is>
          <t>991002422279702656</t>
        </is>
      </c>
      <c r="AX101" t="inlineStr">
        <is>
          <t>991002422279702656</t>
        </is>
      </c>
      <c r="AY101" t="inlineStr">
        <is>
          <t>2270958540002656</t>
        </is>
      </c>
      <c r="AZ101" t="inlineStr">
        <is>
          <t>BOOK</t>
        </is>
      </c>
      <c r="BB101" t="inlineStr">
        <is>
          <t>9780943549309</t>
        </is>
      </c>
      <c r="BC101" t="inlineStr">
        <is>
          <t>32285002392263</t>
        </is>
      </c>
      <c r="BD101" t="inlineStr">
        <is>
          <t>893341410</t>
        </is>
      </c>
    </row>
    <row r="102">
      <c r="A102" t="inlineStr">
        <is>
          <t>No</t>
        </is>
      </c>
      <c r="B102" t="inlineStr">
        <is>
          <t>DS110.C15 L63 1976</t>
        </is>
      </c>
      <c r="C102" t="inlineStr">
        <is>
          <t>0                      DS 0110000C  15                 L  63          1976</t>
        </is>
      </c>
      <c r="D102" t="inlineStr">
        <is>
          <t>A visit to Capharnaum / Stanislao Loffreda.</t>
        </is>
      </c>
      <c r="F102" t="inlineStr">
        <is>
          <t>No</t>
        </is>
      </c>
      <c r="G102" t="inlineStr">
        <is>
          <t>1</t>
        </is>
      </c>
      <c r="H102" t="inlineStr">
        <is>
          <t>No</t>
        </is>
      </c>
      <c r="I102" t="inlineStr">
        <is>
          <t>No</t>
        </is>
      </c>
      <c r="J102" t="inlineStr">
        <is>
          <t>0</t>
        </is>
      </c>
      <c r="K102" t="inlineStr">
        <is>
          <t>Loffreda, Stanislao, 1932-</t>
        </is>
      </c>
      <c r="L102" t="inlineStr">
        <is>
          <t>Jerusalem : Franciscan Printing Press, 1976 [reprinted 1982]</t>
        </is>
      </c>
      <c r="M102" t="inlineStr">
        <is>
          <t>1982</t>
        </is>
      </c>
      <c r="N102" t="inlineStr">
        <is>
          <t>2nd ed.</t>
        </is>
      </c>
      <c r="O102" t="inlineStr">
        <is>
          <t>eng</t>
        </is>
      </c>
      <c r="P102" t="inlineStr">
        <is>
          <t xml:space="preserve">is </t>
        </is>
      </c>
      <c r="Q102" t="inlineStr">
        <is>
          <t>The Holy places of Palestine.</t>
        </is>
      </c>
      <c r="R102" t="inlineStr">
        <is>
          <t xml:space="preserve">DS </t>
        </is>
      </c>
      <c r="S102" t="n">
        <v>2</v>
      </c>
      <c r="T102" t="n">
        <v>2</v>
      </c>
      <c r="U102" t="inlineStr">
        <is>
          <t>2007-08-09</t>
        </is>
      </c>
      <c r="V102" t="inlineStr">
        <is>
          <t>2007-08-09</t>
        </is>
      </c>
      <c r="W102" t="inlineStr">
        <is>
          <t>1990-09-28</t>
        </is>
      </c>
      <c r="X102" t="inlineStr">
        <is>
          <t>1990-09-28</t>
        </is>
      </c>
      <c r="Y102" t="n">
        <v>11</v>
      </c>
      <c r="Z102" t="n">
        <v>9</v>
      </c>
      <c r="AA102" t="n">
        <v>74</v>
      </c>
      <c r="AB102" t="n">
        <v>1</v>
      </c>
      <c r="AC102" t="n">
        <v>1</v>
      </c>
      <c r="AD102" t="n">
        <v>0</v>
      </c>
      <c r="AE102" t="n">
        <v>0</v>
      </c>
      <c r="AF102" t="n">
        <v>0</v>
      </c>
      <c r="AG102" t="n">
        <v>0</v>
      </c>
      <c r="AH102" t="n">
        <v>0</v>
      </c>
      <c r="AI102" t="n">
        <v>0</v>
      </c>
      <c r="AJ102" t="n">
        <v>0</v>
      </c>
      <c r="AK102" t="n">
        <v>0</v>
      </c>
      <c r="AL102" t="n">
        <v>0</v>
      </c>
      <c r="AM102" t="n">
        <v>0</v>
      </c>
      <c r="AN102" t="n">
        <v>0</v>
      </c>
      <c r="AO102" t="n">
        <v>0</v>
      </c>
      <c r="AP102" t="inlineStr">
        <is>
          <t>No</t>
        </is>
      </c>
      <c r="AQ102" t="inlineStr">
        <is>
          <t>No</t>
        </is>
      </c>
      <c r="AS102">
        <f>HYPERLINK("https://creighton-primo.hosted.exlibrisgroup.com/primo-explore/search?tab=default_tab&amp;search_scope=EVERYTHING&amp;vid=01CRU&amp;lang=en_US&amp;offset=0&amp;query=any,contains,991000748709702656","Catalog Record")</f>
        <v/>
      </c>
      <c r="AT102">
        <f>HYPERLINK("http://www.worldcat.org/oclc/12896089","WorldCat Record")</f>
        <v/>
      </c>
      <c r="AU102" t="inlineStr">
        <is>
          <t>1689164:eng</t>
        </is>
      </c>
      <c r="AV102" t="inlineStr">
        <is>
          <t>12896089</t>
        </is>
      </c>
      <c r="AW102" t="inlineStr">
        <is>
          <t>991000748709702656</t>
        </is>
      </c>
      <c r="AX102" t="inlineStr">
        <is>
          <t>991000748709702656</t>
        </is>
      </c>
      <c r="AY102" t="inlineStr">
        <is>
          <t>2265553090002656</t>
        </is>
      </c>
      <c r="AZ102" t="inlineStr">
        <is>
          <t>BOOK</t>
        </is>
      </c>
      <c r="BC102" t="inlineStr">
        <is>
          <t>32285000292796</t>
        </is>
      </c>
      <c r="BD102" t="inlineStr">
        <is>
          <t>893871973</t>
        </is>
      </c>
    </row>
    <row r="103">
      <c r="A103" t="inlineStr">
        <is>
          <t>No</t>
        </is>
      </c>
      <c r="B103" t="inlineStr">
        <is>
          <t>DS110.C15 S26</t>
        </is>
      </c>
      <c r="C103" t="inlineStr">
        <is>
          <t>0                      DS 0110000C  15                 S  26</t>
        </is>
      </c>
      <c r="D103" t="inlineStr">
        <is>
          <t>Capernaum (Kfar-Nachum); history and legacy, art and architecture [by] Baruch Sapir [and] Dov Neeman. Foreword by Yigael Yadin.</t>
        </is>
      </c>
      <c r="F103" t="inlineStr">
        <is>
          <t>No</t>
        </is>
      </c>
      <c r="G103" t="inlineStr">
        <is>
          <t>1</t>
        </is>
      </c>
      <c r="H103" t="inlineStr">
        <is>
          <t>No</t>
        </is>
      </c>
      <c r="I103" t="inlineStr">
        <is>
          <t>No</t>
        </is>
      </c>
      <c r="J103" t="inlineStr">
        <is>
          <t>0</t>
        </is>
      </c>
      <c r="K103" t="inlineStr">
        <is>
          <t>Sapir, Baruch.</t>
        </is>
      </c>
      <c r="M103" t="inlineStr">
        <is>
          <t>1967</t>
        </is>
      </c>
      <c r="O103" t="inlineStr">
        <is>
          <t>eng</t>
        </is>
      </c>
      <c r="P103" t="inlineStr">
        <is>
          <t xml:space="preserve">is </t>
        </is>
      </c>
      <c r="Q103" t="inlineStr">
        <is>
          <t>Their The historical sites library: The Northern Israel series, v. 9</t>
        </is>
      </c>
      <c r="R103" t="inlineStr">
        <is>
          <t xml:space="preserve">DS </t>
        </is>
      </c>
      <c r="S103" t="n">
        <v>4</v>
      </c>
      <c r="T103" t="n">
        <v>4</v>
      </c>
      <c r="U103" t="inlineStr">
        <is>
          <t>2007-08-09</t>
        </is>
      </c>
      <c r="V103" t="inlineStr">
        <is>
          <t>2007-08-09</t>
        </is>
      </c>
      <c r="W103" t="inlineStr">
        <is>
          <t>1990-09-28</t>
        </is>
      </c>
      <c r="X103" t="inlineStr">
        <is>
          <t>1990-09-28</t>
        </is>
      </c>
      <c r="Y103" t="n">
        <v>110</v>
      </c>
      <c r="Z103" t="n">
        <v>72</v>
      </c>
      <c r="AA103" t="n">
        <v>74</v>
      </c>
      <c r="AB103" t="n">
        <v>1</v>
      </c>
      <c r="AC103" t="n">
        <v>1</v>
      </c>
      <c r="AD103" t="n">
        <v>0</v>
      </c>
      <c r="AE103" t="n">
        <v>0</v>
      </c>
      <c r="AF103" t="n">
        <v>0</v>
      </c>
      <c r="AG103" t="n">
        <v>0</v>
      </c>
      <c r="AH103" t="n">
        <v>0</v>
      </c>
      <c r="AI103" t="n">
        <v>0</v>
      </c>
      <c r="AJ103" t="n">
        <v>0</v>
      </c>
      <c r="AK103" t="n">
        <v>0</v>
      </c>
      <c r="AL103" t="n">
        <v>0</v>
      </c>
      <c r="AM103" t="n">
        <v>0</v>
      </c>
      <c r="AN103" t="n">
        <v>0</v>
      </c>
      <c r="AO103" t="n">
        <v>0</v>
      </c>
      <c r="AP103" t="inlineStr">
        <is>
          <t>No</t>
        </is>
      </c>
      <c r="AQ103" t="inlineStr">
        <is>
          <t>Yes</t>
        </is>
      </c>
      <c r="AR103">
        <f>HYPERLINK("http://catalog.hathitrust.org/Record/001246894","HathiTrust Record")</f>
        <v/>
      </c>
      <c r="AS103">
        <f>HYPERLINK("https://creighton-primo.hosted.exlibrisgroup.com/primo-explore/search?tab=default_tab&amp;search_scope=EVERYTHING&amp;vid=01CRU&amp;lang=en_US&amp;offset=0&amp;query=any,contains,991003115859702656","Catalog Record")</f>
        <v/>
      </c>
      <c r="AT103">
        <f>HYPERLINK("http://www.worldcat.org/oclc/661563","WorldCat Record")</f>
        <v/>
      </c>
      <c r="AU103" t="inlineStr">
        <is>
          <t>1648967:eng</t>
        </is>
      </c>
      <c r="AV103" t="inlineStr">
        <is>
          <t>661563</t>
        </is>
      </c>
      <c r="AW103" t="inlineStr">
        <is>
          <t>991003115859702656</t>
        </is>
      </c>
      <c r="AX103" t="inlineStr">
        <is>
          <t>991003115859702656</t>
        </is>
      </c>
      <c r="AY103" t="inlineStr">
        <is>
          <t>2268821880002656</t>
        </is>
      </c>
      <c r="AZ103" t="inlineStr">
        <is>
          <t>BOOK</t>
        </is>
      </c>
      <c r="BC103" t="inlineStr">
        <is>
          <t>32285000292804</t>
        </is>
      </c>
      <c r="BD103" t="inlineStr">
        <is>
          <t>893323776</t>
        </is>
      </c>
    </row>
    <row r="104">
      <c r="A104" t="inlineStr">
        <is>
          <t>No</t>
        </is>
      </c>
      <c r="B104" t="inlineStr">
        <is>
          <t>DS110.D38 K73 1997</t>
        </is>
      </c>
      <c r="C104" t="inlineStr">
        <is>
          <t>0                      DS 0110000D  38                 K  73          1997</t>
        </is>
      </c>
      <c r="D104" t="inlineStr">
        <is>
          <t>The dead sea : myth, history, and politics / Barbara Kreiger ; foreword by Noel Perrin.</t>
        </is>
      </c>
      <c r="F104" t="inlineStr">
        <is>
          <t>No</t>
        </is>
      </c>
      <c r="G104" t="inlineStr">
        <is>
          <t>1</t>
        </is>
      </c>
      <c r="H104" t="inlineStr">
        <is>
          <t>No</t>
        </is>
      </c>
      <c r="I104" t="inlineStr">
        <is>
          <t>No</t>
        </is>
      </c>
      <c r="J104" t="inlineStr">
        <is>
          <t>0</t>
        </is>
      </c>
      <c r="K104" t="inlineStr">
        <is>
          <t>Kreiger, Barbara.</t>
        </is>
      </c>
      <c r="L104" t="inlineStr">
        <is>
          <t>Hanover, NH : Published by the University Press of New England [for] Brandeis University Press, c1997.</t>
        </is>
      </c>
      <c r="M104" t="inlineStr">
        <is>
          <t>1997</t>
        </is>
      </c>
      <c r="O104" t="inlineStr">
        <is>
          <t>eng</t>
        </is>
      </c>
      <c r="P104" t="inlineStr">
        <is>
          <t>nhu</t>
        </is>
      </c>
      <c r="R104" t="inlineStr">
        <is>
          <t xml:space="preserve">DS </t>
        </is>
      </c>
      <c r="S104" t="n">
        <v>0</v>
      </c>
      <c r="T104" t="n">
        <v>0</v>
      </c>
      <c r="U104" t="inlineStr">
        <is>
          <t>2010-11-01</t>
        </is>
      </c>
      <c r="V104" t="inlineStr">
        <is>
          <t>2010-11-01</t>
        </is>
      </c>
      <c r="W104" t="inlineStr">
        <is>
          <t>1997-04-03</t>
        </is>
      </c>
      <c r="X104" t="inlineStr">
        <is>
          <t>1997-04-03</t>
        </is>
      </c>
      <c r="Y104" t="n">
        <v>151</v>
      </c>
      <c r="Z104" t="n">
        <v>130</v>
      </c>
      <c r="AA104" t="n">
        <v>707</v>
      </c>
      <c r="AB104" t="n">
        <v>1</v>
      </c>
      <c r="AC104" t="n">
        <v>2</v>
      </c>
      <c r="AD104" t="n">
        <v>5</v>
      </c>
      <c r="AE104" t="n">
        <v>10</v>
      </c>
      <c r="AF104" t="n">
        <v>3</v>
      </c>
      <c r="AG104" t="n">
        <v>7</v>
      </c>
      <c r="AH104" t="n">
        <v>1</v>
      </c>
      <c r="AI104" t="n">
        <v>1</v>
      </c>
      <c r="AJ104" t="n">
        <v>3</v>
      </c>
      <c r="AK104" t="n">
        <v>3</v>
      </c>
      <c r="AL104" t="n">
        <v>0</v>
      </c>
      <c r="AM104" t="n">
        <v>1</v>
      </c>
      <c r="AN104" t="n">
        <v>0</v>
      </c>
      <c r="AO104" t="n">
        <v>0</v>
      </c>
      <c r="AP104" t="inlineStr">
        <is>
          <t>No</t>
        </is>
      </c>
      <c r="AQ104" t="inlineStr">
        <is>
          <t>Yes</t>
        </is>
      </c>
      <c r="AR104">
        <f>HYPERLINK("http://catalog.hathitrust.org/Record/007142925","HathiTrust Record")</f>
        <v/>
      </c>
      <c r="AS104">
        <f>HYPERLINK("https://creighton-primo.hosted.exlibrisgroup.com/primo-explore/search?tab=default_tab&amp;search_scope=EVERYTHING&amp;vid=01CRU&amp;lang=en_US&amp;offset=0&amp;query=any,contains,991002713549702656","Catalog Record")</f>
        <v/>
      </c>
      <c r="AT104">
        <f>HYPERLINK("http://www.worldcat.org/oclc/35593457","WorldCat Record")</f>
        <v/>
      </c>
      <c r="AU104" t="inlineStr">
        <is>
          <t>1151857667:eng</t>
        </is>
      </c>
      <c r="AV104" t="inlineStr">
        <is>
          <t>35593457</t>
        </is>
      </c>
      <c r="AW104" t="inlineStr">
        <is>
          <t>991002713549702656</t>
        </is>
      </c>
      <c r="AX104" t="inlineStr">
        <is>
          <t>991002713549702656</t>
        </is>
      </c>
      <c r="AY104" t="inlineStr">
        <is>
          <t>2271989080002656</t>
        </is>
      </c>
      <c r="AZ104" t="inlineStr">
        <is>
          <t>BOOK</t>
        </is>
      </c>
      <c r="BB104" t="inlineStr">
        <is>
          <t>9780874517880</t>
        </is>
      </c>
      <c r="BC104" t="inlineStr">
        <is>
          <t>32285002478708</t>
        </is>
      </c>
      <c r="BD104" t="inlineStr">
        <is>
          <t>893498462</t>
        </is>
      </c>
    </row>
    <row r="105">
      <c r="A105" t="inlineStr">
        <is>
          <t>No</t>
        </is>
      </c>
      <c r="B105" t="inlineStr">
        <is>
          <t>DS110.D67 S7413 1994</t>
        </is>
      </c>
      <c r="C105" t="inlineStr">
        <is>
          <t>0                      DS 0110000D  67                 S  7413        1994</t>
        </is>
      </c>
      <c r="D105" t="inlineStr">
        <is>
          <t>Dor, ruler of the seas : twelve years of excavations at the Israelite-Phoenician harbor town on the Carmel Coast / Ephraim Stern ; [English version, Joseph Shadur]</t>
        </is>
      </c>
      <c r="F105" t="inlineStr">
        <is>
          <t>No</t>
        </is>
      </c>
      <c r="G105" t="inlineStr">
        <is>
          <t>1</t>
        </is>
      </c>
      <c r="H105" t="inlineStr">
        <is>
          <t>No</t>
        </is>
      </c>
      <c r="I105" t="inlineStr">
        <is>
          <t>No</t>
        </is>
      </c>
      <c r="J105" t="inlineStr">
        <is>
          <t>0</t>
        </is>
      </c>
      <c r="K105" t="inlineStr">
        <is>
          <t>Stern, Ephraim, 1934-</t>
        </is>
      </c>
      <c r="L105" t="inlineStr">
        <is>
          <t>Jerusalem : Israel Exploration Society, 1994.</t>
        </is>
      </c>
      <c r="M105" t="inlineStr">
        <is>
          <t>1994</t>
        </is>
      </c>
      <c r="O105" t="inlineStr">
        <is>
          <t>eng</t>
        </is>
      </c>
      <c r="P105" t="inlineStr">
        <is>
          <t xml:space="preserve">is </t>
        </is>
      </c>
      <c r="R105" t="inlineStr">
        <is>
          <t xml:space="preserve">DS </t>
        </is>
      </c>
      <c r="S105" t="n">
        <v>4</v>
      </c>
      <c r="T105" t="n">
        <v>4</v>
      </c>
      <c r="U105" t="inlineStr">
        <is>
          <t>2007-07-19</t>
        </is>
      </c>
      <c r="V105" t="inlineStr">
        <is>
          <t>2007-07-19</t>
        </is>
      </c>
      <c r="W105" t="inlineStr">
        <is>
          <t>1997-07-01</t>
        </is>
      </c>
      <c r="X105" t="inlineStr">
        <is>
          <t>1997-07-01</t>
        </is>
      </c>
      <c r="Y105" t="n">
        <v>134</v>
      </c>
      <c r="Z105" t="n">
        <v>103</v>
      </c>
      <c r="AA105" t="n">
        <v>117</v>
      </c>
      <c r="AB105" t="n">
        <v>1</v>
      </c>
      <c r="AC105" t="n">
        <v>1</v>
      </c>
      <c r="AD105" t="n">
        <v>7</v>
      </c>
      <c r="AE105" t="n">
        <v>7</v>
      </c>
      <c r="AF105" t="n">
        <v>3</v>
      </c>
      <c r="AG105" t="n">
        <v>3</v>
      </c>
      <c r="AH105" t="n">
        <v>1</v>
      </c>
      <c r="AI105" t="n">
        <v>1</v>
      </c>
      <c r="AJ105" t="n">
        <v>6</v>
      </c>
      <c r="AK105" t="n">
        <v>6</v>
      </c>
      <c r="AL105" t="n">
        <v>0</v>
      </c>
      <c r="AM105" t="n">
        <v>0</v>
      </c>
      <c r="AN105" t="n">
        <v>0</v>
      </c>
      <c r="AO105" t="n">
        <v>0</v>
      </c>
      <c r="AP105" t="inlineStr">
        <is>
          <t>No</t>
        </is>
      </c>
      <c r="AQ105" t="inlineStr">
        <is>
          <t>Yes</t>
        </is>
      </c>
      <c r="AR105">
        <f>HYPERLINK("http://catalog.hathitrust.org/Record/002971344","HathiTrust Record")</f>
        <v/>
      </c>
      <c r="AS105">
        <f>HYPERLINK("https://creighton-primo.hosted.exlibrisgroup.com/primo-explore/search?tab=default_tab&amp;search_scope=EVERYTHING&amp;vid=01CRU&amp;lang=en_US&amp;offset=0&amp;query=any,contains,991002400019702656","Catalog Record")</f>
        <v/>
      </c>
      <c r="AT105">
        <f>HYPERLINK("http://www.worldcat.org/oclc/31196704","WorldCat Record")</f>
        <v/>
      </c>
      <c r="AU105" t="inlineStr">
        <is>
          <t>33560550:eng</t>
        </is>
      </c>
      <c r="AV105" t="inlineStr">
        <is>
          <t>31196704</t>
        </is>
      </c>
      <c r="AW105" t="inlineStr">
        <is>
          <t>991002400019702656</t>
        </is>
      </c>
      <c r="AX105" t="inlineStr">
        <is>
          <t>991002400019702656</t>
        </is>
      </c>
      <c r="AY105" t="inlineStr">
        <is>
          <t>2262413810002656</t>
        </is>
      </c>
      <c r="AZ105" t="inlineStr">
        <is>
          <t>BOOK</t>
        </is>
      </c>
      <c r="BC105" t="inlineStr">
        <is>
          <t>32285002754678</t>
        </is>
      </c>
      <c r="BD105" t="inlineStr">
        <is>
          <t>893529932</t>
        </is>
      </c>
    </row>
    <row r="106">
      <c r="A106" t="inlineStr">
        <is>
          <t>No</t>
        </is>
      </c>
      <c r="B106" t="inlineStr">
        <is>
          <t>DS110.E58 G67 1995</t>
        </is>
      </c>
      <c r="C106" t="inlineStr">
        <is>
          <t>0                      DS 0110000E  58                 G  67          1995</t>
        </is>
      </c>
      <c r="D106" t="inlineStr">
        <is>
          <t>Excavations at 'En Besor / by Ram Gophna with participation of Dan Gazit ; contributions by Amnon Ben-Tor ... [et al.].</t>
        </is>
      </c>
      <c r="F106" t="inlineStr">
        <is>
          <t>No</t>
        </is>
      </c>
      <c r="G106" t="inlineStr">
        <is>
          <t>1</t>
        </is>
      </c>
      <c r="H106" t="inlineStr">
        <is>
          <t>No</t>
        </is>
      </c>
      <c r="I106" t="inlineStr">
        <is>
          <t>No</t>
        </is>
      </c>
      <c r="J106" t="inlineStr">
        <is>
          <t>0</t>
        </is>
      </c>
      <c r="K106" t="inlineStr">
        <is>
          <t>Gophna, R. (Ram)</t>
        </is>
      </c>
      <c r="L106" t="inlineStr">
        <is>
          <t>Tel Aviv : Ramot Pub. House, Tel Aviv University ; Jerusalem : Distributed by Israel Exploration Society, 1995.</t>
        </is>
      </c>
      <c r="M106" t="inlineStr">
        <is>
          <t>1995</t>
        </is>
      </c>
      <c r="O106" t="inlineStr">
        <is>
          <t>eng</t>
        </is>
      </c>
      <c r="P106" t="inlineStr">
        <is>
          <t xml:space="preserve">is </t>
        </is>
      </c>
      <c r="R106" t="inlineStr">
        <is>
          <t xml:space="preserve">DS </t>
        </is>
      </c>
      <c r="S106" t="n">
        <v>4</v>
      </c>
      <c r="T106" t="n">
        <v>4</v>
      </c>
      <c r="U106" t="inlineStr">
        <is>
          <t>2006-02-13</t>
        </is>
      </c>
      <c r="V106" t="inlineStr">
        <is>
          <t>2006-02-13</t>
        </is>
      </c>
      <c r="W106" t="inlineStr">
        <is>
          <t>1998-12-14</t>
        </is>
      </c>
      <c r="X106" t="inlineStr">
        <is>
          <t>1998-12-14</t>
        </is>
      </c>
      <c r="Y106" t="n">
        <v>64</v>
      </c>
      <c r="Z106" t="n">
        <v>37</v>
      </c>
      <c r="AA106" t="n">
        <v>40</v>
      </c>
      <c r="AB106" t="n">
        <v>1</v>
      </c>
      <c r="AC106" t="n">
        <v>1</v>
      </c>
      <c r="AD106" t="n">
        <v>2</v>
      </c>
      <c r="AE106" t="n">
        <v>2</v>
      </c>
      <c r="AF106" t="n">
        <v>0</v>
      </c>
      <c r="AG106" t="n">
        <v>0</v>
      </c>
      <c r="AH106" t="n">
        <v>1</v>
      </c>
      <c r="AI106" t="n">
        <v>1</v>
      </c>
      <c r="AJ106" t="n">
        <v>2</v>
      </c>
      <c r="AK106" t="n">
        <v>2</v>
      </c>
      <c r="AL106" t="n">
        <v>0</v>
      </c>
      <c r="AM106" t="n">
        <v>0</v>
      </c>
      <c r="AN106" t="n">
        <v>0</v>
      </c>
      <c r="AO106" t="n">
        <v>0</v>
      </c>
      <c r="AP106" t="inlineStr">
        <is>
          <t>No</t>
        </is>
      </c>
      <c r="AQ106" t="inlineStr">
        <is>
          <t>Yes</t>
        </is>
      </c>
      <c r="AR106">
        <f>HYPERLINK("http://catalog.hathitrust.org/Record/003050479","HathiTrust Record")</f>
        <v/>
      </c>
      <c r="AS106">
        <f>HYPERLINK("https://creighton-primo.hosted.exlibrisgroup.com/primo-explore/search?tab=default_tab&amp;search_scope=EVERYTHING&amp;vid=01CRU&amp;lang=en_US&amp;offset=0&amp;query=any,contains,991002648049702656","Catalog Record")</f>
        <v/>
      </c>
      <c r="AT106">
        <f>HYPERLINK("http://www.worldcat.org/oclc/34649946","WorldCat Record")</f>
        <v/>
      </c>
      <c r="AU106" t="inlineStr">
        <is>
          <t>41180476:eng</t>
        </is>
      </c>
      <c r="AV106" t="inlineStr">
        <is>
          <t>34649946</t>
        </is>
      </c>
      <c r="AW106" t="inlineStr">
        <is>
          <t>991002648049702656</t>
        </is>
      </c>
      <c r="AX106" t="inlineStr">
        <is>
          <t>991002648049702656</t>
        </is>
      </c>
      <c r="AY106" t="inlineStr">
        <is>
          <t>2270036900002656</t>
        </is>
      </c>
      <c r="AZ106" t="inlineStr">
        <is>
          <t>BOOK</t>
        </is>
      </c>
      <c r="BB106" t="inlineStr">
        <is>
          <t>9789652742032</t>
        </is>
      </c>
      <c r="BC106" t="inlineStr">
        <is>
          <t>32285003506119</t>
        </is>
      </c>
      <c r="BD106" t="inlineStr">
        <is>
          <t>893352440</t>
        </is>
      </c>
    </row>
    <row r="107">
      <c r="A107" t="inlineStr">
        <is>
          <t>No</t>
        </is>
      </c>
      <c r="B107" t="inlineStr">
        <is>
          <t>DS110.G2 B67 1985</t>
        </is>
      </c>
      <c r="C107" t="inlineStr">
        <is>
          <t>0                      DS 0110000G  2                  B  67          1985</t>
        </is>
      </c>
      <c r="D107" t="inlineStr">
        <is>
          <t>Galiläa : als Lebensraum und Wirkungsfeld Jesu : eine zeitgeschichtliche und theologische Untersuchung / Willibald Bösen.</t>
        </is>
      </c>
      <c r="F107" t="inlineStr">
        <is>
          <t>No</t>
        </is>
      </c>
      <c r="G107" t="inlineStr">
        <is>
          <t>1</t>
        </is>
      </c>
      <c r="H107" t="inlineStr">
        <is>
          <t>No</t>
        </is>
      </c>
      <c r="I107" t="inlineStr">
        <is>
          <t>No</t>
        </is>
      </c>
      <c r="J107" t="inlineStr">
        <is>
          <t>0</t>
        </is>
      </c>
      <c r="K107" t="inlineStr">
        <is>
          <t>Bösen, Willibald.</t>
        </is>
      </c>
      <c r="L107" t="inlineStr">
        <is>
          <t>Freiburg im Breisgau : Herder, c1985.</t>
        </is>
      </c>
      <c r="M107" t="inlineStr">
        <is>
          <t>1985</t>
        </is>
      </c>
      <c r="O107" t="inlineStr">
        <is>
          <t>ger</t>
        </is>
      </c>
      <c r="P107" t="inlineStr">
        <is>
          <t xml:space="preserve">gw </t>
        </is>
      </c>
      <c r="Q107" t="inlineStr">
        <is>
          <t>Biblisches Sachbuch</t>
        </is>
      </c>
      <c r="R107" t="inlineStr">
        <is>
          <t xml:space="preserve">DS </t>
        </is>
      </c>
      <c r="S107" t="n">
        <v>4</v>
      </c>
      <c r="T107" t="n">
        <v>4</v>
      </c>
      <c r="U107" t="inlineStr">
        <is>
          <t>1996-02-21</t>
        </is>
      </c>
      <c r="V107" t="inlineStr">
        <is>
          <t>1996-02-21</t>
        </is>
      </c>
      <c r="W107" t="inlineStr">
        <is>
          <t>1990-04-17</t>
        </is>
      </c>
      <c r="X107" t="inlineStr">
        <is>
          <t>1990-04-17</t>
        </is>
      </c>
      <c r="Y107" t="n">
        <v>81</v>
      </c>
      <c r="Z107" t="n">
        <v>42</v>
      </c>
      <c r="AA107" t="n">
        <v>42</v>
      </c>
      <c r="AB107" t="n">
        <v>1</v>
      </c>
      <c r="AC107" t="n">
        <v>1</v>
      </c>
      <c r="AD107" t="n">
        <v>4</v>
      </c>
      <c r="AE107" t="n">
        <v>4</v>
      </c>
      <c r="AF107" t="n">
        <v>0</v>
      </c>
      <c r="AG107" t="n">
        <v>0</v>
      </c>
      <c r="AH107" t="n">
        <v>1</v>
      </c>
      <c r="AI107" t="n">
        <v>1</v>
      </c>
      <c r="AJ107" t="n">
        <v>4</v>
      </c>
      <c r="AK107" t="n">
        <v>4</v>
      </c>
      <c r="AL107" t="n">
        <v>0</v>
      </c>
      <c r="AM107" t="n">
        <v>0</v>
      </c>
      <c r="AN107" t="n">
        <v>0</v>
      </c>
      <c r="AO107" t="n">
        <v>0</v>
      </c>
      <c r="AP107" t="inlineStr">
        <is>
          <t>No</t>
        </is>
      </c>
      <c r="AQ107" t="inlineStr">
        <is>
          <t>No</t>
        </is>
      </c>
      <c r="AS107">
        <f>HYPERLINK("https://creighton-primo.hosted.exlibrisgroup.com/primo-explore/search?tab=default_tab&amp;search_scope=EVERYTHING&amp;vid=01CRU&amp;lang=en_US&amp;offset=0&amp;query=any,contains,991001047809702656","Catalog Record")</f>
        <v/>
      </c>
      <c r="AT107">
        <f>HYPERLINK("http://www.worldcat.org/oclc/15630285","WorldCat Record")</f>
        <v/>
      </c>
      <c r="AU107" t="inlineStr">
        <is>
          <t>8907168485:ger</t>
        </is>
      </c>
      <c r="AV107" t="inlineStr">
        <is>
          <t>15630285</t>
        </is>
      </c>
      <c r="AW107" t="inlineStr">
        <is>
          <t>991001047809702656</t>
        </is>
      </c>
      <c r="AX107" t="inlineStr">
        <is>
          <t>991001047809702656</t>
        </is>
      </c>
      <c r="AY107" t="inlineStr">
        <is>
          <t>2263070790002656</t>
        </is>
      </c>
      <c r="AZ107" t="inlineStr">
        <is>
          <t>BOOK</t>
        </is>
      </c>
      <c r="BB107" t="inlineStr">
        <is>
          <t>9783451203206</t>
        </is>
      </c>
      <c r="BC107" t="inlineStr">
        <is>
          <t>32285000103308</t>
        </is>
      </c>
      <c r="BD107" t="inlineStr">
        <is>
          <t>893432553</t>
        </is>
      </c>
    </row>
    <row r="108">
      <c r="A108" t="inlineStr">
        <is>
          <t>No</t>
        </is>
      </c>
      <c r="B108" t="inlineStr">
        <is>
          <t>DS110.G2 F73</t>
        </is>
      </c>
      <c r="C108" t="inlineStr">
        <is>
          <t>0                      DS 0110000G  2                  F  73</t>
        </is>
      </c>
      <c r="D108" t="inlineStr">
        <is>
          <t>Galilee, from Alexander the Great to Hadrian, 323 B.C.E. to 135 C.E. : a study of second Temple Judaism / by Seán Freyne.</t>
        </is>
      </c>
      <c r="F108" t="inlineStr">
        <is>
          <t>No</t>
        </is>
      </c>
      <c r="G108" t="inlineStr">
        <is>
          <t>1</t>
        </is>
      </c>
      <c r="H108" t="inlineStr">
        <is>
          <t>No</t>
        </is>
      </c>
      <c r="I108" t="inlineStr">
        <is>
          <t>No</t>
        </is>
      </c>
      <c r="J108" t="inlineStr">
        <is>
          <t>0</t>
        </is>
      </c>
      <c r="K108" t="inlineStr">
        <is>
          <t>Freyne, Seán.</t>
        </is>
      </c>
      <c r="L108" t="inlineStr">
        <is>
          <t>Wilmington, Del. : M. Glazier ; Notre Dame : University of Notre Dame Press, 1980.</t>
        </is>
      </c>
      <c r="M108" t="inlineStr">
        <is>
          <t>1980</t>
        </is>
      </c>
      <c r="O108" t="inlineStr">
        <is>
          <t>eng</t>
        </is>
      </c>
      <c r="P108" t="inlineStr">
        <is>
          <t xml:space="preserve">xx </t>
        </is>
      </c>
      <c r="Q108" t="inlineStr">
        <is>
          <t>University of Notre Dame. Center for the Study of Judaism and Christianity in Antiquity ; no. 5</t>
        </is>
      </c>
      <c r="R108" t="inlineStr">
        <is>
          <t xml:space="preserve">DS </t>
        </is>
      </c>
      <c r="S108" t="n">
        <v>10</v>
      </c>
      <c r="T108" t="n">
        <v>10</v>
      </c>
      <c r="U108" t="inlineStr">
        <is>
          <t>2006-04-29</t>
        </is>
      </c>
      <c r="V108" t="inlineStr">
        <is>
          <t>2006-04-29</t>
        </is>
      </c>
      <c r="W108" t="inlineStr">
        <is>
          <t>1990-09-28</t>
        </is>
      </c>
      <c r="X108" t="inlineStr">
        <is>
          <t>1990-09-28</t>
        </is>
      </c>
      <c r="Y108" t="n">
        <v>695</v>
      </c>
      <c r="Z108" t="n">
        <v>580</v>
      </c>
      <c r="AA108" t="n">
        <v>636</v>
      </c>
      <c r="AB108" t="n">
        <v>6</v>
      </c>
      <c r="AC108" t="n">
        <v>6</v>
      </c>
      <c r="AD108" t="n">
        <v>40</v>
      </c>
      <c r="AE108" t="n">
        <v>41</v>
      </c>
      <c r="AF108" t="n">
        <v>13</v>
      </c>
      <c r="AG108" t="n">
        <v>14</v>
      </c>
      <c r="AH108" t="n">
        <v>10</v>
      </c>
      <c r="AI108" t="n">
        <v>10</v>
      </c>
      <c r="AJ108" t="n">
        <v>22</v>
      </c>
      <c r="AK108" t="n">
        <v>22</v>
      </c>
      <c r="AL108" t="n">
        <v>5</v>
      </c>
      <c r="AM108" t="n">
        <v>5</v>
      </c>
      <c r="AN108" t="n">
        <v>0</v>
      </c>
      <c r="AO108" t="n">
        <v>0</v>
      </c>
      <c r="AP108" t="inlineStr">
        <is>
          <t>No</t>
        </is>
      </c>
      <c r="AQ108" t="inlineStr">
        <is>
          <t>Yes</t>
        </is>
      </c>
      <c r="AR108">
        <f>HYPERLINK("http://catalog.hathitrust.org/Record/000723020","HathiTrust Record")</f>
        <v/>
      </c>
      <c r="AS108">
        <f>HYPERLINK("https://creighton-primo.hosted.exlibrisgroup.com/primo-explore/search?tab=default_tab&amp;search_scope=EVERYTHING&amp;vid=01CRU&amp;lang=en_US&amp;offset=0&amp;query=any,contains,991004966249702656","Catalog Record")</f>
        <v/>
      </c>
      <c r="AT108">
        <f>HYPERLINK("http://www.worldcat.org/oclc/6333957","WorldCat Record")</f>
        <v/>
      </c>
      <c r="AU108" t="inlineStr">
        <is>
          <t>502918356:eng</t>
        </is>
      </c>
      <c r="AV108" t="inlineStr">
        <is>
          <t>6333957</t>
        </is>
      </c>
      <c r="AW108" t="inlineStr">
        <is>
          <t>991004966249702656</t>
        </is>
      </c>
      <c r="AX108" t="inlineStr">
        <is>
          <t>991004966249702656</t>
        </is>
      </c>
      <c r="AY108" t="inlineStr">
        <is>
          <t>2267160920002656</t>
        </is>
      </c>
      <c r="AZ108" t="inlineStr">
        <is>
          <t>BOOK</t>
        </is>
      </c>
      <c r="BB108" t="inlineStr">
        <is>
          <t>9780268010027</t>
        </is>
      </c>
      <c r="BC108" t="inlineStr">
        <is>
          <t>32285000292812</t>
        </is>
      </c>
      <c r="BD108" t="inlineStr">
        <is>
          <t>893412146</t>
        </is>
      </c>
    </row>
    <row r="109">
      <c r="A109" t="inlineStr">
        <is>
          <t>No</t>
        </is>
      </c>
      <c r="B109" t="inlineStr">
        <is>
          <t>DS110.G2 G38 1999</t>
        </is>
      </c>
      <c r="C109" t="inlineStr">
        <is>
          <t>0                      DS 0110000G  2                  G  38          1999</t>
        </is>
      </c>
      <c r="D109" t="inlineStr">
        <is>
          <t>Galilee through the centuries : confluence of cultures / edited by Eric M. Meyers.</t>
        </is>
      </c>
      <c r="F109" t="inlineStr">
        <is>
          <t>No</t>
        </is>
      </c>
      <c r="G109" t="inlineStr">
        <is>
          <t>1</t>
        </is>
      </c>
      <c r="H109" t="inlineStr">
        <is>
          <t>No</t>
        </is>
      </c>
      <c r="I109" t="inlineStr">
        <is>
          <t>No</t>
        </is>
      </c>
      <c r="J109" t="inlineStr">
        <is>
          <t>0</t>
        </is>
      </c>
      <c r="L109" t="inlineStr">
        <is>
          <t>Winona Lake, Ind. : Eisenbrauns, 1999.</t>
        </is>
      </c>
      <c r="M109" t="inlineStr">
        <is>
          <t>1999</t>
        </is>
      </c>
      <c r="O109" t="inlineStr">
        <is>
          <t>eng</t>
        </is>
      </c>
      <c r="P109" t="inlineStr">
        <is>
          <t>inu</t>
        </is>
      </c>
      <c r="Q109" t="inlineStr">
        <is>
          <t>Duke Judaic studies series ; v. 1</t>
        </is>
      </c>
      <c r="R109" t="inlineStr">
        <is>
          <t xml:space="preserve">DS </t>
        </is>
      </c>
      <c r="S109" t="n">
        <v>4</v>
      </c>
      <c r="T109" t="n">
        <v>4</v>
      </c>
      <c r="U109" t="inlineStr">
        <is>
          <t>2010-09-29</t>
        </is>
      </c>
      <c r="V109" t="inlineStr">
        <is>
          <t>2010-09-29</t>
        </is>
      </c>
      <c r="W109" t="inlineStr">
        <is>
          <t>2001-03-13</t>
        </is>
      </c>
      <c r="X109" t="inlineStr">
        <is>
          <t>2001-03-13</t>
        </is>
      </c>
      <c r="Y109" t="n">
        <v>288</v>
      </c>
      <c r="Z109" t="n">
        <v>223</v>
      </c>
      <c r="AA109" t="n">
        <v>225</v>
      </c>
      <c r="AB109" t="n">
        <v>2</v>
      </c>
      <c r="AC109" t="n">
        <v>2</v>
      </c>
      <c r="AD109" t="n">
        <v>16</v>
      </c>
      <c r="AE109" t="n">
        <v>16</v>
      </c>
      <c r="AF109" t="n">
        <v>7</v>
      </c>
      <c r="AG109" t="n">
        <v>7</v>
      </c>
      <c r="AH109" t="n">
        <v>5</v>
      </c>
      <c r="AI109" t="n">
        <v>5</v>
      </c>
      <c r="AJ109" t="n">
        <v>9</v>
      </c>
      <c r="AK109" t="n">
        <v>9</v>
      </c>
      <c r="AL109" t="n">
        <v>1</v>
      </c>
      <c r="AM109" t="n">
        <v>1</v>
      </c>
      <c r="AN109" t="n">
        <v>0</v>
      </c>
      <c r="AO109" t="n">
        <v>0</v>
      </c>
      <c r="AP109" t="inlineStr">
        <is>
          <t>No</t>
        </is>
      </c>
      <c r="AQ109" t="inlineStr">
        <is>
          <t>Yes</t>
        </is>
      </c>
      <c r="AR109">
        <f>HYPERLINK("http://catalog.hathitrust.org/Record/004030823","HathiTrust Record")</f>
        <v/>
      </c>
      <c r="AS109">
        <f>HYPERLINK("https://creighton-primo.hosted.exlibrisgroup.com/primo-explore/search?tab=default_tab&amp;search_scope=EVERYTHING&amp;vid=01CRU&amp;lang=en_US&amp;offset=0&amp;query=any,contains,991003363099702656","Catalog Record")</f>
        <v/>
      </c>
      <c r="AT109">
        <f>HYPERLINK("http://www.worldcat.org/oclc/41039931","WorldCat Record")</f>
        <v/>
      </c>
      <c r="AU109" t="inlineStr">
        <is>
          <t>815027973:eng</t>
        </is>
      </c>
      <c r="AV109" t="inlineStr">
        <is>
          <t>41039931</t>
        </is>
      </c>
      <c r="AW109" t="inlineStr">
        <is>
          <t>991003363099702656</t>
        </is>
      </c>
      <c r="AX109" t="inlineStr">
        <is>
          <t>991003363099702656</t>
        </is>
      </c>
      <c r="AY109" t="inlineStr">
        <is>
          <t>2260354450002656</t>
        </is>
      </c>
      <c r="AZ109" t="inlineStr">
        <is>
          <t>BOOK</t>
        </is>
      </c>
      <c r="BB109" t="inlineStr">
        <is>
          <t>9781575060408</t>
        </is>
      </c>
      <c r="BC109" t="inlineStr">
        <is>
          <t>32285004305016</t>
        </is>
      </c>
      <c r="BD109" t="inlineStr">
        <is>
          <t>893887414</t>
        </is>
      </c>
    </row>
    <row r="110">
      <c r="A110" t="inlineStr">
        <is>
          <t>No</t>
        </is>
      </c>
      <c r="B110" t="inlineStr">
        <is>
          <t>DS110.G2 G66 1983</t>
        </is>
      </c>
      <c r="C110" t="inlineStr">
        <is>
          <t>0                      DS 0110000G  2                  G  66          1983</t>
        </is>
      </c>
      <c r="D110" t="inlineStr">
        <is>
          <t>State and society in Roman Galilee, A.D. 132-212 / Martin Goodman.</t>
        </is>
      </c>
      <c r="F110" t="inlineStr">
        <is>
          <t>No</t>
        </is>
      </c>
      <c r="G110" t="inlineStr">
        <is>
          <t>1</t>
        </is>
      </c>
      <c r="H110" t="inlineStr">
        <is>
          <t>No</t>
        </is>
      </c>
      <c r="I110" t="inlineStr">
        <is>
          <t>No</t>
        </is>
      </c>
      <c r="J110" t="inlineStr">
        <is>
          <t>0</t>
        </is>
      </c>
      <c r="K110" t="inlineStr">
        <is>
          <t>Goodman, Martin, 1953-</t>
        </is>
      </c>
      <c r="L110" t="inlineStr">
        <is>
          <t>Totowa, NJ : Rowman &amp; Allanheld, 1983.</t>
        </is>
      </c>
      <c r="M110" t="inlineStr">
        <is>
          <t>1983</t>
        </is>
      </c>
      <c r="O110" t="inlineStr">
        <is>
          <t>eng</t>
        </is>
      </c>
      <c r="P110" t="inlineStr">
        <is>
          <t>nju</t>
        </is>
      </c>
      <c r="R110" t="inlineStr">
        <is>
          <t xml:space="preserve">DS </t>
        </is>
      </c>
      <c r="S110" t="n">
        <v>11</v>
      </c>
      <c r="T110" t="n">
        <v>11</v>
      </c>
      <c r="U110" t="inlineStr">
        <is>
          <t>2007-03-29</t>
        </is>
      </c>
      <c r="V110" t="inlineStr">
        <is>
          <t>2007-03-29</t>
        </is>
      </c>
      <c r="W110" t="inlineStr">
        <is>
          <t>1992-05-20</t>
        </is>
      </c>
      <c r="X110" t="inlineStr">
        <is>
          <t>1992-05-20</t>
        </is>
      </c>
      <c r="Y110" t="n">
        <v>368</v>
      </c>
      <c r="Z110" t="n">
        <v>284</v>
      </c>
      <c r="AA110" t="n">
        <v>338</v>
      </c>
      <c r="AB110" t="n">
        <v>1</v>
      </c>
      <c r="AC110" t="n">
        <v>2</v>
      </c>
      <c r="AD110" t="n">
        <v>16</v>
      </c>
      <c r="AE110" t="n">
        <v>21</v>
      </c>
      <c r="AF110" t="n">
        <v>7</v>
      </c>
      <c r="AG110" t="n">
        <v>7</v>
      </c>
      <c r="AH110" t="n">
        <v>3</v>
      </c>
      <c r="AI110" t="n">
        <v>6</v>
      </c>
      <c r="AJ110" t="n">
        <v>10</v>
      </c>
      <c r="AK110" t="n">
        <v>12</v>
      </c>
      <c r="AL110" t="n">
        <v>0</v>
      </c>
      <c r="AM110" t="n">
        <v>1</v>
      </c>
      <c r="AN110" t="n">
        <v>0</v>
      </c>
      <c r="AO110" t="n">
        <v>0</v>
      </c>
      <c r="AP110" t="inlineStr">
        <is>
          <t>No</t>
        </is>
      </c>
      <c r="AQ110" t="inlineStr">
        <is>
          <t>Yes</t>
        </is>
      </c>
      <c r="AR110">
        <f>HYPERLINK("http://catalog.hathitrust.org/Record/003114081","HathiTrust Record")</f>
        <v/>
      </c>
      <c r="AS110">
        <f>HYPERLINK("https://creighton-primo.hosted.exlibrisgroup.com/primo-explore/search?tab=default_tab&amp;search_scope=EVERYTHING&amp;vid=01CRU&amp;lang=en_US&amp;offset=0&amp;query=any,contains,991005400199702656","Catalog Record")</f>
        <v/>
      </c>
      <c r="AT110">
        <f>HYPERLINK("http://www.worldcat.org/oclc/9083701","WorldCat Record")</f>
        <v/>
      </c>
      <c r="AU110" t="inlineStr">
        <is>
          <t>512864:eng</t>
        </is>
      </c>
      <c r="AV110" t="inlineStr">
        <is>
          <t>9083701</t>
        </is>
      </c>
      <c r="AW110" t="inlineStr">
        <is>
          <t>991005400199702656</t>
        </is>
      </c>
      <c r="AX110" t="inlineStr">
        <is>
          <t>991005400199702656</t>
        </is>
      </c>
      <c r="AY110" t="inlineStr">
        <is>
          <t>2256570760002656</t>
        </is>
      </c>
      <c r="AZ110" t="inlineStr">
        <is>
          <t>BOOK</t>
        </is>
      </c>
      <c r="BB110" t="inlineStr">
        <is>
          <t>9780865980891</t>
        </is>
      </c>
      <c r="BC110" t="inlineStr">
        <is>
          <t>32285001112647</t>
        </is>
      </c>
      <c r="BD110" t="inlineStr">
        <is>
          <t>893443956</t>
        </is>
      </c>
    </row>
    <row r="111">
      <c r="A111" t="inlineStr">
        <is>
          <t>No</t>
        </is>
      </c>
      <c r="B111" t="inlineStr">
        <is>
          <t>DS110.G2 H619 1996</t>
        </is>
      </c>
      <c r="C111" t="inlineStr">
        <is>
          <t>0                      DS 0110000G  2                  H  619         1996</t>
        </is>
      </c>
      <c r="D111" t="inlineStr">
        <is>
          <t>Archaeology, history, and society in Galilee : the social context of Jesus and the rabbis / Richard A. Horsley.</t>
        </is>
      </c>
      <c r="F111" t="inlineStr">
        <is>
          <t>No</t>
        </is>
      </c>
      <c r="G111" t="inlineStr">
        <is>
          <t>1</t>
        </is>
      </c>
      <c r="H111" t="inlineStr">
        <is>
          <t>No</t>
        </is>
      </c>
      <c r="I111" t="inlineStr">
        <is>
          <t>No</t>
        </is>
      </c>
      <c r="J111" t="inlineStr">
        <is>
          <t>0</t>
        </is>
      </c>
      <c r="K111" t="inlineStr">
        <is>
          <t>Horsley, Richard A.</t>
        </is>
      </c>
      <c r="L111" t="inlineStr">
        <is>
          <t>Valley Forge, Pa : Trinity Press International, c1996.</t>
        </is>
      </c>
      <c r="M111" t="inlineStr">
        <is>
          <t>1996</t>
        </is>
      </c>
      <c r="O111" t="inlineStr">
        <is>
          <t>eng</t>
        </is>
      </c>
      <c r="P111" t="inlineStr">
        <is>
          <t>pau</t>
        </is>
      </c>
      <c r="R111" t="inlineStr">
        <is>
          <t xml:space="preserve">DS </t>
        </is>
      </c>
      <c r="S111" t="n">
        <v>7</v>
      </c>
      <c r="T111" t="n">
        <v>7</v>
      </c>
      <c r="U111" t="inlineStr">
        <is>
          <t>2007-03-29</t>
        </is>
      </c>
      <c r="V111" t="inlineStr">
        <is>
          <t>2007-03-29</t>
        </is>
      </c>
      <c r="W111" t="inlineStr">
        <is>
          <t>1997-03-18</t>
        </is>
      </c>
      <c r="X111" t="inlineStr">
        <is>
          <t>1997-03-18</t>
        </is>
      </c>
      <c r="Y111" t="n">
        <v>592</v>
      </c>
      <c r="Z111" t="n">
        <v>475</v>
      </c>
      <c r="AA111" t="n">
        <v>478</v>
      </c>
      <c r="AB111" t="n">
        <v>7</v>
      </c>
      <c r="AC111" t="n">
        <v>7</v>
      </c>
      <c r="AD111" t="n">
        <v>39</v>
      </c>
      <c r="AE111" t="n">
        <v>39</v>
      </c>
      <c r="AF111" t="n">
        <v>17</v>
      </c>
      <c r="AG111" t="n">
        <v>17</v>
      </c>
      <c r="AH111" t="n">
        <v>8</v>
      </c>
      <c r="AI111" t="n">
        <v>8</v>
      </c>
      <c r="AJ111" t="n">
        <v>19</v>
      </c>
      <c r="AK111" t="n">
        <v>19</v>
      </c>
      <c r="AL111" t="n">
        <v>6</v>
      </c>
      <c r="AM111" t="n">
        <v>6</v>
      </c>
      <c r="AN111" t="n">
        <v>0</v>
      </c>
      <c r="AO111" t="n">
        <v>0</v>
      </c>
      <c r="AP111" t="inlineStr">
        <is>
          <t>No</t>
        </is>
      </c>
      <c r="AQ111" t="inlineStr">
        <is>
          <t>Yes</t>
        </is>
      </c>
      <c r="AR111">
        <f>HYPERLINK("http://catalog.hathitrust.org/Record/003131971","HathiTrust Record")</f>
        <v/>
      </c>
      <c r="AS111">
        <f>HYPERLINK("https://creighton-primo.hosted.exlibrisgroup.com/primo-explore/search?tab=default_tab&amp;search_scope=EVERYTHING&amp;vid=01CRU&amp;lang=en_US&amp;offset=0&amp;query=any,contains,991005424799702656","Catalog Record")</f>
        <v/>
      </c>
      <c r="AT111">
        <f>HYPERLINK("http://www.worldcat.org/oclc/35360851","WorldCat Record")</f>
        <v/>
      </c>
      <c r="AU111" t="inlineStr">
        <is>
          <t>311628456:eng</t>
        </is>
      </c>
      <c r="AV111" t="inlineStr">
        <is>
          <t>35360851</t>
        </is>
      </c>
      <c r="AW111" t="inlineStr">
        <is>
          <t>991005424799702656</t>
        </is>
      </c>
      <c r="AX111" t="inlineStr">
        <is>
          <t>991005424799702656</t>
        </is>
      </c>
      <c r="AY111" t="inlineStr">
        <is>
          <t>2266817360002656</t>
        </is>
      </c>
      <c r="AZ111" t="inlineStr">
        <is>
          <t>BOOK</t>
        </is>
      </c>
      <c r="BB111" t="inlineStr">
        <is>
          <t>9781563381829</t>
        </is>
      </c>
      <c r="BC111" t="inlineStr">
        <is>
          <t>32285002443876</t>
        </is>
      </c>
      <c r="BD111" t="inlineStr">
        <is>
          <t>893339076</t>
        </is>
      </c>
    </row>
    <row r="112">
      <c r="A112" t="inlineStr">
        <is>
          <t>No</t>
        </is>
      </c>
      <c r="B112" t="inlineStr">
        <is>
          <t>DS110.G3 H3713 2000</t>
        </is>
      </c>
      <c r="C112" t="inlineStr">
        <is>
          <t>0                      DS 0110000G  3                  H  3713        2000</t>
        </is>
      </c>
      <c r="D112" t="inlineStr">
        <is>
          <t>Drinking the sea at Gaza : days and nights in a land under siege / Amira Hass ; translated by Elana Wesley and Maxine Kaufman-Lacusta.</t>
        </is>
      </c>
      <c r="F112" t="inlineStr">
        <is>
          <t>No</t>
        </is>
      </c>
      <c r="G112" t="inlineStr">
        <is>
          <t>1</t>
        </is>
      </c>
      <c r="H112" t="inlineStr">
        <is>
          <t>No</t>
        </is>
      </c>
      <c r="I112" t="inlineStr">
        <is>
          <t>No</t>
        </is>
      </c>
      <c r="J112" t="inlineStr">
        <is>
          <t>0</t>
        </is>
      </c>
      <c r="K112" t="inlineStr">
        <is>
          <t>Hass, Amira.</t>
        </is>
      </c>
      <c r="L112" t="inlineStr">
        <is>
          <t>New York : Holt, 2000, c1999.</t>
        </is>
      </c>
      <c r="M112" t="inlineStr">
        <is>
          <t>2000</t>
        </is>
      </c>
      <c r="N112" t="inlineStr">
        <is>
          <t>1st Owl Books ed.</t>
        </is>
      </c>
      <c r="O112" t="inlineStr">
        <is>
          <t>eng</t>
        </is>
      </c>
      <c r="P112" t="inlineStr">
        <is>
          <t>nyu</t>
        </is>
      </c>
      <c r="R112" t="inlineStr">
        <is>
          <t xml:space="preserve">DS </t>
        </is>
      </c>
      <c r="S112" t="n">
        <v>5</v>
      </c>
      <c r="T112" t="n">
        <v>5</v>
      </c>
      <c r="U112" t="inlineStr">
        <is>
          <t>2004-04-24</t>
        </is>
      </c>
      <c r="V112" t="inlineStr">
        <is>
          <t>2004-04-24</t>
        </is>
      </c>
      <c r="W112" t="inlineStr">
        <is>
          <t>2000-08-10</t>
        </is>
      </c>
      <c r="X112" t="inlineStr">
        <is>
          <t>2000-08-10</t>
        </is>
      </c>
      <c r="Y112" t="n">
        <v>127</v>
      </c>
      <c r="Z112" t="n">
        <v>102</v>
      </c>
      <c r="AA112" t="n">
        <v>498</v>
      </c>
      <c r="AB112" t="n">
        <v>1</v>
      </c>
      <c r="AC112" t="n">
        <v>2</v>
      </c>
      <c r="AD112" t="n">
        <v>2</v>
      </c>
      <c r="AE112" t="n">
        <v>17</v>
      </c>
      <c r="AF112" t="n">
        <v>0</v>
      </c>
      <c r="AG112" t="n">
        <v>4</v>
      </c>
      <c r="AH112" t="n">
        <v>1</v>
      </c>
      <c r="AI112" t="n">
        <v>5</v>
      </c>
      <c r="AJ112" t="n">
        <v>1</v>
      </c>
      <c r="AK112" t="n">
        <v>10</v>
      </c>
      <c r="AL112" t="n">
        <v>0</v>
      </c>
      <c r="AM112" t="n">
        <v>1</v>
      </c>
      <c r="AN112" t="n">
        <v>0</v>
      </c>
      <c r="AO112" t="n">
        <v>1</v>
      </c>
      <c r="AP112" t="inlineStr">
        <is>
          <t>No</t>
        </is>
      </c>
      <c r="AQ112" t="inlineStr">
        <is>
          <t>No</t>
        </is>
      </c>
      <c r="AS112">
        <f>HYPERLINK("https://creighton-primo.hosted.exlibrisgroup.com/primo-explore/search?tab=default_tab&amp;search_scope=EVERYTHING&amp;vid=01CRU&amp;lang=en_US&amp;offset=0&amp;query=any,contains,991003257359702656","Catalog Record")</f>
        <v/>
      </c>
      <c r="AT112">
        <f>HYPERLINK("http://www.worldcat.org/oclc/44653006","WorldCat Record")</f>
        <v/>
      </c>
      <c r="AU112" t="inlineStr">
        <is>
          <t>143609414:eng</t>
        </is>
      </c>
      <c r="AV112" t="inlineStr">
        <is>
          <t>44653006</t>
        </is>
      </c>
      <c r="AW112" t="inlineStr">
        <is>
          <t>991003257359702656</t>
        </is>
      </c>
      <c r="AX112" t="inlineStr">
        <is>
          <t>991003257359702656</t>
        </is>
      </c>
      <c r="AY112" t="inlineStr">
        <is>
          <t>2268037230002656</t>
        </is>
      </c>
      <c r="AZ112" t="inlineStr">
        <is>
          <t>BOOK</t>
        </is>
      </c>
      <c r="BB112" t="inlineStr">
        <is>
          <t>9780805057409</t>
        </is>
      </c>
      <c r="BC112" t="inlineStr">
        <is>
          <t>32285003689287</t>
        </is>
      </c>
      <c r="BD112" t="inlineStr">
        <is>
          <t>893610866</t>
        </is>
      </c>
    </row>
    <row r="113">
      <c r="A113" t="inlineStr">
        <is>
          <t>No</t>
        </is>
      </c>
      <c r="B113" t="inlineStr">
        <is>
          <t>DS110.G5 D48</t>
        </is>
      </c>
      <c r="C113" t="inlineStr">
        <is>
          <t>0                      DS 0110000G  5                  D  48</t>
        </is>
      </c>
      <c r="D113" t="inlineStr">
        <is>
          <t>Gezer I: preliminary report of the 1964-66 seasons [by] William G. Dever, H. Darrell Lance [and] G. Ernest Wright. With a contribution by Aaron Shaffer.</t>
        </is>
      </c>
      <c r="F113" t="inlineStr">
        <is>
          <t>No</t>
        </is>
      </c>
      <c r="G113" t="inlineStr">
        <is>
          <t>1</t>
        </is>
      </c>
      <c r="H113" t="inlineStr">
        <is>
          <t>No</t>
        </is>
      </c>
      <c r="I113" t="inlineStr">
        <is>
          <t>No</t>
        </is>
      </c>
      <c r="J113" t="inlineStr">
        <is>
          <t>0</t>
        </is>
      </c>
      <c r="K113" t="inlineStr">
        <is>
          <t>Dever, William G.</t>
        </is>
      </c>
      <c r="L113" t="inlineStr">
        <is>
          <t>[Jerusalem, Hebrew Union College Biblical and Archaeological School, 1970]</t>
        </is>
      </c>
      <c r="M113" t="inlineStr">
        <is>
          <t>1970</t>
        </is>
      </c>
      <c r="O113" t="inlineStr">
        <is>
          <t>eng</t>
        </is>
      </c>
      <c r="P113" t="inlineStr">
        <is>
          <t xml:space="preserve">is </t>
        </is>
      </c>
      <c r="Q113" t="inlineStr">
        <is>
          <t>Annual of the Hebrew Union College Biblical and Archaeological School in Jerusalem, v. 1</t>
        </is>
      </c>
      <c r="R113" t="inlineStr">
        <is>
          <t xml:space="preserve">DS </t>
        </is>
      </c>
      <c r="S113" t="n">
        <v>3</v>
      </c>
      <c r="T113" t="n">
        <v>3</v>
      </c>
      <c r="U113" t="inlineStr">
        <is>
          <t>2007-02-05</t>
        </is>
      </c>
      <c r="V113" t="inlineStr">
        <is>
          <t>2007-02-05</t>
        </is>
      </c>
      <c r="W113" t="inlineStr">
        <is>
          <t>1997-02-25</t>
        </is>
      </c>
      <c r="X113" t="inlineStr">
        <is>
          <t>1997-02-25</t>
        </is>
      </c>
      <c r="Y113" t="n">
        <v>217</v>
      </c>
      <c r="Z113" t="n">
        <v>188</v>
      </c>
      <c r="AA113" t="n">
        <v>202</v>
      </c>
      <c r="AB113" t="n">
        <v>1</v>
      </c>
      <c r="AC113" t="n">
        <v>1</v>
      </c>
      <c r="AD113" t="n">
        <v>8</v>
      </c>
      <c r="AE113" t="n">
        <v>8</v>
      </c>
      <c r="AF113" t="n">
        <v>4</v>
      </c>
      <c r="AG113" t="n">
        <v>4</v>
      </c>
      <c r="AH113" t="n">
        <v>3</v>
      </c>
      <c r="AI113" t="n">
        <v>3</v>
      </c>
      <c r="AJ113" t="n">
        <v>4</v>
      </c>
      <c r="AK113" t="n">
        <v>4</v>
      </c>
      <c r="AL113" t="n">
        <v>0</v>
      </c>
      <c r="AM113" t="n">
        <v>0</v>
      </c>
      <c r="AN113" t="n">
        <v>0</v>
      </c>
      <c r="AO113" t="n">
        <v>0</v>
      </c>
      <c r="AP113" t="inlineStr">
        <is>
          <t>No</t>
        </is>
      </c>
      <c r="AQ113" t="inlineStr">
        <is>
          <t>Yes</t>
        </is>
      </c>
      <c r="AR113">
        <f>HYPERLINK("http://catalog.hathitrust.org/Record/001242331","HathiTrust Record")</f>
        <v/>
      </c>
      <c r="AS113">
        <f>HYPERLINK("https://creighton-primo.hosted.exlibrisgroup.com/primo-explore/search?tab=default_tab&amp;search_scope=EVERYTHING&amp;vid=01CRU&amp;lang=en_US&amp;offset=0&amp;query=any,contains,991002656499702656","Catalog Record")</f>
        <v/>
      </c>
      <c r="AT113">
        <f>HYPERLINK("http://www.worldcat.org/oclc/389342","WorldCat Record")</f>
        <v/>
      </c>
      <c r="AU113" t="inlineStr">
        <is>
          <t>1520404:eng</t>
        </is>
      </c>
      <c r="AV113" t="inlineStr">
        <is>
          <t>389342</t>
        </is>
      </c>
      <c r="AW113" t="inlineStr">
        <is>
          <t>991002656499702656</t>
        </is>
      </c>
      <c r="AX113" t="inlineStr">
        <is>
          <t>991002656499702656</t>
        </is>
      </c>
      <c r="AY113" t="inlineStr">
        <is>
          <t>2256650020002656</t>
        </is>
      </c>
      <c r="AZ113" t="inlineStr">
        <is>
          <t>BOOK</t>
        </is>
      </c>
      <c r="BC113" t="inlineStr">
        <is>
          <t>32285002461126</t>
        </is>
      </c>
      <c r="BD113" t="inlineStr">
        <is>
          <t>893773868</t>
        </is>
      </c>
    </row>
    <row r="114">
      <c r="A114" t="inlineStr">
        <is>
          <t>No</t>
        </is>
      </c>
      <c r="B114" t="inlineStr">
        <is>
          <t>DS110.G5 D49 1986</t>
        </is>
      </c>
      <c r="C114" t="inlineStr">
        <is>
          <t>0                      DS 0110000G  5                  D  49          1986</t>
        </is>
      </c>
      <c r="D114" t="inlineStr">
        <is>
          <t>Gezer IV : the 1969-71 seasons in field VI, the "acropolis" / editor and principal author, William G. Dever, with the assistance of H. Darrell Lance ; contributions by Reuben G. Bullard ... [et al.] ; appendices by Baruch Brandl ... [et al.].</t>
        </is>
      </c>
      <c r="E114" t="inlineStr">
        <is>
          <t>V.2</t>
        </is>
      </c>
      <c r="F114" t="inlineStr">
        <is>
          <t>Yes</t>
        </is>
      </c>
      <c r="G114" t="inlineStr">
        <is>
          <t>1</t>
        </is>
      </c>
      <c r="H114" t="inlineStr">
        <is>
          <t>No</t>
        </is>
      </c>
      <c r="I114" t="inlineStr">
        <is>
          <t>No</t>
        </is>
      </c>
      <c r="J114" t="inlineStr">
        <is>
          <t>0</t>
        </is>
      </c>
      <c r="K114" t="inlineStr">
        <is>
          <t>Dever, William G.</t>
        </is>
      </c>
      <c r="L114" t="inlineStr">
        <is>
          <t>Jerusalem : Nelson Glueck School of Biblical Archaeology, 1986.</t>
        </is>
      </c>
      <c r="M114" t="inlineStr">
        <is>
          <t>1986</t>
        </is>
      </c>
      <c r="O114" t="inlineStr">
        <is>
          <t>eng</t>
        </is>
      </c>
      <c r="P114" t="inlineStr">
        <is>
          <t xml:space="preserve">is </t>
        </is>
      </c>
      <c r="Q114" t="inlineStr">
        <is>
          <t>Annual of the Nelson Glueck School of Biblical Archaeology ; v. 4</t>
        </is>
      </c>
      <c r="R114" t="inlineStr">
        <is>
          <t xml:space="preserve">DS </t>
        </is>
      </c>
      <c r="S114" t="n">
        <v>2</v>
      </c>
      <c r="T114" t="n">
        <v>4</v>
      </c>
      <c r="U114" t="inlineStr">
        <is>
          <t>2007-02-05</t>
        </is>
      </c>
      <c r="V114" t="inlineStr">
        <is>
          <t>2007-02-05</t>
        </is>
      </c>
      <c r="W114" t="inlineStr">
        <is>
          <t>1997-07-22</t>
        </is>
      </c>
      <c r="X114" t="inlineStr">
        <is>
          <t>1997-07-22</t>
        </is>
      </c>
      <c r="Y114" t="n">
        <v>144</v>
      </c>
      <c r="Z114" t="n">
        <v>114</v>
      </c>
      <c r="AA114" t="n">
        <v>116</v>
      </c>
      <c r="AB114" t="n">
        <v>1</v>
      </c>
      <c r="AC114" t="n">
        <v>1</v>
      </c>
      <c r="AD114" t="n">
        <v>3</v>
      </c>
      <c r="AE114" t="n">
        <v>3</v>
      </c>
      <c r="AF114" t="n">
        <v>1</v>
      </c>
      <c r="AG114" t="n">
        <v>1</v>
      </c>
      <c r="AH114" t="n">
        <v>1</v>
      </c>
      <c r="AI114" t="n">
        <v>1</v>
      </c>
      <c r="AJ114" t="n">
        <v>2</v>
      </c>
      <c r="AK114" t="n">
        <v>2</v>
      </c>
      <c r="AL114" t="n">
        <v>0</v>
      </c>
      <c r="AM114" t="n">
        <v>0</v>
      </c>
      <c r="AN114" t="n">
        <v>0</v>
      </c>
      <c r="AO114" t="n">
        <v>0</v>
      </c>
      <c r="AP114" t="inlineStr">
        <is>
          <t>No</t>
        </is>
      </c>
      <c r="AQ114" t="inlineStr">
        <is>
          <t>Yes</t>
        </is>
      </c>
      <c r="AR114">
        <f>HYPERLINK("http://catalog.hathitrust.org/Record/001822458","HathiTrust Record")</f>
        <v/>
      </c>
      <c r="AS114">
        <f>HYPERLINK("https://creighton-primo.hosted.exlibrisgroup.com/primo-explore/search?tab=default_tab&amp;search_scope=EVERYTHING&amp;vid=01CRU&amp;lang=en_US&amp;offset=0&amp;query=any,contains,991001298069702656","Catalog Record")</f>
        <v/>
      </c>
      <c r="AT114">
        <f>HYPERLINK("http://www.worldcat.org/oclc/18051029","WorldCat Record")</f>
        <v/>
      </c>
      <c r="AU114" t="inlineStr">
        <is>
          <t>376732:eng</t>
        </is>
      </c>
      <c r="AV114" t="inlineStr">
        <is>
          <t>18051029</t>
        </is>
      </c>
      <c r="AW114" t="inlineStr">
        <is>
          <t>991001298069702656</t>
        </is>
      </c>
      <c r="AX114" t="inlineStr">
        <is>
          <t>991001298069702656</t>
        </is>
      </c>
      <c r="AY114" t="inlineStr">
        <is>
          <t>2268007680002656</t>
        </is>
      </c>
      <c r="AZ114" t="inlineStr">
        <is>
          <t>BOOK</t>
        </is>
      </c>
      <c r="BB114" t="inlineStr">
        <is>
          <t>9780878203048</t>
        </is>
      </c>
      <c r="BC114" t="inlineStr">
        <is>
          <t>32285002883568</t>
        </is>
      </c>
      <c r="BD114" t="inlineStr">
        <is>
          <t>893444652</t>
        </is>
      </c>
    </row>
    <row r="115">
      <c r="A115" t="inlineStr">
        <is>
          <t>No</t>
        </is>
      </c>
      <c r="B115" t="inlineStr">
        <is>
          <t>DS110.G5 D49 1986</t>
        </is>
      </c>
      <c r="C115" t="inlineStr">
        <is>
          <t>0                      DS 0110000G  5                  D  49          1986</t>
        </is>
      </c>
      <c r="D115" t="inlineStr">
        <is>
          <t>Gezer IV : the 1969-71 seasons in field VI, the "acropolis" / editor and principal author, William G. Dever, with the assistance of H. Darrell Lance ; contributions by Reuben G. Bullard ... [et al.] ; appendices by Baruch Brandl ... [et al.].</t>
        </is>
      </c>
      <c r="E115" t="inlineStr">
        <is>
          <t>V.1</t>
        </is>
      </c>
      <c r="F115" t="inlineStr">
        <is>
          <t>Yes</t>
        </is>
      </c>
      <c r="G115" t="inlineStr">
        <is>
          <t>1</t>
        </is>
      </c>
      <c r="H115" t="inlineStr">
        <is>
          <t>No</t>
        </is>
      </c>
      <c r="I115" t="inlineStr">
        <is>
          <t>No</t>
        </is>
      </c>
      <c r="J115" t="inlineStr">
        <is>
          <t>0</t>
        </is>
      </c>
      <c r="K115" t="inlineStr">
        <is>
          <t>Dever, William G.</t>
        </is>
      </c>
      <c r="L115" t="inlineStr">
        <is>
          <t>Jerusalem : Nelson Glueck School of Biblical Archaeology, 1986.</t>
        </is>
      </c>
      <c r="M115" t="inlineStr">
        <is>
          <t>1986</t>
        </is>
      </c>
      <c r="O115" t="inlineStr">
        <is>
          <t>eng</t>
        </is>
      </c>
      <c r="P115" t="inlineStr">
        <is>
          <t xml:space="preserve">is </t>
        </is>
      </c>
      <c r="Q115" t="inlineStr">
        <is>
          <t>Annual of the Nelson Glueck School of Biblical Archaeology ; v. 4</t>
        </is>
      </c>
      <c r="R115" t="inlineStr">
        <is>
          <t xml:space="preserve">DS </t>
        </is>
      </c>
      <c r="S115" t="n">
        <v>2</v>
      </c>
      <c r="T115" t="n">
        <v>4</v>
      </c>
      <c r="U115" t="inlineStr">
        <is>
          <t>2007-02-05</t>
        </is>
      </c>
      <c r="V115" t="inlineStr">
        <is>
          <t>2007-02-05</t>
        </is>
      </c>
      <c r="W115" t="inlineStr">
        <is>
          <t>1997-07-22</t>
        </is>
      </c>
      <c r="X115" t="inlineStr">
        <is>
          <t>1997-07-22</t>
        </is>
      </c>
      <c r="Y115" t="n">
        <v>144</v>
      </c>
      <c r="Z115" t="n">
        <v>114</v>
      </c>
      <c r="AA115" t="n">
        <v>116</v>
      </c>
      <c r="AB115" t="n">
        <v>1</v>
      </c>
      <c r="AC115" t="n">
        <v>1</v>
      </c>
      <c r="AD115" t="n">
        <v>3</v>
      </c>
      <c r="AE115" t="n">
        <v>3</v>
      </c>
      <c r="AF115" t="n">
        <v>1</v>
      </c>
      <c r="AG115" t="n">
        <v>1</v>
      </c>
      <c r="AH115" t="n">
        <v>1</v>
      </c>
      <c r="AI115" t="n">
        <v>1</v>
      </c>
      <c r="AJ115" t="n">
        <v>2</v>
      </c>
      <c r="AK115" t="n">
        <v>2</v>
      </c>
      <c r="AL115" t="n">
        <v>0</v>
      </c>
      <c r="AM115" t="n">
        <v>0</v>
      </c>
      <c r="AN115" t="n">
        <v>0</v>
      </c>
      <c r="AO115" t="n">
        <v>0</v>
      </c>
      <c r="AP115" t="inlineStr">
        <is>
          <t>No</t>
        </is>
      </c>
      <c r="AQ115" t="inlineStr">
        <is>
          <t>Yes</t>
        </is>
      </c>
      <c r="AR115">
        <f>HYPERLINK("http://catalog.hathitrust.org/Record/001822458","HathiTrust Record")</f>
        <v/>
      </c>
      <c r="AS115">
        <f>HYPERLINK("https://creighton-primo.hosted.exlibrisgroup.com/primo-explore/search?tab=default_tab&amp;search_scope=EVERYTHING&amp;vid=01CRU&amp;lang=en_US&amp;offset=0&amp;query=any,contains,991001298069702656","Catalog Record")</f>
        <v/>
      </c>
      <c r="AT115">
        <f>HYPERLINK("http://www.worldcat.org/oclc/18051029","WorldCat Record")</f>
        <v/>
      </c>
      <c r="AU115" t="inlineStr">
        <is>
          <t>376732:eng</t>
        </is>
      </c>
      <c r="AV115" t="inlineStr">
        <is>
          <t>18051029</t>
        </is>
      </c>
      <c r="AW115" t="inlineStr">
        <is>
          <t>991001298069702656</t>
        </is>
      </c>
      <c r="AX115" t="inlineStr">
        <is>
          <t>991001298069702656</t>
        </is>
      </c>
      <c r="AY115" t="inlineStr">
        <is>
          <t>2268007680002656</t>
        </is>
      </c>
      <c r="AZ115" t="inlineStr">
        <is>
          <t>BOOK</t>
        </is>
      </c>
      <c r="BB115" t="inlineStr">
        <is>
          <t>9780878203048</t>
        </is>
      </c>
      <c r="BC115" t="inlineStr">
        <is>
          <t>32285002883550</t>
        </is>
      </c>
      <c r="BD115" t="inlineStr">
        <is>
          <t>893414150</t>
        </is>
      </c>
    </row>
    <row r="116">
      <c r="A116" t="inlineStr">
        <is>
          <t>No</t>
        </is>
      </c>
      <c r="B116" t="inlineStr">
        <is>
          <t>DS110.G5 G48</t>
        </is>
      </c>
      <c r="C116" t="inlineStr">
        <is>
          <t>0                      DS 0110000G  5                  G  48</t>
        </is>
      </c>
      <c r="D116" t="inlineStr">
        <is>
          <t>Gezer II : report of the 1967-70 seasons in fields I and II / authors, William G. Dever ... [et al.] ; editor, William G. Dever ; with contributions by A. Eran ... [et al.].</t>
        </is>
      </c>
      <c r="F116" t="inlineStr">
        <is>
          <t>No</t>
        </is>
      </c>
      <c r="G116" t="inlineStr">
        <is>
          <t>1</t>
        </is>
      </c>
      <c r="H116" t="inlineStr">
        <is>
          <t>No</t>
        </is>
      </c>
      <c r="I116" t="inlineStr">
        <is>
          <t>No</t>
        </is>
      </c>
      <c r="J116" t="inlineStr">
        <is>
          <t>0</t>
        </is>
      </c>
      <c r="L116" t="inlineStr">
        <is>
          <t>Jerusalem : Hebrew Union College/Nelson Glueck School of Biblical Archaeology, 1974.</t>
        </is>
      </c>
      <c r="M116" t="inlineStr">
        <is>
          <t>1974</t>
        </is>
      </c>
      <c r="O116" t="inlineStr">
        <is>
          <t>eng</t>
        </is>
      </c>
      <c r="P116" t="inlineStr">
        <is>
          <t xml:space="preserve">is </t>
        </is>
      </c>
      <c r="Q116" t="inlineStr">
        <is>
          <t>Annual of the Hebrew Union College/Nelson Glueck School of Biblical Archaeology ; v. 2</t>
        </is>
      </c>
      <c r="R116" t="inlineStr">
        <is>
          <t xml:space="preserve">DS </t>
        </is>
      </c>
      <c r="S116" t="n">
        <v>2</v>
      </c>
      <c r="T116" t="n">
        <v>2</v>
      </c>
      <c r="U116" t="inlineStr">
        <is>
          <t>2007-02-05</t>
        </is>
      </c>
      <c r="V116" t="inlineStr">
        <is>
          <t>2007-02-05</t>
        </is>
      </c>
      <c r="W116" t="inlineStr">
        <is>
          <t>1997-02-25</t>
        </is>
      </c>
      <c r="X116" t="inlineStr">
        <is>
          <t>1997-02-25</t>
        </is>
      </c>
      <c r="Y116" t="n">
        <v>202</v>
      </c>
      <c r="Z116" t="n">
        <v>173</v>
      </c>
      <c r="AA116" t="n">
        <v>179</v>
      </c>
      <c r="AB116" t="n">
        <v>1</v>
      </c>
      <c r="AC116" t="n">
        <v>1</v>
      </c>
      <c r="AD116" t="n">
        <v>6</v>
      </c>
      <c r="AE116" t="n">
        <v>6</v>
      </c>
      <c r="AF116" t="n">
        <v>3</v>
      </c>
      <c r="AG116" t="n">
        <v>3</v>
      </c>
      <c r="AH116" t="n">
        <v>3</v>
      </c>
      <c r="AI116" t="n">
        <v>3</v>
      </c>
      <c r="AJ116" t="n">
        <v>3</v>
      </c>
      <c r="AK116" t="n">
        <v>3</v>
      </c>
      <c r="AL116" t="n">
        <v>0</v>
      </c>
      <c r="AM116" t="n">
        <v>0</v>
      </c>
      <c r="AN116" t="n">
        <v>0</v>
      </c>
      <c r="AO116" t="n">
        <v>0</v>
      </c>
      <c r="AP116" t="inlineStr">
        <is>
          <t>No</t>
        </is>
      </c>
      <c r="AQ116" t="inlineStr">
        <is>
          <t>Yes</t>
        </is>
      </c>
      <c r="AR116">
        <f>HYPERLINK("http://catalog.hathitrust.org/Record/000019500","HathiTrust Record")</f>
        <v/>
      </c>
      <c r="AS116">
        <f>HYPERLINK("https://creighton-primo.hosted.exlibrisgroup.com/primo-explore/search?tab=default_tab&amp;search_scope=EVERYTHING&amp;vid=01CRU&amp;lang=en_US&amp;offset=0&amp;query=any,contains,991003807079702656","Catalog Record")</f>
        <v/>
      </c>
      <c r="AT116">
        <f>HYPERLINK("http://www.worldcat.org/oclc/1531295","WorldCat Record")</f>
        <v/>
      </c>
      <c r="AU116" t="inlineStr">
        <is>
          <t>2403447:eng</t>
        </is>
      </c>
      <c r="AV116" t="inlineStr">
        <is>
          <t>1531295</t>
        </is>
      </c>
      <c r="AW116" t="inlineStr">
        <is>
          <t>991003807079702656</t>
        </is>
      </c>
      <c r="AX116" t="inlineStr">
        <is>
          <t>991003807079702656</t>
        </is>
      </c>
      <c r="AY116" t="inlineStr">
        <is>
          <t>2271838510002656</t>
        </is>
      </c>
      <c r="AZ116" t="inlineStr">
        <is>
          <t>BOOK</t>
        </is>
      </c>
      <c r="BB116" t="inlineStr">
        <is>
          <t>9780878203024</t>
        </is>
      </c>
      <c r="BC116" t="inlineStr">
        <is>
          <t>32285002461134</t>
        </is>
      </c>
      <c r="BD116" t="inlineStr">
        <is>
          <t>893506015</t>
        </is>
      </c>
    </row>
    <row r="117">
      <c r="A117" t="inlineStr">
        <is>
          <t>No</t>
        </is>
      </c>
      <c r="B117" t="inlineStr">
        <is>
          <t>DS110.G5 S4 1988</t>
        </is>
      </c>
      <c r="C117" t="inlineStr">
        <is>
          <t>0                      DS 0110000G  5                  S  4           1988</t>
        </is>
      </c>
      <c r="D117" t="inlineStr">
        <is>
          <t>Gezer V : the field I caves / by Joe D. Seger ; with contributions by Alan Bieber ... [et al.] ; edited by Joe D. Seger and H. Darrell Lance.</t>
        </is>
      </c>
      <c r="F117" t="inlineStr">
        <is>
          <t>No</t>
        </is>
      </c>
      <c r="G117" t="inlineStr">
        <is>
          <t>1</t>
        </is>
      </c>
      <c r="H117" t="inlineStr">
        <is>
          <t>No</t>
        </is>
      </c>
      <c r="I117" t="inlineStr">
        <is>
          <t>No</t>
        </is>
      </c>
      <c r="J117" t="inlineStr">
        <is>
          <t>0</t>
        </is>
      </c>
      <c r="K117" t="inlineStr">
        <is>
          <t>Seger, Joe D.</t>
        </is>
      </c>
      <c r="L117" t="inlineStr">
        <is>
          <t>Jerusalem : Nelson Glueck School of Biblical Archaeology, 1988.</t>
        </is>
      </c>
      <c r="M117" t="inlineStr">
        <is>
          <t>1988</t>
        </is>
      </c>
      <c r="O117" t="inlineStr">
        <is>
          <t>eng</t>
        </is>
      </c>
      <c r="P117" t="inlineStr">
        <is>
          <t xml:space="preserve">is </t>
        </is>
      </c>
      <c r="Q117" t="inlineStr">
        <is>
          <t>Annual of the Nelson Glueck School of Biblical Archaeology ; v. 5</t>
        </is>
      </c>
      <c r="R117" t="inlineStr">
        <is>
          <t xml:space="preserve">DS </t>
        </is>
      </c>
      <c r="S117" t="n">
        <v>5</v>
      </c>
      <c r="T117" t="n">
        <v>5</v>
      </c>
      <c r="U117" t="inlineStr">
        <is>
          <t>2007-02-05</t>
        </is>
      </c>
      <c r="V117" t="inlineStr">
        <is>
          <t>2007-02-05</t>
        </is>
      </c>
      <c r="W117" t="inlineStr">
        <is>
          <t>1997-07-10</t>
        </is>
      </c>
      <c r="X117" t="inlineStr">
        <is>
          <t>1997-07-10</t>
        </is>
      </c>
      <c r="Y117" t="n">
        <v>117</v>
      </c>
      <c r="Z117" t="n">
        <v>95</v>
      </c>
      <c r="AA117" t="n">
        <v>97</v>
      </c>
      <c r="AB117" t="n">
        <v>1</v>
      </c>
      <c r="AC117" t="n">
        <v>1</v>
      </c>
      <c r="AD117" t="n">
        <v>3</v>
      </c>
      <c r="AE117" t="n">
        <v>3</v>
      </c>
      <c r="AF117" t="n">
        <v>2</v>
      </c>
      <c r="AG117" t="n">
        <v>2</v>
      </c>
      <c r="AH117" t="n">
        <v>1</v>
      </c>
      <c r="AI117" t="n">
        <v>1</v>
      </c>
      <c r="AJ117" t="n">
        <v>1</v>
      </c>
      <c r="AK117" t="n">
        <v>1</v>
      </c>
      <c r="AL117" t="n">
        <v>0</v>
      </c>
      <c r="AM117" t="n">
        <v>0</v>
      </c>
      <c r="AN117" t="n">
        <v>0</v>
      </c>
      <c r="AO117" t="n">
        <v>0</v>
      </c>
      <c r="AP117" t="inlineStr">
        <is>
          <t>No</t>
        </is>
      </c>
      <c r="AQ117" t="inlineStr">
        <is>
          <t>Yes</t>
        </is>
      </c>
      <c r="AR117">
        <f>HYPERLINK("http://catalog.hathitrust.org/Record/001826336","HathiTrust Record")</f>
        <v/>
      </c>
      <c r="AS117">
        <f>HYPERLINK("https://creighton-primo.hosted.exlibrisgroup.com/primo-explore/search?tab=default_tab&amp;search_scope=EVERYTHING&amp;vid=01CRU&amp;lang=en_US&amp;offset=0&amp;query=any,contains,991001590769702656","Catalog Record")</f>
        <v/>
      </c>
      <c r="AT117">
        <f>HYPERLINK("http://www.worldcat.org/oclc/20572723","WorldCat Record")</f>
        <v/>
      </c>
      <c r="AU117" t="inlineStr">
        <is>
          <t>3953371533:eng</t>
        </is>
      </c>
      <c r="AV117" t="inlineStr">
        <is>
          <t>20572723</t>
        </is>
      </c>
      <c r="AW117" t="inlineStr">
        <is>
          <t>991001590769702656</t>
        </is>
      </c>
      <c r="AX117" t="inlineStr">
        <is>
          <t>991001590769702656</t>
        </is>
      </c>
      <c r="AY117" t="inlineStr">
        <is>
          <t>2259096140002656</t>
        </is>
      </c>
      <c r="AZ117" t="inlineStr">
        <is>
          <t>BOOK</t>
        </is>
      </c>
      <c r="BB117" t="inlineStr">
        <is>
          <t>9780878203055</t>
        </is>
      </c>
      <c r="BC117" t="inlineStr">
        <is>
          <t>32285002881448</t>
        </is>
      </c>
      <c r="BD117" t="inlineStr">
        <is>
          <t>893715530</t>
        </is>
      </c>
    </row>
    <row r="118">
      <c r="A118" t="inlineStr">
        <is>
          <t>No</t>
        </is>
      </c>
      <c r="B118" t="inlineStr">
        <is>
          <t>DS110.H29 D68 1983</t>
        </is>
      </c>
      <c r="C118" t="inlineStr">
        <is>
          <t>0                      DS 0110000H  29                 D  68          1983</t>
        </is>
      </c>
      <c r="D118" t="inlineStr">
        <is>
          <t>Hammath Tiberias / Moshe Dothan.</t>
        </is>
      </c>
      <c r="E118" t="inlineStr">
        <is>
          <t>V. 2</t>
        </is>
      </c>
      <c r="F118" t="inlineStr">
        <is>
          <t>Yes</t>
        </is>
      </c>
      <c r="G118" t="inlineStr">
        <is>
          <t>1</t>
        </is>
      </c>
      <c r="H118" t="inlineStr">
        <is>
          <t>No</t>
        </is>
      </c>
      <c r="I118" t="inlineStr">
        <is>
          <t>No</t>
        </is>
      </c>
      <c r="J118" t="inlineStr">
        <is>
          <t>0</t>
        </is>
      </c>
      <c r="K118" t="inlineStr">
        <is>
          <t>Dothan, M. (Moshe)</t>
        </is>
      </c>
      <c r="L118" t="inlineStr">
        <is>
          <t>Jerusalem : Israel Exploration Society, 1983-2000.</t>
        </is>
      </c>
      <c r="M118" t="inlineStr">
        <is>
          <t>1983</t>
        </is>
      </c>
      <c r="O118" t="inlineStr">
        <is>
          <t>eng</t>
        </is>
      </c>
      <c r="P118" t="inlineStr">
        <is>
          <t xml:space="preserve">is </t>
        </is>
      </c>
      <c r="Q118" t="inlineStr">
        <is>
          <t>Ancient synagogues studies</t>
        </is>
      </c>
      <c r="R118" t="inlineStr">
        <is>
          <t xml:space="preserve">DS </t>
        </is>
      </c>
      <c r="S118" t="n">
        <v>2</v>
      </c>
      <c r="T118" t="n">
        <v>2</v>
      </c>
      <c r="U118" t="inlineStr">
        <is>
          <t>2008-09-24</t>
        </is>
      </c>
      <c r="V118" t="inlineStr">
        <is>
          <t>2008-09-24</t>
        </is>
      </c>
      <c r="W118" t="inlineStr">
        <is>
          <t>2003-11-05</t>
        </is>
      </c>
      <c r="X118" t="inlineStr">
        <is>
          <t>2003-11-05</t>
        </is>
      </c>
      <c r="Y118" t="n">
        <v>170</v>
      </c>
      <c r="Z118" t="n">
        <v>129</v>
      </c>
      <c r="AA118" t="n">
        <v>131</v>
      </c>
      <c r="AB118" t="n">
        <v>1</v>
      </c>
      <c r="AC118" t="n">
        <v>1</v>
      </c>
      <c r="AD118" t="n">
        <v>5</v>
      </c>
      <c r="AE118" t="n">
        <v>5</v>
      </c>
      <c r="AF118" t="n">
        <v>2</v>
      </c>
      <c r="AG118" t="n">
        <v>2</v>
      </c>
      <c r="AH118" t="n">
        <v>0</v>
      </c>
      <c r="AI118" t="n">
        <v>0</v>
      </c>
      <c r="AJ118" t="n">
        <v>5</v>
      </c>
      <c r="AK118" t="n">
        <v>5</v>
      </c>
      <c r="AL118" t="n">
        <v>0</v>
      </c>
      <c r="AM118" t="n">
        <v>0</v>
      </c>
      <c r="AN118" t="n">
        <v>0</v>
      </c>
      <c r="AO118" t="n">
        <v>0</v>
      </c>
      <c r="AP118" t="inlineStr">
        <is>
          <t>No</t>
        </is>
      </c>
      <c r="AQ118" t="inlineStr">
        <is>
          <t>Yes</t>
        </is>
      </c>
      <c r="AR118">
        <f>HYPERLINK("http://catalog.hathitrust.org/Record/000918520","HathiTrust Record")</f>
        <v/>
      </c>
      <c r="AS118">
        <f>HYPERLINK("https://creighton-primo.hosted.exlibrisgroup.com/primo-explore/search?tab=default_tab&amp;search_scope=EVERYTHING&amp;vid=01CRU&amp;lang=en_US&amp;offset=0&amp;query=any,contains,991004170019702656","Catalog Record")</f>
        <v/>
      </c>
      <c r="AT118">
        <f>HYPERLINK("http://www.worldcat.org/oclc/10753056","WorldCat Record")</f>
        <v/>
      </c>
      <c r="AU118" t="inlineStr">
        <is>
          <t>3859074982:eng</t>
        </is>
      </c>
      <c r="AV118" t="inlineStr">
        <is>
          <t>10753056</t>
        </is>
      </c>
      <c r="AW118" t="inlineStr">
        <is>
          <t>991004170019702656</t>
        </is>
      </c>
      <c r="AX118" t="inlineStr">
        <is>
          <t>991004170019702656</t>
        </is>
      </c>
      <c r="AY118" t="inlineStr">
        <is>
          <t>2265486020002656</t>
        </is>
      </c>
      <c r="AZ118" t="inlineStr">
        <is>
          <t>BOOK</t>
        </is>
      </c>
      <c r="BB118" t="inlineStr">
        <is>
          <t>9789652210036</t>
        </is>
      </c>
      <c r="BC118" t="inlineStr">
        <is>
          <t>32285004794417</t>
        </is>
      </c>
      <c r="BD118" t="inlineStr">
        <is>
          <t>893429739</t>
        </is>
      </c>
    </row>
    <row r="119">
      <c r="A119" t="inlineStr">
        <is>
          <t>No</t>
        </is>
      </c>
      <c r="B119" t="inlineStr">
        <is>
          <t>DS110.H39 B46 1987</t>
        </is>
      </c>
      <c r="C119" t="inlineStr">
        <is>
          <t>0                      DS 0110000H  39                 B  46          1987</t>
        </is>
      </c>
      <c r="D119" t="inlineStr">
        <is>
          <t>Tell Qiri, a village in the Jezreel Valley : report of the archaeological excavations, 1975-1977 : archaeological investigations in the Valley of Jezreel : the Yoqneʻam Regional Project / Amnon Ben-Tor &amp; Y. Portugali ; Miriam Avissar, Uri Baruch &amp; Melvin Hunt.</t>
        </is>
      </c>
      <c r="E119" t="inlineStr">
        <is>
          <t>V.24</t>
        </is>
      </c>
      <c r="F119" t="inlineStr">
        <is>
          <t>No</t>
        </is>
      </c>
      <c r="G119" t="inlineStr">
        <is>
          <t>1</t>
        </is>
      </c>
      <c r="H119" t="inlineStr">
        <is>
          <t>No</t>
        </is>
      </c>
      <c r="I119" t="inlineStr">
        <is>
          <t>No</t>
        </is>
      </c>
      <c r="J119" t="inlineStr">
        <is>
          <t>0</t>
        </is>
      </c>
      <c r="K119" t="inlineStr">
        <is>
          <t>Ben-Tor, Amnon.</t>
        </is>
      </c>
      <c r="L119" t="inlineStr">
        <is>
          <t>Jerusalem, Israel : Institute of Archaeology, Hebrew University of Jerusalem, 1987.</t>
        </is>
      </c>
      <c r="M119" t="inlineStr">
        <is>
          <t>1987</t>
        </is>
      </c>
      <c r="O119" t="inlineStr">
        <is>
          <t>eng</t>
        </is>
      </c>
      <c r="P119" t="inlineStr">
        <is>
          <t xml:space="preserve">is </t>
        </is>
      </c>
      <c r="Q119" t="inlineStr">
        <is>
          <t>Publications of the Institute of Archaeology, the Hebrew University of Jerusalem</t>
        </is>
      </c>
      <c r="R119" t="inlineStr">
        <is>
          <t xml:space="preserve">DS </t>
        </is>
      </c>
      <c r="S119" t="n">
        <v>3</v>
      </c>
      <c r="T119" t="n">
        <v>3</v>
      </c>
      <c r="U119" t="inlineStr">
        <is>
          <t>1998-03-05</t>
        </is>
      </c>
      <c r="V119" t="inlineStr">
        <is>
          <t>1998-03-05</t>
        </is>
      </c>
      <c r="W119" t="inlineStr">
        <is>
          <t>1997-07-11</t>
        </is>
      </c>
      <c r="X119" t="inlineStr">
        <is>
          <t>1997-07-11</t>
        </is>
      </c>
      <c r="Y119" t="n">
        <v>111</v>
      </c>
      <c r="Z119" t="n">
        <v>98</v>
      </c>
      <c r="AA119" t="n">
        <v>100</v>
      </c>
      <c r="AB119" t="n">
        <v>1</v>
      </c>
      <c r="AC119" t="n">
        <v>1</v>
      </c>
      <c r="AD119" t="n">
        <v>2</v>
      </c>
      <c r="AE119" t="n">
        <v>2</v>
      </c>
      <c r="AF119" t="n">
        <v>1</v>
      </c>
      <c r="AG119" t="n">
        <v>1</v>
      </c>
      <c r="AH119" t="n">
        <v>1</v>
      </c>
      <c r="AI119" t="n">
        <v>1</v>
      </c>
      <c r="AJ119" t="n">
        <v>0</v>
      </c>
      <c r="AK119" t="n">
        <v>0</v>
      </c>
      <c r="AL119" t="n">
        <v>0</v>
      </c>
      <c r="AM119" t="n">
        <v>0</v>
      </c>
      <c r="AN119" t="n">
        <v>0</v>
      </c>
      <c r="AO119" t="n">
        <v>0</v>
      </c>
      <c r="AP119" t="inlineStr">
        <is>
          <t>No</t>
        </is>
      </c>
      <c r="AQ119" t="inlineStr">
        <is>
          <t>Yes</t>
        </is>
      </c>
      <c r="AR119">
        <f>HYPERLINK("http://catalog.hathitrust.org/Record/000917166","HathiTrust Record")</f>
        <v/>
      </c>
      <c r="AS119">
        <f>HYPERLINK("https://creighton-primo.hosted.exlibrisgroup.com/primo-explore/search?tab=default_tab&amp;search_scope=EVERYTHING&amp;vid=01CRU&amp;lang=en_US&amp;offset=0&amp;query=any,contains,991001267719702656","Catalog Record")</f>
        <v/>
      </c>
      <c r="AT119">
        <f>HYPERLINK("http://www.worldcat.org/oclc/17824562","WorldCat Record")</f>
        <v/>
      </c>
      <c r="AU119" t="inlineStr">
        <is>
          <t>5609553220:eng</t>
        </is>
      </c>
      <c r="AV119" t="inlineStr">
        <is>
          <t>17824562</t>
        </is>
      </c>
      <c r="AW119" t="inlineStr">
        <is>
          <t>991001267719702656</t>
        </is>
      </c>
      <c r="AX119" t="inlineStr">
        <is>
          <t>991001267719702656</t>
        </is>
      </c>
      <c r="AY119" t="inlineStr">
        <is>
          <t>2262118730002656</t>
        </is>
      </c>
      <c r="AZ119" t="inlineStr">
        <is>
          <t>BOOK</t>
        </is>
      </c>
      <c r="BC119" t="inlineStr">
        <is>
          <t>32285002881786</t>
        </is>
      </c>
      <c r="BD119" t="inlineStr">
        <is>
          <t>893237990</t>
        </is>
      </c>
    </row>
    <row r="120">
      <c r="A120" t="inlineStr">
        <is>
          <t>No</t>
        </is>
      </c>
      <c r="B120" t="inlineStr">
        <is>
          <t>DS110.L3 A37</t>
        </is>
      </c>
      <c r="C120" t="inlineStr">
        <is>
          <t>0                      DS 0110000L  3                  A  37</t>
        </is>
      </c>
      <c r="D120" t="inlineStr">
        <is>
          <t>Investigations at Lachish : the sanctuary and the residency (Lachish V) / by Yohanan Aharoni, with contributions by M. Elath ... [et al.].</t>
        </is>
      </c>
      <c r="F120" t="inlineStr">
        <is>
          <t>No</t>
        </is>
      </c>
      <c r="G120" t="inlineStr">
        <is>
          <t>1</t>
        </is>
      </c>
      <c r="H120" t="inlineStr">
        <is>
          <t>No</t>
        </is>
      </c>
      <c r="I120" t="inlineStr">
        <is>
          <t>No</t>
        </is>
      </c>
      <c r="J120" t="inlineStr">
        <is>
          <t>0</t>
        </is>
      </c>
      <c r="K120" t="inlineStr">
        <is>
          <t>Aharoni, Yohanan, 1919-1976.</t>
        </is>
      </c>
      <c r="L120" t="inlineStr">
        <is>
          <t>Tel Aviv : Gateway Publishers, 1975.</t>
        </is>
      </c>
      <c r="M120" t="inlineStr">
        <is>
          <t>1975</t>
        </is>
      </c>
      <c r="O120" t="inlineStr">
        <is>
          <t>eng</t>
        </is>
      </c>
      <c r="P120" t="inlineStr">
        <is>
          <t xml:space="preserve">is </t>
        </is>
      </c>
      <c r="Q120" t="inlineStr">
        <is>
          <t>Publications of the Institute of Archaeology, Tel Aviv University ; no. 4</t>
        </is>
      </c>
      <c r="R120" t="inlineStr">
        <is>
          <t xml:space="preserve">DS </t>
        </is>
      </c>
      <c r="S120" t="n">
        <v>15</v>
      </c>
      <c r="T120" t="n">
        <v>15</v>
      </c>
      <c r="U120" t="inlineStr">
        <is>
          <t>2006-11-26</t>
        </is>
      </c>
      <c r="V120" t="inlineStr">
        <is>
          <t>2006-11-26</t>
        </is>
      </c>
      <c r="W120" t="inlineStr">
        <is>
          <t>1990-09-28</t>
        </is>
      </c>
      <c r="X120" t="inlineStr">
        <is>
          <t>1990-09-28</t>
        </is>
      </c>
      <c r="Y120" t="n">
        <v>219</v>
      </c>
      <c r="Z120" t="n">
        <v>155</v>
      </c>
      <c r="AA120" t="n">
        <v>167</v>
      </c>
      <c r="AB120" t="n">
        <v>1</v>
      </c>
      <c r="AC120" t="n">
        <v>1</v>
      </c>
      <c r="AD120" t="n">
        <v>3</v>
      </c>
      <c r="AE120" t="n">
        <v>3</v>
      </c>
      <c r="AF120" t="n">
        <v>2</v>
      </c>
      <c r="AG120" t="n">
        <v>2</v>
      </c>
      <c r="AH120" t="n">
        <v>1</v>
      </c>
      <c r="AI120" t="n">
        <v>1</v>
      </c>
      <c r="AJ120" t="n">
        <v>1</v>
      </c>
      <c r="AK120" t="n">
        <v>1</v>
      </c>
      <c r="AL120" t="n">
        <v>0</v>
      </c>
      <c r="AM120" t="n">
        <v>0</v>
      </c>
      <c r="AN120" t="n">
        <v>0</v>
      </c>
      <c r="AO120" t="n">
        <v>0</v>
      </c>
      <c r="AP120" t="inlineStr">
        <is>
          <t>No</t>
        </is>
      </c>
      <c r="AQ120" t="inlineStr">
        <is>
          <t>Yes</t>
        </is>
      </c>
      <c r="AR120">
        <f>HYPERLINK("http://catalog.hathitrust.org/Record/002616650","HathiTrust Record")</f>
        <v/>
      </c>
      <c r="AS120">
        <f>HYPERLINK("https://creighton-primo.hosted.exlibrisgroup.com/primo-explore/search?tab=default_tab&amp;search_scope=EVERYTHING&amp;vid=01CRU&amp;lang=en_US&amp;offset=0&amp;query=any,contains,991004002479702656","Catalog Record")</f>
        <v/>
      </c>
      <c r="AT120">
        <f>HYPERLINK("http://www.worldcat.org/oclc/2074775","WorldCat Record")</f>
        <v/>
      </c>
      <c r="AU120" t="inlineStr">
        <is>
          <t>367529324:eng</t>
        </is>
      </c>
      <c r="AV120" t="inlineStr">
        <is>
          <t>2074775</t>
        </is>
      </c>
      <c r="AW120" t="inlineStr">
        <is>
          <t>991004002479702656</t>
        </is>
      </c>
      <c r="AX120" t="inlineStr">
        <is>
          <t>991004002479702656</t>
        </is>
      </c>
      <c r="AY120" t="inlineStr">
        <is>
          <t>2261963930002656</t>
        </is>
      </c>
      <c r="AZ120" t="inlineStr">
        <is>
          <t>BOOK</t>
        </is>
      </c>
      <c r="BB120" t="inlineStr">
        <is>
          <t>9780914594024</t>
        </is>
      </c>
      <c r="BC120" t="inlineStr">
        <is>
          <t>32285000292853</t>
        </is>
      </c>
      <c r="BD120" t="inlineStr">
        <is>
          <t>893423263</t>
        </is>
      </c>
    </row>
    <row r="121">
      <c r="A121" t="inlineStr">
        <is>
          <t>No</t>
        </is>
      </c>
      <c r="B121" t="inlineStr">
        <is>
          <t>DS110.M4 D38 1986</t>
        </is>
      </c>
      <c r="C121" t="inlineStr">
        <is>
          <t>0                      DS 0110000M  4                  D  38          1986</t>
        </is>
      </c>
      <c r="D121" t="inlineStr">
        <is>
          <t>Megiddo / Graham I. Davies.</t>
        </is>
      </c>
      <c r="F121" t="inlineStr">
        <is>
          <t>No</t>
        </is>
      </c>
      <c r="G121" t="inlineStr">
        <is>
          <t>1</t>
        </is>
      </c>
      <c r="H121" t="inlineStr">
        <is>
          <t>No</t>
        </is>
      </c>
      <c r="I121" t="inlineStr">
        <is>
          <t>No</t>
        </is>
      </c>
      <c r="J121" t="inlineStr">
        <is>
          <t>0</t>
        </is>
      </c>
      <c r="K121" t="inlineStr">
        <is>
          <t>Davies, Graham I.</t>
        </is>
      </c>
      <c r="L121" t="inlineStr">
        <is>
          <t>Cambridge : Lutterworth ; Grand Rapids, Mich. : Eerdmans, 1986.</t>
        </is>
      </c>
      <c r="M121" t="inlineStr">
        <is>
          <t>1986</t>
        </is>
      </c>
      <c r="O121" t="inlineStr">
        <is>
          <t>eng</t>
        </is>
      </c>
      <c r="P121" t="inlineStr">
        <is>
          <t>enk</t>
        </is>
      </c>
      <c r="Q121" t="inlineStr">
        <is>
          <t>Cities of the Biblical World</t>
        </is>
      </c>
      <c r="R121" t="inlineStr">
        <is>
          <t xml:space="preserve">DS </t>
        </is>
      </c>
      <c r="S121" t="n">
        <v>27</v>
      </c>
      <c r="T121" t="n">
        <v>27</v>
      </c>
      <c r="U121" t="inlineStr">
        <is>
          <t>2009-11-11</t>
        </is>
      </c>
      <c r="V121" t="inlineStr">
        <is>
          <t>2009-11-11</t>
        </is>
      </c>
      <c r="W121" t="inlineStr">
        <is>
          <t>1990-09-28</t>
        </is>
      </c>
      <c r="X121" t="inlineStr">
        <is>
          <t>1990-09-28</t>
        </is>
      </c>
      <c r="Y121" t="n">
        <v>439</v>
      </c>
      <c r="Z121" t="n">
        <v>335</v>
      </c>
      <c r="AA121" t="n">
        <v>341</v>
      </c>
      <c r="AB121" t="n">
        <v>5</v>
      </c>
      <c r="AC121" t="n">
        <v>5</v>
      </c>
      <c r="AD121" t="n">
        <v>15</v>
      </c>
      <c r="AE121" t="n">
        <v>15</v>
      </c>
      <c r="AF121" t="n">
        <v>5</v>
      </c>
      <c r="AG121" t="n">
        <v>5</v>
      </c>
      <c r="AH121" t="n">
        <v>3</v>
      </c>
      <c r="AI121" t="n">
        <v>3</v>
      </c>
      <c r="AJ121" t="n">
        <v>7</v>
      </c>
      <c r="AK121" t="n">
        <v>7</v>
      </c>
      <c r="AL121" t="n">
        <v>3</v>
      </c>
      <c r="AM121" t="n">
        <v>3</v>
      </c>
      <c r="AN121" t="n">
        <v>0</v>
      </c>
      <c r="AO121" t="n">
        <v>0</v>
      </c>
      <c r="AP121" t="inlineStr">
        <is>
          <t>No</t>
        </is>
      </c>
      <c r="AQ121" t="inlineStr">
        <is>
          <t>Yes</t>
        </is>
      </c>
      <c r="AR121">
        <f>HYPERLINK("http://catalog.hathitrust.org/Record/000815550","HathiTrust Record")</f>
        <v/>
      </c>
      <c r="AS121">
        <f>HYPERLINK("https://creighton-primo.hosted.exlibrisgroup.com/primo-explore/search?tab=default_tab&amp;search_scope=EVERYTHING&amp;vid=01CRU&amp;lang=en_US&amp;offset=0&amp;query=any,contains,991000954569702656","Catalog Record")</f>
        <v/>
      </c>
      <c r="AT121">
        <f>HYPERLINK("http://www.worldcat.org/oclc/14711488","WorldCat Record")</f>
        <v/>
      </c>
      <c r="AU121" t="inlineStr">
        <is>
          <t>8344095:eng</t>
        </is>
      </c>
      <c r="AV121" t="inlineStr">
        <is>
          <t>14711488</t>
        </is>
      </c>
      <c r="AW121" t="inlineStr">
        <is>
          <t>991000954569702656</t>
        </is>
      </c>
      <c r="AX121" t="inlineStr">
        <is>
          <t>991000954569702656</t>
        </is>
      </c>
      <c r="AY121" t="inlineStr">
        <is>
          <t>2269221790002656</t>
        </is>
      </c>
      <c r="AZ121" t="inlineStr">
        <is>
          <t>BOOK</t>
        </is>
      </c>
      <c r="BB121" t="inlineStr">
        <is>
          <t>9780802802477</t>
        </is>
      </c>
      <c r="BC121" t="inlineStr">
        <is>
          <t>32285004467568</t>
        </is>
      </c>
      <c r="BD121" t="inlineStr">
        <is>
          <t>893432469</t>
        </is>
      </c>
    </row>
    <row r="122">
      <c r="A122" t="inlineStr">
        <is>
          <t>No</t>
        </is>
      </c>
      <c r="B122" t="inlineStr">
        <is>
          <t>DS110.N2 W7</t>
        </is>
      </c>
      <c r="C122" t="inlineStr">
        <is>
          <t>0                      DS 0110000N  2                  W  7</t>
        </is>
      </c>
      <c r="D122" t="inlineStr">
        <is>
          <t>Shechem : the biography of a Biblical city / [by] G. Ernest Wright.</t>
        </is>
      </c>
      <c r="F122" t="inlineStr">
        <is>
          <t>No</t>
        </is>
      </c>
      <c r="G122" t="inlineStr">
        <is>
          <t>1</t>
        </is>
      </c>
      <c r="H122" t="inlineStr">
        <is>
          <t>No</t>
        </is>
      </c>
      <c r="I122" t="inlineStr">
        <is>
          <t>No</t>
        </is>
      </c>
      <c r="J122" t="inlineStr">
        <is>
          <t>0</t>
        </is>
      </c>
      <c r="K122" t="inlineStr">
        <is>
          <t>Wright, G. Ernest (George Ernest), 1909-1974.</t>
        </is>
      </c>
      <c r="L122" t="inlineStr">
        <is>
          <t>New York : McGraw-Hill, [1965, c1964]</t>
        </is>
      </c>
      <c r="M122" t="inlineStr">
        <is>
          <t>1965</t>
        </is>
      </c>
      <c r="N122" t="inlineStr">
        <is>
          <t>[1st ed.]</t>
        </is>
      </c>
      <c r="O122" t="inlineStr">
        <is>
          <t>eng</t>
        </is>
      </c>
      <c r="P122" t="inlineStr">
        <is>
          <t>nyu</t>
        </is>
      </c>
      <c r="Q122" t="inlineStr">
        <is>
          <t>The Norton lectures of the Southern Baptist Theological Seminary, 1963</t>
        </is>
      </c>
      <c r="R122" t="inlineStr">
        <is>
          <t xml:space="preserve">DS </t>
        </is>
      </c>
      <c r="S122" t="n">
        <v>8</v>
      </c>
      <c r="T122" t="n">
        <v>8</v>
      </c>
      <c r="U122" t="inlineStr">
        <is>
          <t>2009-09-27</t>
        </is>
      </c>
      <c r="V122" t="inlineStr">
        <is>
          <t>2009-09-27</t>
        </is>
      </c>
      <c r="W122" t="inlineStr">
        <is>
          <t>1992-05-15</t>
        </is>
      </c>
      <c r="X122" t="inlineStr">
        <is>
          <t>1992-05-15</t>
        </is>
      </c>
      <c r="Y122" t="n">
        <v>546</v>
      </c>
      <c r="Z122" t="n">
        <v>505</v>
      </c>
      <c r="AA122" t="n">
        <v>575</v>
      </c>
      <c r="AB122" t="n">
        <v>4</v>
      </c>
      <c r="AC122" t="n">
        <v>4</v>
      </c>
      <c r="AD122" t="n">
        <v>26</v>
      </c>
      <c r="AE122" t="n">
        <v>28</v>
      </c>
      <c r="AF122" t="n">
        <v>8</v>
      </c>
      <c r="AG122" t="n">
        <v>8</v>
      </c>
      <c r="AH122" t="n">
        <v>5</v>
      </c>
      <c r="AI122" t="n">
        <v>6</v>
      </c>
      <c r="AJ122" t="n">
        <v>16</v>
      </c>
      <c r="AK122" t="n">
        <v>18</v>
      </c>
      <c r="AL122" t="n">
        <v>2</v>
      </c>
      <c r="AM122" t="n">
        <v>2</v>
      </c>
      <c r="AN122" t="n">
        <v>0</v>
      </c>
      <c r="AO122" t="n">
        <v>0</v>
      </c>
      <c r="AP122" t="inlineStr">
        <is>
          <t>No</t>
        </is>
      </c>
      <c r="AQ122" t="inlineStr">
        <is>
          <t>Yes</t>
        </is>
      </c>
      <c r="AR122">
        <f>HYPERLINK("http://catalog.hathitrust.org/Record/001248034","HathiTrust Record")</f>
        <v/>
      </c>
      <c r="AS122">
        <f>HYPERLINK("https://creighton-primo.hosted.exlibrisgroup.com/primo-explore/search?tab=default_tab&amp;search_scope=EVERYTHING&amp;vid=01CRU&amp;lang=en_US&amp;offset=0&amp;query=any,contains,991003745029702656","Catalog Record")</f>
        <v/>
      </c>
      <c r="AT122">
        <f>HYPERLINK("http://www.worldcat.org/oclc/1414976","WorldCat Record")</f>
        <v/>
      </c>
      <c r="AU122" t="inlineStr">
        <is>
          <t>1881324:eng</t>
        </is>
      </c>
      <c r="AV122" t="inlineStr">
        <is>
          <t>1414976</t>
        </is>
      </c>
      <c r="AW122" t="inlineStr">
        <is>
          <t>991003745029702656</t>
        </is>
      </c>
      <c r="AX122" t="inlineStr">
        <is>
          <t>991003745029702656</t>
        </is>
      </c>
      <c r="AY122" t="inlineStr">
        <is>
          <t>2260823180002656</t>
        </is>
      </c>
      <c r="AZ122" t="inlineStr">
        <is>
          <t>BOOK</t>
        </is>
      </c>
      <c r="BC122" t="inlineStr">
        <is>
          <t>32285001110849</t>
        </is>
      </c>
      <c r="BD122" t="inlineStr">
        <is>
          <t>893422895</t>
        </is>
      </c>
    </row>
    <row r="123">
      <c r="A123" t="inlineStr">
        <is>
          <t>No</t>
        </is>
      </c>
      <c r="B123" t="inlineStr">
        <is>
          <t>DS110.N4 A93 1987</t>
        </is>
      </c>
      <c r="C123" t="inlineStr">
        <is>
          <t>0                      DS 0110000N  4                  A  93          1987</t>
        </is>
      </c>
      <c r="D123" t="inlineStr">
        <is>
          <t>The Lord rose up from Seir : studies in the history and traditions of the Negev and southern Judah / Lars Eric Axelsson ; [translated by Frederick H. Cryer].</t>
        </is>
      </c>
      <c r="F123" t="inlineStr">
        <is>
          <t>No</t>
        </is>
      </c>
      <c r="G123" t="inlineStr">
        <is>
          <t>1</t>
        </is>
      </c>
      <c r="H123" t="inlineStr">
        <is>
          <t>No</t>
        </is>
      </c>
      <c r="I123" t="inlineStr">
        <is>
          <t>No</t>
        </is>
      </c>
      <c r="J123" t="inlineStr">
        <is>
          <t>0</t>
        </is>
      </c>
      <c r="K123" t="inlineStr">
        <is>
          <t>Axelsson, Lars Eric.</t>
        </is>
      </c>
      <c r="L123" t="inlineStr">
        <is>
          <t>Stockholm : Almquist &amp; Wiksell International, 1987.</t>
        </is>
      </c>
      <c r="M123" t="inlineStr">
        <is>
          <t>1987</t>
        </is>
      </c>
      <c r="O123" t="inlineStr">
        <is>
          <t>eng</t>
        </is>
      </c>
      <c r="P123" t="inlineStr">
        <is>
          <t xml:space="preserve">sw </t>
        </is>
      </c>
      <c r="Q123" t="inlineStr">
        <is>
          <t>Coniectanea biblica. Old Testament series ; 25</t>
        </is>
      </c>
      <c r="R123" t="inlineStr">
        <is>
          <t xml:space="preserve">DS </t>
        </is>
      </c>
      <c r="S123" t="n">
        <v>1</v>
      </c>
      <c r="T123" t="n">
        <v>1</v>
      </c>
      <c r="U123" t="inlineStr">
        <is>
          <t>2002-10-10</t>
        </is>
      </c>
      <c r="V123" t="inlineStr">
        <is>
          <t>2002-10-10</t>
        </is>
      </c>
      <c r="W123" t="inlineStr">
        <is>
          <t>1990-09-28</t>
        </is>
      </c>
      <c r="X123" t="inlineStr">
        <is>
          <t>1990-09-28</t>
        </is>
      </c>
      <c r="Y123" t="n">
        <v>151</v>
      </c>
      <c r="Z123" t="n">
        <v>100</v>
      </c>
      <c r="AA123" t="n">
        <v>102</v>
      </c>
      <c r="AB123" t="n">
        <v>1</v>
      </c>
      <c r="AC123" t="n">
        <v>1</v>
      </c>
      <c r="AD123" t="n">
        <v>5</v>
      </c>
      <c r="AE123" t="n">
        <v>5</v>
      </c>
      <c r="AF123" t="n">
        <v>0</v>
      </c>
      <c r="AG123" t="n">
        <v>0</v>
      </c>
      <c r="AH123" t="n">
        <v>1</v>
      </c>
      <c r="AI123" t="n">
        <v>1</v>
      </c>
      <c r="AJ123" t="n">
        <v>5</v>
      </c>
      <c r="AK123" t="n">
        <v>5</v>
      </c>
      <c r="AL123" t="n">
        <v>0</v>
      </c>
      <c r="AM123" t="n">
        <v>0</v>
      </c>
      <c r="AN123" t="n">
        <v>0</v>
      </c>
      <c r="AO123" t="n">
        <v>0</v>
      </c>
      <c r="AP123" t="inlineStr">
        <is>
          <t>No</t>
        </is>
      </c>
      <c r="AQ123" t="inlineStr">
        <is>
          <t>Yes</t>
        </is>
      </c>
      <c r="AR123">
        <f>HYPERLINK("http://catalog.hathitrust.org/Record/000827802","HathiTrust Record")</f>
        <v/>
      </c>
      <c r="AS123">
        <f>HYPERLINK("https://creighton-primo.hosted.exlibrisgroup.com/primo-explore/search?tab=default_tab&amp;search_scope=EVERYTHING&amp;vid=01CRU&amp;lang=en_US&amp;offset=0&amp;query=any,contains,991001044679702656","Catalog Record")</f>
        <v/>
      </c>
      <c r="AT123">
        <f>HYPERLINK("http://www.worldcat.org/oclc/15607667","WorldCat Record")</f>
        <v/>
      </c>
      <c r="AU123" t="inlineStr">
        <is>
          <t>807934589:eng</t>
        </is>
      </c>
      <c r="AV123" t="inlineStr">
        <is>
          <t>15607667</t>
        </is>
      </c>
      <c r="AW123" t="inlineStr">
        <is>
          <t>991001044679702656</t>
        </is>
      </c>
      <c r="AX123" t="inlineStr">
        <is>
          <t>991001044679702656</t>
        </is>
      </c>
      <c r="AY123" t="inlineStr">
        <is>
          <t>2269385100002656</t>
        </is>
      </c>
      <c r="AZ123" t="inlineStr">
        <is>
          <t>BOOK</t>
        </is>
      </c>
      <c r="BB123" t="inlineStr">
        <is>
          <t>9789122008767</t>
        </is>
      </c>
      <c r="BC123" t="inlineStr">
        <is>
          <t>32285000292879</t>
        </is>
      </c>
      <c r="BD123" t="inlineStr">
        <is>
          <t>893772253</t>
        </is>
      </c>
    </row>
    <row r="124">
      <c r="A124" t="inlineStr">
        <is>
          <t>No</t>
        </is>
      </c>
      <c r="B124" t="inlineStr">
        <is>
          <t>DS110.N4 G5 1968</t>
        </is>
      </c>
      <c r="C124" t="inlineStr">
        <is>
          <t>0                      DS 0110000N  4                  G  5           1968</t>
        </is>
      </c>
      <c r="D124" t="inlineStr">
        <is>
          <t>Rivers in the desert : a history of the Negev / Nelson Glueck.</t>
        </is>
      </c>
      <c r="F124" t="inlineStr">
        <is>
          <t>No</t>
        </is>
      </c>
      <c r="G124" t="inlineStr">
        <is>
          <t>1</t>
        </is>
      </c>
      <c r="H124" t="inlineStr">
        <is>
          <t>No</t>
        </is>
      </c>
      <c r="I124" t="inlineStr">
        <is>
          <t>No</t>
        </is>
      </c>
      <c r="J124" t="inlineStr">
        <is>
          <t>0</t>
        </is>
      </c>
      <c r="K124" t="inlineStr">
        <is>
          <t>Glueck, Nelson, 1900-1972.</t>
        </is>
      </c>
      <c r="L124" t="inlineStr">
        <is>
          <t>New York : Norton, 1968.</t>
        </is>
      </c>
      <c r="M124" t="inlineStr">
        <is>
          <t>1968</t>
        </is>
      </c>
      <c r="O124" t="inlineStr">
        <is>
          <t>eng</t>
        </is>
      </c>
      <c r="P124" t="inlineStr">
        <is>
          <t>nyu</t>
        </is>
      </c>
      <c r="R124" t="inlineStr">
        <is>
          <t xml:space="preserve">DS </t>
        </is>
      </c>
      <c r="S124" t="n">
        <v>2</v>
      </c>
      <c r="T124" t="n">
        <v>2</v>
      </c>
      <c r="U124" t="inlineStr">
        <is>
          <t>2004-01-31</t>
        </is>
      </c>
      <c r="V124" t="inlineStr">
        <is>
          <t>2004-01-31</t>
        </is>
      </c>
      <c r="W124" t="inlineStr">
        <is>
          <t>1994-06-22</t>
        </is>
      </c>
      <c r="X124" t="inlineStr">
        <is>
          <t>1994-06-22</t>
        </is>
      </c>
      <c r="Y124" t="n">
        <v>181</v>
      </c>
      <c r="Z124" t="n">
        <v>147</v>
      </c>
      <c r="AA124" t="n">
        <v>1106</v>
      </c>
      <c r="AB124" t="n">
        <v>2</v>
      </c>
      <c r="AC124" t="n">
        <v>11</v>
      </c>
      <c r="AD124" t="n">
        <v>7</v>
      </c>
      <c r="AE124" t="n">
        <v>49</v>
      </c>
      <c r="AF124" t="n">
        <v>3</v>
      </c>
      <c r="AG124" t="n">
        <v>20</v>
      </c>
      <c r="AH124" t="n">
        <v>1</v>
      </c>
      <c r="AI124" t="n">
        <v>9</v>
      </c>
      <c r="AJ124" t="n">
        <v>3</v>
      </c>
      <c r="AK124" t="n">
        <v>23</v>
      </c>
      <c r="AL124" t="n">
        <v>1</v>
      </c>
      <c r="AM124" t="n">
        <v>9</v>
      </c>
      <c r="AN124" t="n">
        <v>0</v>
      </c>
      <c r="AO124" t="n">
        <v>0</v>
      </c>
      <c r="AP124" t="inlineStr">
        <is>
          <t>No</t>
        </is>
      </c>
      <c r="AQ124" t="inlineStr">
        <is>
          <t>No</t>
        </is>
      </c>
      <c r="AS124">
        <f>HYPERLINK("https://creighton-primo.hosted.exlibrisgroup.com/primo-explore/search?tab=default_tab&amp;search_scope=EVERYTHING&amp;vid=01CRU&amp;lang=en_US&amp;offset=0&amp;query=any,contains,991004181569702656","Catalog Record")</f>
        <v/>
      </c>
      <c r="AT124">
        <f>HYPERLINK("http://www.worldcat.org/oclc/2606012","WorldCat Record")</f>
        <v/>
      </c>
      <c r="AU124" t="inlineStr">
        <is>
          <t>5534212170:eng</t>
        </is>
      </c>
      <c r="AV124" t="inlineStr">
        <is>
          <t>2606012</t>
        </is>
      </c>
      <c r="AW124" t="inlineStr">
        <is>
          <t>991004181569702656</t>
        </is>
      </c>
      <c r="AX124" t="inlineStr">
        <is>
          <t>991004181569702656</t>
        </is>
      </c>
      <c r="AY124" t="inlineStr">
        <is>
          <t>2270584950002656</t>
        </is>
      </c>
      <c r="AZ124" t="inlineStr">
        <is>
          <t>BOOK</t>
        </is>
      </c>
      <c r="BC124" t="inlineStr">
        <is>
          <t>32285001929529</t>
        </is>
      </c>
      <c r="BD124" t="inlineStr">
        <is>
          <t>893500226</t>
        </is>
      </c>
    </row>
    <row r="125">
      <c r="A125" t="inlineStr">
        <is>
          <t>No</t>
        </is>
      </c>
      <c r="B125" t="inlineStr">
        <is>
          <t>DS110.Q32 M32 1980</t>
        </is>
      </c>
      <c r="C125" t="inlineStr">
        <is>
          <t>0                      DS 0110000Q  32                 M  32          1980</t>
        </is>
      </c>
      <c r="D125" t="inlineStr">
        <is>
          <t>Excavations at Tell Qasile / Amihai Mazar.</t>
        </is>
      </c>
      <c r="E125" t="inlineStr">
        <is>
          <t>V. 20</t>
        </is>
      </c>
      <c r="F125" t="inlineStr">
        <is>
          <t>Yes</t>
        </is>
      </c>
      <c r="G125" t="inlineStr">
        <is>
          <t>1</t>
        </is>
      </c>
      <c r="H125" t="inlineStr">
        <is>
          <t>No</t>
        </is>
      </c>
      <c r="I125" t="inlineStr">
        <is>
          <t>No</t>
        </is>
      </c>
      <c r="J125" t="inlineStr">
        <is>
          <t>0</t>
        </is>
      </c>
      <c r="K125" t="inlineStr">
        <is>
          <t>Mazar, Amihay, 1942-</t>
        </is>
      </c>
      <c r="L125" t="inlineStr">
        <is>
          <t>[Jerusalem, Israel] : Institute of Archaeology, Hebrew University of Jerusalem : Orders to be sent to the Israel Exploration Society, 1980-1985.</t>
        </is>
      </c>
      <c r="M125" t="inlineStr">
        <is>
          <t>1980</t>
        </is>
      </c>
      <c r="O125" t="inlineStr">
        <is>
          <t>eng</t>
        </is>
      </c>
      <c r="P125" t="inlineStr">
        <is>
          <t xml:space="preserve">is </t>
        </is>
      </c>
      <c r="Q125" t="inlineStr">
        <is>
          <t>Qedem, 0333-5844 ; 12, 20</t>
        </is>
      </c>
      <c r="R125" t="inlineStr">
        <is>
          <t xml:space="preserve">DS </t>
        </is>
      </c>
      <c r="S125" t="n">
        <v>4</v>
      </c>
      <c r="T125" t="n">
        <v>11</v>
      </c>
      <c r="U125" t="inlineStr">
        <is>
          <t>2006-10-19</t>
        </is>
      </c>
      <c r="V125" t="inlineStr">
        <is>
          <t>2009-12-15</t>
        </is>
      </c>
      <c r="W125" t="inlineStr">
        <is>
          <t>1997-07-11</t>
        </is>
      </c>
      <c r="X125" t="inlineStr">
        <is>
          <t>1997-07-11</t>
        </is>
      </c>
      <c r="Y125" t="n">
        <v>134</v>
      </c>
      <c r="Z125" t="n">
        <v>97</v>
      </c>
      <c r="AA125" t="n">
        <v>144</v>
      </c>
      <c r="AB125" t="n">
        <v>1</v>
      </c>
      <c r="AC125" t="n">
        <v>1</v>
      </c>
      <c r="AD125" t="n">
        <v>2</v>
      </c>
      <c r="AE125" t="n">
        <v>3</v>
      </c>
      <c r="AF125" t="n">
        <v>1</v>
      </c>
      <c r="AG125" t="n">
        <v>2</v>
      </c>
      <c r="AH125" t="n">
        <v>0</v>
      </c>
      <c r="AI125" t="n">
        <v>0</v>
      </c>
      <c r="AJ125" t="n">
        <v>1</v>
      </c>
      <c r="AK125" t="n">
        <v>1</v>
      </c>
      <c r="AL125" t="n">
        <v>0</v>
      </c>
      <c r="AM125" t="n">
        <v>0</v>
      </c>
      <c r="AN125" t="n">
        <v>0</v>
      </c>
      <c r="AO125" t="n">
        <v>0</v>
      </c>
      <c r="AP125" t="inlineStr">
        <is>
          <t>No</t>
        </is>
      </c>
      <c r="AQ125" t="inlineStr">
        <is>
          <t>Yes</t>
        </is>
      </c>
      <c r="AR125">
        <f>HYPERLINK("http://catalog.hathitrust.org/Record/000157698","HathiTrust Record")</f>
        <v/>
      </c>
      <c r="AS125">
        <f>HYPERLINK("https://creighton-primo.hosted.exlibrisgroup.com/primo-explore/search?tab=default_tab&amp;search_scope=EVERYTHING&amp;vid=01CRU&amp;lang=en_US&amp;offset=0&amp;query=any,contains,991000261609702656","Catalog Record")</f>
        <v/>
      </c>
      <c r="AT125">
        <f>HYPERLINK("http://www.worldcat.org/oclc/9824563","WorldCat Record")</f>
        <v/>
      </c>
      <c r="AU125" t="inlineStr">
        <is>
          <t>43147272:eng</t>
        </is>
      </c>
      <c r="AV125" t="inlineStr">
        <is>
          <t>9824563</t>
        </is>
      </c>
      <c r="AW125" t="inlineStr">
        <is>
          <t>991000261609702656</t>
        </is>
      </c>
      <c r="AX125" t="inlineStr">
        <is>
          <t>991000261609702656</t>
        </is>
      </c>
      <c r="AY125" t="inlineStr">
        <is>
          <t>2267125520002656</t>
        </is>
      </c>
      <c r="AZ125" t="inlineStr">
        <is>
          <t>BOOK</t>
        </is>
      </c>
      <c r="BC125" t="inlineStr">
        <is>
          <t>32285002881737</t>
        </is>
      </c>
      <c r="BD125" t="inlineStr">
        <is>
          <t>893521541</t>
        </is>
      </c>
    </row>
    <row r="126">
      <c r="A126" t="inlineStr">
        <is>
          <t>No</t>
        </is>
      </c>
      <c r="B126" t="inlineStr">
        <is>
          <t>DS110.Q32 M32 1980</t>
        </is>
      </c>
      <c r="C126" t="inlineStr">
        <is>
          <t>0                      DS 0110000Q  32                 M  32          1980</t>
        </is>
      </c>
      <c r="D126" t="inlineStr">
        <is>
          <t>Excavations at Tell Qasile / Amihai Mazar.</t>
        </is>
      </c>
      <c r="E126" t="inlineStr">
        <is>
          <t>V. 12</t>
        </is>
      </c>
      <c r="F126" t="inlineStr">
        <is>
          <t>Yes</t>
        </is>
      </c>
      <c r="G126" t="inlineStr">
        <is>
          <t>1</t>
        </is>
      </c>
      <c r="H126" t="inlineStr">
        <is>
          <t>No</t>
        </is>
      </c>
      <c r="I126" t="inlineStr">
        <is>
          <t>No</t>
        </is>
      </c>
      <c r="J126" t="inlineStr">
        <is>
          <t>0</t>
        </is>
      </c>
      <c r="K126" t="inlineStr">
        <is>
          <t>Mazar, Amihay, 1942-</t>
        </is>
      </c>
      <c r="L126" t="inlineStr">
        <is>
          <t>[Jerusalem, Israel] : Institute of Archaeology, Hebrew University of Jerusalem : Orders to be sent to the Israel Exploration Society, 1980-1985.</t>
        </is>
      </c>
      <c r="M126" t="inlineStr">
        <is>
          <t>1980</t>
        </is>
      </c>
      <c r="O126" t="inlineStr">
        <is>
          <t>eng</t>
        </is>
      </c>
      <c r="P126" t="inlineStr">
        <is>
          <t xml:space="preserve">is </t>
        </is>
      </c>
      <c r="Q126" t="inlineStr">
        <is>
          <t>Qedem, 0333-5844 ; 12, 20</t>
        </is>
      </c>
      <c r="R126" t="inlineStr">
        <is>
          <t xml:space="preserve">DS </t>
        </is>
      </c>
      <c r="S126" t="n">
        <v>7</v>
      </c>
      <c r="T126" t="n">
        <v>11</v>
      </c>
      <c r="U126" t="inlineStr">
        <is>
          <t>2009-12-15</t>
        </is>
      </c>
      <c r="V126" t="inlineStr">
        <is>
          <t>2009-12-15</t>
        </is>
      </c>
      <c r="W126" t="inlineStr">
        <is>
          <t>1997-07-11</t>
        </is>
      </c>
      <c r="X126" t="inlineStr">
        <is>
          <t>1997-07-11</t>
        </is>
      </c>
      <c r="Y126" t="n">
        <v>134</v>
      </c>
      <c r="Z126" t="n">
        <v>97</v>
      </c>
      <c r="AA126" t="n">
        <v>144</v>
      </c>
      <c r="AB126" t="n">
        <v>1</v>
      </c>
      <c r="AC126" t="n">
        <v>1</v>
      </c>
      <c r="AD126" t="n">
        <v>2</v>
      </c>
      <c r="AE126" t="n">
        <v>3</v>
      </c>
      <c r="AF126" t="n">
        <v>1</v>
      </c>
      <c r="AG126" t="n">
        <v>2</v>
      </c>
      <c r="AH126" t="n">
        <v>0</v>
      </c>
      <c r="AI126" t="n">
        <v>0</v>
      </c>
      <c r="AJ126" t="n">
        <v>1</v>
      </c>
      <c r="AK126" t="n">
        <v>1</v>
      </c>
      <c r="AL126" t="n">
        <v>0</v>
      </c>
      <c r="AM126" t="n">
        <v>0</v>
      </c>
      <c r="AN126" t="n">
        <v>0</v>
      </c>
      <c r="AO126" t="n">
        <v>0</v>
      </c>
      <c r="AP126" t="inlineStr">
        <is>
          <t>No</t>
        </is>
      </c>
      <c r="AQ126" t="inlineStr">
        <is>
          <t>Yes</t>
        </is>
      </c>
      <c r="AR126">
        <f>HYPERLINK("http://catalog.hathitrust.org/Record/000157698","HathiTrust Record")</f>
        <v/>
      </c>
      <c r="AS126">
        <f>HYPERLINK("https://creighton-primo.hosted.exlibrisgroup.com/primo-explore/search?tab=default_tab&amp;search_scope=EVERYTHING&amp;vid=01CRU&amp;lang=en_US&amp;offset=0&amp;query=any,contains,991000261609702656","Catalog Record")</f>
        <v/>
      </c>
      <c r="AT126">
        <f>HYPERLINK("http://www.worldcat.org/oclc/9824563","WorldCat Record")</f>
        <v/>
      </c>
      <c r="AU126" t="inlineStr">
        <is>
          <t>43147272:eng</t>
        </is>
      </c>
      <c r="AV126" t="inlineStr">
        <is>
          <t>9824563</t>
        </is>
      </c>
      <c r="AW126" t="inlineStr">
        <is>
          <t>991000261609702656</t>
        </is>
      </c>
      <c r="AX126" t="inlineStr">
        <is>
          <t>991000261609702656</t>
        </is>
      </c>
      <c r="AY126" t="inlineStr">
        <is>
          <t>2267125520002656</t>
        </is>
      </c>
      <c r="AZ126" t="inlineStr">
        <is>
          <t>BOOK</t>
        </is>
      </c>
      <c r="BC126" t="inlineStr">
        <is>
          <t>32285002881729</t>
        </is>
      </c>
      <c r="BD126" t="inlineStr">
        <is>
          <t>893515148</t>
        </is>
      </c>
    </row>
    <row r="127">
      <c r="A127" t="inlineStr">
        <is>
          <t>No</t>
        </is>
      </c>
      <c r="B127" t="inlineStr">
        <is>
          <t>DS110.S3 P313 1958a</t>
        </is>
      </c>
      <c r="C127" t="inlineStr">
        <is>
          <t>0                      DS 0110000S  3                  P  313         1958a</t>
        </is>
      </c>
      <c r="D127" t="inlineStr">
        <is>
          <t>Samaria, the capital of the kingdom of Israel. [Translated by S. H. Hooke.</t>
        </is>
      </c>
      <c r="F127" t="inlineStr">
        <is>
          <t>No</t>
        </is>
      </c>
      <c r="G127" t="inlineStr">
        <is>
          <t>1</t>
        </is>
      </c>
      <c r="H127" t="inlineStr">
        <is>
          <t>No</t>
        </is>
      </c>
      <c r="I127" t="inlineStr">
        <is>
          <t>No</t>
        </is>
      </c>
      <c r="J127" t="inlineStr">
        <is>
          <t>0</t>
        </is>
      </c>
      <c r="K127" t="inlineStr">
        <is>
          <t>Parrot, André, 1901-1980.</t>
        </is>
      </c>
      <c r="L127" t="inlineStr">
        <is>
          <t>London, SCM Press [1958]</t>
        </is>
      </c>
      <c r="M127" t="inlineStr">
        <is>
          <t>1958</t>
        </is>
      </c>
      <c r="N127" t="inlineStr">
        <is>
          <t>1st English ed.]</t>
        </is>
      </c>
      <c r="O127" t="inlineStr">
        <is>
          <t>eng</t>
        </is>
      </c>
      <c r="P127" t="inlineStr">
        <is>
          <t>enk</t>
        </is>
      </c>
      <c r="Q127" t="inlineStr">
        <is>
          <t>Studies in biblical archaeology ; no. 7</t>
        </is>
      </c>
      <c r="R127" t="inlineStr">
        <is>
          <t xml:space="preserve">DS </t>
        </is>
      </c>
      <c r="S127" t="n">
        <v>9</v>
      </c>
      <c r="T127" t="n">
        <v>9</v>
      </c>
      <c r="U127" t="inlineStr">
        <is>
          <t>2009-09-13</t>
        </is>
      </c>
      <c r="V127" t="inlineStr">
        <is>
          <t>2009-09-13</t>
        </is>
      </c>
      <c r="W127" t="inlineStr">
        <is>
          <t>1997-02-25</t>
        </is>
      </c>
      <c r="X127" t="inlineStr">
        <is>
          <t>1997-02-25</t>
        </is>
      </c>
      <c r="Y127" t="n">
        <v>230</v>
      </c>
      <c r="Z127" t="n">
        <v>154</v>
      </c>
      <c r="AA127" t="n">
        <v>409</v>
      </c>
      <c r="AB127" t="n">
        <v>1</v>
      </c>
      <c r="AC127" t="n">
        <v>3</v>
      </c>
      <c r="AD127" t="n">
        <v>7</v>
      </c>
      <c r="AE127" t="n">
        <v>29</v>
      </c>
      <c r="AF127" t="n">
        <v>4</v>
      </c>
      <c r="AG127" t="n">
        <v>14</v>
      </c>
      <c r="AH127" t="n">
        <v>1</v>
      </c>
      <c r="AI127" t="n">
        <v>5</v>
      </c>
      <c r="AJ127" t="n">
        <v>5</v>
      </c>
      <c r="AK127" t="n">
        <v>18</v>
      </c>
      <c r="AL127" t="n">
        <v>0</v>
      </c>
      <c r="AM127" t="n">
        <v>2</v>
      </c>
      <c r="AN127" t="n">
        <v>0</v>
      </c>
      <c r="AO127" t="n">
        <v>0</v>
      </c>
      <c r="AP127" t="inlineStr">
        <is>
          <t>No</t>
        </is>
      </c>
      <c r="AQ127" t="inlineStr">
        <is>
          <t>Yes</t>
        </is>
      </c>
      <c r="AR127">
        <f>HYPERLINK("http://catalog.hathitrust.org/Record/001246900","HathiTrust Record")</f>
        <v/>
      </c>
      <c r="AS127">
        <f>HYPERLINK("https://creighton-primo.hosted.exlibrisgroup.com/primo-explore/search?tab=default_tab&amp;search_scope=EVERYTHING&amp;vid=01CRU&amp;lang=en_US&amp;offset=0&amp;query=any,contains,991002765189702656","Catalog Record")</f>
        <v/>
      </c>
      <c r="AT127">
        <f>HYPERLINK("http://www.worldcat.org/oclc/432804","WorldCat Record")</f>
        <v/>
      </c>
      <c r="AU127" t="inlineStr">
        <is>
          <t>189997286:eng</t>
        </is>
      </c>
      <c r="AV127" t="inlineStr">
        <is>
          <t>432804</t>
        </is>
      </c>
      <c r="AW127" t="inlineStr">
        <is>
          <t>991002765189702656</t>
        </is>
      </c>
      <c r="AX127" t="inlineStr">
        <is>
          <t>991002765189702656</t>
        </is>
      </c>
      <c r="AY127" t="inlineStr">
        <is>
          <t>2272585220002656</t>
        </is>
      </c>
      <c r="AZ127" t="inlineStr">
        <is>
          <t>BOOK</t>
        </is>
      </c>
      <c r="BC127" t="inlineStr">
        <is>
          <t>32285002461183</t>
        </is>
      </c>
      <c r="BD127" t="inlineStr">
        <is>
          <t>893698240</t>
        </is>
      </c>
    </row>
    <row r="128">
      <c r="A128" t="inlineStr">
        <is>
          <t>No</t>
        </is>
      </c>
      <c r="B128" t="inlineStr">
        <is>
          <t>DS110.S3 T37 1992, v...</t>
        </is>
      </c>
      <c r="C128" t="inlineStr">
        <is>
          <t>0                      DS 0110000S  3                  T  37          1992                  v...</t>
        </is>
      </c>
      <c r="D128" t="inlineStr">
        <is>
          <t>The archaeology of Israelite Samaria / by Ron E. Tappy.</t>
        </is>
      </c>
      <c r="E128" t="inlineStr">
        <is>
          <t>V.1</t>
        </is>
      </c>
      <c r="F128" t="inlineStr">
        <is>
          <t>No</t>
        </is>
      </c>
      <c r="G128" t="inlineStr">
        <is>
          <t>1</t>
        </is>
      </c>
      <c r="H128" t="inlineStr">
        <is>
          <t>No</t>
        </is>
      </c>
      <c r="I128" t="inlineStr">
        <is>
          <t>No</t>
        </is>
      </c>
      <c r="J128" t="inlineStr">
        <is>
          <t>0</t>
        </is>
      </c>
      <c r="K128" t="inlineStr">
        <is>
          <t>Tappy, Ron E.</t>
        </is>
      </c>
      <c r="L128" t="inlineStr">
        <is>
          <t>Atlanta, Ga. : Scholars Press, c1992-</t>
        </is>
      </c>
      <c r="M128" t="inlineStr">
        <is>
          <t>1992</t>
        </is>
      </c>
      <c r="O128" t="inlineStr">
        <is>
          <t>eng</t>
        </is>
      </c>
      <c r="P128" t="inlineStr">
        <is>
          <t>gau</t>
        </is>
      </c>
      <c r="Q128" t="inlineStr">
        <is>
          <t>Harvard Semitic studies ; no. 44</t>
        </is>
      </c>
      <c r="R128" t="inlineStr">
        <is>
          <t xml:space="preserve">DS </t>
        </is>
      </c>
      <c r="S128" t="n">
        <v>14</v>
      </c>
      <c r="T128" t="n">
        <v>14</v>
      </c>
      <c r="U128" t="inlineStr">
        <is>
          <t>2009-09-13</t>
        </is>
      </c>
      <c r="V128" t="inlineStr">
        <is>
          <t>2009-09-13</t>
        </is>
      </c>
      <c r="W128" t="inlineStr">
        <is>
          <t>1997-05-27</t>
        </is>
      </c>
      <c r="X128" t="inlineStr">
        <is>
          <t>1997-05-27</t>
        </is>
      </c>
      <c r="Y128" t="n">
        <v>242</v>
      </c>
      <c r="Z128" t="n">
        <v>191</v>
      </c>
      <c r="AA128" t="n">
        <v>204</v>
      </c>
      <c r="AB128" t="n">
        <v>2</v>
      </c>
      <c r="AC128" t="n">
        <v>2</v>
      </c>
      <c r="AD128" t="n">
        <v>10</v>
      </c>
      <c r="AE128" t="n">
        <v>10</v>
      </c>
      <c r="AF128" t="n">
        <v>4</v>
      </c>
      <c r="AG128" t="n">
        <v>4</v>
      </c>
      <c r="AH128" t="n">
        <v>2</v>
      </c>
      <c r="AI128" t="n">
        <v>2</v>
      </c>
      <c r="AJ128" t="n">
        <v>4</v>
      </c>
      <c r="AK128" t="n">
        <v>4</v>
      </c>
      <c r="AL128" t="n">
        <v>1</v>
      </c>
      <c r="AM128" t="n">
        <v>1</v>
      </c>
      <c r="AN128" t="n">
        <v>0</v>
      </c>
      <c r="AO128" t="n">
        <v>0</v>
      </c>
      <c r="AP128" t="inlineStr">
        <is>
          <t>No</t>
        </is>
      </c>
      <c r="AQ128" t="inlineStr">
        <is>
          <t>Yes</t>
        </is>
      </c>
      <c r="AR128">
        <f>HYPERLINK("http://catalog.hathitrust.org/Record/002612329","HathiTrust Record")</f>
        <v/>
      </c>
      <c r="AS128">
        <f>HYPERLINK("https://creighton-primo.hosted.exlibrisgroup.com/primo-explore/search?tab=default_tab&amp;search_scope=EVERYTHING&amp;vid=01CRU&amp;lang=en_US&amp;offset=0&amp;query=any,contains,991002077389702656","Catalog Record")</f>
        <v/>
      </c>
      <c r="AT128">
        <f>HYPERLINK("http://www.worldcat.org/oclc/26633786","WorldCat Record")</f>
        <v/>
      </c>
      <c r="AU128" t="inlineStr">
        <is>
          <t>3003852518:eng</t>
        </is>
      </c>
      <c r="AV128" t="inlineStr">
        <is>
          <t>26633786</t>
        </is>
      </c>
      <c r="AW128" t="inlineStr">
        <is>
          <t>991002077389702656</t>
        </is>
      </c>
      <c r="AX128" t="inlineStr">
        <is>
          <t>991002077389702656</t>
        </is>
      </c>
      <c r="AY128" t="inlineStr">
        <is>
          <t>2256722430002656</t>
        </is>
      </c>
      <c r="AZ128" t="inlineStr">
        <is>
          <t>BOOK</t>
        </is>
      </c>
      <c r="BB128" t="inlineStr">
        <is>
          <t>9781555407704</t>
        </is>
      </c>
      <c r="BC128" t="inlineStr">
        <is>
          <t>32285002611662</t>
        </is>
      </c>
      <c r="BD128" t="inlineStr">
        <is>
          <t>893873066</t>
        </is>
      </c>
    </row>
    <row r="129">
      <c r="A129" t="inlineStr">
        <is>
          <t>No</t>
        </is>
      </c>
      <c r="B129" t="inlineStr">
        <is>
          <t>DS110.S43 M494 1992</t>
        </is>
      </c>
      <c r="C129" t="inlineStr">
        <is>
          <t>0                      DS 0110000S  43                 M  494         1992</t>
        </is>
      </c>
      <c r="D129" t="inlineStr">
        <is>
          <t>Sepphoris / by Eric M. Meyers, Ehud Netzer, Carol L. Meyers.</t>
        </is>
      </c>
      <c r="F129" t="inlineStr">
        <is>
          <t>No</t>
        </is>
      </c>
      <c r="G129" t="inlineStr">
        <is>
          <t>1</t>
        </is>
      </c>
      <c r="H129" t="inlineStr">
        <is>
          <t>No</t>
        </is>
      </c>
      <c r="I129" t="inlineStr">
        <is>
          <t>No</t>
        </is>
      </c>
      <c r="J129" t="inlineStr">
        <is>
          <t>0</t>
        </is>
      </c>
      <c r="K129" t="inlineStr">
        <is>
          <t>Meyers, Eric M.</t>
        </is>
      </c>
      <c r="L129" t="inlineStr">
        <is>
          <t>Winona Lake, Ind. : Eisenbrauns ; [s.l.] : Joint Sepphoris Project, c1992.</t>
        </is>
      </c>
      <c r="M129" t="inlineStr">
        <is>
          <t>1992</t>
        </is>
      </c>
      <c r="O129" t="inlineStr">
        <is>
          <t>eng</t>
        </is>
      </c>
      <c r="P129" t="inlineStr">
        <is>
          <t>inu</t>
        </is>
      </c>
      <c r="R129" t="inlineStr">
        <is>
          <t xml:space="preserve">DS </t>
        </is>
      </c>
      <c r="S129" t="n">
        <v>4</v>
      </c>
      <c r="T129" t="n">
        <v>4</v>
      </c>
      <c r="U129" t="inlineStr">
        <is>
          <t>2003-09-05</t>
        </is>
      </c>
      <c r="V129" t="inlineStr">
        <is>
          <t>2003-09-05</t>
        </is>
      </c>
      <c r="W129" t="inlineStr">
        <is>
          <t>1992-09-30</t>
        </is>
      </c>
      <c r="X129" t="inlineStr">
        <is>
          <t>1992-09-30</t>
        </is>
      </c>
      <c r="Y129" t="n">
        <v>192</v>
      </c>
      <c r="Z129" t="n">
        <v>146</v>
      </c>
      <c r="AA129" t="n">
        <v>149</v>
      </c>
      <c r="AB129" t="n">
        <v>1</v>
      </c>
      <c r="AC129" t="n">
        <v>1</v>
      </c>
      <c r="AD129" t="n">
        <v>8</v>
      </c>
      <c r="AE129" t="n">
        <v>8</v>
      </c>
      <c r="AF129" t="n">
        <v>3</v>
      </c>
      <c r="AG129" t="n">
        <v>3</v>
      </c>
      <c r="AH129" t="n">
        <v>2</v>
      </c>
      <c r="AI129" t="n">
        <v>2</v>
      </c>
      <c r="AJ129" t="n">
        <v>4</v>
      </c>
      <c r="AK129" t="n">
        <v>4</v>
      </c>
      <c r="AL129" t="n">
        <v>0</v>
      </c>
      <c r="AM129" t="n">
        <v>0</v>
      </c>
      <c r="AN129" t="n">
        <v>0</v>
      </c>
      <c r="AO129" t="n">
        <v>0</v>
      </c>
      <c r="AP129" t="inlineStr">
        <is>
          <t>No</t>
        </is>
      </c>
      <c r="AQ129" t="inlineStr">
        <is>
          <t>Yes</t>
        </is>
      </c>
      <c r="AR129">
        <f>HYPERLINK("http://catalog.hathitrust.org/Record/002781960","HathiTrust Record")</f>
        <v/>
      </c>
      <c r="AS129">
        <f>HYPERLINK("https://creighton-primo.hosted.exlibrisgroup.com/primo-explore/search?tab=default_tab&amp;search_scope=EVERYTHING&amp;vid=01CRU&amp;lang=en_US&amp;offset=0&amp;query=any,contains,991002051859702656","Catalog Record")</f>
        <v/>
      </c>
      <c r="AT129">
        <f>HYPERLINK("http://www.worldcat.org/oclc/26207821","WorldCat Record")</f>
        <v/>
      </c>
      <c r="AU129" t="inlineStr">
        <is>
          <t>28696233:eng</t>
        </is>
      </c>
      <c r="AV129" t="inlineStr">
        <is>
          <t>26207821</t>
        </is>
      </c>
      <c r="AW129" t="inlineStr">
        <is>
          <t>991002051859702656</t>
        </is>
      </c>
      <c r="AX129" t="inlineStr">
        <is>
          <t>991002051859702656</t>
        </is>
      </c>
      <c r="AY129" t="inlineStr">
        <is>
          <t>2265468320002656</t>
        </is>
      </c>
      <c r="AZ129" t="inlineStr">
        <is>
          <t>BOOK</t>
        </is>
      </c>
      <c r="BB129" t="inlineStr">
        <is>
          <t>9780960268696</t>
        </is>
      </c>
      <c r="BC129" t="inlineStr">
        <is>
          <t>32285001315182</t>
        </is>
      </c>
      <c r="BD129" t="inlineStr">
        <is>
          <t>893328630</t>
        </is>
      </c>
    </row>
    <row r="130">
      <c r="A130" t="inlineStr">
        <is>
          <t>No</t>
        </is>
      </c>
      <c r="B130" t="inlineStr">
        <is>
          <t>DS110.S43 N4513 1994</t>
        </is>
      </c>
      <c r="C130" t="inlineStr">
        <is>
          <t>0                      DS 0110000S  43                 N  4513        1994</t>
        </is>
      </c>
      <c r="D130" t="inlineStr">
        <is>
          <t>Zippori / Ehud Netzer, Zeev Weiss ; [English translation: Llani Davis].</t>
        </is>
      </c>
      <c r="F130" t="inlineStr">
        <is>
          <t>No</t>
        </is>
      </c>
      <c r="G130" t="inlineStr">
        <is>
          <t>1</t>
        </is>
      </c>
      <c r="H130" t="inlineStr">
        <is>
          <t>No</t>
        </is>
      </c>
      <c r="I130" t="inlineStr">
        <is>
          <t>No</t>
        </is>
      </c>
      <c r="J130" t="inlineStr">
        <is>
          <t>0</t>
        </is>
      </c>
      <c r="K130" t="inlineStr">
        <is>
          <t>Netzer, Ehud.</t>
        </is>
      </c>
      <c r="L130" t="inlineStr">
        <is>
          <t>Jerusalem : Israel Exploration Society, 1994.</t>
        </is>
      </c>
      <c r="M130" t="inlineStr">
        <is>
          <t>1994</t>
        </is>
      </c>
      <c r="O130" t="inlineStr">
        <is>
          <t>eng</t>
        </is>
      </c>
      <c r="P130" t="inlineStr">
        <is>
          <t xml:space="preserve">is </t>
        </is>
      </c>
      <c r="R130" t="inlineStr">
        <is>
          <t xml:space="preserve">DS </t>
        </is>
      </c>
      <c r="S130" t="n">
        <v>2</v>
      </c>
      <c r="T130" t="n">
        <v>2</v>
      </c>
      <c r="U130" t="inlineStr">
        <is>
          <t>2003-09-05</t>
        </is>
      </c>
      <c r="V130" t="inlineStr">
        <is>
          <t>2003-09-05</t>
        </is>
      </c>
      <c r="W130" t="inlineStr">
        <is>
          <t>1997-02-07</t>
        </is>
      </c>
      <c r="X130" t="inlineStr">
        <is>
          <t>1997-02-07</t>
        </is>
      </c>
      <c r="Y130" t="n">
        <v>80</v>
      </c>
      <c r="Z130" t="n">
        <v>55</v>
      </c>
      <c r="AA130" t="n">
        <v>57</v>
      </c>
      <c r="AB130" t="n">
        <v>1</v>
      </c>
      <c r="AC130" t="n">
        <v>1</v>
      </c>
      <c r="AD130" t="n">
        <v>4</v>
      </c>
      <c r="AE130" t="n">
        <v>4</v>
      </c>
      <c r="AF130" t="n">
        <v>1</v>
      </c>
      <c r="AG130" t="n">
        <v>1</v>
      </c>
      <c r="AH130" t="n">
        <v>1</v>
      </c>
      <c r="AI130" t="n">
        <v>1</v>
      </c>
      <c r="AJ130" t="n">
        <v>4</v>
      </c>
      <c r="AK130" t="n">
        <v>4</v>
      </c>
      <c r="AL130" t="n">
        <v>0</v>
      </c>
      <c r="AM130" t="n">
        <v>0</v>
      </c>
      <c r="AN130" t="n">
        <v>0</v>
      </c>
      <c r="AO130" t="n">
        <v>0</v>
      </c>
      <c r="AP130" t="inlineStr">
        <is>
          <t>No</t>
        </is>
      </c>
      <c r="AQ130" t="inlineStr">
        <is>
          <t>Yes</t>
        </is>
      </c>
      <c r="AR130">
        <f>HYPERLINK("http://catalog.hathitrust.org/Record/003069064","HathiTrust Record")</f>
        <v/>
      </c>
      <c r="AS130">
        <f>HYPERLINK("https://creighton-primo.hosted.exlibrisgroup.com/primo-explore/search?tab=default_tab&amp;search_scope=EVERYTHING&amp;vid=01CRU&amp;lang=en_US&amp;offset=0&amp;query=any,contains,991002450339702656","Catalog Record")</f>
        <v/>
      </c>
      <c r="AT130">
        <f>HYPERLINK("http://www.worldcat.org/oclc/31966594","WorldCat Record")</f>
        <v/>
      </c>
      <c r="AU130" t="inlineStr">
        <is>
          <t>10349931891:eng</t>
        </is>
      </c>
      <c r="AV130" t="inlineStr">
        <is>
          <t>31966594</t>
        </is>
      </c>
      <c r="AW130" t="inlineStr">
        <is>
          <t>991002450339702656</t>
        </is>
      </c>
      <c r="AX130" t="inlineStr">
        <is>
          <t>991002450339702656</t>
        </is>
      </c>
      <c r="AY130" t="inlineStr">
        <is>
          <t>2264477450002656</t>
        </is>
      </c>
      <c r="AZ130" t="inlineStr">
        <is>
          <t>BOOK</t>
        </is>
      </c>
      <c r="BC130" t="inlineStr">
        <is>
          <t>32285002414869</t>
        </is>
      </c>
      <c r="BD130" t="inlineStr">
        <is>
          <t>893886294</t>
        </is>
      </c>
    </row>
    <row r="131">
      <c r="A131" t="inlineStr">
        <is>
          <t>No</t>
        </is>
      </c>
      <c r="B131" t="inlineStr">
        <is>
          <t>DS110.S554 J6</t>
        </is>
      </c>
      <c r="C131" t="inlineStr">
        <is>
          <t>0                      DS 0110000S  554                J  6</t>
        </is>
      </c>
      <c r="D131" t="inlineStr">
        <is>
          <t>Ancient synagogue excavations at Khirbet Shemaʻ, Upper Galilee, Israel, 1970-1972 / Eric M. Meyers, director of the expedition, A. Thomas Kraabel, James F. Strange, associate director[s] of the expedition ; drawings by John F. Thompson ; with contributions by Reuben G. Bullard ... [et al.].</t>
        </is>
      </c>
      <c r="F131" t="inlineStr">
        <is>
          <t>No</t>
        </is>
      </c>
      <c r="G131" t="inlineStr">
        <is>
          <t>1</t>
        </is>
      </c>
      <c r="H131" t="inlineStr">
        <is>
          <t>No</t>
        </is>
      </c>
      <c r="I131" t="inlineStr">
        <is>
          <t>No</t>
        </is>
      </c>
      <c r="J131" t="inlineStr">
        <is>
          <t>0</t>
        </is>
      </c>
      <c r="K131" t="inlineStr">
        <is>
          <t>Joint Expedition to Khirbet Shemaʻ (1970-1972)</t>
        </is>
      </c>
      <c r="L131" t="inlineStr">
        <is>
          <t>Durham, N.C. : Published for the American Schools of Oriental Research by Duke University Press, 1976.</t>
        </is>
      </c>
      <c r="M131" t="inlineStr">
        <is>
          <t>1976</t>
        </is>
      </c>
      <c r="O131" t="inlineStr">
        <is>
          <t>eng</t>
        </is>
      </c>
      <c r="P131" t="inlineStr">
        <is>
          <t>ncu</t>
        </is>
      </c>
      <c r="Q131" t="inlineStr">
        <is>
          <t>The annual of the American Schools of Oriental Research ; v. 42</t>
        </is>
      </c>
      <c r="R131" t="inlineStr">
        <is>
          <t xml:space="preserve">DS </t>
        </is>
      </c>
      <c r="S131" t="n">
        <v>13</v>
      </c>
      <c r="T131" t="n">
        <v>13</v>
      </c>
      <c r="U131" t="inlineStr">
        <is>
          <t>2008-03-05</t>
        </is>
      </c>
      <c r="V131" t="inlineStr">
        <is>
          <t>2008-03-05</t>
        </is>
      </c>
      <c r="W131" t="inlineStr">
        <is>
          <t>1990-09-28</t>
        </is>
      </c>
      <c r="X131" t="inlineStr">
        <is>
          <t>1990-09-28</t>
        </is>
      </c>
      <c r="Y131" t="n">
        <v>273</v>
      </c>
      <c r="Z131" t="n">
        <v>217</v>
      </c>
      <c r="AA131" t="n">
        <v>218</v>
      </c>
      <c r="AB131" t="n">
        <v>3</v>
      </c>
      <c r="AC131" t="n">
        <v>3</v>
      </c>
      <c r="AD131" t="n">
        <v>14</v>
      </c>
      <c r="AE131" t="n">
        <v>14</v>
      </c>
      <c r="AF131" t="n">
        <v>5</v>
      </c>
      <c r="AG131" t="n">
        <v>5</v>
      </c>
      <c r="AH131" t="n">
        <v>3</v>
      </c>
      <c r="AI131" t="n">
        <v>3</v>
      </c>
      <c r="AJ131" t="n">
        <v>6</v>
      </c>
      <c r="AK131" t="n">
        <v>6</v>
      </c>
      <c r="AL131" t="n">
        <v>2</v>
      </c>
      <c r="AM131" t="n">
        <v>2</v>
      </c>
      <c r="AN131" t="n">
        <v>0</v>
      </c>
      <c r="AO131" t="n">
        <v>0</v>
      </c>
      <c r="AP131" t="inlineStr">
        <is>
          <t>No</t>
        </is>
      </c>
      <c r="AQ131" t="inlineStr">
        <is>
          <t>No</t>
        </is>
      </c>
      <c r="AS131">
        <f>HYPERLINK("https://creighton-primo.hosted.exlibrisgroup.com/primo-explore/search?tab=default_tab&amp;search_scope=EVERYTHING&amp;vid=01CRU&amp;lang=en_US&amp;offset=0&amp;query=any,contains,991004399529702656","Catalog Record")</f>
        <v/>
      </c>
      <c r="AT131">
        <f>HYPERLINK("http://www.worldcat.org/oclc/3294445","WorldCat Record")</f>
        <v/>
      </c>
      <c r="AU131" t="inlineStr">
        <is>
          <t>351871234:eng</t>
        </is>
      </c>
      <c r="AV131" t="inlineStr">
        <is>
          <t>3294445</t>
        </is>
      </c>
      <c r="AW131" t="inlineStr">
        <is>
          <t>991004399529702656</t>
        </is>
      </c>
      <c r="AX131" t="inlineStr">
        <is>
          <t>991004399529702656</t>
        </is>
      </c>
      <c r="AY131" t="inlineStr">
        <is>
          <t>2257120070002656</t>
        </is>
      </c>
      <c r="AZ131" t="inlineStr">
        <is>
          <t>BOOK</t>
        </is>
      </c>
      <c r="BB131" t="inlineStr">
        <is>
          <t>9780822303770</t>
        </is>
      </c>
      <c r="BC131" t="inlineStr">
        <is>
          <t>32285000292895</t>
        </is>
      </c>
      <c r="BD131" t="inlineStr">
        <is>
          <t>893331544</t>
        </is>
      </c>
    </row>
    <row r="132">
      <c r="A132" t="inlineStr">
        <is>
          <t>No</t>
        </is>
      </c>
      <c r="B132" t="inlineStr">
        <is>
          <t>DS110.S67 K86 1990</t>
        </is>
      </c>
      <c r="C132" t="inlineStr">
        <is>
          <t>0                      DS 0110000S  67                 K  86          1990</t>
        </is>
      </c>
      <c r="D132" t="inlineStr">
        <is>
          <t>Their promised land : Arab versus Jew in history's cauldron : one valley in the Jerusalem hills / Marcia Kunstel and Joseph Albright.</t>
        </is>
      </c>
      <c r="F132" t="inlineStr">
        <is>
          <t>No</t>
        </is>
      </c>
      <c r="G132" t="inlineStr">
        <is>
          <t>1</t>
        </is>
      </c>
      <c r="H132" t="inlineStr">
        <is>
          <t>No</t>
        </is>
      </c>
      <c r="I132" t="inlineStr">
        <is>
          <t>No</t>
        </is>
      </c>
      <c r="J132" t="inlineStr">
        <is>
          <t>0</t>
        </is>
      </c>
      <c r="K132" t="inlineStr">
        <is>
          <t>Kunstel, Marcia.</t>
        </is>
      </c>
      <c r="L132" t="inlineStr">
        <is>
          <t>New York : Crown, c1990.</t>
        </is>
      </c>
      <c r="M132" t="inlineStr">
        <is>
          <t>1990</t>
        </is>
      </c>
      <c r="N132" t="inlineStr">
        <is>
          <t>1st ed.</t>
        </is>
      </c>
      <c r="O132" t="inlineStr">
        <is>
          <t>eng</t>
        </is>
      </c>
      <c r="P132" t="inlineStr">
        <is>
          <t>nyu</t>
        </is>
      </c>
      <c r="R132" t="inlineStr">
        <is>
          <t xml:space="preserve">DS </t>
        </is>
      </c>
      <c r="S132" t="n">
        <v>3</v>
      </c>
      <c r="T132" t="n">
        <v>3</v>
      </c>
      <c r="U132" t="inlineStr">
        <is>
          <t>1995-01-25</t>
        </is>
      </c>
      <c r="V132" t="inlineStr">
        <is>
          <t>1995-01-25</t>
        </is>
      </c>
      <c r="W132" t="inlineStr">
        <is>
          <t>1992-05-08</t>
        </is>
      </c>
      <c r="X132" t="inlineStr">
        <is>
          <t>1992-05-08</t>
        </is>
      </c>
      <c r="Y132" t="n">
        <v>797</v>
      </c>
      <c r="Z132" t="n">
        <v>760</v>
      </c>
      <c r="AA132" t="n">
        <v>774</v>
      </c>
      <c r="AB132" t="n">
        <v>5</v>
      </c>
      <c r="AC132" t="n">
        <v>5</v>
      </c>
      <c r="AD132" t="n">
        <v>26</v>
      </c>
      <c r="AE132" t="n">
        <v>27</v>
      </c>
      <c r="AF132" t="n">
        <v>8</v>
      </c>
      <c r="AG132" t="n">
        <v>9</v>
      </c>
      <c r="AH132" t="n">
        <v>8</v>
      </c>
      <c r="AI132" t="n">
        <v>8</v>
      </c>
      <c r="AJ132" t="n">
        <v>15</v>
      </c>
      <c r="AK132" t="n">
        <v>15</v>
      </c>
      <c r="AL132" t="n">
        <v>3</v>
      </c>
      <c r="AM132" t="n">
        <v>3</v>
      </c>
      <c r="AN132" t="n">
        <v>0</v>
      </c>
      <c r="AO132" t="n">
        <v>0</v>
      </c>
      <c r="AP132" t="inlineStr">
        <is>
          <t>No</t>
        </is>
      </c>
      <c r="AQ132" t="inlineStr">
        <is>
          <t>Yes</t>
        </is>
      </c>
      <c r="AR132">
        <f>HYPERLINK("http://catalog.hathitrust.org/Record/002432490","HathiTrust Record")</f>
        <v/>
      </c>
      <c r="AS132">
        <f>HYPERLINK("https://creighton-primo.hosted.exlibrisgroup.com/primo-explore/search?tab=default_tab&amp;search_scope=EVERYTHING&amp;vid=01CRU&amp;lang=en_US&amp;offset=0&amp;query=any,contains,991001623709702656","Catalog Record")</f>
        <v/>
      </c>
      <c r="AT132">
        <f>HYPERLINK("http://www.worldcat.org/oclc/20827252","WorldCat Record")</f>
        <v/>
      </c>
      <c r="AU132" t="inlineStr">
        <is>
          <t>3901134420:eng</t>
        </is>
      </c>
      <c r="AV132" t="inlineStr">
        <is>
          <t>20827252</t>
        </is>
      </c>
      <c r="AW132" t="inlineStr">
        <is>
          <t>991001623709702656</t>
        </is>
      </c>
      <c r="AX132" t="inlineStr">
        <is>
          <t>991001623709702656</t>
        </is>
      </c>
      <c r="AY132" t="inlineStr">
        <is>
          <t>2261304230002656</t>
        </is>
      </c>
      <c r="AZ132" t="inlineStr">
        <is>
          <t>BOOK</t>
        </is>
      </c>
      <c r="BB132" t="inlineStr">
        <is>
          <t>9780517572313</t>
        </is>
      </c>
      <c r="BC132" t="inlineStr">
        <is>
          <t>32285001065837</t>
        </is>
      </c>
      <c r="BD132" t="inlineStr">
        <is>
          <t>893715543</t>
        </is>
      </c>
    </row>
    <row r="133">
      <c r="A133" t="inlineStr">
        <is>
          <t>No</t>
        </is>
      </c>
      <c r="B133" t="inlineStr">
        <is>
          <t>DS110.T16 L64 1978</t>
        </is>
      </c>
      <c r="C133" t="inlineStr">
        <is>
          <t>0                      DS 0110000T  16                 L  64          1978</t>
        </is>
      </c>
      <c r="D133" t="inlineStr">
        <is>
          <t>The sanctuaries of Tabgha / Stanislao Loffreda ; translated by Claire Fennell.</t>
        </is>
      </c>
      <c r="F133" t="inlineStr">
        <is>
          <t>No</t>
        </is>
      </c>
      <c r="G133" t="inlineStr">
        <is>
          <t>1</t>
        </is>
      </c>
      <c r="H133" t="inlineStr">
        <is>
          <t>No</t>
        </is>
      </c>
      <c r="I133" t="inlineStr">
        <is>
          <t>No</t>
        </is>
      </c>
      <c r="J133" t="inlineStr">
        <is>
          <t>0</t>
        </is>
      </c>
      <c r="K133" t="inlineStr">
        <is>
          <t>Loffreda, Stanislao, 1932-</t>
        </is>
      </c>
      <c r="L133" t="inlineStr">
        <is>
          <t>Jerusalem : Franciscan Printing Press, [1978], 1981 printing.</t>
        </is>
      </c>
      <c r="M133" t="inlineStr">
        <is>
          <t>1978</t>
        </is>
      </c>
      <c r="N133" t="inlineStr">
        <is>
          <t>2d ed.</t>
        </is>
      </c>
      <c r="O133" t="inlineStr">
        <is>
          <t>eng</t>
        </is>
      </c>
      <c r="P133" t="inlineStr">
        <is>
          <t xml:space="preserve">is </t>
        </is>
      </c>
      <c r="Q133" t="inlineStr">
        <is>
          <t>Holy places of Palestine</t>
        </is>
      </c>
      <c r="R133" t="inlineStr">
        <is>
          <t xml:space="preserve">DS </t>
        </is>
      </c>
      <c r="S133" t="n">
        <v>1</v>
      </c>
      <c r="T133" t="n">
        <v>1</v>
      </c>
      <c r="U133" t="inlineStr">
        <is>
          <t>2005-02-20</t>
        </is>
      </c>
      <c r="V133" t="inlineStr">
        <is>
          <t>2005-02-20</t>
        </is>
      </c>
      <c r="W133" t="inlineStr">
        <is>
          <t>1990-09-28</t>
        </is>
      </c>
      <c r="X133" t="inlineStr">
        <is>
          <t>1990-09-28</t>
        </is>
      </c>
      <c r="Y133" t="n">
        <v>19</v>
      </c>
      <c r="Z133" t="n">
        <v>11</v>
      </c>
      <c r="AA133" t="n">
        <v>26</v>
      </c>
      <c r="AB133" t="n">
        <v>1</v>
      </c>
      <c r="AC133" t="n">
        <v>1</v>
      </c>
      <c r="AD133" t="n">
        <v>0</v>
      </c>
      <c r="AE133" t="n">
        <v>1</v>
      </c>
      <c r="AF133" t="n">
        <v>0</v>
      </c>
      <c r="AG133" t="n">
        <v>1</v>
      </c>
      <c r="AH133" t="n">
        <v>0</v>
      </c>
      <c r="AI133" t="n">
        <v>0</v>
      </c>
      <c r="AJ133" t="n">
        <v>0</v>
      </c>
      <c r="AK133" t="n">
        <v>0</v>
      </c>
      <c r="AL133" t="n">
        <v>0</v>
      </c>
      <c r="AM133" t="n">
        <v>0</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HYPERLINK("https://creighton-primo.hosted.exlibrisgroup.com/primo-explore/search?tab=default_tab&amp;search_scope=EVERYTHING&amp;vid=01CRU&amp;lang=en_US&amp;offset=0&amp;query=any,contains,991004933939702656","Catalog Record")</f>
        <v/>
      </c>
      <c r="AT133">
        <f>HYPERLINK("http://www.worldcat.org/oclc/6128519","WorldCat Record")</f>
        <v/>
      </c>
      <c r="AU133" t="inlineStr">
        <is>
          <t>3943697506:eng</t>
        </is>
      </c>
      <c r="AV133" t="inlineStr">
        <is>
          <t>6128519</t>
        </is>
      </c>
      <c r="AW133" t="inlineStr">
        <is>
          <t>991004933939702656</t>
        </is>
      </c>
      <c r="AX133" t="inlineStr">
        <is>
          <t>991004933939702656</t>
        </is>
      </c>
      <c r="AY133" t="inlineStr">
        <is>
          <t>2256123140002656</t>
        </is>
      </c>
      <c r="AZ133" t="inlineStr">
        <is>
          <t>BOOK</t>
        </is>
      </c>
      <c r="BC133" t="inlineStr">
        <is>
          <t>32285000292903</t>
        </is>
      </c>
      <c r="BD133" t="inlineStr">
        <is>
          <t>893694521</t>
        </is>
      </c>
    </row>
    <row r="134">
      <c r="A134" t="inlineStr">
        <is>
          <t>No</t>
        </is>
      </c>
      <c r="B134" t="inlineStr">
        <is>
          <t>DS110.T62 W33 1995</t>
        </is>
      </c>
      <c r="C134" t="inlineStr">
        <is>
          <t>0                      DS 0110000T  62                 W  33          1995</t>
        </is>
      </c>
      <c r="D134" t="inlineStr">
        <is>
          <t>The Sea of Galilee boat : an extraordinary 2000-year-old discovery / Shelley Wachsmann.</t>
        </is>
      </c>
      <c r="F134" t="inlineStr">
        <is>
          <t>No</t>
        </is>
      </c>
      <c r="G134" t="inlineStr">
        <is>
          <t>1</t>
        </is>
      </c>
      <c r="H134" t="inlineStr">
        <is>
          <t>No</t>
        </is>
      </c>
      <c r="I134" t="inlineStr">
        <is>
          <t>No</t>
        </is>
      </c>
      <c r="J134" t="inlineStr">
        <is>
          <t>0</t>
        </is>
      </c>
      <c r="K134" t="inlineStr">
        <is>
          <t>Wachsmann, Shelley.</t>
        </is>
      </c>
      <c r="L134" t="inlineStr">
        <is>
          <t>New York : Plenum Press, c1995.</t>
        </is>
      </c>
      <c r="M134" t="inlineStr">
        <is>
          <t>1995</t>
        </is>
      </c>
      <c r="O134" t="inlineStr">
        <is>
          <t>eng</t>
        </is>
      </c>
      <c r="P134" t="inlineStr">
        <is>
          <t>nyu</t>
        </is>
      </c>
      <c r="R134" t="inlineStr">
        <is>
          <t xml:space="preserve">DS </t>
        </is>
      </c>
      <c r="S134" t="n">
        <v>4</v>
      </c>
      <c r="T134" t="n">
        <v>4</v>
      </c>
      <c r="U134" t="inlineStr">
        <is>
          <t>2007-08-09</t>
        </is>
      </c>
      <c r="V134" t="inlineStr">
        <is>
          <t>2007-08-09</t>
        </is>
      </c>
      <c r="W134" t="inlineStr">
        <is>
          <t>1995-12-27</t>
        </is>
      </c>
      <c r="X134" t="inlineStr">
        <is>
          <t>1995-12-27</t>
        </is>
      </c>
      <c r="Y134" t="n">
        <v>616</v>
      </c>
      <c r="Z134" t="n">
        <v>546</v>
      </c>
      <c r="AA134" t="n">
        <v>563</v>
      </c>
      <c r="AB134" t="n">
        <v>4</v>
      </c>
      <c r="AC134" t="n">
        <v>4</v>
      </c>
      <c r="AD134" t="n">
        <v>17</v>
      </c>
      <c r="AE134" t="n">
        <v>18</v>
      </c>
      <c r="AF134" t="n">
        <v>6</v>
      </c>
      <c r="AG134" t="n">
        <v>7</v>
      </c>
      <c r="AH134" t="n">
        <v>3</v>
      </c>
      <c r="AI134" t="n">
        <v>3</v>
      </c>
      <c r="AJ134" t="n">
        <v>8</v>
      </c>
      <c r="AK134" t="n">
        <v>9</v>
      </c>
      <c r="AL134" t="n">
        <v>2</v>
      </c>
      <c r="AM134" t="n">
        <v>2</v>
      </c>
      <c r="AN134" t="n">
        <v>0</v>
      </c>
      <c r="AO134" t="n">
        <v>0</v>
      </c>
      <c r="AP134" t="inlineStr">
        <is>
          <t>No</t>
        </is>
      </c>
      <c r="AQ134" t="inlineStr">
        <is>
          <t>Yes</t>
        </is>
      </c>
      <c r="AR134">
        <f>HYPERLINK("http://catalog.hathitrust.org/Record/002987626","HathiTrust Record")</f>
        <v/>
      </c>
      <c r="AS134">
        <f>HYPERLINK("https://creighton-primo.hosted.exlibrisgroup.com/primo-explore/search?tab=default_tab&amp;search_scope=EVERYTHING&amp;vid=01CRU&amp;lang=en_US&amp;offset=0&amp;query=any,contains,991002462239702656","Catalog Record")</f>
        <v/>
      </c>
      <c r="AT134">
        <f>HYPERLINK("http://www.worldcat.org/oclc/32087320","WorldCat Record")</f>
        <v/>
      </c>
      <c r="AU134" t="inlineStr">
        <is>
          <t>34455492:eng</t>
        </is>
      </c>
      <c r="AV134" t="inlineStr">
        <is>
          <t>32087320</t>
        </is>
      </c>
      <c r="AW134" t="inlineStr">
        <is>
          <t>991002462239702656</t>
        </is>
      </c>
      <c r="AX134" t="inlineStr">
        <is>
          <t>991002462239702656</t>
        </is>
      </c>
      <c r="AY134" t="inlineStr">
        <is>
          <t>2271106470002656</t>
        </is>
      </c>
      <c r="AZ134" t="inlineStr">
        <is>
          <t>BOOK</t>
        </is>
      </c>
      <c r="BB134" t="inlineStr">
        <is>
          <t>9780306449505</t>
        </is>
      </c>
      <c r="BC134" t="inlineStr">
        <is>
          <t>32285002112794</t>
        </is>
      </c>
      <c r="BD134" t="inlineStr">
        <is>
          <t>893262300</t>
        </is>
      </c>
    </row>
    <row r="135">
      <c r="A135" t="inlineStr">
        <is>
          <t>No</t>
        </is>
      </c>
      <c r="B135" t="inlineStr">
        <is>
          <t>DS110.T63 K45 1995</t>
        </is>
      </c>
      <c r="C135" t="inlineStr">
        <is>
          <t>0                      DS 0110000T  63                 K  45          1995</t>
        </is>
      </c>
      <c r="D135" t="inlineStr">
        <is>
          <t>Timnah : a biblical city in the Sorek Valley / George L. Kelm and Amihai Mazar.</t>
        </is>
      </c>
      <c r="F135" t="inlineStr">
        <is>
          <t>No</t>
        </is>
      </c>
      <c r="G135" t="inlineStr">
        <is>
          <t>1</t>
        </is>
      </c>
      <c r="H135" t="inlineStr">
        <is>
          <t>No</t>
        </is>
      </c>
      <c r="I135" t="inlineStr">
        <is>
          <t>No</t>
        </is>
      </c>
      <c r="J135" t="inlineStr">
        <is>
          <t>0</t>
        </is>
      </c>
      <c r="K135" t="inlineStr">
        <is>
          <t>Kelm, George L., 1931-</t>
        </is>
      </c>
      <c r="L135" t="inlineStr">
        <is>
          <t>Winona Lake, IN : Eisenbrauns, 1995.</t>
        </is>
      </c>
      <c r="M135" t="inlineStr">
        <is>
          <t>1995</t>
        </is>
      </c>
      <c r="O135" t="inlineStr">
        <is>
          <t>eng</t>
        </is>
      </c>
      <c r="P135" t="inlineStr">
        <is>
          <t>inu</t>
        </is>
      </c>
      <c r="R135" t="inlineStr">
        <is>
          <t xml:space="preserve">DS </t>
        </is>
      </c>
      <c r="S135" t="n">
        <v>5</v>
      </c>
      <c r="T135" t="n">
        <v>5</v>
      </c>
      <c r="U135" t="inlineStr">
        <is>
          <t>1998-04-01</t>
        </is>
      </c>
      <c r="V135" t="inlineStr">
        <is>
          <t>1998-04-01</t>
        </is>
      </c>
      <c r="W135" t="inlineStr">
        <is>
          <t>1997-04-23</t>
        </is>
      </c>
      <c r="X135" t="inlineStr">
        <is>
          <t>1997-04-23</t>
        </is>
      </c>
      <c r="Y135" t="n">
        <v>228</v>
      </c>
      <c r="Z135" t="n">
        <v>169</v>
      </c>
      <c r="AA135" t="n">
        <v>171</v>
      </c>
      <c r="AB135" t="n">
        <v>1</v>
      </c>
      <c r="AC135" t="n">
        <v>1</v>
      </c>
      <c r="AD135" t="n">
        <v>7</v>
      </c>
      <c r="AE135" t="n">
        <v>7</v>
      </c>
      <c r="AF135" t="n">
        <v>4</v>
      </c>
      <c r="AG135" t="n">
        <v>4</v>
      </c>
      <c r="AH135" t="n">
        <v>2</v>
      </c>
      <c r="AI135" t="n">
        <v>2</v>
      </c>
      <c r="AJ135" t="n">
        <v>2</v>
      </c>
      <c r="AK135" t="n">
        <v>2</v>
      </c>
      <c r="AL135" t="n">
        <v>0</v>
      </c>
      <c r="AM135" t="n">
        <v>0</v>
      </c>
      <c r="AN135" t="n">
        <v>0</v>
      </c>
      <c r="AO135" t="n">
        <v>0</v>
      </c>
      <c r="AP135" t="inlineStr">
        <is>
          <t>No</t>
        </is>
      </c>
      <c r="AQ135" t="inlineStr">
        <is>
          <t>Yes</t>
        </is>
      </c>
      <c r="AR135">
        <f>HYPERLINK("http://catalog.hathitrust.org/Record/003040035","HathiTrust Record")</f>
        <v/>
      </c>
      <c r="AS135">
        <f>HYPERLINK("https://creighton-primo.hosted.exlibrisgroup.com/primo-explore/search?tab=default_tab&amp;search_scope=EVERYTHING&amp;vid=01CRU&amp;lang=en_US&amp;offset=0&amp;query=any,contains,991002524269702656","Catalog Record")</f>
        <v/>
      </c>
      <c r="AT135">
        <f>HYPERLINK("http://www.worldcat.org/oclc/32821121","WorldCat Record")</f>
        <v/>
      </c>
      <c r="AU135" t="inlineStr">
        <is>
          <t>890299721:eng</t>
        </is>
      </c>
      <c r="AV135" t="inlineStr">
        <is>
          <t>32821121</t>
        </is>
      </c>
      <c r="AW135" t="inlineStr">
        <is>
          <t>991002524269702656</t>
        </is>
      </c>
      <c r="AX135" t="inlineStr">
        <is>
          <t>991002524269702656</t>
        </is>
      </c>
      <c r="AY135" t="inlineStr">
        <is>
          <t>2263297460002656</t>
        </is>
      </c>
      <c r="AZ135" t="inlineStr">
        <is>
          <t>BOOK</t>
        </is>
      </c>
      <c r="BB135" t="inlineStr">
        <is>
          <t>9780931464973</t>
        </is>
      </c>
      <c r="BC135" t="inlineStr">
        <is>
          <t>32285002540317</t>
        </is>
      </c>
      <c r="BD135" t="inlineStr">
        <is>
          <t>893804706</t>
        </is>
      </c>
    </row>
    <row r="136">
      <c r="A136" t="inlineStr">
        <is>
          <t>No</t>
        </is>
      </c>
      <c r="B136" t="inlineStr">
        <is>
          <t>DS110.W47 B67 2002</t>
        </is>
      </c>
      <c r="C136" t="inlineStr">
        <is>
          <t>0                      DS 0110000W  47                 B  67          2002</t>
        </is>
      </c>
      <c r="D136" t="inlineStr">
        <is>
          <t>Crossing the green line between the West Bank and Israel / Avram S. Bornstein.</t>
        </is>
      </c>
      <c r="F136" t="inlineStr">
        <is>
          <t>No</t>
        </is>
      </c>
      <c r="G136" t="inlineStr">
        <is>
          <t>1</t>
        </is>
      </c>
      <c r="H136" t="inlineStr">
        <is>
          <t>No</t>
        </is>
      </c>
      <c r="I136" t="inlineStr">
        <is>
          <t>No</t>
        </is>
      </c>
      <c r="J136" t="inlineStr">
        <is>
          <t>0</t>
        </is>
      </c>
      <c r="K136" t="inlineStr">
        <is>
          <t>Bornstein, Avram S.</t>
        </is>
      </c>
      <c r="L136" t="inlineStr">
        <is>
          <t>Philadelphia, Pa. : University of Pennsylvania Press, c2002.</t>
        </is>
      </c>
      <c r="M136" t="inlineStr">
        <is>
          <t>2002</t>
        </is>
      </c>
      <c r="O136" t="inlineStr">
        <is>
          <t>eng</t>
        </is>
      </c>
      <c r="P136" t="inlineStr">
        <is>
          <t>pau</t>
        </is>
      </c>
      <c r="R136" t="inlineStr">
        <is>
          <t xml:space="preserve">DS </t>
        </is>
      </c>
      <c r="S136" t="n">
        <v>3</v>
      </c>
      <c r="T136" t="n">
        <v>3</v>
      </c>
      <c r="U136" t="inlineStr">
        <is>
          <t>2002-04-10</t>
        </is>
      </c>
      <c r="V136" t="inlineStr">
        <is>
          <t>2002-04-10</t>
        </is>
      </c>
      <c r="W136" t="inlineStr">
        <is>
          <t>2002-03-18</t>
        </is>
      </c>
      <c r="X136" t="inlineStr">
        <is>
          <t>2002-03-18</t>
        </is>
      </c>
      <c r="Y136" t="n">
        <v>313</v>
      </c>
      <c r="Z136" t="n">
        <v>255</v>
      </c>
      <c r="AA136" t="n">
        <v>869</v>
      </c>
      <c r="AB136" t="n">
        <v>4</v>
      </c>
      <c r="AC136" t="n">
        <v>28</v>
      </c>
      <c r="AD136" t="n">
        <v>17</v>
      </c>
      <c r="AE136" t="n">
        <v>37</v>
      </c>
      <c r="AF136" t="n">
        <v>1</v>
      </c>
      <c r="AG136" t="n">
        <v>7</v>
      </c>
      <c r="AH136" t="n">
        <v>6</v>
      </c>
      <c r="AI136" t="n">
        <v>10</v>
      </c>
      <c r="AJ136" t="n">
        <v>9</v>
      </c>
      <c r="AK136" t="n">
        <v>14</v>
      </c>
      <c r="AL136" t="n">
        <v>3</v>
      </c>
      <c r="AM136" t="n">
        <v>13</v>
      </c>
      <c r="AN136" t="n">
        <v>1</v>
      </c>
      <c r="AO136" t="n">
        <v>1</v>
      </c>
      <c r="AP136" t="inlineStr">
        <is>
          <t>No</t>
        </is>
      </c>
      <c r="AQ136" t="inlineStr">
        <is>
          <t>Yes</t>
        </is>
      </c>
      <c r="AR136">
        <f>HYPERLINK("http://catalog.hathitrust.org/Record/004219836","HathiTrust Record")</f>
        <v/>
      </c>
      <c r="AS136">
        <f>HYPERLINK("https://creighton-primo.hosted.exlibrisgroup.com/primo-explore/search?tab=default_tab&amp;search_scope=EVERYTHING&amp;vid=01CRU&amp;lang=en_US&amp;offset=0&amp;query=any,contains,991003742089702656","Catalog Record")</f>
        <v/>
      </c>
      <c r="AT136">
        <f>HYPERLINK("http://www.worldcat.org/oclc/47716421","WorldCat Record")</f>
        <v/>
      </c>
      <c r="AU136" t="inlineStr">
        <is>
          <t>7777743:eng</t>
        </is>
      </c>
      <c r="AV136" t="inlineStr">
        <is>
          <t>47716421</t>
        </is>
      </c>
      <c r="AW136" t="inlineStr">
        <is>
          <t>991003742089702656</t>
        </is>
      </c>
      <c r="AX136" t="inlineStr">
        <is>
          <t>991003742089702656</t>
        </is>
      </c>
      <c r="AY136" t="inlineStr">
        <is>
          <t>2272373780002656</t>
        </is>
      </c>
      <c r="AZ136" t="inlineStr">
        <is>
          <t>BOOK</t>
        </is>
      </c>
      <c r="BB136" t="inlineStr">
        <is>
          <t>9780812217933</t>
        </is>
      </c>
      <c r="BC136" t="inlineStr">
        <is>
          <t>32285004461876</t>
        </is>
      </c>
      <c r="BD136" t="inlineStr">
        <is>
          <t>893435379</t>
        </is>
      </c>
    </row>
    <row r="137">
      <c r="A137" t="inlineStr">
        <is>
          <t>No</t>
        </is>
      </c>
      <c r="B137" t="inlineStr">
        <is>
          <t>DS110.W47 H55 1991</t>
        </is>
      </c>
      <c r="C137" t="inlineStr">
        <is>
          <t>0                      DS 0110000W  47                 H  55          1991</t>
        </is>
      </c>
      <c r="D137" t="inlineStr">
        <is>
          <t>Behind the Intifada : labor and women's movements in the occupied territories / Joost R. Hiltermann.</t>
        </is>
      </c>
      <c r="F137" t="inlineStr">
        <is>
          <t>No</t>
        </is>
      </c>
      <c r="G137" t="inlineStr">
        <is>
          <t>1</t>
        </is>
      </c>
      <c r="H137" t="inlineStr">
        <is>
          <t>No</t>
        </is>
      </c>
      <c r="I137" t="inlineStr">
        <is>
          <t>No</t>
        </is>
      </c>
      <c r="J137" t="inlineStr">
        <is>
          <t>0</t>
        </is>
      </c>
      <c r="K137" t="inlineStr">
        <is>
          <t>Hiltermann, Joost R.</t>
        </is>
      </c>
      <c r="L137" t="inlineStr">
        <is>
          <t>Princeton, N.J. : Princeton University Press, c1991.</t>
        </is>
      </c>
      <c r="M137" t="inlineStr">
        <is>
          <t>1991</t>
        </is>
      </c>
      <c r="O137" t="inlineStr">
        <is>
          <t>eng</t>
        </is>
      </c>
      <c r="P137" t="inlineStr">
        <is>
          <t>nju</t>
        </is>
      </c>
      <c r="R137" t="inlineStr">
        <is>
          <t xml:space="preserve">DS </t>
        </is>
      </c>
      <c r="S137" t="n">
        <v>9</v>
      </c>
      <c r="T137" t="n">
        <v>9</v>
      </c>
      <c r="U137" t="inlineStr">
        <is>
          <t>2000-10-16</t>
        </is>
      </c>
      <c r="V137" t="inlineStr">
        <is>
          <t>2000-10-16</t>
        </is>
      </c>
      <c r="W137" t="inlineStr">
        <is>
          <t>1992-05-26</t>
        </is>
      </c>
      <c r="X137" t="inlineStr">
        <is>
          <t>1992-05-26</t>
        </is>
      </c>
      <c r="Y137" t="n">
        <v>606</v>
      </c>
      <c r="Z137" t="n">
        <v>484</v>
      </c>
      <c r="AA137" t="n">
        <v>617</v>
      </c>
      <c r="AB137" t="n">
        <v>5</v>
      </c>
      <c r="AC137" t="n">
        <v>6</v>
      </c>
      <c r="AD137" t="n">
        <v>25</v>
      </c>
      <c r="AE137" t="n">
        <v>35</v>
      </c>
      <c r="AF137" t="n">
        <v>7</v>
      </c>
      <c r="AG137" t="n">
        <v>11</v>
      </c>
      <c r="AH137" t="n">
        <v>7</v>
      </c>
      <c r="AI137" t="n">
        <v>10</v>
      </c>
      <c r="AJ137" t="n">
        <v>13</v>
      </c>
      <c r="AK137" t="n">
        <v>17</v>
      </c>
      <c r="AL137" t="n">
        <v>4</v>
      </c>
      <c r="AM137" t="n">
        <v>5</v>
      </c>
      <c r="AN137" t="n">
        <v>0</v>
      </c>
      <c r="AO137" t="n">
        <v>0</v>
      </c>
      <c r="AP137" t="inlineStr">
        <is>
          <t>No</t>
        </is>
      </c>
      <c r="AQ137" t="inlineStr">
        <is>
          <t>No</t>
        </is>
      </c>
      <c r="AS137">
        <f>HYPERLINK("https://creighton-primo.hosted.exlibrisgroup.com/primo-explore/search?tab=default_tab&amp;search_scope=EVERYTHING&amp;vid=01CRU&amp;lang=en_US&amp;offset=0&amp;query=any,contains,991001874399702656","Catalog Record")</f>
        <v/>
      </c>
      <c r="AT137">
        <f>HYPERLINK("http://www.worldcat.org/oclc/23654259","WorldCat Record")</f>
        <v/>
      </c>
      <c r="AU137" t="inlineStr">
        <is>
          <t>335066533:eng</t>
        </is>
      </c>
      <c r="AV137" t="inlineStr">
        <is>
          <t>23654259</t>
        </is>
      </c>
      <c r="AW137" t="inlineStr">
        <is>
          <t>991001874399702656</t>
        </is>
      </c>
      <c r="AX137" t="inlineStr">
        <is>
          <t>991001874399702656</t>
        </is>
      </c>
      <c r="AY137" t="inlineStr">
        <is>
          <t>2264727110002656</t>
        </is>
      </c>
      <c r="AZ137" t="inlineStr">
        <is>
          <t>BOOK</t>
        </is>
      </c>
      <c r="BB137" t="inlineStr">
        <is>
          <t>9780691078694</t>
        </is>
      </c>
      <c r="BC137" t="inlineStr">
        <is>
          <t>32285001116499</t>
        </is>
      </c>
      <c r="BD137" t="inlineStr">
        <is>
          <t>893797882</t>
        </is>
      </c>
    </row>
    <row r="138">
      <c r="A138" t="inlineStr">
        <is>
          <t>No</t>
        </is>
      </c>
      <c r="B138" t="inlineStr">
        <is>
          <t>DS110.W47 N493 1991</t>
        </is>
      </c>
      <c r="C138" t="inlineStr">
        <is>
          <t>0                      DS 0110000W  47                 N  493         1991</t>
        </is>
      </c>
      <c r="D138" t="inlineStr">
        <is>
          <t>Population, settlement and conflict : Israel and the West Bank / David Newman.</t>
        </is>
      </c>
      <c r="F138" t="inlineStr">
        <is>
          <t>No</t>
        </is>
      </c>
      <c r="G138" t="inlineStr">
        <is>
          <t>1</t>
        </is>
      </c>
      <c r="H138" t="inlineStr">
        <is>
          <t>No</t>
        </is>
      </c>
      <c r="I138" t="inlineStr">
        <is>
          <t>No</t>
        </is>
      </c>
      <c r="J138" t="inlineStr">
        <is>
          <t>0</t>
        </is>
      </c>
      <c r="K138" t="inlineStr">
        <is>
          <t>Newman, David, 1956-</t>
        </is>
      </c>
      <c r="L138" t="inlineStr">
        <is>
          <t>Cambridge ; New York : Cambridge University Press, 1991.</t>
        </is>
      </c>
      <c r="M138" t="inlineStr">
        <is>
          <t>1991</t>
        </is>
      </c>
      <c r="O138" t="inlineStr">
        <is>
          <t>eng</t>
        </is>
      </c>
      <c r="P138" t="inlineStr">
        <is>
          <t>nyu</t>
        </is>
      </c>
      <c r="Q138" t="inlineStr">
        <is>
          <t>Update</t>
        </is>
      </c>
      <c r="R138" t="inlineStr">
        <is>
          <t xml:space="preserve">DS </t>
        </is>
      </c>
      <c r="S138" t="n">
        <v>1</v>
      </c>
      <c r="T138" t="n">
        <v>1</v>
      </c>
      <c r="U138" t="inlineStr">
        <is>
          <t>1994-04-24</t>
        </is>
      </c>
      <c r="V138" t="inlineStr">
        <is>
          <t>1994-04-24</t>
        </is>
      </c>
      <c r="W138" t="inlineStr">
        <is>
          <t>1991-11-04</t>
        </is>
      </c>
      <c r="X138" t="inlineStr">
        <is>
          <t>1991-11-04</t>
        </is>
      </c>
      <c r="Y138" t="n">
        <v>264</v>
      </c>
      <c r="Z138" t="n">
        <v>190</v>
      </c>
      <c r="AA138" t="n">
        <v>191</v>
      </c>
      <c r="AB138" t="n">
        <v>2</v>
      </c>
      <c r="AC138" t="n">
        <v>2</v>
      </c>
      <c r="AD138" t="n">
        <v>9</v>
      </c>
      <c r="AE138" t="n">
        <v>9</v>
      </c>
      <c r="AF138" t="n">
        <v>2</v>
      </c>
      <c r="AG138" t="n">
        <v>2</v>
      </c>
      <c r="AH138" t="n">
        <v>2</v>
      </c>
      <c r="AI138" t="n">
        <v>2</v>
      </c>
      <c r="AJ138" t="n">
        <v>3</v>
      </c>
      <c r="AK138" t="n">
        <v>3</v>
      </c>
      <c r="AL138" t="n">
        <v>1</v>
      </c>
      <c r="AM138" t="n">
        <v>1</v>
      </c>
      <c r="AN138" t="n">
        <v>2</v>
      </c>
      <c r="AO138" t="n">
        <v>2</v>
      </c>
      <c r="AP138" t="inlineStr">
        <is>
          <t>No</t>
        </is>
      </c>
      <c r="AQ138" t="inlineStr">
        <is>
          <t>No</t>
        </is>
      </c>
      <c r="AS138">
        <f>HYPERLINK("https://creighton-primo.hosted.exlibrisgroup.com/primo-explore/search?tab=default_tab&amp;search_scope=EVERYTHING&amp;vid=01CRU&amp;lang=en_US&amp;offset=0&amp;query=any,contains,991001807039702656","Catalog Record")</f>
        <v/>
      </c>
      <c r="AT138">
        <f>HYPERLINK("http://www.worldcat.org/oclc/22709553","WorldCat Record")</f>
        <v/>
      </c>
      <c r="AU138" t="inlineStr">
        <is>
          <t>309140786:eng</t>
        </is>
      </c>
      <c r="AV138" t="inlineStr">
        <is>
          <t>22709553</t>
        </is>
      </c>
      <c r="AW138" t="inlineStr">
        <is>
          <t>991001807039702656</t>
        </is>
      </c>
      <c r="AX138" t="inlineStr">
        <is>
          <t>991001807039702656</t>
        </is>
      </c>
      <c r="AY138" t="inlineStr">
        <is>
          <t>2270483680002656</t>
        </is>
      </c>
      <c r="AZ138" t="inlineStr">
        <is>
          <t>BOOK</t>
        </is>
      </c>
      <c r="BB138" t="inlineStr">
        <is>
          <t>9780521408042</t>
        </is>
      </c>
      <c r="BC138" t="inlineStr">
        <is>
          <t>32285000729011</t>
        </is>
      </c>
      <c r="BD138" t="inlineStr">
        <is>
          <t>893791727</t>
        </is>
      </c>
    </row>
    <row r="139">
      <c r="A139" t="inlineStr">
        <is>
          <t>No</t>
        </is>
      </c>
      <c r="B139" t="inlineStr">
        <is>
          <t>DS110.W47 T73 1992</t>
        </is>
      </c>
      <c r="C139" t="inlineStr">
        <is>
          <t>0                      DS 0110000W  47                 T  73          1992</t>
        </is>
      </c>
      <c r="D139" t="inlineStr">
        <is>
          <t>Transition to Palestinian self-government : practical steps toward Israeli-Palestinian peace : report of a study group of the Middle East Program Committee on International Security Studies, American Academy of Arts and Sciences / Ann Mosely Lesch, principal author.</t>
        </is>
      </c>
      <c r="F139" t="inlineStr">
        <is>
          <t>No</t>
        </is>
      </c>
      <c r="G139" t="inlineStr">
        <is>
          <t>1</t>
        </is>
      </c>
      <c r="H139" t="inlineStr">
        <is>
          <t>No</t>
        </is>
      </c>
      <c r="I139" t="inlineStr">
        <is>
          <t>No</t>
        </is>
      </c>
      <c r="J139" t="inlineStr">
        <is>
          <t>0</t>
        </is>
      </c>
      <c r="L139" t="inlineStr">
        <is>
          <t>Cambridge : the Academy ; Bloomington : Indiana University Press, c1992.</t>
        </is>
      </c>
      <c r="M139" t="inlineStr">
        <is>
          <t>1992</t>
        </is>
      </c>
      <c r="O139" t="inlineStr">
        <is>
          <t>eng</t>
        </is>
      </c>
      <c r="P139" t="inlineStr">
        <is>
          <t>mau</t>
        </is>
      </c>
      <c r="R139" t="inlineStr">
        <is>
          <t xml:space="preserve">DS </t>
        </is>
      </c>
      <c r="S139" t="n">
        <v>2</v>
      </c>
      <c r="T139" t="n">
        <v>2</v>
      </c>
      <c r="U139" t="inlineStr">
        <is>
          <t>2003-04-15</t>
        </is>
      </c>
      <c r="V139" t="inlineStr">
        <is>
          <t>2003-04-15</t>
        </is>
      </c>
      <c r="W139" t="inlineStr">
        <is>
          <t>1993-12-28</t>
        </is>
      </c>
      <c r="X139" t="inlineStr">
        <is>
          <t>1993-12-28</t>
        </is>
      </c>
      <c r="Y139" t="n">
        <v>373</v>
      </c>
      <c r="Z139" t="n">
        <v>332</v>
      </c>
      <c r="AA139" t="n">
        <v>344</v>
      </c>
      <c r="AB139" t="n">
        <v>4</v>
      </c>
      <c r="AC139" t="n">
        <v>4</v>
      </c>
      <c r="AD139" t="n">
        <v>21</v>
      </c>
      <c r="AE139" t="n">
        <v>22</v>
      </c>
      <c r="AF139" t="n">
        <v>7</v>
      </c>
      <c r="AG139" t="n">
        <v>7</v>
      </c>
      <c r="AH139" t="n">
        <v>5</v>
      </c>
      <c r="AI139" t="n">
        <v>6</v>
      </c>
      <c r="AJ139" t="n">
        <v>9</v>
      </c>
      <c r="AK139" t="n">
        <v>10</v>
      </c>
      <c r="AL139" t="n">
        <v>3</v>
      </c>
      <c r="AM139" t="n">
        <v>3</v>
      </c>
      <c r="AN139" t="n">
        <v>1</v>
      </c>
      <c r="AO139" t="n">
        <v>1</v>
      </c>
      <c r="AP139" t="inlineStr">
        <is>
          <t>No</t>
        </is>
      </c>
      <c r="AQ139" t="inlineStr">
        <is>
          <t>Yes</t>
        </is>
      </c>
      <c r="AR139">
        <f>HYPERLINK("http://catalog.hathitrust.org/Record/002625484","HathiTrust Record")</f>
        <v/>
      </c>
      <c r="AS139">
        <f>HYPERLINK("https://creighton-primo.hosted.exlibrisgroup.com/primo-explore/search?tab=default_tab&amp;search_scope=EVERYTHING&amp;vid=01CRU&amp;lang=en_US&amp;offset=0&amp;query=any,contains,991002154059702656","Catalog Record")</f>
        <v/>
      </c>
      <c r="AT139">
        <f>HYPERLINK("http://www.worldcat.org/oclc/27768444","WorldCat Record")</f>
        <v/>
      </c>
      <c r="AU139" t="inlineStr">
        <is>
          <t>329134:eng</t>
        </is>
      </c>
      <c r="AV139" t="inlineStr">
        <is>
          <t>27768444</t>
        </is>
      </c>
      <c r="AW139" t="inlineStr">
        <is>
          <t>991002154059702656</t>
        </is>
      </c>
      <c r="AX139" t="inlineStr">
        <is>
          <t>991002154059702656</t>
        </is>
      </c>
      <c r="AY139" t="inlineStr">
        <is>
          <t>2267812290002656</t>
        </is>
      </c>
      <c r="AZ139" t="inlineStr">
        <is>
          <t>BOOK</t>
        </is>
      </c>
      <c r="BB139" t="inlineStr">
        <is>
          <t>9780253207944</t>
        </is>
      </c>
      <c r="BC139" t="inlineStr">
        <is>
          <t>32285001817849</t>
        </is>
      </c>
      <c r="BD139" t="inlineStr">
        <is>
          <t>893408753</t>
        </is>
      </c>
    </row>
    <row r="140">
      <c r="A140" t="inlineStr">
        <is>
          <t>No</t>
        </is>
      </c>
      <c r="B140" t="inlineStr">
        <is>
          <t>DS111 .A7</t>
        </is>
      </c>
      <c r="C140" t="inlineStr">
        <is>
          <t>0                      DS 0111000A  7</t>
        </is>
      </c>
      <c r="D140" t="inlineStr">
        <is>
          <t>Archaeological discoveries in the Holy Land.</t>
        </is>
      </c>
      <c r="F140" t="inlineStr">
        <is>
          <t>No</t>
        </is>
      </c>
      <c r="G140" t="inlineStr">
        <is>
          <t>1</t>
        </is>
      </c>
      <c r="H140" t="inlineStr">
        <is>
          <t>No</t>
        </is>
      </c>
      <c r="I140" t="inlineStr">
        <is>
          <t>No</t>
        </is>
      </c>
      <c r="J140" t="inlineStr">
        <is>
          <t>0</t>
        </is>
      </c>
      <c r="K140" t="inlineStr">
        <is>
          <t>Archaeological Institute of America.</t>
        </is>
      </c>
      <c r="L140" t="inlineStr">
        <is>
          <t>New York, Crowell [1967]</t>
        </is>
      </c>
      <c r="M140" t="inlineStr">
        <is>
          <t>1967</t>
        </is>
      </c>
      <c r="O140" t="inlineStr">
        <is>
          <t>eng</t>
        </is>
      </c>
      <c r="P140" t="inlineStr">
        <is>
          <t>nyu</t>
        </is>
      </c>
      <c r="R140" t="inlineStr">
        <is>
          <t xml:space="preserve">DS </t>
        </is>
      </c>
      <c r="S140" t="n">
        <v>13</v>
      </c>
      <c r="T140" t="n">
        <v>13</v>
      </c>
      <c r="U140" t="inlineStr">
        <is>
          <t>2007-02-03</t>
        </is>
      </c>
      <c r="V140" t="inlineStr">
        <is>
          <t>2007-02-03</t>
        </is>
      </c>
      <c r="W140" t="inlineStr">
        <is>
          <t>1997-02-25</t>
        </is>
      </c>
      <c r="X140" t="inlineStr">
        <is>
          <t>1997-02-25</t>
        </is>
      </c>
      <c r="Y140" t="n">
        <v>939</v>
      </c>
      <c r="Z140" t="n">
        <v>850</v>
      </c>
      <c r="AA140" t="n">
        <v>1000</v>
      </c>
      <c r="AB140" t="n">
        <v>8</v>
      </c>
      <c r="AC140" t="n">
        <v>9</v>
      </c>
      <c r="AD140" t="n">
        <v>22</v>
      </c>
      <c r="AE140" t="n">
        <v>28</v>
      </c>
      <c r="AF140" t="n">
        <v>10</v>
      </c>
      <c r="AG140" t="n">
        <v>14</v>
      </c>
      <c r="AH140" t="n">
        <v>4</v>
      </c>
      <c r="AI140" t="n">
        <v>6</v>
      </c>
      <c r="AJ140" t="n">
        <v>8</v>
      </c>
      <c r="AK140" t="n">
        <v>11</v>
      </c>
      <c r="AL140" t="n">
        <v>4</v>
      </c>
      <c r="AM140" t="n">
        <v>4</v>
      </c>
      <c r="AN140" t="n">
        <v>0</v>
      </c>
      <c r="AO140" t="n">
        <v>0</v>
      </c>
      <c r="AP140" t="inlineStr">
        <is>
          <t>No</t>
        </is>
      </c>
      <c r="AQ140" t="inlineStr">
        <is>
          <t>Yes</t>
        </is>
      </c>
      <c r="AR140">
        <f>HYPERLINK("http://catalog.hathitrust.org/Record/001242458","HathiTrust Record")</f>
        <v/>
      </c>
      <c r="AS140">
        <f>HYPERLINK("https://creighton-primo.hosted.exlibrisgroup.com/primo-explore/search?tab=default_tab&amp;search_scope=EVERYTHING&amp;vid=01CRU&amp;lang=en_US&amp;offset=0&amp;query=any,contains,991002327949702656","Catalog Record")</f>
        <v/>
      </c>
      <c r="AT140">
        <f>HYPERLINK("http://www.worldcat.org/oclc/321364","WorldCat Record")</f>
        <v/>
      </c>
      <c r="AU140" t="inlineStr">
        <is>
          <t>1401849:eng</t>
        </is>
      </c>
      <c r="AV140" t="inlineStr">
        <is>
          <t>321364</t>
        </is>
      </c>
      <c r="AW140" t="inlineStr">
        <is>
          <t>991002327949702656</t>
        </is>
      </c>
      <c r="AX140" t="inlineStr">
        <is>
          <t>991002327949702656</t>
        </is>
      </c>
      <c r="AY140" t="inlineStr">
        <is>
          <t>2255955920002656</t>
        </is>
      </c>
      <c r="AZ140" t="inlineStr">
        <is>
          <t>BOOK</t>
        </is>
      </c>
      <c r="BC140" t="inlineStr">
        <is>
          <t>32285002461241</t>
        </is>
      </c>
      <c r="BD140" t="inlineStr">
        <is>
          <t>893804479</t>
        </is>
      </c>
    </row>
    <row r="141">
      <c r="A141" t="inlineStr">
        <is>
          <t>No</t>
        </is>
      </c>
      <c r="B141" t="inlineStr">
        <is>
          <t>DS111 .F7</t>
        </is>
      </c>
      <c r="C141" t="inlineStr">
        <is>
          <t>0                      DS 0111000F  7</t>
        </is>
      </c>
      <c r="D141" t="inlineStr">
        <is>
          <t>A primer of Old Testament archaeology, by H. J. Franken and C. A. Franken-Battershill.</t>
        </is>
      </c>
      <c r="F141" t="inlineStr">
        <is>
          <t>No</t>
        </is>
      </c>
      <c r="G141" t="inlineStr">
        <is>
          <t>1</t>
        </is>
      </c>
      <c r="H141" t="inlineStr">
        <is>
          <t>No</t>
        </is>
      </c>
      <c r="I141" t="inlineStr">
        <is>
          <t>No</t>
        </is>
      </c>
      <c r="J141" t="inlineStr">
        <is>
          <t>0</t>
        </is>
      </c>
      <c r="K141" t="inlineStr">
        <is>
          <t>Franken, H. J. (Hendricus Jacobus), 1917-2005.</t>
        </is>
      </c>
      <c r="L141" t="inlineStr">
        <is>
          <t>Leiden, E.J. Brill, 1963.</t>
        </is>
      </c>
      <c r="M141" t="inlineStr">
        <is>
          <t>1963</t>
        </is>
      </c>
      <c r="O141" t="inlineStr">
        <is>
          <t>eng</t>
        </is>
      </c>
      <c r="P141" t="inlineStr">
        <is>
          <t xml:space="preserve">xx </t>
        </is>
      </c>
      <c r="R141" t="inlineStr">
        <is>
          <t xml:space="preserve">DS </t>
        </is>
      </c>
      <c r="S141" t="n">
        <v>1</v>
      </c>
      <c r="T141" t="n">
        <v>1</v>
      </c>
      <c r="U141" t="inlineStr">
        <is>
          <t>2001-10-09</t>
        </is>
      </c>
      <c r="V141" t="inlineStr">
        <is>
          <t>2001-10-09</t>
        </is>
      </c>
      <c r="W141" t="inlineStr">
        <is>
          <t>1997-02-25</t>
        </is>
      </c>
      <c r="X141" t="inlineStr">
        <is>
          <t>1997-02-25</t>
        </is>
      </c>
      <c r="Y141" t="n">
        <v>508</v>
      </c>
      <c r="Z141" t="n">
        <v>387</v>
      </c>
      <c r="AA141" t="n">
        <v>389</v>
      </c>
      <c r="AB141" t="n">
        <v>1</v>
      </c>
      <c r="AC141" t="n">
        <v>1</v>
      </c>
      <c r="AD141" t="n">
        <v>23</v>
      </c>
      <c r="AE141" t="n">
        <v>23</v>
      </c>
      <c r="AF141" t="n">
        <v>8</v>
      </c>
      <c r="AG141" t="n">
        <v>8</v>
      </c>
      <c r="AH141" t="n">
        <v>8</v>
      </c>
      <c r="AI141" t="n">
        <v>8</v>
      </c>
      <c r="AJ141" t="n">
        <v>15</v>
      </c>
      <c r="AK141" t="n">
        <v>15</v>
      </c>
      <c r="AL141" t="n">
        <v>0</v>
      </c>
      <c r="AM141" t="n">
        <v>0</v>
      </c>
      <c r="AN141" t="n">
        <v>0</v>
      </c>
      <c r="AO141" t="n">
        <v>0</v>
      </c>
      <c r="AP141" t="inlineStr">
        <is>
          <t>No</t>
        </is>
      </c>
      <c r="AQ141" t="inlineStr">
        <is>
          <t>Yes</t>
        </is>
      </c>
      <c r="AR141">
        <f>HYPERLINK("http://catalog.hathitrust.org/Record/001863935","HathiTrust Record")</f>
        <v/>
      </c>
      <c r="AS141">
        <f>HYPERLINK("https://creighton-primo.hosted.exlibrisgroup.com/primo-explore/search?tab=default_tab&amp;search_scope=EVERYTHING&amp;vid=01CRU&amp;lang=en_US&amp;offset=0&amp;query=any,contains,991002425199702656","Catalog Record")</f>
        <v/>
      </c>
      <c r="AT141">
        <f>HYPERLINK("http://www.worldcat.org/oclc/344560","WorldCat Record")</f>
        <v/>
      </c>
      <c r="AU141" t="inlineStr">
        <is>
          <t>146819530:eng</t>
        </is>
      </c>
      <c r="AV141" t="inlineStr">
        <is>
          <t>344560</t>
        </is>
      </c>
      <c r="AW141" t="inlineStr">
        <is>
          <t>991002425199702656</t>
        </is>
      </c>
      <c r="AX141" t="inlineStr">
        <is>
          <t>991002425199702656</t>
        </is>
      </c>
      <c r="AY141" t="inlineStr">
        <is>
          <t>2269941360002656</t>
        </is>
      </c>
      <c r="AZ141" t="inlineStr">
        <is>
          <t>BOOK</t>
        </is>
      </c>
      <c r="BC141" t="inlineStr">
        <is>
          <t>32285002461258</t>
        </is>
      </c>
      <c r="BD141" t="inlineStr">
        <is>
          <t>893445156</t>
        </is>
      </c>
    </row>
    <row r="142">
      <c r="A142" t="inlineStr">
        <is>
          <t>No</t>
        </is>
      </c>
      <c r="B142" t="inlineStr">
        <is>
          <t>DS111 .G57 1970</t>
        </is>
      </c>
      <c r="C142" t="inlineStr">
        <is>
          <t>0                      DS 0111000G  57          1970</t>
        </is>
      </c>
      <c r="D142" t="inlineStr">
        <is>
          <t>The other side of the Jordan, by Nelson Glueck.</t>
        </is>
      </c>
      <c r="F142" t="inlineStr">
        <is>
          <t>No</t>
        </is>
      </c>
      <c r="G142" t="inlineStr">
        <is>
          <t>1</t>
        </is>
      </c>
      <c r="H142" t="inlineStr">
        <is>
          <t>No</t>
        </is>
      </c>
      <c r="I142" t="inlineStr">
        <is>
          <t>No</t>
        </is>
      </c>
      <c r="J142" t="inlineStr">
        <is>
          <t>0</t>
        </is>
      </c>
      <c r="K142" t="inlineStr">
        <is>
          <t>Glueck, Nelson, 1900-1972.</t>
        </is>
      </c>
      <c r="L142" t="inlineStr">
        <is>
          <t>New Haven, Conn., American Schools of Oriental Research, 1940.</t>
        </is>
      </c>
      <c r="M142" t="inlineStr">
        <is>
          <t>1940</t>
        </is>
      </c>
      <c r="O142" t="inlineStr">
        <is>
          <t>eng</t>
        </is>
      </c>
      <c r="P142" t="inlineStr">
        <is>
          <t xml:space="preserve">xx </t>
        </is>
      </c>
      <c r="R142" t="inlineStr">
        <is>
          <t xml:space="preserve">DS </t>
        </is>
      </c>
      <c r="S142" t="n">
        <v>1</v>
      </c>
      <c r="T142" t="n">
        <v>1</v>
      </c>
      <c r="U142" t="inlineStr">
        <is>
          <t>2002-10-28</t>
        </is>
      </c>
      <c r="V142" t="inlineStr">
        <is>
          <t>2002-10-28</t>
        </is>
      </c>
      <c r="W142" t="inlineStr">
        <is>
          <t>1997-02-25</t>
        </is>
      </c>
      <c r="X142" t="inlineStr">
        <is>
          <t>1997-02-25</t>
        </is>
      </c>
      <c r="Y142" t="n">
        <v>420</v>
      </c>
      <c r="Z142" t="n">
        <v>349</v>
      </c>
      <c r="AA142" t="n">
        <v>500</v>
      </c>
      <c r="AB142" t="n">
        <v>3</v>
      </c>
      <c r="AC142" t="n">
        <v>6</v>
      </c>
      <c r="AD142" t="n">
        <v>18</v>
      </c>
      <c r="AE142" t="n">
        <v>28</v>
      </c>
      <c r="AF142" t="n">
        <v>4</v>
      </c>
      <c r="AG142" t="n">
        <v>8</v>
      </c>
      <c r="AH142" t="n">
        <v>4</v>
      </c>
      <c r="AI142" t="n">
        <v>6</v>
      </c>
      <c r="AJ142" t="n">
        <v>10</v>
      </c>
      <c r="AK142" t="n">
        <v>13</v>
      </c>
      <c r="AL142" t="n">
        <v>2</v>
      </c>
      <c r="AM142" t="n">
        <v>4</v>
      </c>
      <c r="AN142" t="n">
        <v>0</v>
      </c>
      <c r="AO142" t="n">
        <v>0</v>
      </c>
      <c r="AP142" t="inlineStr">
        <is>
          <t>Yes</t>
        </is>
      </c>
      <c r="AQ142" t="inlineStr">
        <is>
          <t>No</t>
        </is>
      </c>
      <c r="AR142">
        <f>HYPERLINK("http://catalog.hathitrust.org/Record/001242461","HathiTrust Record")</f>
        <v/>
      </c>
      <c r="AS142">
        <f>HYPERLINK("https://creighton-primo.hosted.exlibrisgroup.com/primo-explore/search?tab=default_tab&amp;search_scope=EVERYTHING&amp;vid=01CRU&amp;lang=en_US&amp;offset=0&amp;query=any,contains,991003393789702656","Catalog Record")</f>
        <v/>
      </c>
      <c r="AT142">
        <f>HYPERLINK("http://www.worldcat.org/oclc/932203","WorldCat Record")</f>
        <v/>
      </c>
      <c r="AU142" t="inlineStr">
        <is>
          <t>1478696:eng</t>
        </is>
      </c>
      <c r="AV142" t="inlineStr">
        <is>
          <t>932203</t>
        </is>
      </c>
      <c r="AW142" t="inlineStr">
        <is>
          <t>991003393789702656</t>
        </is>
      </c>
      <c r="AX142" t="inlineStr">
        <is>
          <t>991003393789702656</t>
        </is>
      </c>
      <c r="AY142" t="inlineStr">
        <is>
          <t>2272359550002656</t>
        </is>
      </c>
      <c r="AZ142" t="inlineStr">
        <is>
          <t>BOOK</t>
        </is>
      </c>
      <c r="BC142" t="inlineStr">
        <is>
          <t>32285002461266</t>
        </is>
      </c>
      <c r="BD142" t="inlineStr">
        <is>
          <t>893324047</t>
        </is>
      </c>
    </row>
    <row r="143">
      <c r="A143" t="inlineStr">
        <is>
          <t>No</t>
        </is>
      </c>
      <c r="B143" t="inlineStr">
        <is>
          <t>DS111 .G65 1988</t>
        </is>
      </c>
      <c r="C143" t="inlineStr">
        <is>
          <t>0                      DS 0111000G  65          1988</t>
        </is>
      </c>
      <c r="D143" t="inlineStr">
        <is>
          <t>Jewish symbols in the Greco-Roman period / Erwin R. Goodenough.</t>
        </is>
      </c>
      <c r="F143" t="inlineStr">
        <is>
          <t>No</t>
        </is>
      </c>
      <c r="G143" t="inlineStr">
        <is>
          <t>1</t>
        </is>
      </c>
      <c r="H143" t="inlineStr">
        <is>
          <t>No</t>
        </is>
      </c>
      <c r="I143" t="inlineStr">
        <is>
          <t>No</t>
        </is>
      </c>
      <c r="J143" t="inlineStr">
        <is>
          <t>0</t>
        </is>
      </c>
      <c r="K143" t="inlineStr">
        <is>
          <t>Goodenough, Erwin Ramsdell, 1893-1965.</t>
        </is>
      </c>
      <c r="L143" t="inlineStr">
        <is>
          <t>Princeton, NJ : Princeton University Press, c1988.</t>
        </is>
      </c>
      <c r="M143" t="inlineStr">
        <is>
          <t>1988</t>
        </is>
      </c>
      <c r="N143" t="inlineStr">
        <is>
          <t>Abridged ed. / edited, with a foreword, by Jacob Neusner.</t>
        </is>
      </c>
      <c r="O143" t="inlineStr">
        <is>
          <t>eng</t>
        </is>
      </c>
      <c r="P143" t="inlineStr">
        <is>
          <t>nju</t>
        </is>
      </c>
      <c r="Q143" t="inlineStr">
        <is>
          <t>Bollingen series</t>
        </is>
      </c>
      <c r="R143" t="inlineStr">
        <is>
          <t xml:space="preserve">DS </t>
        </is>
      </c>
      <c r="S143" t="n">
        <v>7</v>
      </c>
      <c r="T143" t="n">
        <v>7</v>
      </c>
      <c r="U143" t="inlineStr">
        <is>
          <t>2007-04-09</t>
        </is>
      </c>
      <c r="V143" t="inlineStr">
        <is>
          <t>2007-04-09</t>
        </is>
      </c>
      <c r="W143" t="inlineStr">
        <is>
          <t>1990-09-28</t>
        </is>
      </c>
      <c r="X143" t="inlineStr">
        <is>
          <t>1990-09-28</t>
        </is>
      </c>
      <c r="Y143" t="n">
        <v>479</v>
      </c>
      <c r="Z143" t="n">
        <v>376</v>
      </c>
      <c r="AA143" t="n">
        <v>376</v>
      </c>
      <c r="AB143" t="n">
        <v>3</v>
      </c>
      <c r="AC143" t="n">
        <v>3</v>
      </c>
      <c r="AD143" t="n">
        <v>22</v>
      </c>
      <c r="AE143" t="n">
        <v>22</v>
      </c>
      <c r="AF143" t="n">
        <v>9</v>
      </c>
      <c r="AG143" t="n">
        <v>9</v>
      </c>
      <c r="AH143" t="n">
        <v>6</v>
      </c>
      <c r="AI143" t="n">
        <v>6</v>
      </c>
      <c r="AJ143" t="n">
        <v>10</v>
      </c>
      <c r="AK143" t="n">
        <v>10</v>
      </c>
      <c r="AL143" t="n">
        <v>2</v>
      </c>
      <c r="AM143" t="n">
        <v>2</v>
      </c>
      <c r="AN143" t="n">
        <v>0</v>
      </c>
      <c r="AO143" t="n">
        <v>0</v>
      </c>
      <c r="AP143" t="inlineStr">
        <is>
          <t>No</t>
        </is>
      </c>
      <c r="AQ143" t="inlineStr">
        <is>
          <t>No</t>
        </is>
      </c>
      <c r="AS143">
        <f>HYPERLINK("https://creighton-primo.hosted.exlibrisgroup.com/primo-explore/search?tab=default_tab&amp;search_scope=EVERYTHING&amp;vid=01CRU&amp;lang=en_US&amp;offset=0&amp;query=any,contains,991001240379702656","Catalog Record")</f>
        <v/>
      </c>
      <c r="AT143">
        <f>HYPERLINK("http://www.worldcat.org/oclc/17618692","WorldCat Record")</f>
        <v/>
      </c>
      <c r="AU143" t="inlineStr">
        <is>
          <t>8841752437:eng</t>
        </is>
      </c>
      <c r="AV143" t="inlineStr">
        <is>
          <t>17618692</t>
        </is>
      </c>
      <c r="AW143" t="inlineStr">
        <is>
          <t>991001240379702656</t>
        </is>
      </c>
      <c r="AX143" t="inlineStr">
        <is>
          <t>991001240379702656</t>
        </is>
      </c>
      <c r="AY143" t="inlineStr">
        <is>
          <t>2256381380002656</t>
        </is>
      </c>
      <c r="AZ143" t="inlineStr">
        <is>
          <t>BOOK</t>
        </is>
      </c>
      <c r="BB143" t="inlineStr">
        <is>
          <t>9780691099675</t>
        </is>
      </c>
      <c r="BC143" t="inlineStr">
        <is>
          <t>32285000293034</t>
        </is>
      </c>
      <c r="BD143" t="inlineStr">
        <is>
          <t>893866078</t>
        </is>
      </c>
    </row>
    <row r="144">
      <c r="A144" t="inlineStr">
        <is>
          <t>No</t>
        </is>
      </c>
      <c r="B144" t="inlineStr">
        <is>
          <t>DS111 .K45 1968</t>
        </is>
      </c>
      <c r="C144" t="inlineStr">
        <is>
          <t>0                      DS 0111000K  45          1968</t>
        </is>
      </c>
      <c r="D144" t="inlineStr">
        <is>
          <t>The excavation of Bethel (1934-1960) / William F. Albright, director 1934; James L. Kelso, director 1954, 1957, 1960. (Joint Expedition of the Pittsburgh Theological Seminary and the American School of Oriental Research in Jerusalem) [by] James L. Kelso, with chapters by William F. Albright [and others]</t>
        </is>
      </c>
      <c r="F144" t="inlineStr">
        <is>
          <t>No</t>
        </is>
      </c>
      <c r="G144" t="inlineStr">
        <is>
          <t>1</t>
        </is>
      </c>
      <c r="H144" t="inlineStr">
        <is>
          <t>No</t>
        </is>
      </c>
      <c r="I144" t="inlineStr">
        <is>
          <t>No</t>
        </is>
      </c>
      <c r="J144" t="inlineStr">
        <is>
          <t>0</t>
        </is>
      </c>
      <c r="L144" t="inlineStr">
        <is>
          <t>Cambridge : American Schools of Oriental Research with the aid of the Jane Dows Nies Publication Fund, 1968.</t>
        </is>
      </c>
      <c r="M144" t="inlineStr">
        <is>
          <t>1968</t>
        </is>
      </c>
      <c r="O144" t="inlineStr">
        <is>
          <t>eng</t>
        </is>
      </c>
      <c r="P144" t="inlineStr">
        <is>
          <t xml:space="preserve">xx </t>
        </is>
      </c>
      <c r="Q144" t="inlineStr">
        <is>
          <t>American Schools of Oriental Research. Annual, 39</t>
        </is>
      </c>
      <c r="R144" t="inlineStr">
        <is>
          <t xml:space="preserve">DS </t>
        </is>
      </c>
      <c r="S144" t="n">
        <v>7</v>
      </c>
      <c r="T144" t="n">
        <v>7</v>
      </c>
      <c r="U144" t="inlineStr">
        <is>
          <t>2002-12-05</t>
        </is>
      </c>
      <c r="V144" t="inlineStr">
        <is>
          <t>2002-12-05</t>
        </is>
      </c>
      <c r="W144" t="inlineStr">
        <is>
          <t>1997-05-20</t>
        </is>
      </c>
      <c r="X144" t="inlineStr">
        <is>
          <t>1997-05-20</t>
        </is>
      </c>
      <c r="Y144" t="n">
        <v>37</v>
      </c>
      <c r="Z144" t="n">
        <v>32</v>
      </c>
      <c r="AA144" t="n">
        <v>36</v>
      </c>
      <c r="AB144" t="n">
        <v>2</v>
      </c>
      <c r="AC144" t="n">
        <v>2</v>
      </c>
      <c r="AD144" t="n">
        <v>2</v>
      </c>
      <c r="AE144" t="n">
        <v>2</v>
      </c>
      <c r="AF144" t="n">
        <v>0</v>
      </c>
      <c r="AG144" t="n">
        <v>0</v>
      </c>
      <c r="AH144" t="n">
        <v>0</v>
      </c>
      <c r="AI144" t="n">
        <v>0</v>
      </c>
      <c r="AJ144" t="n">
        <v>1</v>
      </c>
      <c r="AK144" t="n">
        <v>1</v>
      </c>
      <c r="AL144" t="n">
        <v>1</v>
      </c>
      <c r="AM144" t="n">
        <v>1</v>
      </c>
      <c r="AN144" t="n">
        <v>0</v>
      </c>
      <c r="AO144" t="n">
        <v>0</v>
      </c>
      <c r="AP144" t="inlineStr">
        <is>
          <t>No</t>
        </is>
      </c>
      <c r="AQ144" t="inlineStr">
        <is>
          <t>Yes</t>
        </is>
      </c>
      <c r="AR144">
        <f>HYPERLINK("http://catalog.hathitrust.org/Record/101959675","HathiTrust Record")</f>
        <v/>
      </c>
      <c r="AS144">
        <f>HYPERLINK("https://creighton-primo.hosted.exlibrisgroup.com/primo-explore/search?tab=default_tab&amp;search_scope=EVERYTHING&amp;vid=01CRU&amp;lang=en_US&amp;offset=0&amp;query=any,contains,991003567749702656","Catalog Record")</f>
        <v/>
      </c>
      <c r="AT144">
        <f>HYPERLINK("http://www.worldcat.org/oclc/1141498","WorldCat Record")</f>
        <v/>
      </c>
      <c r="AU144" t="inlineStr">
        <is>
          <t>5218136401:eng</t>
        </is>
      </c>
      <c r="AV144" t="inlineStr">
        <is>
          <t>1141498</t>
        </is>
      </c>
      <c r="AW144" t="inlineStr">
        <is>
          <t>991003567749702656</t>
        </is>
      </c>
      <c r="AX144" t="inlineStr">
        <is>
          <t>991003567749702656</t>
        </is>
      </c>
      <c r="AY144" t="inlineStr">
        <is>
          <t>2264938030002656</t>
        </is>
      </c>
      <c r="AZ144" t="inlineStr">
        <is>
          <t>BOOK</t>
        </is>
      </c>
      <c r="BC144" t="inlineStr">
        <is>
          <t>32285002609757</t>
        </is>
      </c>
      <c r="BD144" t="inlineStr">
        <is>
          <t>893262811</t>
        </is>
      </c>
    </row>
    <row r="145">
      <c r="A145" t="inlineStr">
        <is>
          <t>No</t>
        </is>
      </c>
      <c r="B145" t="inlineStr">
        <is>
          <t>DS111 .N56 1968</t>
        </is>
      </c>
      <c r="C145" t="inlineStr">
        <is>
          <t>0                      DS 0111000N  56          1968</t>
        </is>
      </c>
      <c r="D145" t="inlineStr">
        <is>
          <t>The 1957 excavation at Beth-zur / conducted by McCormick Theological Seminary and the American School of Oriental Research in Jerusalem, by Ovid R. Sellers [and others]</t>
        </is>
      </c>
      <c r="F145" t="inlineStr">
        <is>
          <t>No</t>
        </is>
      </c>
      <c r="G145" t="inlineStr">
        <is>
          <t>1</t>
        </is>
      </c>
      <c r="H145" t="inlineStr">
        <is>
          <t>No</t>
        </is>
      </c>
      <c r="I145" t="inlineStr">
        <is>
          <t>No</t>
        </is>
      </c>
      <c r="J145" t="inlineStr">
        <is>
          <t>0</t>
        </is>
      </c>
      <c r="L145" t="inlineStr">
        <is>
          <t>Cambridge, Mass. : American Schools of Oriental Research, 1968.</t>
        </is>
      </c>
      <c r="M145" t="inlineStr">
        <is>
          <t>1968</t>
        </is>
      </c>
      <c r="O145" t="inlineStr">
        <is>
          <t>eng</t>
        </is>
      </c>
      <c r="P145" t="inlineStr">
        <is>
          <t>mau</t>
        </is>
      </c>
      <c r="Q145" t="inlineStr">
        <is>
          <t>The Annual of the American Schools of Oriental Research, v. 38</t>
        </is>
      </c>
      <c r="R145" t="inlineStr">
        <is>
          <t xml:space="preserve">DS </t>
        </is>
      </c>
      <c r="S145" t="n">
        <v>6</v>
      </c>
      <c r="T145" t="n">
        <v>6</v>
      </c>
      <c r="U145" t="inlineStr">
        <is>
          <t>2009-12-15</t>
        </is>
      </c>
      <c r="V145" t="inlineStr">
        <is>
          <t>2009-12-15</t>
        </is>
      </c>
      <c r="W145" t="inlineStr">
        <is>
          <t>1997-05-20</t>
        </is>
      </c>
      <c r="X145" t="inlineStr">
        <is>
          <t>1997-05-20</t>
        </is>
      </c>
      <c r="Y145" t="n">
        <v>181</v>
      </c>
      <c r="Z145" t="n">
        <v>140</v>
      </c>
      <c r="AA145" t="n">
        <v>141</v>
      </c>
      <c r="AB145" t="n">
        <v>3</v>
      </c>
      <c r="AC145" t="n">
        <v>3</v>
      </c>
      <c r="AD145" t="n">
        <v>10</v>
      </c>
      <c r="AE145" t="n">
        <v>10</v>
      </c>
      <c r="AF145" t="n">
        <v>3</v>
      </c>
      <c r="AG145" t="n">
        <v>3</v>
      </c>
      <c r="AH145" t="n">
        <v>1</v>
      </c>
      <c r="AI145" t="n">
        <v>1</v>
      </c>
      <c r="AJ145" t="n">
        <v>5</v>
      </c>
      <c r="AK145" t="n">
        <v>5</v>
      </c>
      <c r="AL145" t="n">
        <v>2</v>
      </c>
      <c r="AM145" t="n">
        <v>2</v>
      </c>
      <c r="AN145" t="n">
        <v>0</v>
      </c>
      <c r="AO145" t="n">
        <v>0</v>
      </c>
      <c r="AP145" t="inlineStr">
        <is>
          <t>No</t>
        </is>
      </c>
      <c r="AQ145" t="inlineStr">
        <is>
          <t>No</t>
        </is>
      </c>
      <c r="AS145">
        <f>HYPERLINK("https://creighton-primo.hosted.exlibrisgroup.com/primo-explore/search?tab=default_tab&amp;search_scope=EVERYTHING&amp;vid=01CRU&amp;lang=en_US&amp;offset=0&amp;query=any,contains,991000683139702656","Catalog Record")</f>
        <v/>
      </c>
      <c r="AT145">
        <f>HYPERLINK("http://www.worldcat.org/oclc/122528","WorldCat Record")</f>
        <v/>
      </c>
      <c r="AU145" t="inlineStr">
        <is>
          <t>1245118:eng</t>
        </is>
      </c>
      <c r="AV145" t="inlineStr">
        <is>
          <t>122528</t>
        </is>
      </c>
      <c r="AW145" t="inlineStr">
        <is>
          <t>991000683139702656</t>
        </is>
      </c>
      <c r="AX145" t="inlineStr">
        <is>
          <t>991000683139702656</t>
        </is>
      </c>
      <c r="AY145" t="inlineStr">
        <is>
          <t>2260929630002656</t>
        </is>
      </c>
      <c r="AZ145" t="inlineStr">
        <is>
          <t>BOOK</t>
        </is>
      </c>
      <c r="BC145" t="inlineStr">
        <is>
          <t>32285002609740</t>
        </is>
      </c>
      <c r="BD145" t="inlineStr">
        <is>
          <t>893425939</t>
        </is>
      </c>
    </row>
    <row r="146">
      <c r="A146" t="inlineStr">
        <is>
          <t>No</t>
        </is>
      </c>
      <c r="B146" t="inlineStr">
        <is>
          <t>DS111 .P469</t>
        </is>
      </c>
      <c r="C146" t="inlineStr">
        <is>
          <t>0                      DS 0111000P  469</t>
        </is>
      </c>
      <c r="D146" t="inlineStr">
        <is>
          <t>Syria-Palestine I : from the origins to the bronze age / Jean Perrot ; translated from the French by James Hogarth.</t>
        </is>
      </c>
      <c r="F146" t="inlineStr">
        <is>
          <t>No</t>
        </is>
      </c>
      <c r="G146" t="inlineStr">
        <is>
          <t>1</t>
        </is>
      </c>
      <c r="H146" t="inlineStr">
        <is>
          <t>No</t>
        </is>
      </c>
      <c r="I146" t="inlineStr">
        <is>
          <t>No</t>
        </is>
      </c>
      <c r="J146" t="inlineStr">
        <is>
          <t>0</t>
        </is>
      </c>
      <c r="K146" t="inlineStr">
        <is>
          <t>Perrot, Jean.</t>
        </is>
      </c>
      <c r="L146" t="inlineStr">
        <is>
          <t>Geneva : Nagel, c1979.</t>
        </is>
      </c>
      <c r="M146" t="inlineStr">
        <is>
          <t>1979</t>
        </is>
      </c>
      <c r="O146" t="inlineStr">
        <is>
          <t>eng</t>
        </is>
      </c>
      <c r="P146" t="inlineStr">
        <is>
          <t xml:space="preserve">sz </t>
        </is>
      </c>
      <c r="Q146" t="inlineStr">
        <is>
          <t>Archaeologia mundi</t>
        </is>
      </c>
      <c r="R146" t="inlineStr">
        <is>
          <t xml:space="preserve">DS </t>
        </is>
      </c>
      <c r="S146" t="n">
        <v>10</v>
      </c>
      <c r="T146" t="n">
        <v>10</v>
      </c>
      <c r="U146" t="inlineStr">
        <is>
          <t>2007-03-13</t>
        </is>
      </c>
      <c r="V146" t="inlineStr">
        <is>
          <t>2007-03-13</t>
        </is>
      </c>
      <c r="W146" t="inlineStr">
        <is>
          <t>1990-09-28</t>
        </is>
      </c>
      <c r="X146" t="inlineStr">
        <is>
          <t>1990-09-28</t>
        </is>
      </c>
      <c r="Y146" t="n">
        <v>36</v>
      </c>
      <c r="Z146" t="n">
        <v>21</v>
      </c>
      <c r="AA146" t="n">
        <v>22</v>
      </c>
      <c r="AB146" t="n">
        <v>1</v>
      </c>
      <c r="AC146" t="n">
        <v>1</v>
      </c>
      <c r="AD146" t="n">
        <v>0</v>
      </c>
      <c r="AE146" t="n">
        <v>0</v>
      </c>
      <c r="AF146" t="n">
        <v>0</v>
      </c>
      <c r="AG146" t="n">
        <v>0</v>
      </c>
      <c r="AH146" t="n">
        <v>0</v>
      </c>
      <c r="AI146" t="n">
        <v>0</v>
      </c>
      <c r="AJ146" t="n">
        <v>0</v>
      </c>
      <c r="AK146" t="n">
        <v>0</v>
      </c>
      <c r="AL146" t="n">
        <v>0</v>
      </c>
      <c r="AM146" t="n">
        <v>0</v>
      </c>
      <c r="AN146" t="n">
        <v>0</v>
      </c>
      <c r="AO146" t="n">
        <v>0</v>
      </c>
      <c r="AP146" t="inlineStr">
        <is>
          <t>No</t>
        </is>
      </c>
      <c r="AQ146" t="inlineStr">
        <is>
          <t>No</t>
        </is>
      </c>
      <c r="AS146">
        <f>HYPERLINK("https://creighton-primo.hosted.exlibrisgroup.com/primo-explore/search?tab=default_tab&amp;search_scope=EVERYTHING&amp;vid=01CRU&amp;lang=en_US&amp;offset=0&amp;query=any,contains,991004830049702656","Catalog Record")</f>
        <v/>
      </c>
      <c r="AT146">
        <f>HYPERLINK("http://www.worldcat.org/oclc/5398690","WorldCat Record")</f>
        <v/>
      </c>
      <c r="AU146" t="inlineStr">
        <is>
          <t>3374134606:eng</t>
        </is>
      </c>
      <c r="AV146" t="inlineStr">
        <is>
          <t>5398690</t>
        </is>
      </c>
      <c r="AW146" t="inlineStr">
        <is>
          <t>991004830049702656</t>
        </is>
      </c>
      <c r="AX146" t="inlineStr">
        <is>
          <t>991004830049702656</t>
        </is>
      </c>
      <c r="AY146" t="inlineStr">
        <is>
          <t>2270390370002656</t>
        </is>
      </c>
      <c r="AZ146" t="inlineStr">
        <is>
          <t>BOOK</t>
        </is>
      </c>
      <c r="BB146" t="inlineStr">
        <is>
          <t>9782826307167</t>
        </is>
      </c>
      <c r="BC146" t="inlineStr">
        <is>
          <t>32285000293067</t>
        </is>
      </c>
      <c r="BD146" t="inlineStr">
        <is>
          <t>893694387</t>
        </is>
      </c>
    </row>
    <row r="147">
      <c r="A147" t="inlineStr">
        <is>
          <t>No</t>
        </is>
      </c>
      <c r="B147" t="inlineStr">
        <is>
          <t>DS111 .P4691</t>
        </is>
      </c>
      <c r="C147" t="inlineStr">
        <is>
          <t>0                      DS 0111000P  4691</t>
        </is>
      </c>
      <c r="D147" t="inlineStr">
        <is>
          <t>Syria-Palestine II : from the middle bronze age to the end of the classical world (2200 B.C.-324 A.D.) / Aharon Kempinski, Michael Avi-Yonah.</t>
        </is>
      </c>
      <c r="F147" t="inlineStr">
        <is>
          <t>No</t>
        </is>
      </c>
      <c r="G147" t="inlineStr">
        <is>
          <t>1</t>
        </is>
      </c>
      <c r="H147" t="inlineStr">
        <is>
          <t>No</t>
        </is>
      </c>
      <c r="I147" t="inlineStr">
        <is>
          <t>No</t>
        </is>
      </c>
      <c r="J147" t="inlineStr">
        <is>
          <t>0</t>
        </is>
      </c>
      <c r="K147" t="inlineStr">
        <is>
          <t>Kempinski, Aharon.</t>
        </is>
      </c>
      <c r="L147" t="inlineStr">
        <is>
          <t>Geneva : Nagel, c1979.</t>
        </is>
      </c>
      <c r="M147" t="inlineStr">
        <is>
          <t>1979</t>
        </is>
      </c>
      <c r="O147" t="inlineStr">
        <is>
          <t>eng</t>
        </is>
      </c>
      <c r="P147" t="inlineStr">
        <is>
          <t xml:space="preserve">sz </t>
        </is>
      </c>
      <c r="Q147" t="inlineStr">
        <is>
          <t>Archaeologia mundi</t>
        </is>
      </c>
      <c r="R147" t="inlineStr">
        <is>
          <t xml:space="preserve">DS </t>
        </is>
      </c>
      <c r="S147" t="n">
        <v>18</v>
      </c>
      <c r="T147" t="n">
        <v>18</v>
      </c>
      <c r="U147" t="inlineStr">
        <is>
          <t>2009-11-23</t>
        </is>
      </c>
      <c r="V147" t="inlineStr">
        <is>
          <t>2009-11-23</t>
        </is>
      </c>
      <c r="W147" t="inlineStr">
        <is>
          <t>1990-09-28</t>
        </is>
      </c>
      <c r="X147" t="inlineStr">
        <is>
          <t>1990-09-28</t>
        </is>
      </c>
      <c r="Y147" t="n">
        <v>49</v>
      </c>
      <c r="Z147" t="n">
        <v>30</v>
      </c>
      <c r="AA147" t="n">
        <v>31</v>
      </c>
      <c r="AB147" t="n">
        <v>1</v>
      </c>
      <c r="AC147" t="n">
        <v>1</v>
      </c>
      <c r="AD147" t="n">
        <v>0</v>
      </c>
      <c r="AE147" t="n">
        <v>0</v>
      </c>
      <c r="AF147" t="n">
        <v>0</v>
      </c>
      <c r="AG147" t="n">
        <v>0</v>
      </c>
      <c r="AH147" t="n">
        <v>0</v>
      </c>
      <c r="AI147" t="n">
        <v>0</v>
      </c>
      <c r="AJ147" t="n">
        <v>0</v>
      </c>
      <c r="AK147" t="n">
        <v>0</v>
      </c>
      <c r="AL147" t="n">
        <v>0</v>
      </c>
      <c r="AM147" t="n">
        <v>0</v>
      </c>
      <c r="AN147" t="n">
        <v>0</v>
      </c>
      <c r="AO147" t="n">
        <v>0</v>
      </c>
      <c r="AP147" t="inlineStr">
        <is>
          <t>No</t>
        </is>
      </c>
      <c r="AQ147" t="inlineStr">
        <is>
          <t>No</t>
        </is>
      </c>
      <c r="AS147">
        <f>HYPERLINK("https://creighton-primo.hosted.exlibrisgroup.com/primo-explore/search?tab=default_tab&amp;search_scope=EVERYTHING&amp;vid=01CRU&amp;lang=en_US&amp;offset=0&amp;query=any,contains,991004830029702656","Catalog Record")</f>
        <v/>
      </c>
      <c r="AT147">
        <f>HYPERLINK("http://www.worldcat.org/oclc/5398638","WorldCat Record")</f>
        <v/>
      </c>
      <c r="AU147" t="inlineStr">
        <is>
          <t>2866012315:eng</t>
        </is>
      </c>
      <c r="AV147" t="inlineStr">
        <is>
          <t>5398638</t>
        </is>
      </c>
      <c r="AW147" t="inlineStr">
        <is>
          <t>991004830029702656</t>
        </is>
      </c>
      <c r="AX147" t="inlineStr">
        <is>
          <t>991004830029702656</t>
        </is>
      </c>
      <c r="AY147" t="inlineStr">
        <is>
          <t>2270389310002656</t>
        </is>
      </c>
      <c r="AZ147" t="inlineStr">
        <is>
          <t>BOOK</t>
        </is>
      </c>
      <c r="BB147" t="inlineStr">
        <is>
          <t>9782826306948</t>
        </is>
      </c>
      <c r="BC147" t="inlineStr">
        <is>
          <t>32285000293075</t>
        </is>
      </c>
      <c r="BD147" t="inlineStr">
        <is>
          <t>893235968</t>
        </is>
      </c>
    </row>
    <row r="148">
      <c r="A148" t="inlineStr">
        <is>
          <t>No</t>
        </is>
      </c>
      <c r="B148" t="inlineStr">
        <is>
          <t>DS111 .P47 1978</t>
        </is>
      </c>
      <c r="C148" t="inlineStr">
        <is>
          <t>0                      DS 0111000P  47          1978</t>
        </is>
      </c>
      <c r="D148" t="inlineStr">
        <is>
          <t>Historical sites in Israel / by Moshe Pearlman and Yaacov Yannai ; foreword by Yigael Yadin. --</t>
        </is>
      </c>
      <c r="F148" t="inlineStr">
        <is>
          <t>No</t>
        </is>
      </c>
      <c r="G148" t="inlineStr">
        <is>
          <t>1</t>
        </is>
      </c>
      <c r="H148" t="inlineStr">
        <is>
          <t>No</t>
        </is>
      </c>
      <c r="I148" t="inlineStr">
        <is>
          <t>No</t>
        </is>
      </c>
      <c r="J148" t="inlineStr">
        <is>
          <t>0</t>
        </is>
      </c>
      <c r="K148" t="inlineStr">
        <is>
          <t>Pearlman, Moshe, 1911-1986.</t>
        </is>
      </c>
      <c r="L148" t="inlineStr">
        <is>
          <t>Secaucus, N.J. : Chartwell Books, 1978, c1977.</t>
        </is>
      </c>
      <c r="M148" t="inlineStr">
        <is>
          <t>1978</t>
        </is>
      </c>
      <c r="N148" t="inlineStr">
        <is>
          <t>Rev. and enl. ed. --</t>
        </is>
      </c>
      <c r="O148" t="inlineStr">
        <is>
          <t>eng</t>
        </is>
      </c>
      <c r="P148" t="inlineStr">
        <is>
          <t>nju</t>
        </is>
      </c>
      <c r="R148" t="inlineStr">
        <is>
          <t xml:space="preserve">DS </t>
        </is>
      </c>
      <c r="S148" t="n">
        <v>20</v>
      </c>
      <c r="T148" t="n">
        <v>20</v>
      </c>
      <c r="U148" t="inlineStr">
        <is>
          <t>2009-11-17</t>
        </is>
      </c>
      <c r="V148" t="inlineStr">
        <is>
          <t>2009-11-17</t>
        </is>
      </c>
      <c r="W148" t="inlineStr">
        <is>
          <t>1990-09-28</t>
        </is>
      </c>
      <c r="X148" t="inlineStr">
        <is>
          <t>1990-09-28</t>
        </is>
      </c>
      <c r="Y148" t="n">
        <v>120</v>
      </c>
      <c r="Z148" t="n">
        <v>111</v>
      </c>
      <c r="AA148" t="n">
        <v>675</v>
      </c>
      <c r="AB148" t="n">
        <v>1</v>
      </c>
      <c r="AC148" t="n">
        <v>6</v>
      </c>
      <c r="AD148" t="n">
        <v>6</v>
      </c>
      <c r="AE148" t="n">
        <v>24</v>
      </c>
      <c r="AF148" t="n">
        <v>3</v>
      </c>
      <c r="AG148" t="n">
        <v>9</v>
      </c>
      <c r="AH148" t="n">
        <v>2</v>
      </c>
      <c r="AI148" t="n">
        <v>6</v>
      </c>
      <c r="AJ148" t="n">
        <v>1</v>
      </c>
      <c r="AK148" t="n">
        <v>9</v>
      </c>
      <c r="AL148" t="n">
        <v>0</v>
      </c>
      <c r="AM148" t="n">
        <v>4</v>
      </c>
      <c r="AN148" t="n">
        <v>0</v>
      </c>
      <c r="AO148" t="n">
        <v>0</v>
      </c>
      <c r="AP148" t="inlineStr">
        <is>
          <t>No</t>
        </is>
      </c>
      <c r="AQ148" t="inlineStr">
        <is>
          <t>No</t>
        </is>
      </c>
      <c r="AS148">
        <f>HYPERLINK("https://creighton-primo.hosted.exlibrisgroup.com/primo-explore/search?tab=default_tab&amp;search_scope=EVERYTHING&amp;vid=01CRU&amp;lang=en_US&amp;offset=0&amp;query=any,contains,991004621699702656","Catalog Record")</f>
        <v/>
      </c>
      <c r="AT148">
        <f>HYPERLINK("http://www.worldcat.org/oclc/4300988","WorldCat Record")</f>
        <v/>
      </c>
      <c r="AU148" t="inlineStr">
        <is>
          <t>139829861:eng</t>
        </is>
      </c>
      <c r="AV148" t="inlineStr">
        <is>
          <t>4300988</t>
        </is>
      </c>
      <c r="AW148" t="inlineStr">
        <is>
          <t>991004621699702656</t>
        </is>
      </c>
      <c r="AX148" t="inlineStr">
        <is>
          <t>991004621699702656</t>
        </is>
      </c>
      <c r="AY148" t="inlineStr">
        <is>
          <t>2264684830002656</t>
        </is>
      </c>
      <c r="AZ148" t="inlineStr">
        <is>
          <t>BOOK</t>
        </is>
      </c>
      <c r="BB148" t="inlineStr">
        <is>
          <t>9780890091975</t>
        </is>
      </c>
      <c r="BC148" t="inlineStr">
        <is>
          <t>32285000293083</t>
        </is>
      </c>
      <c r="BD148" t="inlineStr">
        <is>
          <t>893700449</t>
        </is>
      </c>
    </row>
    <row r="149">
      <c r="A149" t="inlineStr">
        <is>
          <t>No</t>
        </is>
      </c>
      <c r="B149" t="inlineStr">
        <is>
          <t>DS111 .R42</t>
        </is>
      </c>
      <c r="C149" t="inlineStr">
        <is>
          <t>0                      DS 0111000R  42</t>
        </is>
      </c>
      <c r="D149" t="inlineStr">
        <is>
          <t>Ancient Hebrew arts.</t>
        </is>
      </c>
      <c r="F149" t="inlineStr">
        <is>
          <t>No</t>
        </is>
      </c>
      <c r="G149" t="inlineStr">
        <is>
          <t>1</t>
        </is>
      </c>
      <c r="H149" t="inlineStr">
        <is>
          <t>No</t>
        </is>
      </c>
      <c r="I149" t="inlineStr">
        <is>
          <t>No</t>
        </is>
      </c>
      <c r="J149" t="inlineStr">
        <is>
          <t>0</t>
        </is>
      </c>
      <c r="K149" t="inlineStr">
        <is>
          <t>Reifenberg, Adolf, 1899-1953.</t>
        </is>
      </c>
      <c r="L149" t="inlineStr">
        <is>
          <t>New York, Schocken Books [1950]</t>
        </is>
      </c>
      <c r="M149" t="inlineStr">
        <is>
          <t>1950</t>
        </is>
      </c>
      <c r="O149" t="inlineStr">
        <is>
          <t>eng</t>
        </is>
      </c>
      <c r="P149" t="inlineStr">
        <is>
          <t xml:space="preserve">xx </t>
        </is>
      </c>
      <c r="R149" t="inlineStr">
        <is>
          <t xml:space="preserve">DS </t>
        </is>
      </c>
      <c r="S149" t="n">
        <v>2</v>
      </c>
      <c r="T149" t="n">
        <v>2</v>
      </c>
      <c r="U149" t="inlineStr">
        <is>
          <t>2005-10-12</t>
        </is>
      </c>
      <c r="V149" t="inlineStr">
        <is>
          <t>2005-10-12</t>
        </is>
      </c>
      <c r="W149" t="inlineStr">
        <is>
          <t>1997-02-25</t>
        </is>
      </c>
      <c r="X149" t="inlineStr">
        <is>
          <t>1997-02-25</t>
        </is>
      </c>
      <c r="Y149" t="n">
        <v>476</v>
      </c>
      <c r="Z149" t="n">
        <v>425</v>
      </c>
      <c r="AA149" t="n">
        <v>426</v>
      </c>
      <c r="AB149" t="n">
        <v>6</v>
      </c>
      <c r="AC149" t="n">
        <v>6</v>
      </c>
      <c r="AD149" t="n">
        <v>18</v>
      </c>
      <c r="AE149" t="n">
        <v>18</v>
      </c>
      <c r="AF149" t="n">
        <v>5</v>
      </c>
      <c r="AG149" t="n">
        <v>5</v>
      </c>
      <c r="AH149" t="n">
        <v>5</v>
      </c>
      <c r="AI149" t="n">
        <v>5</v>
      </c>
      <c r="AJ149" t="n">
        <v>6</v>
      </c>
      <c r="AK149" t="n">
        <v>6</v>
      </c>
      <c r="AL149" t="n">
        <v>5</v>
      </c>
      <c r="AM149" t="n">
        <v>5</v>
      </c>
      <c r="AN149" t="n">
        <v>0</v>
      </c>
      <c r="AO149" t="n">
        <v>0</v>
      </c>
      <c r="AP149" t="inlineStr">
        <is>
          <t>No</t>
        </is>
      </c>
      <c r="AQ149" t="inlineStr">
        <is>
          <t>No</t>
        </is>
      </c>
      <c r="AS149">
        <f>HYPERLINK("https://creighton-primo.hosted.exlibrisgroup.com/primo-explore/search?tab=default_tab&amp;search_scope=EVERYTHING&amp;vid=01CRU&amp;lang=en_US&amp;offset=0&amp;query=any,contains,991003837949702656","Catalog Record")</f>
        <v/>
      </c>
      <c r="AT149">
        <f>HYPERLINK("http://www.worldcat.org/oclc/1609537","WorldCat Record")</f>
        <v/>
      </c>
      <c r="AU149" t="inlineStr">
        <is>
          <t>2404398:eng</t>
        </is>
      </c>
      <c r="AV149" t="inlineStr">
        <is>
          <t>1609537</t>
        </is>
      </c>
      <c r="AW149" t="inlineStr">
        <is>
          <t>991003837949702656</t>
        </is>
      </c>
      <c r="AX149" t="inlineStr">
        <is>
          <t>991003837949702656</t>
        </is>
      </c>
      <c r="AY149" t="inlineStr">
        <is>
          <t>2263726080002656</t>
        </is>
      </c>
      <c r="AZ149" t="inlineStr">
        <is>
          <t>BOOK</t>
        </is>
      </c>
      <c r="BC149" t="inlineStr">
        <is>
          <t>32285002461316</t>
        </is>
      </c>
      <c r="BD149" t="inlineStr">
        <is>
          <t>893435512</t>
        </is>
      </c>
    </row>
    <row r="150">
      <c r="A150" t="inlineStr">
        <is>
          <t>No</t>
        </is>
      </c>
      <c r="B150" t="inlineStr">
        <is>
          <t>DS111 .R43 1984</t>
        </is>
      </c>
      <c r="C150" t="inlineStr">
        <is>
          <t>0                      DS 0111000R  43          1984</t>
        </is>
      </c>
      <c r="D150" t="inlineStr">
        <is>
          <t>Recent archaeology in the land of Israel / edited by Hershel Shanks (English ed.) and Benjamin Mazar (Hebrew ed.) ; translated by Aryeh Finkelstein.</t>
        </is>
      </c>
      <c r="F150" t="inlineStr">
        <is>
          <t>No</t>
        </is>
      </c>
      <c r="G150" t="inlineStr">
        <is>
          <t>1</t>
        </is>
      </c>
      <c r="H150" t="inlineStr">
        <is>
          <t>No</t>
        </is>
      </c>
      <c r="I150" t="inlineStr">
        <is>
          <t>No</t>
        </is>
      </c>
      <c r="J150" t="inlineStr">
        <is>
          <t>0</t>
        </is>
      </c>
      <c r="L150" t="inlineStr">
        <is>
          <t>Washington, D.C. : Biblical Archaeology Society ; Jerusalem : Israel Exploration Society, 1984, c1981.</t>
        </is>
      </c>
      <c r="M150" t="inlineStr">
        <is>
          <t>1981</t>
        </is>
      </c>
      <c r="O150" t="inlineStr">
        <is>
          <t>eng</t>
        </is>
      </c>
      <c r="P150" t="inlineStr">
        <is>
          <t>dcu</t>
        </is>
      </c>
      <c r="R150" t="inlineStr">
        <is>
          <t xml:space="preserve">DS </t>
        </is>
      </c>
      <c r="S150" t="n">
        <v>14</v>
      </c>
      <c r="T150" t="n">
        <v>14</v>
      </c>
      <c r="U150" t="inlineStr">
        <is>
          <t>2007-04-09</t>
        </is>
      </c>
      <c r="V150" t="inlineStr">
        <is>
          <t>2007-04-09</t>
        </is>
      </c>
      <c r="W150" t="inlineStr">
        <is>
          <t>1990-09-28</t>
        </is>
      </c>
      <c r="X150" t="inlineStr">
        <is>
          <t>1990-09-28</t>
        </is>
      </c>
      <c r="Y150" t="n">
        <v>459</v>
      </c>
      <c r="Z150" t="n">
        <v>382</v>
      </c>
      <c r="AA150" t="n">
        <v>410</v>
      </c>
      <c r="AB150" t="n">
        <v>1</v>
      </c>
      <c r="AC150" t="n">
        <v>1</v>
      </c>
      <c r="AD150" t="n">
        <v>17</v>
      </c>
      <c r="AE150" t="n">
        <v>17</v>
      </c>
      <c r="AF150" t="n">
        <v>10</v>
      </c>
      <c r="AG150" t="n">
        <v>10</v>
      </c>
      <c r="AH150" t="n">
        <v>2</v>
      </c>
      <c r="AI150" t="n">
        <v>2</v>
      </c>
      <c r="AJ150" t="n">
        <v>10</v>
      </c>
      <c r="AK150" t="n">
        <v>10</v>
      </c>
      <c r="AL150" t="n">
        <v>0</v>
      </c>
      <c r="AM150" t="n">
        <v>0</v>
      </c>
      <c r="AN150" t="n">
        <v>0</v>
      </c>
      <c r="AO150" t="n">
        <v>0</v>
      </c>
      <c r="AP150" t="inlineStr">
        <is>
          <t>No</t>
        </is>
      </c>
      <c r="AQ150" t="inlineStr">
        <is>
          <t>Yes</t>
        </is>
      </c>
      <c r="AR150">
        <f>HYPERLINK("http://catalog.hathitrust.org/Record/003502861","HathiTrust Record")</f>
        <v/>
      </c>
      <c r="AS150">
        <f>HYPERLINK("https://creighton-primo.hosted.exlibrisgroup.com/primo-explore/search?tab=default_tab&amp;search_scope=EVERYTHING&amp;vid=01CRU&amp;lang=en_US&amp;offset=0&amp;query=any,contains,991000438969702656","Catalog Record")</f>
        <v/>
      </c>
      <c r="AT150">
        <f>HYPERLINK("http://www.worldcat.org/oclc/10802842","WorldCat Record")</f>
        <v/>
      </c>
      <c r="AU150" t="inlineStr">
        <is>
          <t>150329473:eng</t>
        </is>
      </c>
      <c r="AV150" t="inlineStr">
        <is>
          <t>10802842</t>
        </is>
      </c>
      <c r="AW150" t="inlineStr">
        <is>
          <t>991000438969702656</t>
        </is>
      </c>
      <c r="AX150" t="inlineStr">
        <is>
          <t>991000438969702656</t>
        </is>
      </c>
      <c r="AY150" t="inlineStr">
        <is>
          <t>2267719380002656</t>
        </is>
      </c>
      <c r="AZ150" t="inlineStr">
        <is>
          <t>BOOK</t>
        </is>
      </c>
      <c r="BB150" t="inlineStr">
        <is>
          <t>9780961308902</t>
        </is>
      </c>
      <c r="BC150" t="inlineStr">
        <is>
          <t>32285000293091</t>
        </is>
      </c>
      <c r="BD150" t="inlineStr">
        <is>
          <t>893595546</t>
        </is>
      </c>
    </row>
    <row r="151">
      <c r="A151" t="inlineStr">
        <is>
          <t>No</t>
        </is>
      </c>
      <c r="B151" t="inlineStr">
        <is>
          <t>DS111.1 .H37 2001</t>
        </is>
      </c>
      <c r="C151" t="inlineStr">
        <is>
          <t>0                      DS 0111100H  37          2001</t>
        </is>
      </c>
      <c r="D151" t="inlineStr">
        <is>
          <t>The Al-Ṣubayba (Nimrod) fortress : towers 11 and 9 / Moshe Hartal ; with contributions by Reuven Amitai and Adrian Boas.</t>
        </is>
      </c>
      <c r="F151" t="inlineStr">
        <is>
          <t>No</t>
        </is>
      </c>
      <c r="G151" t="inlineStr">
        <is>
          <t>1</t>
        </is>
      </c>
      <c r="H151" t="inlineStr">
        <is>
          <t>No</t>
        </is>
      </c>
      <c r="I151" t="inlineStr">
        <is>
          <t>No</t>
        </is>
      </c>
      <c r="J151" t="inlineStr">
        <is>
          <t>0</t>
        </is>
      </c>
      <c r="K151" t="inlineStr">
        <is>
          <t>Hartal, Moshe.</t>
        </is>
      </c>
      <c r="L151" t="inlineStr">
        <is>
          <t>Jerusalem : Israel Antiquities Authority, 2001.</t>
        </is>
      </c>
      <c r="M151" t="inlineStr">
        <is>
          <t>2001</t>
        </is>
      </c>
      <c r="O151" t="inlineStr">
        <is>
          <t>eng</t>
        </is>
      </c>
      <c r="P151" t="inlineStr">
        <is>
          <t xml:space="preserve">is </t>
        </is>
      </c>
      <c r="Q151" t="inlineStr">
        <is>
          <t>IAA reports ; no. 11</t>
        </is>
      </c>
      <c r="R151" t="inlineStr">
        <is>
          <t xml:space="preserve">DS </t>
        </is>
      </c>
      <c r="S151" t="n">
        <v>1</v>
      </c>
      <c r="T151" t="n">
        <v>1</v>
      </c>
      <c r="U151" t="inlineStr">
        <is>
          <t>2010-01-18</t>
        </is>
      </c>
      <c r="V151" t="inlineStr">
        <is>
          <t>2010-01-18</t>
        </is>
      </c>
      <c r="W151" t="inlineStr">
        <is>
          <t>2010-01-18</t>
        </is>
      </c>
      <c r="X151" t="inlineStr">
        <is>
          <t>2010-01-18</t>
        </is>
      </c>
      <c r="Y151" t="n">
        <v>67</v>
      </c>
      <c r="Z151" t="n">
        <v>37</v>
      </c>
      <c r="AA151" t="n">
        <v>87</v>
      </c>
      <c r="AB151" t="n">
        <v>1</v>
      </c>
      <c r="AC151" t="n">
        <v>2</v>
      </c>
      <c r="AD151" t="n">
        <v>0</v>
      </c>
      <c r="AE151" t="n">
        <v>6</v>
      </c>
      <c r="AF151" t="n">
        <v>0</v>
      </c>
      <c r="AG151" t="n">
        <v>4</v>
      </c>
      <c r="AH151" t="n">
        <v>0</v>
      </c>
      <c r="AI151" t="n">
        <v>1</v>
      </c>
      <c r="AJ151" t="n">
        <v>0</v>
      </c>
      <c r="AK151" t="n">
        <v>1</v>
      </c>
      <c r="AL151" t="n">
        <v>0</v>
      </c>
      <c r="AM151" t="n">
        <v>1</v>
      </c>
      <c r="AN151" t="n">
        <v>0</v>
      </c>
      <c r="AO151" t="n">
        <v>0</v>
      </c>
      <c r="AP151" t="inlineStr">
        <is>
          <t>No</t>
        </is>
      </c>
      <c r="AQ151" t="inlineStr">
        <is>
          <t>Yes</t>
        </is>
      </c>
      <c r="AR151">
        <f>HYPERLINK("http://catalog.hathitrust.org/Record/006036242","HathiTrust Record")</f>
        <v/>
      </c>
      <c r="AS151">
        <f>HYPERLINK("https://creighton-primo.hosted.exlibrisgroup.com/primo-explore/search?tab=default_tab&amp;search_scope=EVERYTHING&amp;vid=01CRU&amp;lang=en_US&amp;offset=0&amp;query=any,contains,991005351889702656","Catalog Record")</f>
        <v/>
      </c>
      <c r="AT151">
        <f>HYPERLINK("http://www.worldcat.org/oclc/47114590","WorldCat Record")</f>
        <v/>
      </c>
      <c r="AU151" t="inlineStr">
        <is>
          <t>477694811:eng</t>
        </is>
      </c>
      <c r="AV151" t="inlineStr">
        <is>
          <t>47114590</t>
        </is>
      </c>
      <c r="AW151" t="inlineStr">
        <is>
          <t>991005351889702656</t>
        </is>
      </c>
      <c r="AX151" t="inlineStr">
        <is>
          <t>991005351889702656</t>
        </is>
      </c>
      <c r="AY151" t="inlineStr">
        <is>
          <t>2259588100002656</t>
        </is>
      </c>
      <c r="AZ151" t="inlineStr">
        <is>
          <t>BOOK</t>
        </is>
      </c>
      <c r="BB151" t="inlineStr">
        <is>
          <t>9789654060363</t>
        </is>
      </c>
      <c r="BC151" t="inlineStr">
        <is>
          <t>32285005558019</t>
        </is>
      </c>
      <c r="BD151" t="inlineStr">
        <is>
          <t>893870927</t>
        </is>
      </c>
    </row>
    <row r="152">
      <c r="A152" t="inlineStr">
        <is>
          <t>No</t>
        </is>
      </c>
      <c r="B152" t="inlineStr">
        <is>
          <t>DS111.1 .H47 1997</t>
        </is>
      </c>
      <c r="C152" t="inlineStr">
        <is>
          <t>0                      DS 0111100H  47          1997</t>
        </is>
      </c>
      <c r="D152" t="inlineStr">
        <is>
          <t>Archaeology of the city : urban planning in ancient Israel and its social implications / by Zeʼev Herzog.</t>
        </is>
      </c>
      <c r="F152" t="inlineStr">
        <is>
          <t>No</t>
        </is>
      </c>
      <c r="G152" t="inlineStr">
        <is>
          <t>1</t>
        </is>
      </c>
      <c r="H152" t="inlineStr">
        <is>
          <t>No</t>
        </is>
      </c>
      <c r="I152" t="inlineStr">
        <is>
          <t>No</t>
        </is>
      </c>
      <c r="J152" t="inlineStr">
        <is>
          <t>0</t>
        </is>
      </c>
      <c r="K152" t="inlineStr">
        <is>
          <t>Herzog, Zeʼev.</t>
        </is>
      </c>
      <c r="L152" t="inlineStr">
        <is>
          <t>Tel Aviv ; Emery and Claire Yass Archaeology Press, c1997.</t>
        </is>
      </c>
      <c r="M152" t="inlineStr">
        <is>
          <t>1997</t>
        </is>
      </c>
      <c r="O152" t="inlineStr">
        <is>
          <t>eng</t>
        </is>
      </c>
      <c r="P152" t="inlineStr">
        <is>
          <t xml:space="preserve">is </t>
        </is>
      </c>
      <c r="Q152" t="inlineStr">
        <is>
          <t>Monograph series of the Sonia and Marco Nadler Institute of Archaeology ; no. 13</t>
        </is>
      </c>
      <c r="R152" t="inlineStr">
        <is>
          <t xml:space="preserve">DS </t>
        </is>
      </c>
      <c r="S152" t="n">
        <v>13</v>
      </c>
      <c r="T152" t="n">
        <v>13</v>
      </c>
      <c r="U152" t="inlineStr">
        <is>
          <t>2009-12-15</t>
        </is>
      </c>
      <c r="V152" t="inlineStr">
        <is>
          <t>2009-12-15</t>
        </is>
      </c>
      <c r="W152" t="inlineStr">
        <is>
          <t>2001-01-03</t>
        </is>
      </c>
      <c r="X152" t="inlineStr">
        <is>
          <t>2001-01-03</t>
        </is>
      </c>
      <c r="Y152" t="n">
        <v>147</v>
      </c>
      <c r="Z152" t="n">
        <v>93</v>
      </c>
      <c r="AA152" t="n">
        <v>105</v>
      </c>
      <c r="AB152" t="n">
        <v>1</v>
      </c>
      <c r="AC152" t="n">
        <v>1</v>
      </c>
      <c r="AD152" t="n">
        <v>6</v>
      </c>
      <c r="AE152" t="n">
        <v>6</v>
      </c>
      <c r="AF152" t="n">
        <v>2</v>
      </c>
      <c r="AG152" t="n">
        <v>2</v>
      </c>
      <c r="AH152" t="n">
        <v>3</v>
      </c>
      <c r="AI152" t="n">
        <v>3</v>
      </c>
      <c r="AJ152" t="n">
        <v>4</v>
      </c>
      <c r="AK152" t="n">
        <v>4</v>
      </c>
      <c r="AL152" t="n">
        <v>0</v>
      </c>
      <c r="AM152" t="n">
        <v>0</v>
      </c>
      <c r="AN152" t="n">
        <v>0</v>
      </c>
      <c r="AO152" t="n">
        <v>0</v>
      </c>
      <c r="AP152" t="inlineStr">
        <is>
          <t>No</t>
        </is>
      </c>
      <c r="AQ152" t="inlineStr">
        <is>
          <t>Yes</t>
        </is>
      </c>
      <c r="AR152">
        <f>HYPERLINK("http://catalog.hathitrust.org/Record/003310309","HathiTrust Record")</f>
        <v/>
      </c>
      <c r="AS152">
        <f>HYPERLINK("https://creighton-primo.hosted.exlibrisgroup.com/primo-explore/search?tab=default_tab&amp;search_scope=EVERYTHING&amp;vid=01CRU&amp;lang=en_US&amp;offset=0&amp;query=any,contains,991003317529702656","Catalog Record")</f>
        <v/>
      </c>
      <c r="AT152">
        <f>HYPERLINK("http://www.worldcat.org/oclc/39724768","WorldCat Record")</f>
        <v/>
      </c>
      <c r="AU152" t="inlineStr">
        <is>
          <t>196107958:eng</t>
        </is>
      </c>
      <c r="AV152" t="inlineStr">
        <is>
          <t>39724768</t>
        </is>
      </c>
      <c r="AW152" t="inlineStr">
        <is>
          <t>991003317529702656</t>
        </is>
      </c>
      <c r="AX152" t="inlineStr">
        <is>
          <t>991003317529702656</t>
        </is>
      </c>
      <c r="AY152" t="inlineStr">
        <is>
          <t>2269491280002656</t>
        </is>
      </c>
      <c r="AZ152" t="inlineStr">
        <is>
          <t>BOOK</t>
        </is>
      </c>
      <c r="BB152" t="inlineStr">
        <is>
          <t>9789654400060</t>
        </is>
      </c>
      <c r="BC152" t="inlineStr">
        <is>
          <t>32285004279260</t>
        </is>
      </c>
      <c r="BD152" t="inlineStr">
        <is>
          <t>893887353</t>
        </is>
      </c>
    </row>
    <row r="153">
      <c r="A153" t="inlineStr">
        <is>
          <t>No</t>
        </is>
      </c>
      <c r="B153" t="inlineStr">
        <is>
          <t>DS111.1 .H66 1991</t>
        </is>
      </c>
      <c r="C153" t="inlineStr">
        <is>
          <t>0                      DS 0111100H  66          1991</t>
        </is>
      </c>
      <c r="D153" t="inlineStr">
        <is>
          <t>Ancient Jewish epitaphs : an introductory survey of a millennium of Jewish funerary epigraphy (300 BCE-700 CE) / Pieter W. van der Horst.</t>
        </is>
      </c>
      <c r="F153" t="inlineStr">
        <is>
          <t>No</t>
        </is>
      </c>
      <c r="G153" t="inlineStr">
        <is>
          <t>1</t>
        </is>
      </c>
      <c r="H153" t="inlineStr">
        <is>
          <t>No</t>
        </is>
      </c>
      <c r="I153" t="inlineStr">
        <is>
          <t>No</t>
        </is>
      </c>
      <c r="J153" t="inlineStr">
        <is>
          <t>0</t>
        </is>
      </c>
      <c r="K153" t="inlineStr">
        <is>
          <t>Horst, Pieter Willem van der.</t>
        </is>
      </c>
      <c r="L153" t="inlineStr">
        <is>
          <t>Kampen, the Netherlands : Kok Pharos Pub. House, c1991.</t>
        </is>
      </c>
      <c r="M153" t="inlineStr">
        <is>
          <t>1991</t>
        </is>
      </c>
      <c r="O153" t="inlineStr">
        <is>
          <t>eng</t>
        </is>
      </c>
      <c r="P153" t="inlineStr">
        <is>
          <t xml:space="preserve">ne </t>
        </is>
      </c>
      <c r="Q153" t="inlineStr">
        <is>
          <t>Contributions to biblical exegesis and theology, 0926-6097 ; 2</t>
        </is>
      </c>
      <c r="R153" t="inlineStr">
        <is>
          <t xml:space="preserve">DS </t>
        </is>
      </c>
      <c r="S153" t="n">
        <v>2</v>
      </c>
      <c r="T153" t="n">
        <v>2</v>
      </c>
      <c r="U153" t="inlineStr">
        <is>
          <t>1994-11-01</t>
        </is>
      </c>
      <c r="V153" t="inlineStr">
        <is>
          <t>1994-11-01</t>
        </is>
      </c>
      <c r="W153" t="inlineStr">
        <is>
          <t>1994-10-21</t>
        </is>
      </c>
      <c r="X153" t="inlineStr">
        <is>
          <t>1994-10-21</t>
        </is>
      </c>
      <c r="Y153" t="n">
        <v>211</v>
      </c>
      <c r="Z153" t="n">
        <v>132</v>
      </c>
      <c r="AA153" t="n">
        <v>141</v>
      </c>
      <c r="AB153" t="n">
        <v>1</v>
      </c>
      <c r="AC153" t="n">
        <v>1</v>
      </c>
      <c r="AD153" t="n">
        <v>11</v>
      </c>
      <c r="AE153" t="n">
        <v>11</v>
      </c>
      <c r="AF153" t="n">
        <v>2</v>
      </c>
      <c r="AG153" t="n">
        <v>2</v>
      </c>
      <c r="AH153" t="n">
        <v>4</v>
      </c>
      <c r="AI153" t="n">
        <v>4</v>
      </c>
      <c r="AJ153" t="n">
        <v>6</v>
      </c>
      <c r="AK153" t="n">
        <v>6</v>
      </c>
      <c r="AL153" t="n">
        <v>0</v>
      </c>
      <c r="AM153" t="n">
        <v>0</v>
      </c>
      <c r="AN153" t="n">
        <v>0</v>
      </c>
      <c r="AO153" t="n">
        <v>0</v>
      </c>
      <c r="AP153" t="inlineStr">
        <is>
          <t>No</t>
        </is>
      </c>
      <c r="AQ153" t="inlineStr">
        <is>
          <t>Yes</t>
        </is>
      </c>
      <c r="AR153">
        <f>HYPERLINK("http://catalog.hathitrust.org/Record/002584450","HathiTrust Record")</f>
        <v/>
      </c>
      <c r="AS153">
        <f>HYPERLINK("https://creighton-primo.hosted.exlibrisgroup.com/primo-explore/search?tab=default_tab&amp;search_scope=EVERYTHING&amp;vid=01CRU&amp;lang=en_US&amp;offset=0&amp;query=any,contains,991002007709702656","Catalog Record")</f>
        <v/>
      </c>
      <c r="AT153">
        <f>HYPERLINK("http://www.worldcat.org/oclc/25512927","WorldCat Record")</f>
        <v/>
      </c>
      <c r="AU153" t="inlineStr">
        <is>
          <t>13574785:eng</t>
        </is>
      </c>
      <c r="AV153" t="inlineStr">
        <is>
          <t>25512927</t>
        </is>
      </c>
      <c r="AW153" t="inlineStr">
        <is>
          <t>991002007709702656</t>
        </is>
      </c>
      <c r="AX153" t="inlineStr">
        <is>
          <t>991002007709702656</t>
        </is>
      </c>
      <c r="AY153" t="inlineStr">
        <is>
          <t>2257516820002656</t>
        </is>
      </c>
      <c r="AZ153" t="inlineStr">
        <is>
          <t>BOOK</t>
        </is>
      </c>
      <c r="BB153" t="inlineStr">
        <is>
          <t>9789024233076</t>
        </is>
      </c>
      <c r="BC153" t="inlineStr">
        <is>
          <t>32285001949840</t>
        </is>
      </c>
      <c r="BD153" t="inlineStr">
        <is>
          <t>893420849</t>
        </is>
      </c>
    </row>
    <row r="154">
      <c r="A154" t="inlineStr">
        <is>
          <t>No</t>
        </is>
      </c>
      <c r="B154" t="inlineStr">
        <is>
          <t>DS111.1 .K46 1972</t>
        </is>
      </c>
      <c r="C154" t="inlineStr">
        <is>
          <t>0                      DS 0111100K  46          1972</t>
        </is>
      </c>
      <c r="D154" t="inlineStr">
        <is>
          <t>Royal cities of the Old Testament [by] Kathleen Kenyon.</t>
        </is>
      </c>
      <c r="F154" t="inlineStr">
        <is>
          <t>No</t>
        </is>
      </c>
      <c r="G154" t="inlineStr">
        <is>
          <t>1</t>
        </is>
      </c>
      <c r="H154" t="inlineStr">
        <is>
          <t>No</t>
        </is>
      </c>
      <c r="I154" t="inlineStr">
        <is>
          <t>No</t>
        </is>
      </c>
      <c r="J154" t="inlineStr">
        <is>
          <t>0</t>
        </is>
      </c>
      <c r="K154" t="inlineStr">
        <is>
          <t>Kenyon, Kathleen M., 1906-1978.</t>
        </is>
      </c>
      <c r="L154" t="inlineStr">
        <is>
          <t>New York, Schocken Books [1971, i.e. 1972, c1971]</t>
        </is>
      </c>
      <c r="M154" t="inlineStr">
        <is>
          <t>1972</t>
        </is>
      </c>
      <c r="O154" t="inlineStr">
        <is>
          <t>eng</t>
        </is>
      </c>
      <c r="P154" t="inlineStr">
        <is>
          <t>nyu</t>
        </is>
      </c>
      <c r="R154" t="inlineStr">
        <is>
          <t xml:space="preserve">DS </t>
        </is>
      </c>
      <c r="S154" t="n">
        <v>3</v>
      </c>
      <c r="T154" t="n">
        <v>3</v>
      </c>
      <c r="U154" t="inlineStr">
        <is>
          <t>2004-04-13</t>
        </is>
      </c>
      <c r="V154" t="inlineStr">
        <is>
          <t>2004-04-13</t>
        </is>
      </c>
      <c r="W154" t="inlineStr">
        <is>
          <t>1996-08-02</t>
        </is>
      </c>
      <c r="X154" t="inlineStr">
        <is>
          <t>1996-08-02</t>
        </is>
      </c>
      <c r="Y154" t="n">
        <v>614</v>
      </c>
      <c r="Z154" t="n">
        <v>581</v>
      </c>
      <c r="AA154" t="n">
        <v>847</v>
      </c>
      <c r="AB154" t="n">
        <v>3</v>
      </c>
      <c r="AC154" t="n">
        <v>4</v>
      </c>
      <c r="AD154" t="n">
        <v>21</v>
      </c>
      <c r="AE154" t="n">
        <v>33</v>
      </c>
      <c r="AF154" t="n">
        <v>9</v>
      </c>
      <c r="AG154" t="n">
        <v>13</v>
      </c>
      <c r="AH154" t="n">
        <v>2</v>
      </c>
      <c r="AI154" t="n">
        <v>7</v>
      </c>
      <c r="AJ154" t="n">
        <v>11</v>
      </c>
      <c r="AK154" t="n">
        <v>17</v>
      </c>
      <c r="AL154" t="n">
        <v>2</v>
      </c>
      <c r="AM154" t="n">
        <v>3</v>
      </c>
      <c r="AN154" t="n">
        <v>0</v>
      </c>
      <c r="AO154" t="n">
        <v>0</v>
      </c>
      <c r="AP154" t="inlineStr">
        <is>
          <t>No</t>
        </is>
      </c>
      <c r="AQ154" t="inlineStr">
        <is>
          <t>Yes</t>
        </is>
      </c>
      <c r="AR154">
        <f>HYPERLINK("http://catalog.hathitrust.org/Record/004409141","HathiTrust Record")</f>
        <v/>
      </c>
      <c r="AS154">
        <f>HYPERLINK("https://creighton-primo.hosted.exlibrisgroup.com/primo-explore/search?tab=default_tab&amp;search_scope=EVERYTHING&amp;vid=01CRU&amp;lang=en_US&amp;offset=0&amp;query=any,contains,991001431229702656","Catalog Record")</f>
        <v/>
      </c>
      <c r="AT154">
        <f>HYPERLINK("http://www.worldcat.org/oclc/231001","WorldCat Record")</f>
        <v/>
      </c>
      <c r="AU154" t="inlineStr">
        <is>
          <t>309522207:eng</t>
        </is>
      </c>
      <c r="AV154" t="inlineStr">
        <is>
          <t>231001</t>
        </is>
      </c>
      <c r="AW154" t="inlineStr">
        <is>
          <t>991001431229702656</t>
        </is>
      </c>
      <c r="AX154" t="inlineStr">
        <is>
          <t>991001431229702656</t>
        </is>
      </c>
      <c r="AY154" t="inlineStr">
        <is>
          <t>2270718300002656</t>
        </is>
      </c>
      <c r="AZ154" t="inlineStr">
        <is>
          <t>BOOK</t>
        </is>
      </c>
      <c r="BB154" t="inlineStr">
        <is>
          <t>9780805234121</t>
        </is>
      </c>
      <c r="BC154" t="inlineStr">
        <is>
          <t>32285002209673</t>
        </is>
      </c>
      <c r="BD154" t="inlineStr">
        <is>
          <t>893891570</t>
        </is>
      </c>
    </row>
    <row r="155">
      <c r="A155" t="inlineStr">
        <is>
          <t>No</t>
        </is>
      </c>
      <c r="B155" t="inlineStr">
        <is>
          <t>DS111.1 .M66 1983</t>
        </is>
      </c>
      <c r="C155" t="inlineStr">
        <is>
          <t>0                      DS 0111100M  66          1983</t>
        </is>
      </c>
      <c r="D155" t="inlineStr">
        <is>
          <t>Excavation in Palestine / Roger Moorey.</t>
        </is>
      </c>
      <c r="F155" t="inlineStr">
        <is>
          <t>No</t>
        </is>
      </c>
      <c r="G155" t="inlineStr">
        <is>
          <t>1</t>
        </is>
      </c>
      <c r="H155" t="inlineStr">
        <is>
          <t>No</t>
        </is>
      </c>
      <c r="I155" t="inlineStr">
        <is>
          <t>No</t>
        </is>
      </c>
      <c r="J155" t="inlineStr">
        <is>
          <t>0</t>
        </is>
      </c>
      <c r="K155" t="inlineStr">
        <is>
          <t>Moorey, P. R. S. (Peter Roger Stuart), 1937-</t>
        </is>
      </c>
      <c r="L155" t="inlineStr">
        <is>
          <t>Grand Rapids, Mich. : Eerdmans Pub. Co., 1983, c1981.</t>
        </is>
      </c>
      <c r="M155" t="inlineStr">
        <is>
          <t>1983</t>
        </is>
      </c>
      <c r="N155" t="inlineStr">
        <is>
          <t>1st American ed.</t>
        </is>
      </c>
      <c r="O155" t="inlineStr">
        <is>
          <t>eng</t>
        </is>
      </c>
      <c r="P155" t="inlineStr">
        <is>
          <t>miu</t>
        </is>
      </c>
      <c r="Q155" t="inlineStr">
        <is>
          <t>Cities of the Biblical World</t>
        </is>
      </c>
      <c r="R155" t="inlineStr">
        <is>
          <t xml:space="preserve">DS </t>
        </is>
      </c>
      <c r="S155" t="n">
        <v>4</v>
      </c>
      <c r="T155" t="n">
        <v>4</v>
      </c>
      <c r="U155" t="inlineStr">
        <is>
          <t>2007-03-22</t>
        </is>
      </c>
      <c r="V155" t="inlineStr">
        <is>
          <t>2007-03-22</t>
        </is>
      </c>
      <c r="W155" t="inlineStr">
        <is>
          <t>1992-01-06</t>
        </is>
      </c>
      <c r="X155" t="inlineStr">
        <is>
          <t>1992-01-06</t>
        </is>
      </c>
      <c r="Y155" t="n">
        <v>331</v>
      </c>
      <c r="Z155" t="n">
        <v>299</v>
      </c>
      <c r="AA155" t="n">
        <v>375</v>
      </c>
      <c r="AB155" t="n">
        <v>1</v>
      </c>
      <c r="AC155" t="n">
        <v>2</v>
      </c>
      <c r="AD155" t="n">
        <v>11</v>
      </c>
      <c r="AE155" t="n">
        <v>12</v>
      </c>
      <c r="AF155" t="n">
        <v>3</v>
      </c>
      <c r="AG155" t="n">
        <v>3</v>
      </c>
      <c r="AH155" t="n">
        <v>4</v>
      </c>
      <c r="AI155" t="n">
        <v>4</v>
      </c>
      <c r="AJ155" t="n">
        <v>5</v>
      </c>
      <c r="AK155" t="n">
        <v>5</v>
      </c>
      <c r="AL155" t="n">
        <v>0</v>
      </c>
      <c r="AM155" t="n">
        <v>1</v>
      </c>
      <c r="AN155" t="n">
        <v>0</v>
      </c>
      <c r="AO155" t="n">
        <v>0</v>
      </c>
      <c r="AP155" t="inlineStr">
        <is>
          <t>No</t>
        </is>
      </c>
      <c r="AQ155" t="inlineStr">
        <is>
          <t>Yes</t>
        </is>
      </c>
      <c r="AR155">
        <f>HYPERLINK("http://catalog.hathitrust.org/Record/006036208","HathiTrust Record")</f>
        <v/>
      </c>
      <c r="AS155">
        <f>HYPERLINK("https://creighton-primo.hosted.exlibrisgroup.com/primo-explore/search?tab=default_tab&amp;search_scope=EVERYTHING&amp;vid=01CRU&amp;lang=en_US&amp;offset=0&amp;query=any,contains,991000197259702656","Catalog Record")</f>
        <v/>
      </c>
      <c r="AT155">
        <f>HYPERLINK("http://www.worldcat.org/oclc/9442004","WorldCat Record")</f>
        <v/>
      </c>
      <c r="AU155" t="inlineStr">
        <is>
          <t>32511599:eng</t>
        </is>
      </c>
      <c r="AV155" t="inlineStr">
        <is>
          <t>9442004</t>
        </is>
      </c>
      <c r="AW155" t="inlineStr">
        <is>
          <t>991000197259702656</t>
        </is>
      </c>
      <c r="AX155" t="inlineStr">
        <is>
          <t>991000197259702656</t>
        </is>
      </c>
      <c r="AY155" t="inlineStr">
        <is>
          <t>2264900750002656</t>
        </is>
      </c>
      <c r="AZ155" t="inlineStr">
        <is>
          <t>BOOK</t>
        </is>
      </c>
      <c r="BB155" t="inlineStr">
        <is>
          <t>9780802810359</t>
        </is>
      </c>
      <c r="BC155" t="inlineStr">
        <is>
          <t>32285000892629</t>
        </is>
      </c>
      <c r="BD155" t="inlineStr">
        <is>
          <t>893877882</t>
        </is>
      </c>
    </row>
    <row r="156">
      <c r="A156" t="inlineStr">
        <is>
          <t>No</t>
        </is>
      </c>
      <c r="B156" t="inlineStr">
        <is>
          <t>DS111.2 .F69 2000</t>
        </is>
      </c>
      <c r="C156" t="inlineStr">
        <is>
          <t>0                      DS 0111200F  69          2000</t>
        </is>
      </c>
      <c r="D156" t="inlineStr">
        <is>
          <t>In the service of the king : officialdom in ancient Israel and Judah / Nili Sacher Fox.</t>
        </is>
      </c>
      <c r="F156" t="inlineStr">
        <is>
          <t>No</t>
        </is>
      </c>
      <c r="G156" t="inlineStr">
        <is>
          <t>1</t>
        </is>
      </c>
      <c r="H156" t="inlineStr">
        <is>
          <t>No</t>
        </is>
      </c>
      <c r="I156" t="inlineStr">
        <is>
          <t>No</t>
        </is>
      </c>
      <c r="J156" t="inlineStr">
        <is>
          <t>0</t>
        </is>
      </c>
      <c r="K156" t="inlineStr">
        <is>
          <t>Fox, Nili Sacher.</t>
        </is>
      </c>
      <c r="L156" t="inlineStr">
        <is>
          <t>Cincinnati : Hebrew Union College Press ; Detroit : Distributed by Wayne State University Press, c2000.</t>
        </is>
      </c>
      <c r="M156" t="inlineStr">
        <is>
          <t>2000</t>
        </is>
      </c>
      <c r="O156" t="inlineStr">
        <is>
          <t>eng</t>
        </is>
      </c>
      <c r="P156" t="inlineStr">
        <is>
          <t>ohu</t>
        </is>
      </c>
      <c r="Q156" t="inlineStr">
        <is>
          <t>Monographs of the Hebrew Union College ; no. 23</t>
        </is>
      </c>
      <c r="R156" t="inlineStr">
        <is>
          <t xml:space="preserve">DS </t>
        </is>
      </c>
      <c r="S156" t="n">
        <v>2</v>
      </c>
      <c r="T156" t="n">
        <v>2</v>
      </c>
      <c r="U156" t="inlineStr">
        <is>
          <t>2008-06-23</t>
        </is>
      </c>
      <c r="V156" t="inlineStr">
        <is>
          <t>2008-06-23</t>
        </is>
      </c>
      <c r="W156" t="inlineStr">
        <is>
          <t>2002-07-17</t>
        </is>
      </c>
      <c r="X156" t="inlineStr">
        <is>
          <t>2002-07-17</t>
        </is>
      </c>
      <c r="Y156" t="n">
        <v>222</v>
      </c>
      <c r="Z156" t="n">
        <v>175</v>
      </c>
      <c r="AA156" t="n">
        <v>227</v>
      </c>
      <c r="AB156" t="n">
        <v>3</v>
      </c>
      <c r="AC156" t="n">
        <v>3</v>
      </c>
      <c r="AD156" t="n">
        <v>15</v>
      </c>
      <c r="AE156" t="n">
        <v>19</v>
      </c>
      <c r="AF156" t="n">
        <v>5</v>
      </c>
      <c r="AG156" t="n">
        <v>8</v>
      </c>
      <c r="AH156" t="n">
        <v>5</v>
      </c>
      <c r="AI156" t="n">
        <v>6</v>
      </c>
      <c r="AJ156" t="n">
        <v>7</v>
      </c>
      <c r="AK156" t="n">
        <v>8</v>
      </c>
      <c r="AL156" t="n">
        <v>2</v>
      </c>
      <c r="AM156" t="n">
        <v>2</v>
      </c>
      <c r="AN156" t="n">
        <v>0</v>
      </c>
      <c r="AO156" t="n">
        <v>0</v>
      </c>
      <c r="AP156" t="inlineStr">
        <is>
          <t>No</t>
        </is>
      </c>
      <c r="AQ156" t="inlineStr">
        <is>
          <t>No</t>
        </is>
      </c>
      <c r="AS156">
        <f>HYPERLINK("https://creighton-primo.hosted.exlibrisgroup.com/primo-explore/search?tab=default_tab&amp;search_scope=EVERYTHING&amp;vid=01CRU&amp;lang=en_US&amp;offset=0&amp;query=any,contains,991003837319702656","Catalog Record")</f>
        <v/>
      </c>
      <c r="AT156">
        <f>HYPERLINK("http://www.worldcat.org/oclc/42913826","WorldCat Record")</f>
        <v/>
      </c>
      <c r="AU156" t="inlineStr">
        <is>
          <t>197253364:eng</t>
        </is>
      </c>
      <c r="AV156" t="inlineStr">
        <is>
          <t>42913826</t>
        </is>
      </c>
      <c r="AW156" t="inlineStr">
        <is>
          <t>991003837319702656</t>
        </is>
      </c>
      <c r="AX156" t="inlineStr">
        <is>
          <t>991003837319702656</t>
        </is>
      </c>
      <c r="AY156" t="inlineStr">
        <is>
          <t>2255232710002656</t>
        </is>
      </c>
      <c r="AZ156" t="inlineStr">
        <is>
          <t>BOOK</t>
        </is>
      </c>
      <c r="BB156" t="inlineStr">
        <is>
          <t>9780878204229</t>
        </is>
      </c>
      <c r="BC156" t="inlineStr">
        <is>
          <t>32285004499025</t>
        </is>
      </c>
      <c r="BD156" t="inlineStr">
        <is>
          <t>893531645</t>
        </is>
      </c>
    </row>
    <row r="157">
      <c r="A157" t="inlineStr">
        <is>
          <t>No</t>
        </is>
      </c>
      <c r="B157" t="inlineStr">
        <is>
          <t>DS111.2 .G68 2000</t>
        </is>
      </c>
      <c r="C157" t="inlineStr">
        <is>
          <t>0                      DS 0111200G  68          2000</t>
        </is>
      </c>
      <c r="D157" t="inlineStr">
        <is>
          <t>The politics of ancient Israel / Norman K. Gottwald.</t>
        </is>
      </c>
      <c r="F157" t="inlineStr">
        <is>
          <t>No</t>
        </is>
      </c>
      <c r="G157" t="inlineStr">
        <is>
          <t>1</t>
        </is>
      </c>
      <c r="H157" t="inlineStr">
        <is>
          <t>No</t>
        </is>
      </c>
      <c r="I157" t="inlineStr">
        <is>
          <t>No</t>
        </is>
      </c>
      <c r="J157" t="inlineStr">
        <is>
          <t>0</t>
        </is>
      </c>
      <c r="K157" t="inlineStr">
        <is>
          <t>Gottwald, Norman K. (Norman Karol), 1926-</t>
        </is>
      </c>
      <c r="L157" t="inlineStr">
        <is>
          <t>Louisville, KY : Westminster John Knox Press, c2001.</t>
        </is>
      </c>
      <c r="M157" t="inlineStr">
        <is>
          <t>2001</t>
        </is>
      </c>
      <c r="N157" t="inlineStr">
        <is>
          <t>1st ed.</t>
        </is>
      </c>
      <c r="O157" t="inlineStr">
        <is>
          <t>eng</t>
        </is>
      </c>
      <c r="P157" t="inlineStr">
        <is>
          <t>kyu</t>
        </is>
      </c>
      <c r="R157" t="inlineStr">
        <is>
          <t xml:space="preserve">DS </t>
        </is>
      </c>
      <c r="S157" t="n">
        <v>6</v>
      </c>
      <c r="T157" t="n">
        <v>6</v>
      </c>
      <c r="U157" t="inlineStr">
        <is>
          <t>2007-03-29</t>
        </is>
      </c>
      <c r="V157" t="inlineStr">
        <is>
          <t>2007-03-29</t>
        </is>
      </c>
      <c r="W157" t="inlineStr">
        <is>
          <t>2003-08-12</t>
        </is>
      </c>
      <c r="X157" t="inlineStr">
        <is>
          <t>2003-08-12</t>
        </is>
      </c>
      <c r="Y157" t="n">
        <v>532</v>
      </c>
      <c r="Z157" t="n">
        <v>425</v>
      </c>
      <c r="AA157" t="n">
        <v>434</v>
      </c>
      <c r="AB157" t="n">
        <v>5</v>
      </c>
      <c r="AC157" t="n">
        <v>5</v>
      </c>
      <c r="AD157" t="n">
        <v>33</v>
      </c>
      <c r="AE157" t="n">
        <v>33</v>
      </c>
      <c r="AF157" t="n">
        <v>13</v>
      </c>
      <c r="AG157" t="n">
        <v>13</v>
      </c>
      <c r="AH157" t="n">
        <v>9</v>
      </c>
      <c r="AI157" t="n">
        <v>9</v>
      </c>
      <c r="AJ157" t="n">
        <v>17</v>
      </c>
      <c r="AK157" t="n">
        <v>17</v>
      </c>
      <c r="AL157" t="n">
        <v>4</v>
      </c>
      <c r="AM157" t="n">
        <v>4</v>
      </c>
      <c r="AN157" t="n">
        <v>0</v>
      </c>
      <c r="AO157" t="n">
        <v>0</v>
      </c>
      <c r="AP157" t="inlineStr">
        <is>
          <t>No</t>
        </is>
      </c>
      <c r="AQ157" t="inlineStr">
        <is>
          <t>Yes</t>
        </is>
      </c>
      <c r="AR157">
        <f>HYPERLINK("http://catalog.hathitrust.org/Record/004143270","HathiTrust Record")</f>
        <v/>
      </c>
      <c r="AS157">
        <f>HYPERLINK("https://creighton-primo.hosted.exlibrisgroup.com/primo-explore/search?tab=default_tab&amp;search_scope=EVERYTHING&amp;vid=01CRU&amp;lang=en_US&amp;offset=0&amp;query=any,contains,991004095909702656","Catalog Record")</f>
        <v/>
      </c>
      <c r="AT157">
        <f>HYPERLINK("http://www.worldcat.org/oclc/44469096","WorldCat Record")</f>
        <v/>
      </c>
      <c r="AU157" t="inlineStr">
        <is>
          <t>2672446:eng</t>
        </is>
      </c>
      <c r="AV157" t="inlineStr">
        <is>
          <t>44469096</t>
        </is>
      </c>
      <c r="AW157" t="inlineStr">
        <is>
          <t>991004095909702656</t>
        </is>
      </c>
      <c r="AX157" t="inlineStr">
        <is>
          <t>991004095909702656</t>
        </is>
      </c>
      <c r="AY157" t="inlineStr">
        <is>
          <t>2271116470002656</t>
        </is>
      </c>
      <c r="AZ157" t="inlineStr">
        <is>
          <t>BOOK</t>
        </is>
      </c>
      <c r="BB157" t="inlineStr">
        <is>
          <t>9780664219772</t>
        </is>
      </c>
      <c r="BC157" t="inlineStr">
        <is>
          <t>32285004759121</t>
        </is>
      </c>
      <c r="BD157" t="inlineStr">
        <is>
          <t>893618228</t>
        </is>
      </c>
    </row>
    <row r="158">
      <c r="A158" t="inlineStr">
        <is>
          <t>No</t>
        </is>
      </c>
      <c r="B158" t="inlineStr">
        <is>
          <t>DS111.2 .H4 1975</t>
        </is>
      </c>
      <c r="C158" t="inlineStr">
        <is>
          <t>0                      DS 0111200H  4           1975</t>
        </is>
      </c>
      <c r="D158" t="inlineStr">
        <is>
          <t>Solomon's new men : the emergence of ancient Israel as a national state / E. W. Heaton.</t>
        </is>
      </c>
      <c r="F158" t="inlineStr">
        <is>
          <t>No</t>
        </is>
      </c>
      <c r="G158" t="inlineStr">
        <is>
          <t>1</t>
        </is>
      </c>
      <c r="H158" t="inlineStr">
        <is>
          <t>No</t>
        </is>
      </c>
      <c r="I158" t="inlineStr">
        <is>
          <t>No</t>
        </is>
      </c>
      <c r="J158" t="inlineStr">
        <is>
          <t>0</t>
        </is>
      </c>
      <c r="K158" t="inlineStr">
        <is>
          <t>Heaton, E. W. (Eric William), 1920-1996.</t>
        </is>
      </c>
      <c r="L158" t="inlineStr">
        <is>
          <t>New York : Pica Press : distributed by Universe Books, [1975] c1974.</t>
        </is>
      </c>
      <c r="M158" t="inlineStr">
        <is>
          <t>1975</t>
        </is>
      </c>
      <c r="O158" t="inlineStr">
        <is>
          <t>eng</t>
        </is>
      </c>
      <c r="P158" t="inlineStr">
        <is>
          <t>nyu</t>
        </is>
      </c>
      <c r="R158" t="inlineStr">
        <is>
          <t xml:space="preserve">DS </t>
        </is>
      </c>
      <c r="S158" t="n">
        <v>4</v>
      </c>
      <c r="T158" t="n">
        <v>4</v>
      </c>
      <c r="U158" t="inlineStr">
        <is>
          <t>2002-04-01</t>
        </is>
      </c>
      <c r="V158" t="inlineStr">
        <is>
          <t>2002-04-01</t>
        </is>
      </c>
      <c r="W158" t="inlineStr">
        <is>
          <t>1992-01-14</t>
        </is>
      </c>
      <c r="X158" t="inlineStr">
        <is>
          <t>1992-01-14</t>
        </is>
      </c>
      <c r="Y158" t="n">
        <v>320</v>
      </c>
      <c r="Z158" t="n">
        <v>301</v>
      </c>
      <c r="AA158" t="n">
        <v>439</v>
      </c>
      <c r="AB158" t="n">
        <v>2</v>
      </c>
      <c r="AC158" t="n">
        <v>2</v>
      </c>
      <c r="AD158" t="n">
        <v>15</v>
      </c>
      <c r="AE158" t="n">
        <v>18</v>
      </c>
      <c r="AF158" t="n">
        <v>8</v>
      </c>
      <c r="AG158" t="n">
        <v>8</v>
      </c>
      <c r="AH158" t="n">
        <v>4</v>
      </c>
      <c r="AI158" t="n">
        <v>5</v>
      </c>
      <c r="AJ158" t="n">
        <v>5</v>
      </c>
      <c r="AK158" t="n">
        <v>7</v>
      </c>
      <c r="AL158" t="n">
        <v>1</v>
      </c>
      <c r="AM158" t="n">
        <v>1</v>
      </c>
      <c r="AN158" t="n">
        <v>0</v>
      </c>
      <c r="AO158" t="n">
        <v>0</v>
      </c>
      <c r="AP158" t="inlineStr">
        <is>
          <t>No</t>
        </is>
      </c>
      <c r="AQ158" t="inlineStr">
        <is>
          <t>Yes</t>
        </is>
      </c>
      <c r="AR158">
        <f>HYPERLINK("http://catalog.hathitrust.org/Record/001242481","HathiTrust Record")</f>
        <v/>
      </c>
      <c r="AS158">
        <f>HYPERLINK("https://creighton-primo.hosted.exlibrisgroup.com/primo-explore/search?tab=default_tab&amp;search_scope=EVERYTHING&amp;vid=01CRU&amp;lang=en_US&amp;offset=0&amp;query=any,contains,991003640239702656","Catalog Record")</f>
        <v/>
      </c>
      <c r="AT158">
        <f>HYPERLINK("http://www.worldcat.org/oclc/1237026","WorldCat Record")</f>
        <v/>
      </c>
      <c r="AU158" t="inlineStr">
        <is>
          <t>200630566:eng</t>
        </is>
      </c>
      <c r="AV158" t="inlineStr">
        <is>
          <t>1237026</t>
        </is>
      </c>
      <c r="AW158" t="inlineStr">
        <is>
          <t>991003640239702656</t>
        </is>
      </c>
      <c r="AX158" t="inlineStr">
        <is>
          <t>991003640239702656</t>
        </is>
      </c>
      <c r="AY158" t="inlineStr">
        <is>
          <t>2262551400002656</t>
        </is>
      </c>
      <c r="AZ158" t="inlineStr">
        <is>
          <t>BOOK</t>
        </is>
      </c>
      <c r="BB158" t="inlineStr">
        <is>
          <t>9780876637142</t>
        </is>
      </c>
      <c r="BC158" t="inlineStr">
        <is>
          <t>32285000913292</t>
        </is>
      </c>
      <c r="BD158" t="inlineStr">
        <is>
          <t>893781221</t>
        </is>
      </c>
    </row>
    <row r="159">
      <c r="A159" t="inlineStr">
        <is>
          <t>No</t>
        </is>
      </c>
      <c r="B159" t="inlineStr">
        <is>
          <t>DS111.5 .F72 1999</t>
        </is>
      </c>
      <c r="C159" t="inlineStr">
        <is>
          <t>0                      DS 0111500F  72          1999</t>
        </is>
      </c>
      <c r="D159" t="inlineStr">
        <is>
          <t>Wine and oil production in antiquity in Israel and other Mediterranean countries / Rafael Frankel.</t>
        </is>
      </c>
      <c r="F159" t="inlineStr">
        <is>
          <t>No</t>
        </is>
      </c>
      <c r="G159" t="inlineStr">
        <is>
          <t>1</t>
        </is>
      </c>
      <c r="H159" t="inlineStr">
        <is>
          <t>No</t>
        </is>
      </c>
      <c r="I159" t="inlineStr">
        <is>
          <t>No</t>
        </is>
      </c>
      <c r="J159" t="inlineStr">
        <is>
          <t>0</t>
        </is>
      </c>
      <c r="K159" t="inlineStr">
        <is>
          <t>Franḳel, Rafi.</t>
        </is>
      </c>
      <c r="L159" t="inlineStr">
        <is>
          <t>Sheffield, England : Sheffield Academic Press, c1999.</t>
        </is>
      </c>
      <c r="M159" t="inlineStr">
        <is>
          <t>1999</t>
        </is>
      </c>
      <c r="O159" t="inlineStr">
        <is>
          <t>eng</t>
        </is>
      </c>
      <c r="P159" t="inlineStr">
        <is>
          <t>enk</t>
        </is>
      </c>
      <c r="Q159" t="inlineStr">
        <is>
          <t>JSOT/ASOR monograph series ; 10</t>
        </is>
      </c>
      <c r="R159" t="inlineStr">
        <is>
          <t xml:space="preserve">DS </t>
        </is>
      </c>
      <c r="S159" t="n">
        <v>4</v>
      </c>
      <c r="T159" t="n">
        <v>4</v>
      </c>
      <c r="U159" t="inlineStr">
        <is>
          <t>2007-03-30</t>
        </is>
      </c>
      <c r="V159" t="inlineStr">
        <is>
          <t>2007-03-30</t>
        </is>
      </c>
      <c r="W159" t="inlineStr">
        <is>
          <t>2004-01-06</t>
        </is>
      </c>
      <c r="X159" t="inlineStr">
        <is>
          <t>2004-01-06</t>
        </is>
      </c>
      <c r="Y159" t="n">
        <v>103</v>
      </c>
      <c r="Z159" t="n">
        <v>74</v>
      </c>
      <c r="AA159" t="n">
        <v>78</v>
      </c>
      <c r="AB159" t="n">
        <v>1</v>
      </c>
      <c r="AC159" t="n">
        <v>1</v>
      </c>
      <c r="AD159" t="n">
        <v>3</v>
      </c>
      <c r="AE159" t="n">
        <v>3</v>
      </c>
      <c r="AF159" t="n">
        <v>3</v>
      </c>
      <c r="AG159" t="n">
        <v>3</v>
      </c>
      <c r="AH159" t="n">
        <v>0</v>
      </c>
      <c r="AI159" t="n">
        <v>0</v>
      </c>
      <c r="AJ159" t="n">
        <v>1</v>
      </c>
      <c r="AK159" t="n">
        <v>1</v>
      </c>
      <c r="AL159" t="n">
        <v>0</v>
      </c>
      <c r="AM159" t="n">
        <v>0</v>
      </c>
      <c r="AN159" t="n">
        <v>0</v>
      </c>
      <c r="AO159" t="n">
        <v>0</v>
      </c>
      <c r="AP159" t="inlineStr">
        <is>
          <t>No</t>
        </is>
      </c>
      <c r="AQ159" t="inlineStr">
        <is>
          <t>No</t>
        </is>
      </c>
      <c r="AS159">
        <f>HYPERLINK("https://creighton-primo.hosted.exlibrisgroup.com/primo-explore/search?tab=default_tab&amp;search_scope=EVERYTHING&amp;vid=01CRU&amp;lang=en_US&amp;offset=0&amp;query=any,contains,991004198949702656","Catalog Record")</f>
        <v/>
      </c>
      <c r="AT159">
        <f>HYPERLINK("http://www.worldcat.org/oclc/41421387","WorldCat Record")</f>
        <v/>
      </c>
      <c r="AU159" t="inlineStr">
        <is>
          <t>9585785042:eng</t>
        </is>
      </c>
      <c r="AV159" t="inlineStr">
        <is>
          <t>41421387</t>
        </is>
      </c>
      <c r="AW159" t="inlineStr">
        <is>
          <t>991004198949702656</t>
        </is>
      </c>
      <c r="AX159" t="inlineStr">
        <is>
          <t>991004198949702656</t>
        </is>
      </c>
      <c r="AY159" t="inlineStr">
        <is>
          <t>2269687710002656</t>
        </is>
      </c>
      <c r="AZ159" t="inlineStr">
        <is>
          <t>BOOK</t>
        </is>
      </c>
      <c r="BB159" t="inlineStr">
        <is>
          <t>9781850755197</t>
        </is>
      </c>
      <c r="BC159" t="inlineStr">
        <is>
          <t>32285004889316</t>
        </is>
      </c>
      <c r="BD159" t="inlineStr">
        <is>
          <t>893618369</t>
        </is>
      </c>
    </row>
    <row r="160">
      <c r="A160" t="inlineStr">
        <is>
          <t>No</t>
        </is>
      </c>
      <c r="B160" t="inlineStr">
        <is>
          <t>DS111.7 .Z48 2001</t>
        </is>
      </c>
      <c r="C160" t="inlineStr">
        <is>
          <t>0                      DS 0111700Z  48          2001</t>
        </is>
      </c>
      <c r="D160" t="inlineStr">
        <is>
          <t>The religions of ancient Israel : a synthesis of parallactic approaches / Ziony Zevit.</t>
        </is>
      </c>
      <c r="F160" t="inlineStr">
        <is>
          <t>No</t>
        </is>
      </c>
      <c r="G160" t="inlineStr">
        <is>
          <t>1</t>
        </is>
      </c>
      <c r="H160" t="inlineStr">
        <is>
          <t>No</t>
        </is>
      </c>
      <c r="I160" t="inlineStr">
        <is>
          <t>No</t>
        </is>
      </c>
      <c r="J160" t="inlineStr">
        <is>
          <t>0</t>
        </is>
      </c>
      <c r="K160" t="inlineStr">
        <is>
          <t>Zevit, Ziony.</t>
        </is>
      </c>
      <c r="L160" t="inlineStr">
        <is>
          <t>London ; New York : Continuum, 2001.</t>
        </is>
      </c>
      <c r="M160" t="inlineStr">
        <is>
          <t>2001</t>
        </is>
      </c>
      <c r="O160" t="inlineStr">
        <is>
          <t>eng</t>
        </is>
      </c>
      <c r="P160" t="inlineStr">
        <is>
          <t>enk</t>
        </is>
      </c>
      <c r="R160" t="inlineStr">
        <is>
          <t xml:space="preserve">DS </t>
        </is>
      </c>
      <c r="S160" t="n">
        <v>16</v>
      </c>
      <c r="T160" t="n">
        <v>16</v>
      </c>
      <c r="U160" t="inlineStr">
        <is>
          <t>2007-04-18</t>
        </is>
      </c>
      <c r="V160" t="inlineStr">
        <is>
          <t>2007-04-18</t>
        </is>
      </c>
      <c r="W160" t="inlineStr">
        <is>
          <t>2002-08-28</t>
        </is>
      </c>
      <c r="X160" t="inlineStr">
        <is>
          <t>2002-08-28</t>
        </is>
      </c>
      <c r="Y160" t="n">
        <v>460</v>
      </c>
      <c r="Z160" t="n">
        <v>337</v>
      </c>
      <c r="AA160" t="n">
        <v>363</v>
      </c>
      <c r="AB160" t="n">
        <v>3</v>
      </c>
      <c r="AC160" t="n">
        <v>3</v>
      </c>
      <c r="AD160" t="n">
        <v>27</v>
      </c>
      <c r="AE160" t="n">
        <v>28</v>
      </c>
      <c r="AF160" t="n">
        <v>15</v>
      </c>
      <c r="AG160" t="n">
        <v>15</v>
      </c>
      <c r="AH160" t="n">
        <v>5</v>
      </c>
      <c r="AI160" t="n">
        <v>6</v>
      </c>
      <c r="AJ160" t="n">
        <v>11</v>
      </c>
      <c r="AK160" t="n">
        <v>11</v>
      </c>
      <c r="AL160" t="n">
        <v>2</v>
      </c>
      <c r="AM160" t="n">
        <v>2</v>
      </c>
      <c r="AN160" t="n">
        <v>0</v>
      </c>
      <c r="AO160" t="n">
        <v>0</v>
      </c>
      <c r="AP160" t="inlineStr">
        <is>
          <t>No</t>
        </is>
      </c>
      <c r="AQ160" t="inlineStr">
        <is>
          <t>No</t>
        </is>
      </c>
      <c r="AS160">
        <f>HYPERLINK("https://creighton-primo.hosted.exlibrisgroup.com/primo-explore/search?tab=default_tab&amp;search_scope=EVERYTHING&amp;vid=01CRU&amp;lang=en_US&amp;offset=0&amp;query=any,contains,991003861739702656","Catalog Record")</f>
        <v/>
      </c>
      <c r="AT160">
        <f>HYPERLINK("http://www.worldcat.org/oclc/43115066","WorldCat Record")</f>
        <v/>
      </c>
      <c r="AU160" t="inlineStr">
        <is>
          <t>815144631:eng</t>
        </is>
      </c>
      <c r="AV160" t="inlineStr">
        <is>
          <t>43115066</t>
        </is>
      </c>
      <c r="AW160" t="inlineStr">
        <is>
          <t>991003861739702656</t>
        </is>
      </c>
      <c r="AX160" t="inlineStr">
        <is>
          <t>991003861739702656</t>
        </is>
      </c>
      <c r="AY160" t="inlineStr">
        <is>
          <t>2260736070002656</t>
        </is>
      </c>
      <c r="AZ160" t="inlineStr">
        <is>
          <t>BOOK</t>
        </is>
      </c>
      <c r="BB160" t="inlineStr">
        <is>
          <t>9780826447289</t>
        </is>
      </c>
      <c r="BC160" t="inlineStr">
        <is>
          <t>32285004645502</t>
        </is>
      </c>
      <c r="BD160" t="inlineStr">
        <is>
          <t>893416893</t>
        </is>
      </c>
    </row>
    <row r="161">
      <c r="A161" t="inlineStr">
        <is>
          <t>No</t>
        </is>
      </c>
      <c r="B161" t="inlineStr">
        <is>
          <t>DS112 .B77 2001</t>
        </is>
      </c>
      <c r="C161" t="inlineStr">
        <is>
          <t>0                      DS 0112000B  77          2001</t>
        </is>
      </c>
      <c r="D161" t="inlineStr">
        <is>
          <t>Bread, wine, walls and scrolls / Magen Broshi.</t>
        </is>
      </c>
      <c r="F161" t="inlineStr">
        <is>
          <t>No</t>
        </is>
      </c>
      <c r="G161" t="inlineStr">
        <is>
          <t>1</t>
        </is>
      </c>
      <c r="H161" t="inlineStr">
        <is>
          <t>No</t>
        </is>
      </c>
      <c r="I161" t="inlineStr">
        <is>
          <t>No</t>
        </is>
      </c>
      <c r="J161" t="inlineStr">
        <is>
          <t>0</t>
        </is>
      </c>
      <c r="K161" t="inlineStr">
        <is>
          <t>Broshi, Magen.</t>
        </is>
      </c>
      <c r="L161" t="inlineStr">
        <is>
          <t>Sheffield : Sheffield Academic Press, 2001.</t>
        </is>
      </c>
      <c r="M161" t="inlineStr">
        <is>
          <t>2001</t>
        </is>
      </c>
      <c r="O161" t="inlineStr">
        <is>
          <t>eng</t>
        </is>
      </c>
      <c r="P161" t="inlineStr">
        <is>
          <t>enk</t>
        </is>
      </c>
      <c r="Q161" t="inlineStr">
        <is>
          <t>Journal for the study of the Pseudepigrapha. Supplement series ; 36</t>
        </is>
      </c>
      <c r="R161" t="inlineStr">
        <is>
          <t xml:space="preserve">DS </t>
        </is>
      </c>
      <c r="S161" t="n">
        <v>1</v>
      </c>
      <c r="T161" t="n">
        <v>1</v>
      </c>
      <c r="U161" t="inlineStr">
        <is>
          <t>2003-08-28</t>
        </is>
      </c>
      <c r="V161" t="inlineStr">
        <is>
          <t>2003-08-28</t>
        </is>
      </c>
      <c r="W161" t="inlineStr">
        <is>
          <t>2003-08-28</t>
        </is>
      </c>
      <c r="X161" t="inlineStr">
        <is>
          <t>2003-08-28</t>
        </is>
      </c>
      <c r="Y161" t="n">
        <v>182</v>
      </c>
      <c r="Z161" t="n">
        <v>129</v>
      </c>
      <c r="AA161" t="n">
        <v>129</v>
      </c>
      <c r="AB161" t="n">
        <v>1</v>
      </c>
      <c r="AC161" t="n">
        <v>1</v>
      </c>
      <c r="AD161" t="n">
        <v>9</v>
      </c>
      <c r="AE161" t="n">
        <v>9</v>
      </c>
      <c r="AF161" t="n">
        <v>4</v>
      </c>
      <c r="AG161" t="n">
        <v>4</v>
      </c>
      <c r="AH161" t="n">
        <v>3</v>
      </c>
      <c r="AI161" t="n">
        <v>3</v>
      </c>
      <c r="AJ161" t="n">
        <v>5</v>
      </c>
      <c r="AK161" t="n">
        <v>5</v>
      </c>
      <c r="AL161" t="n">
        <v>0</v>
      </c>
      <c r="AM161" t="n">
        <v>0</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HYPERLINK("https://creighton-primo.hosted.exlibrisgroup.com/primo-explore/search?tab=default_tab&amp;search_scope=EVERYTHING&amp;vid=01CRU&amp;lang=en_US&amp;offset=0&amp;query=any,contains,991004098899702656","Catalog Record")</f>
        <v/>
      </c>
      <c r="AT161">
        <f>HYPERLINK("http://www.worldcat.org/oclc/491978900","WorldCat Record")</f>
        <v/>
      </c>
      <c r="AU161" t="inlineStr">
        <is>
          <t>3081046:eng</t>
        </is>
      </c>
      <c r="AV161" t="inlineStr">
        <is>
          <t>491978900</t>
        </is>
      </c>
      <c r="AW161" t="inlineStr">
        <is>
          <t>991004098899702656</t>
        </is>
      </c>
      <c r="AX161" t="inlineStr">
        <is>
          <t>991004098899702656</t>
        </is>
      </c>
      <c r="AY161" t="inlineStr">
        <is>
          <t>2266309570002656</t>
        </is>
      </c>
      <c r="AZ161" t="inlineStr">
        <is>
          <t>BOOK</t>
        </is>
      </c>
      <c r="BB161" t="inlineStr">
        <is>
          <t>9781841272016</t>
        </is>
      </c>
      <c r="BC161" t="inlineStr">
        <is>
          <t>32285004780168</t>
        </is>
      </c>
      <c r="BD161" t="inlineStr">
        <is>
          <t>893894552</t>
        </is>
      </c>
    </row>
    <row r="162">
      <c r="A162" t="inlineStr">
        <is>
          <t>No</t>
        </is>
      </c>
      <c r="B162" t="inlineStr">
        <is>
          <t>DS112 .D233</t>
        </is>
      </c>
      <c r="C162" t="inlineStr">
        <is>
          <t>0                      DS 0112000D  233</t>
        </is>
      </c>
      <c r="D162" t="inlineStr">
        <is>
          <t>Daily life in the time of Jesus. Translated by Patrick O'Brian.</t>
        </is>
      </c>
      <c r="F162" t="inlineStr">
        <is>
          <t>No</t>
        </is>
      </c>
      <c r="G162" t="inlineStr">
        <is>
          <t>1</t>
        </is>
      </c>
      <c r="H162" t="inlineStr">
        <is>
          <t>No</t>
        </is>
      </c>
      <c r="I162" t="inlineStr">
        <is>
          <t>Yes</t>
        </is>
      </c>
      <c r="J162" t="inlineStr">
        <is>
          <t>0</t>
        </is>
      </c>
      <c r="K162" t="inlineStr">
        <is>
          <t>Daniel-Rops, Henri, 1901-1965.</t>
        </is>
      </c>
      <c r="L162" t="inlineStr">
        <is>
          <t>New York, Hawthorn Books [1962]</t>
        </is>
      </c>
      <c r="M162" t="inlineStr">
        <is>
          <t>1962</t>
        </is>
      </c>
      <c r="N162" t="inlineStr">
        <is>
          <t>[1st ed.]</t>
        </is>
      </c>
      <c r="O162" t="inlineStr">
        <is>
          <t>eng</t>
        </is>
      </c>
      <c r="P162" t="inlineStr">
        <is>
          <t>nyu</t>
        </is>
      </c>
      <c r="R162" t="inlineStr">
        <is>
          <t xml:space="preserve">DS </t>
        </is>
      </c>
      <c r="S162" t="n">
        <v>2</v>
      </c>
      <c r="T162" t="n">
        <v>2</v>
      </c>
      <c r="U162" t="inlineStr">
        <is>
          <t>1999-12-08</t>
        </is>
      </c>
      <c r="V162" t="inlineStr">
        <is>
          <t>1999-12-08</t>
        </is>
      </c>
      <c r="W162" t="inlineStr">
        <is>
          <t>1997-02-25</t>
        </is>
      </c>
      <c r="X162" t="inlineStr">
        <is>
          <t>1997-02-25</t>
        </is>
      </c>
      <c r="Y162" t="n">
        <v>1001</v>
      </c>
      <c r="Z162" t="n">
        <v>941</v>
      </c>
      <c r="AA162" t="n">
        <v>1260</v>
      </c>
      <c r="AB162" t="n">
        <v>7</v>
      </c>
      <c r="AC162" t="n">
        <v>9</v>
      </c>
      <c r="AD162" t="n">
        <v>36</v>
      </c>
      <c r="AE162" t="n">
        <v>45</v>
      </c>
      <c r="AF162" t="n">
        <v>15</v>
      </c>
      <c r="AG162" t="n">
        <v>20</v>
      </c>
      <c r="AH162" t="n">
        <v>6</v>
      </c>
      <c r="AI162" t="n">
        <v>8</v>
      </c>
      <c r="AJ162" t="n">
        <v>21</v>
      </c>
      <c r="AK162" t="n">
        <v>26</v>
      </c>
      <c r="AL162" t="n">
        <v>3</v>
      </c>
      <c r="AM162" t="n">
        <v>4</v>
      </c>
      <c r="AN162" t="n">
        <v>0</v>
      </c>
      <c r="AO162" t="n">
        <v>0</v>
      </c>
      <c r="AP162" t="inlineStr">
        <is>
          <t>No</t>
        </is>
      </c>
      <c r="AQ162" t="inlineStr">
        <is>
          <t>No</t>
        </is>
      </c>
      <c r="AR162">
        <f>HYPERLINK("http://catalog.hathitrust.org/Record/001242503","HathiTrust Record")</f>
        <v/>
      </c>
      <c r="AS162">
        <f>HYPERLINK("https://creighton-primo.hosted.exlibrisgroup.com/primo-explore/search?tab=default_tab&amp;search_scope=EVERYTHING&amp;vid=01CRU&amp;lang=en_US&amp;offset=0&amp;query=any,contains,991002685829702656","Catalog Record")</f>
        <v/>
      </c>
      <c r="AT162">
        <f>HYPERLINK("http://www.worldcat.org/oclc/399995","WorldCat Record")</f>
        <v/>
      </c>
      <c r="AU162" t="inlineStr">
        <is>
          <t>1150936940:eng</t>
        </is>
      </c>
      <c r="AV162" t="inlineStr">
        <is>
          <t>399995</t>
        </is>
      </c>
      <c r="AW162" t="inlineStr">
        <is>
          <t>991002685829702656</t>
        </is>
      </c>
      <c r="AX162" t="inlineStr">
        <is>
          <t>991002685829702656</t>
        </is>
      </c>
      <c r="AY162" t="inlineStr">
        <is>
          <t>2257868640002656</t>
        </is>
      </c>
      <c r="AZ162" t="inlineStr">
        <is>
          <t>BOOK</t>
        </is>
      </c>
      <c r="BC162" t="inlineStr">
        <is>
          <t>32285002461340</t>
        </is>
      </c>
      <c r="BD162" t="inlineStr">
        <is>
          <t>893517605</t>
        </is>
      </c>
    </row>
    <row r="163">
      <c r="A163" t="inlineStr">
        <is>
          <t>No</t>
        </is>
      </c>
      <c r="B163" t="inlineStr">
        <is>
          <t>DS112 .D4 1974</t>
        </is>
      </c>
      <c r="C163" t="inlineStr">
        <is>
          <t>0                      DS 0112000D  4           1974</t>
        </is>
      </c>
      <c r="D163" t="inlineStr">
        <is>
          <t>Jesus's audience: the social and psychological environment in which He worked; prolegomena to a restatement of the teaching of Jesus. Lectures at Newquay, 1971 [by] J. Duncan M. Derrett. With a foreword by the Bishop of Truro.</t>
        </is>
      </c>
      <c r="F163" t="inlineStr">
        <is>
          <t>No</t>
        </is>
      </c>
      <c r="G163" t="inlineStr">
        <is>
          <t>1</t>
        </is>
      </c>
      <c r="H163" t="inlineStr">
        <is>
          <t>No</t>
        </is>
      </c>
      <c r="I163" t="inlineStr">
        <is>
          <t>No</t>
        </is>
      </c>
      <c r="J163" t="inlineStr">
        <is>
          <t>0</t>
        </is>
      </c>
      <c r="K163" t="inlineStr">
        <is>
          <t>Derrett, J. Duncan M., 1922-2012.</t>
        </is>
      </c>
      <c r="L163" t="inlineStr">
        <is>
          <t>New York, Seabury Press [1974, c1973]</t>
        </is>
      </c>
      <c r="M163" t="inlineStr">
        <is>
          <t>1974</t>
        </is>
      </c>
      <c r="O163" t="inlineStr">
        <is>
          <t>eng</t>
        </is>
      </c>
      <c r="P163" t="inlineStr">
        <is>
          <t>nyu</t>
        </is>
      </c>
      <c r="R163" t="inlineStr">
        <is>
          <t xml:space="preserve">DS </t>
        </is>
      </c>
      <c r="S163" t="n">
        <v>2</v>
      </c>
      <c r="T163" t="n">
        <v>2</v>
      </c>
      <c r="U163" t="inlineStr">
        <is>
          <t>1999-12-08</t>
        </is>
      </c>
      <c r="V163" t="inlineStr">
        <is>
          <t>1999-12-08</t>
        </is>
      </c>
      <c r="W163" t="inlineStr">
        <is>
          <t>1997-02-25</t>
        </is>
      </c>
      <c r="X163" t="inlineStr">
        <is>
          <t>1997-02-25</t>
        </is>
      </c>
      <c r="Y163" t="n">
        <v>278</v>
      </c>
      <c r="Z163" t="n">
        <v>266</v>
      </c>
      <c r="AA163" t="n">
        <v>347</v>
      </c>
      <c r="AB163" t="n">
        <v>2</v>
      </c>
      <c r="AC163" t="n">
        <v>2</v>
      </c>
      <c r="AD163" t="n">
        <v>19</v>
      </c>
      <c r="AE163" t="n">
        <v>20</v>
      </c>
      <c r="AF163" t="n">
        <v>6</v>
      </c>
      <c r="AG163" t="n">
        <v>6</v>
      </c>
      <c r="AH163" t="n">
        <v>6</v>
      </c>
      <c r="AI163" t="n">
        <v>6</v>
      </c>
      <c r="AJ163" t="n">
        <v>12</v>
      </c>
      <c r="AK163" t="n">
        <v>13</v>
      </c>
      <c r="AL163" t="n">
        <v>1</v>
      </c>
      <c r="AM163" t="n">
        <v>1</v>
      </c>
      <c r="AN163" t="n">
        <v>0</v>
      </c>
      <c r="AO163" t="n">
        <v>0</v>
      </c>
      <c r="AP163" t="inlineStr">
        <is>
          <t>No</t>
        </is>
      </c>
      <c r="AQ163" t="inlineStr">
        <is>
          <t>Yes</t>
        </is>
      </c>
      <c r="AR163">
        <f>HYPERLINK("http://catalog.hathitrust.org/Record/010090573","HathiTrust Record")</f>
        <v/>
      </c>
      <c r="AS163">
        <f>HYPERLINK("https://creighton-primo.hosted.exlibrisgroup.com/primo-explore/search?tab=default_tab&amp;search_scope=EVERYTHING&amp;vid=01CRU&amp;lang=en_US&amp;offset=0&amp;query=any,contains,991003264329702656","Catalog Record")</f>
        <v/>
      </c>
      <c r="AT163">
        <f>HYPERLINK("http://www.worldcat.org/oclc/790263","WorldCat Record")</f>
        <v/>
      </c>
      <c r="AU163" t="inlineStr">
        <is>
          <t>850764247:eng</t>
        </is>
      </c>
      <c r="AV163" t="inlineStr">
        <is>
          <t>790263</t>
        </is>
      </c>
      <c r="AW163" t="inlineStr">
        <is>
          <t>991003264329702656</t>
        </is>
      </c>
      <c r="AX163" t="inlineStr">
        <is>
          <t>991003264329702656</t>
        </is>
      </c>
      <c r="AY163" t="inlineStr">
        <is>
          <t>2264058360002656</t>
        </is>
      </c>
      <c r="AZ163" t="inlineStr">
        <is>
          <t>BOOK</t>
        </is>
      </c>
      <c r="BB163" t="inlineStr">
        <is>
          <t>9780816411481</t>
        </is>
      </c>
      <c r="BC163" t="inlineStr">
        <is>
          <t>32285002461357</t>
        </is>
      </c>
      <c r="BD163" t="inlineStr">
        <is>
          <t>893711206</t>
        </is>
      </c>
    </row>
    <row r="164">
      <c r="A164" t="inlineStr">
        <is>
          <t>No</t>
        </is>
      </c>
      <c r="B164" t="inlineStr">
        <is>
          <t>DS112 .F6</t>
        </is>
      </c>
      <c r="C164" t="inlineStr">
        <is>
          <t>0                      DS 0112000F  6</t>
        </is>
      </c>
      <c r="D164" t="inlineStr">
        <is>
          <t>Mœurs des Israélites et des Chrétiens.</t>
        </is>
      </c>
      <c r="F164" t="inlineStr">
        <is>
          <t>No</t>
        </is>
      </c>
      <c r="G164" t="inlineStr">
        <is>
          <t>1</t>
        </is>
      </c>
      <c r="H164" t="inlineStr">
        <is>
          <t>No</t>
        </is>
      </c>
      <c r="I164" t="inlineStr">
        <is>
          <t>No</t>
        </is>
      </c>
      <c r="J164" t="inlineStr">
        <is>
          <t>0</t>
        </is>
      </c>
      <c r="K164" t="inlineStr">
        <is>
          <t>Fleury, Claude, 1640-1723.</t>
        </is>
      </c>
      <c r="L164" t="inlineStr">
        <is>
          <t>Paris : Mame, 1855.</t>
        </is>
      </c>
      <c r="M164" t="inlineStr">
        <is>
          <t>1855</t>
        </is>
      </c>
      <c r="N164" t="inlineStr">
        <is>
          <t>Nouvelle éd.</t>
        </is>
      </c>
      <c r="O164" t="inlineStr">
        <is>
          <t>fre</t>
        </is>
      </c>
      <c r="P164" t="inlineStr">
        <is>
          <t xml:space="preserve">fr </t>
        </is>
      </c>
      <c r="Q164" t="inlineStr">
        <is>
          <t>Bibliothèque des écoles chrétiennes. 2e série</t>
        </is>
      </c>
      <c r="R164" t="inlineStr">
        <is>
          <t xml:space="preserve">DS </t>
        </is>
      </c>
      <c r="S164" t="n">
        <v>1</v>
      </c>
      <c r="T164" t="n">
        <v>1</v>
      </c>
      <c r="U164" t="inlineStr">
        <is>
          <t>2005-02-04</t>
        </is>
      </c>
      <c r="V164" t="inlineStr">
        <is>
          <t>2005-02-04</t>
        </is>
      </c>
      <c r="W164" t="inlineStr">
        <is>
          <t>1996-08-09</t>
        </is>
      </c>
      <c r="X164" t="inlineStr">
        <is>
          <t>1996-08-09</t>
        </is>
      </c>
      <c r="Y164" t="n">
        <v>8</v>
      </c>
      <c r="Z164" t="n">
        <v>4</v>
      </c>
      <c r="AA164" t="n">
        <v>78</v>
      </c>
      <c r="AB164" t="n">
        <v>1</v>
      </c>
      <c r="AC164" t="n">
        <v>1</v>
      </c>
      <c r="AD164" t="n">
        <v>0</v>
      </c>
      <c r="AE164" t="n">
        <v>9</v>
      </c>
      <c r="AF164" t="n">
        <v>0</v>
      </c>
      <c r="AG164" t="n">
        <v>1</v>
      </c>
      <c r="AH164" t="n">
        <v>0</v>
      </c>
      <c r="AI164" t="n">
        <v>3</v>
      </c>
      <c r="AJ164" t="n">
        <v>0</v>
      </c>
      <c r="AK164" t="n">
        <v>6</v>
      </c>
      <c r="AL164" t="n">
        <v>0</v>
      </c>
      <c r="AM164" t="n">
        <v>0</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HYPERLINK("https://creighton-primo.hosted.exlibrisgroup.com/primo-explore/search?tab=default_tab&amp;search_scope=EVERYTHING&amp;vid=01CRU&amp;lang=en_US&amp;offset=0&amp;query=any,contains,991005236019702656","Catalog Record")</f>
        <v/>
      </c>
      <c r="AT164">
        <f>HYPERLINK("http://www.worldcat.org/oclc/8384331","WorldCat Record")</f>
        <v/>
      </c>
      <c r="AU164" t="inlineStr">
        <is>
          <t>2886184192:fre</t>
        </is>
      </c>
      <c r="AV164" t="inlineStr">
        <is>
          <t>8384331</t>
        </is>
      </c>
      <c r="AW164" t="inlineStr">
        <is>
          <t>991005236019702656</t>
        </is>
      </c>
      <c r="AX164" t="inlineStr">
        <is>
          <t>991005236019702656</t>
        </is>
      </c>
      <c r="AY164" t="inlineStr">
        <is>
          <t>2265259690002656</t>
        </is>
      </c>
      <c r="AZ164" t="inlineStr">
        <is>
          <t>BOOK</t>
        </is>
      </c>
      <c r="BC164" t="inlineStr">
        <is>
          <t>32285002272549</t>
        </is>
      </c>
      <c r="BD164" t="inlineStr">
        <is>
          <t>893870741</t>
        </is>
      </c>
    </row>
    <row r="165">
      <c r="A165" t="inlineStr">
        <is>
          <t>No</t>
        </is>
      </c>
      <c r="B165" t="inlineStr">
        <is>
          <t>DS112 .M333 1993</t>
        </is>
      </c>
      <c r="C165" t="inlineStr">
        <is>
          <t>0                      DS 0112000M  333         1993</t>
        </is>
      </c>
      <c r="D165" t="inlineStr">
        <is>
          <t>Social World of ancient Israel, 1250-587 BCE / Victor H. Matthews and Don. C. Benjamin.</t>
        </is>
      </c>
      <c r="F165" t="inlineStr">
        <is>
          <t>No</t>
        </is>
      </c>
      <c r="G165" t="inlineStr">
        <is>
          <t>1</t>
        </is>
      </c>
      <c r="H165" t="inlineStr">
        <is>
          <t>No</t>
        </is>
      </c>
      <c r="I165" t="inlineStr">
        <is>
          <t>No</t>
        </is>
      </c>
      <c r="J165" t="inlineStr">
        <is>
          <t>0</t>
        </is>
      </c>
      <c r="K165" t="inlineStr">
        <is>
          <t>Matthews, Victor Harold.</t>
        </is>
      </c>
      <c r="L165" t="inlineStr">
        <is>
          <t>Peabody, Mass. : Hendrickson Publishers, c1993.</t>
        </is>
      </c>
      <c r="M165" t="inlineStr">
        <is>
          <t>1993</t>
        </is>
      </c>
      <c r="O165" t="inlineStr">
        <is>
          <t>eng</t>
        </is>
      </c>
      <c r="P165" t="inlineStr">
        <is>
          <t>mau</t>
        </is>
      </c>
      <c r="R165" t="inlineStr">
        <is>
          <t xml:space="preserve">DS </t>
        </is>
      </c>
      <c r="S165" t="n">
        <v>11</v>
      </c>
      <c r="T165" t="n">
        <v>11</v>
      </c>
      <c r="U165" t="inlineStr">
        <is>
          <t>2006-09-26</t>
        </is>
      </c>
      <c r="V165" t="inlineStr">
        <is>
          <t>2006-09-26</t>
        </is>
      </c>
      <c r="W165" t="inlineStr">
        <is>
          <t>1994-09-29</t>
        </is>
      </c>
      <c r="X165" t="inlineStr">
        <is>
          <t>1994-09-29</t>
        </is>
      </c>
      <c r="Y165" t="n">
        <v>558</v>
      </c>
      <c r="Z165" t="n">
        <v>452</v>
      </c>
      <c r="AA165" t="n">
        <v>463</v>
      </c>
      <c r="AB165" t="n">
        <v>3</v>
      </c>
      <c r="AC165" t="n">
        <v>3</v>
      </c>
      <c r="AD165" t="n">
        <v>30</v>
      </c>
      <c r="AE165" t="n">
        <v>30</v>
      </c>
      <c r="AF165" t="n">
        <v>11</v>
      </c>
      <c r="AG165" t="n">
        <v>11</v>
      </c>
      <c r="AH165" t="n">
        <v>8</v>
      </c>
      <c r="AI165" t="n">
        <v>8</v>
      </c>
      <c r="AJ165" t="n">
        <v>17</v>
      </c>
      <c r="AK165" t="n">
        <v>17</v>
      </c>
      <c r="AL165" t="n">
        <v>2</v>
      </c>
      <c r="AM165" t="n">
        <v>2</v>
      </c>
      <c r="AN165" t="n">
        <v>0</v>
      </c>
      <c r="AO165" t="n">
        <v>0</v>
      </c>
      <c r="AP165" t="inlineStr">
        <is>
          <t>No</t>
        </is>
      </c>
      <c r="AQ165" t="inlineStr">
        <is>
          <t>Yes</t>
        </is>
      </c>
      <c r="AR165">
        <f>HYPERLINK("http://catalog.hathitrust.org/Record/002780697","HathiTrust Record")</f>
        <v/>
      </c>
      <c r="AS165">
        <f>HYPERLINK("https://creighton-primo.hosted.exlibrisgroup.com/primo-explore/search?tab=default_tab&amp;search_scope=EVERYTHING&amp;vid=01CRU&amp;lang=en_US&amp;offset=0&amp;query=any,contains,991002239209702656","Catalog Record")</f>
        <v/>
      </c>
      <c r="AT165">
        <f>HYPERLINK("http://www.worldcat.org/oclc/28888160","WorldCat Record")</f>
        <v/>
      </c>
      <c r="AU165" t="inlineStr">
        <is>
          <t>31502501:eng</t>
        </is>
      </c>
      <c r="AV165" t="inlineStr">
        <is>
          <t>28888160</t>
        </is>
      </c>
      <c r="AW165" t="inlineStr">
        <is>
          <t>991002239209702656</t>
        </is>
      </c>
      <c r="AX165" t="inlineStr">
        <is>
          <t>991002239209702656</t>
        </is>
      </c>
      <c r="AY165" t="inlineStr">
        <is>
          <t>2264025630002656</t>
        </is>
      </c>
      <c r="AZ165" t="inlineStr">
        <is>
          <t>BOOK</t>
        </is>
      </c>
      <c r="BB165" t="inlineStr">
        <is>
          <t>9780913573891</t>
        </is>
      </c>
      <c r="BC165" t="inlineStr">
        <is>
          <t>32285001947703</t>
        </is>
      </c>
      <c r="BD165" t="inlineStr">
        <is>
          <t>893328842</t>
        </is>
      </c>
    </row>
    <row r="166">
      <c r="A166" t="inlineStr">
        <is>
          <t>No</t>
        </is>
      </c>
      <c r="B166" t="inlineStr">
        <is>
          <t>DS112 .O913 1993</t>
        </is>
      </c>
      <c r="C166" t="inlineStr">
        <is>
          <t>0                      DS 0112000O  913         1993</t>
        </is>
      </c>
      <c r="D166" t="inlineStr">
        <is>
          <t>In the land of Israel / Amos Oz ; translated by Maurie Goldberg-Bartura.</t>
        </is>
      </c>
      <c r="F166" t="inlineStr">
        <is>
          <t>No</t>
        </is>
      </c>
      <c r="G166" t="inlineStr">
        <is>
          <t>1</t>
        </is>
      </c>
      <c r="H166" t="inlineStr">
        <is>
          <t>No</t>
        </is>
      </c>
      <c r="I166" t="inlineStr">
        <is>
          <t>No</t>
        </is>
      </c>
      <c r="J166" t="inlineStr">
        <is>
          <t>0</t>
        </is>
      </c>
      <c r="K166" t="inlineStr">
        <is>
          <t>Oz, Amos, 1939-2018.</t>
        </is>
      </c>
      <c r="L166" t="inlineStr">
        <is>
          <t>San Diego : Harcourt Brace &amp; Company, c1993.</t>
        </is>
      </c>
      <c r="M166" t="inlineStr">
        <is>
          <t>1993</t>
        </is>
      </c>
      <c r="N166" t="inlineStr">
        <is>
          <t>1st Harvest ed.</t>
        </is>
      </c>
      <c r="O166" t="inlineStr">
        <is>
          <t>eng</t>
        </is>
      </c>
      <c r="P166" t="inlineStr">
        <is>
          <t>cau</t>
        </is>
      </c>
      <c r="Q166" t="inlineStr">
        <is>
          <t>Harvest in translation</t>
        </is>
      </c>
      <c r="R166" t="inlineStr">
        <is>
          <t xml:space="preserve">DS </t>
        </is>
      </c>
      <c r="S166" t="n">
        <v>2</v>
      </c>
      <c r="T166" t="n">
        <v>2</v>
      </c>
      <c r="U166" t="inlineStr">
        <is>
          <t>2007-07-30</t>
        </is>
      </c>
      <c r="V166" t="inlineStr">
        <is>
          <t>2007-07-30</t>
        </is>
      </c>
      <c r="W166" t="inlineStr">
        <is>
          <t>2003-07-29</t>
        </is>
      </c>
      <c r="X166" t="inlineStr">
        <is>
          <t>2003-07-29</t>
        </is>
      </c>
      <c r="Y166" t="n">
        <v>128</v>
      </c>
      <c r="Z166" t="n">
        <v>114</v>
      </c>
      <c r="AA166" t="n">
        <v>960</v>
      </c>
      <c r="AB166" t="n">
        <v>1</v>
      </c>
      <c r="AC166" t="n">
        <v>4</v>
      </c>
      <c r="AD166" t="n">
        <v>3</v>
      </c>
      <c r="AE166" t="n">
        <v>33</v>
      </c>
      <c r="AF166" t="n">
        <v>2</v>
      </c>
      <c r="AG166" t="n">
        <v>13</v>
      </c>
      <c r="AH166" t="n">
        <v>0</v>
      </c>
      <c r="AI166" t="n">
        <v>7</v>
      </c>
      <c r="AJ166" t="n">
        <v>1</v>
      </c>
      <c r="AK166" t="n">
        <v>18</v>
      </c>
      <c r="AL166" t="n">
        <v>0</v>
      </c>
      <c r="AM166" t="n">
        <v>3</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HYPERLINK("https://creighton-primo.hosted.exlibrisgroup.com/primo-explore/search?tab=default_tab&amp;search_scope=EVERYTHING&amp;vid=01CRU&amp;lang=en_US&amp;offset=0&amp;query=any,contains,991004079819702656","Catalog Record")</f>
        <v/>
      </c>
      <c r="AT166">
        <f>HYPERLINK("http://www.worldcat.org/oclc/29605444","WorldCat Record")</f>
        <v/>
      </c>
      <c r="AU166" t="inlineStr">
        <is>
          <t>3470131:eng</t>
        </is>
      </c>
      <c r="AV166" t="inlineStr">
        <is>
          <t>29605444</t>
        </is>
      </c>
      <c r="AW166" t="inlineStr">
        <is>
          <t>991004079819702656</t>
        </is>
      </c>
      <c r="AX166" t="inlineStr">
        <is>
          <t>991004079819702656</t>
        </is>
      </c>
      <c r="AY166" t="inlineStr">
        <is>
          <t>2264421600002656</t>
        </is>
      </c>
      <c r="AZ166" t="inlineStr">
        <is>
          <t>BOOK</t>
        </is>
      </c>
      <c r="BB166" t="inlineStr">
        <is>
          <t>9780156481144</t>
        </is>
      </c>
      <c r="BC166" t="inlineStr">
        <is>
          <t>32285004757463</t>
        </is>
      </c>
      <c r="BD166" t="inlineStr">
        <is>
          <t>893500097</t>
        </is>
      </c>
    </row>
    <row r="167">
      <c r="A167" t="inlineStr">
        <is>
          <t>No</t>
        </is>
      </c>
      <c r="B167" t="inlineStr">
        <is>
          <t>DS112 .P29 1977</t>
        </is>
      </c>
      <c r="C167" t="inlineStr">
        <is>
          <t>0                      DS 0112000P  29          1977</t>
        </is>
      </c>
      <c r="D167" t="inlineStr">
        <is>
          <t>The Jewish mind / Raphael Patai.</t>
        </is>
      </c>
      <c r="F167" t="inlineStr">
        <is>
          <t>No</t>
        </is>
      </c>
      <c r="G167" t="inlineStr">
        <is>
          <t>1</t>
        </is>
      </c>
      <c r="H167" t="inlineStr">
        <is>
          <t>No</t>
        </is>
      </c>
      <c r="I167" t="inlineStr">
        <is>
          <t>No</t>
        </is>
      </c>
      <c r="J167" t="inlineStr">
        <is>
          <t>0</t>
        </is>
      </c>
      <c r="K167" t="inlineStr">
        <is>
          <t>Patai, Raphael, 1910-1996.</t>
        </is>
      </c>
      <c r="L167" t="inlineStr">
        <is>
          <t>New York : Scribner, c1977.</t>
        </is>
      </c>
      <c r="M167" t="inlineStr">
        <is>
          <t>1977</t>
        </is>
      </c>
      <c r="O167" t="inlineStr">
        <is>
          <t>eng</t>
        </is>
      </c>
      <c r="P167" t="inlineStr">
        <is>
          <t>nyu</t>
        </is>
      </c>
      <c r="R167" t="inlineStr">
        <is>
          <t xml:space="preserve">DS </t>
        </is>
      </c>
      <c r="S167" t="n">
        <v>6</v>
      </c>
      <c r="T167" t="n">
        <v>6</v>
      </c>
      <c r="U167" t="inlineStr">
        <is>
          <t>1995-08-29</t>
        </is>
      </c>
      <c r="V167" t="inlineStr">
        <is>
          <t>1995-08-29</t>
        </is>
      </c>
      <c r="W167" t="inlineStr">
        <is>
          <t>1994-05-17</t>
        </is>
      </c>
      <c r="X167" t="inlineStr">
        <is>
          <t>1994-05-17</t>
        </is>
      </c>
      <c r="Y167" t="n">
        <v>844</v>
      </c>
      <c r="Z167" t="n">
        <v>748</v>
      </c>
      <c r="AA167" t="n">
        <v>825</v>
      </c>
      <c r="AB167" t="n">
        <v>6</v>
      </c>
      <c r="AC167" t="n">
        <v>7</v>
      </c>
      <c r="AD167" t="n">
        <v>30</v>
      </c>
      <c r="AE167" t="n">
        <v>32</v>
      </c>
      <c r="AF167" t="n">
        <v>11</v>
      </c>
      <c r="AG167" t="n">
        <v>11</v>
      </c>
      <c r="AH167" t="n">
        <v>6</v>
      </c>
      <c r="AI167" t="n">
        <v>7</v>
      </c>
      <c r="AJ167" t="n">
        <v>14</v>
      </c>
      <c r="AK167" t="n">
        <v>14</v>
      </c>
      <c r="AL167" t="n">
        <v>5</v>
      </c>
      <c r="AM167" t="n">
        <v>6</v>
      </c>
      <c r="AN167" t="n">
        <v>0</v>
      </c>
      <c r="AO167" t="n">
        <v>0</v>
      </c>
      <c r="AP167" t="inlineStr">
        <is>
          <t>No</t>
        </is>
      </c>
      <c r="AQ167" t="inlineStr">
        <is>
          <t>Yes</t>
        </is>
      </c>
      <c r="AR167">
        <f>HYPERLINK("http://catalog.hathitrust.org/Record/000214255","HathiTrust Record")</f>
        <v/>
      </c>
      <c r="AS167">
        <f>HYPERLINK("https://creighton-primo.hosted.exlibrisgroup.com/primo-explore/search?tab=default_tab&amp;search_scope=EVERYTHING&amp;vid=01CRU&amp;lang=en_US&amp;offset=0&amp;query=any,contains,991004302119702656","Catalog Record")</f>
        <v/>
      </c>
      <c r="AT167">
        <f>HYPERLINK("http://www.worldcat.org/oclc/2968700","WorldCat Record")</f>
        <v/>
      </c>
      <c r="AU167" t="inlineStr">
        <is>
          <t>136779936:eng</t>
        </is>
      </c>
      <c r="AV167" t="inlineStr">
        <is>
          <t>2968700</t>
        </is>
      </c>
      <c r="AW167" t="inlineStr">
        <is>
          <t>991004302119702656</t>
        </is>
      </c>
      <c r="AX167" t="inlineStr">
        <is>
          <t>991004302119702656</t>
        </is>
      </c>
      <c r="AY167" t="inlineStr">
        <is>
          <t>2269044420002656</t>
        </is>
      </c>
      <c r="AZ167" t="inlineStr">
        <is>
          <t>BOOK</t>
        </is>
      </c>
      <c r="BB167" t="inlineStr">
        <is>
          <t>9780684148786</t>
        </is>
      </c>
      <c r="BC167" t="inlineStr">
        <is>
          <t>32285001864932</t>
        </is>
      </c>
      <c r="BD167" t="inlineStr">
        <is>
          <t>893525918</t>
        </is>
      </c>
    </row>
    <row r="168">
      <c r="A168" t="inlineStr">
        <is>
          <t>No</t>
        </is>
      </c>
      <c r="B168" t="inlineStr">
        <is>
          <t>DS112 .R7 1980</t>
        </is>
      </c>
      <c r="C168" t="inlineStr">
        <is>
          <t>0                      DS 0112000R  7           1980</t>
        </is>
      </c>
      <c r="D168" t="inlineStr">
        <is>
          <t>Corporate personality in ancient Israel / by H. Wheeler Robinson.</t>
        </is>
      </c>
      <c r="F168" t="inlineStr">
        <is>
          <t>No</t>
        </is>
      </c>
      <c r="G168" t="inlineStr">
        <is>
          <t>1</t>
        </is>
      </c>
      <c r="H168" t="inlineStr">
        <is>
          <t>No</t>
        </is>
      </c>
      <c r="I168" t="inlineStr">
        <is>
          <t>No</t>
        </is>
      </c>
      <c r="J168" t="inlineStr">
        <is>
          <t>0</t>
        </is>
      </c>
      <c r="K168" t="inlineStr">
        <is>
          <t>Robinson, H. Wheeler (Henry Wheeler), 1872-1945.</t>
        </is>
      </c>
      <c r="L168" t="inlineStr">
        <is>
          <t>Philadelphia : Fortress Press, 1980.</t>
        </is>
      </c>
      <c r="M168" t="inlineStr">
        <is>
          <t>1980</t>
        </is>
      </c>
      <c r="N168" t="inlineStr">
        <is>
          <t>Rev. ed.</t>
        </is>
      </c>
      <c r="O168" t="inlineStr">
        <is>
          <t>eng</t>
        </is>
      </c>
      <c r="P168" t="inlineStr">
        <is>
          <t>pau</t>
        </is>
      </c>
      <c r="R168" t="inlineStr">
        <is>
          <t xml:space="preserve">DS </t>
        </is>
      </c>
      <c r="S168" t="n">
        <v>6</v>
      </c>
      <c r="T168" t="n">
        <v>6</v>
      </c>
      <c r="U168" t="inlineStr">
        <is>
          <t>2007-06-06</t>
        </is>
      </c>
      <c r="V168" t="inlineStr">
        <is>
          <t>2007-06-06</t>
        </is>
      </c>
      <c r="W168" t="inlineStr">
        <is>
          <t>1990-09-28</t>
        </is>
      </c>
      <c r="X168" t="inlineStr">
        <is>
          <t>1990-09-28</t>
        </is>
      </c>
      <c r="Y168" t="n">
        <v>326</v>
      </c>
      <c r="Z168" t="n">
        <v>267</v>
      </c>
      <c r="AA168" t="n">
        <v>303</v>
      </c>
      <c r="AB168" t="n">
        <v>4</v>
      </c>
      <c r="AC168" t="n">
        <v>4</v>
      </c>
      <c r="AD168" t="n">
        <v>19</v>
      </c>
      <c r="AE168" t="n">
        <v>19</v>
      </c>
      <c r="AF168" t="n">
        <v>7</v>
      </c>
      <c r="AG168" t="n">
        <v>7</v>
      </c>
      <c r="AH168" t="n">
        <v>3</v>
      </c>
      <c r="AI168" t="n">
        <v>3</v>
      </c>
      <c r="AJ168" t="n">
        <v>11</v>
      </c>
      <c r="AK168" t="n">
        <v>11</v>
      </c>
      <c r="AL168" t="n">
        <v>3</v>
      </c>
      <c r="AM168" t="n">
        <v>3</v>
      </c>
      <c r="AN168" t="n">
        <v>0</v>
      </c>
      <c r="AO168" t="n">
        <v>0</v>
      </c>
      <c r="AP168" t="inlineStr">
        <is>
          <t>No</t>
        </is>
      </c>
      <c r="AQ168" t="inlineStr">
        <is>
          <t>No</t>
        </is>
      </c>
      <c r="AS168">
        <f>HYPERLINK("https://creighton-primo.hosted.exlibrisgroup.com/primo-explore/search?tab=default_tab&amp;search_scope=EVERYTHING&amp;vid=01CRU&amp;lang=en_US&amp;offset=0&amp;query=any,contains,991004855659702656","Catalog Record")</f>
        <v/>
      </c>
      <c r="AT168">
        <f>HYPERLINK("http://www.worldcat.org/oclc/5674276","WorldCat Record")</f>
        <v/>
      </c>
      <c r="AU168" t="inlineStr">
        <is>
          <t>449145:eng</t>
        </is>
      </c>
      <c r="AV168" t="inlineStr">
        <is>
          <t>5674276</t>
        </is>
      </c>
      <c r="AW168" t="inlineStr">
        <is>
          <t>991004855659702656</t>
        </is>
      </c>
      <c r="AX168" t="inlineStr">
        <is>
          <t>991004855659702656</t>
        </is>
      </c>
      <c r="AY168" t="inlineStr">
        <is>
          <t>2256337280002656</t>
        </is>
      </c>
      <c r="AZ168" t="inlineStr">
        <is>
          <t>BOOK</t>
        </is>
      </c>
      <c r="BB168" t="inlineStr">
        <is>
          <t>9780800613808</t>
        </is>
      </c>
      <c r="BC168" t="inlineStr">
        <is>
          <t>32285000293331</t>
        </is>
      </c>
      <c r="BD168" t="inlineStr">
        <is>
          <t>893319713</t>
        </is>
      </c>
    </row>
    <row r="169">
      <c r="A169" t="inlineStr">
        <is>
          <t>No</t>
        </is>
      </c>
      <c r="B169" t="inlineStr">
        <is>
          <t>DS112 .T48 1986</t>
        </is>
      </c>
      <c r="C169" t="inlineStr">
        <is>
          <t>0                      DS 0112000T  48          1986</t>
        </is>
      </c>
      <c r="D169" t="inlineStr">
        <is>
          <t>Handbook of life in Bible times / J.A. Thompson.</t>
        </is>
      </c>
      <c r="F169" t="inlineStr">
        <is>
          <t>No</t>
        </is>
      </c>
      <c r="G169" t="inlineStr">
        <is>
          <t>1</t>
        </is>
      </c>
      <c r="H169" t="inlineStr">
        <is>
          <t>No</t>
        </is>
      </c>
      <c r="I169" t="inlineStr">
        <is>
          <t>No</t>
        </is>
      </c>
      <c r="J169" t="inlineStr">
        <is>
          <t>0</t>
        </is>
      </c>
      <c r="K169" t="inlineStr">
        <is>
          <t>Thompson, J. A. (John Arthur), 1913-2002.</t>
        </is>
      </c>
      <c r="L169" t="inlineStr">
        <is>
          <t>Leicester, England ; Downers Grove, Ill. : Inter-Varsity Press, 1986.</t>
        </is>
      </c>
      <c r="M169" t="inlineStr">
        <is>
          <t>1986</t>
        </is>
      </c>
      <c r="O169" t="inlineStr">
        <is>
          <t>eng</t>
        </is>
      </c>
      <c r="P169" t="inlineStr">
        <is>
          <t>enk</t>
        </is>
      </c>
      <c r="R169" t="inlineStr">
        <is>
          <t xml:space="preserve">DS </t>
        </is>
      </c>
      <c r="S169" t="n">
        <v>6</v>
      </c>
      <c r="T169" t="n">
        <v>6</v>
      </c>
      <c r="U169" t="inlineStr">
        <is>
          <t>1999-11-20</t>
        </is>
      </c>
      <c r="V169" t="inlineStr">
        <is>
          <t>1999-11-20</t>
        </is>
      </c>
      <c r="W169" t="inlineStr">
        <is>
          <t>1990-02-09</t>
        </is>
      </c>
      <c r="X169" t="inlineStr">
        <is>
          <t>1990-02-09</t>
        </is>
      </c>
      <c r="Y169" t="n">
        <v>408</v>
      </c>
      <c r="Z169" t="n">
        <v>304</v>
      </c>
      <c r="AA169" t="n">
        <v>358</v>
      </c>
      <c r="AB169" t="n">
        <v>6</v>
      </c>
      <c r="AC169" t="n">
        <v>6</v>
      </c>
      <c r="AD169" t="n">
        <v>10</v>
      </c>
      <c r="AE169" t="n">
        <v>11</v>
      </c>
      <c r="AF169" t="n">
        <v>4</v>
      </c>
      <c r="AG169" t="n">
        <v>5</v>
      </c>
      <c r="AH169" t="n">
        <v>2</v>
      </c>
      <c r="AI169" t="n">
        <v>2</v>
      </c>
      <c r="AJ169" t="n">
        <v>2</v>
      </c>
      <c r="AK169" t="n">
        <v>3</v>
      </c>
      <c r="AL169" t="n">
        <v>3</v>
      </c>
      <c r="AM169" t="n">
        <v>3</v>
      </c>
      <c r="AN169" t="n">
        <v>0</v>
      </c>
      <c r="AO169" t="n">
        <v>0</v>
      </c>
      <c r="AP169" t="inlineStr">
        <is>
          <t>No</t>
        </is>
      </c>
      <c r="AQ169" t="inlineStr">
        <is>
          <t>No</t>
        </is>
      </c>
      <c r="AS169">
        <f>HYPERLINK("https://creighton-primo.hosted.exlibrisgroup.com/primo-explore/search?tab=default_tab&amp;search_scope=EVERYTHING&amp;vid=01CRU&amp;lang=en_US&amp;offset=0&amp;query=any,contains,991000799049702656","Catalog Record")</f>
        <v/>
      </c>
      <c r="AT169">
        <f>HYPERLINK("http://www.worldcat.org/oclc/13216340","WorldCat Record")</f>
        <v/>
      </c>
      <c r="AU169" t="inlineStr">
        <is>
          <t>7076589:eng</t>
        </is>
      </c>
      <c r="AV169" t="inlineStr">
        <is>
          <t>13216340</t>
        </is>
      </c>
      <c r="AW169" t="inlineStr">
        <is>
          <t>991000799049702656</t>
        </is>
      </c>
      <c r="AX169" t="inlineStr">
        <is>
          <t>991000799049702656</t>
        </is>
      </c>
      <c r="AY169" t="inlineStr">
        <is>
          <t>2263844210002656</t>
        </is>
      </c>
      <c r="AZ169" t="inlineStr">
        <is>
          <t>BOOK</t>
        </is>
      </c>
      <c r="BB169" t="inlineStr">
        <is>
          <t>9780877849490</t>
        </is>
      </c>
      <c r="BC169" t="inlineStr">
        <is>
          <t>32285000045137</t>
        </is>
      </c>
      <c r="BD169" t="inlineStr">
        <is>
          <t>893243598</t>
        </is>
      </c>
    </row>
    <row r="170">
      <c r="A170" t="inlineStr">
        <is>
          <t>No</t>
        </is>
      </c>
      <c r="B170" t="inlineStr">
        <is>
          <t>DS112 .W66 1989</t>
        </is>
      </c>
      <c r="C170" t="inlineStr">
        <is>
          <t>0                      DS 0112000W  66          1989</t>
        </is>
      </c>
      <c r="D170" t="inlineStr">
        <is>
          <t>The World of ancient Israel : sociological, anthropological, and political perspectives : essays by members of the Society for Old Testament Study / edited by R.E. Clements.</t>
        </is>
      </c>
      <c r="F170" t="inlineStr">
        <is>
          <t>No</t>
        </is>
      </c>
      <c r="G170" t="inlineStr">
        <is>
          <t>1</t>
        </is>
      </c>
      <c r="H170" t="inlineStr">
        <is>
          <t>No</t>
        </is>
      </c>
      <c r="I170" t="inlineStr">
        <is>
          <t>No</t>
        </is>
      </c>
      <c r="J170" t="inlineStr">
        <is>
          <t>0</t>
        </is>
      </c>
      <c r="L170" t="inlineStr">
        <is>
          <t>Cambridge [England] ; New York : Cambridge University Press, 1989.</t>
        </is>
      </c>
      <c r="M170" t="inlineStr">
        <is>
          <t>1989</t>
        </is>
      </c>
      <c r="O170" t="inlineStr">
        <is>
          <t>eng</t>
        </is>
      </c>
      <c r="P170" t="inlineStr">
        <is>
          <t>enk</t>
        </is>
      </c>
      <c r="R170" t="inlineStr">
        <is>
          <t xml:space="preserve">DS </t>
        </is>
      </c>
      <c r="S170" t="n">
        <v>8</v>
      </c>
      <c r="T170" t="n">
        <v>8</v>
      </c>
      <c r="U170" t="inlineStr">
        <is>
          <t>2003-04-24</t>
        </is>
      </c>
      <c r="V170" t="inlineStr">
        <is>
          <t>2003-04-24</t>
        </is>
      </c>
      <c r="W170" t="inlineStr">
        <is>
          <t>1990-12-07</t>
        </is>
      </c>
      <c r="X170" t="inlineStr">
        <is>
          <t>1990-12-07</t>
        </is>
      </c>
      <c r="Y170" t="n">
        <v>676</v>
      </c>
      <c r="Z170" t="n">
        <v>529</v>
      </c>
      <c r="AA170" t="n">
        <v>583</v>
      </c>
      <c r="AB170" t="n">
        <v>2</v>
      </c>
      <c r="AC170" t="n">
        <v>2</v>
      </c>
      <c r="AD170" t="n">
        <v>27</v>
      </c>
      <c r="AE170" t="n">
        <v>31</v>
      </c>
      <c r="AF170" t="n">
        <v>11</v>
      </c>
      <c r="AG170" t="n">
        <v>13</v>
      </c>
      <c r="AH170" t="n">
        <v>6</v>
      </c>
      <c r="AI170" t="n">
        <v>7</v>
      </c>
      <c r="AJ170" t="n">
        <v>16</v>
      </c>
      <c r="AK170" t="n">
        <v>18</v>
      </c>
      <c r="AL170" t="n">
        <v>1</v>
      </c>
      <c r="AM170" t="n">
        <v>1</v>
      </c>
      <c r="AN170" t="n">
        <v>0</v>
      </c>
      <c r="AO170" t="n">
        <v>0</v>
      </c>
      <c r="AP170" t="inlineStr">
        <is>
          <t>No</t>
        </is>
      </c>
      <c r="AQ170" t="inlineStr">
        <is>
          <t>No</t>
        </is>
      </c>
      <c r="AS170">
        <f>HYPERLINK("https://creighton-primo.hosted.exlibrisgroup.com/primo-explore/search?tab=default_tab&amp;search_scope=EVERYTHING&amp;vid=01CRU&amp;lang=en_US&amp;offset=0&amp;query=any,contains,991001415989702656","Catalog Record")</f>
        <v/>
      </c>
      <c r="AT170">
        <f>HYPERLINK("http://www.worldcat.org/oclc/18948694","WorldCat Record")</f>
        <v/>
      </c>
      <c r="AU170" t="inlineStr">
        <is>
          <t>836764012:eng</t>
        </is>
      </c>
      <c r="AV170" t="inlineStr">
        <is>
          <t>18948694</t>
        </is>
      </c>
      <c r="AW170" t="inlineStr">
        <is>
          <t>991001415989702656</t>
        </is>
      </c>
      <c r="AX170" t="inlineStr">
        <is>
          <t>991001415989702656</t>
        </is>
      </c>
      <c r="AY170" t="inlineStr">
        <is>
          <t>2271905270002656</t>
        </is>
      </c>
      <c r="AZ170" t="inlineStr">
        <is>
          <t>BOOK</t>
        </is>
      </c>
      <c r="BB170" t="inlineStr">
        <is>
          <t>9780521342438</t>
        </is>
      </c>
      <c r="BC170" t="inlineStr">
        <is>
          <t>32285000359215</t>
        </is>
      </c>
      <c r="BD170" t="inlineStr">
        <is>
          <t>893238112</t>
        </is>
      </c>
    </row>
    <row r="171">
      <c r="A171" t="inlineStr">
        <is>
          <t>No</t>
        </is>
      </c>
      <c r="B171" t="inlineStr">
        <is>
          <t>DS113 .A6</t>
        </is>
      </c>
      <c r="C171" t="inlineStr">
        <is>
          <t>0                      DS 0113000A  6</t>
        </is>
      </c>
      <c r="D171" t="inlineStr">
        <is>
          <t>Studies in nineteenth-century Jewish intellectual history / edited by Alexander Altmann.</t>
        </is>
      </c>
      <c r="F171" t="inlineStr">
        <is>
          <t>No</t>
        </is>
      </c>
      <c r="G171" t="inlineStr">
        <is>
          <t>1</t>
        </is>
      </c>
      <c r="H171" t="inlineStr">
        <is>
          <t>No</t>
        </is>
      </c>
      <c r="I171" t="inlineStr">
        <is>
          <t>No</t>
        </is>
      </c>
      <c r="J171" t="inlineStr">
        <is>
          <t>0</t>
        </is>
      </c>
      <c r="K171" t="inlineStr">
        <is>
          <t>Altmann, Alexander, 1906-1987 editor.</t>
        </is>
      </c>
      <c r="L171" t="inlineStr">
        <is>
          <t>Cambridge : Harvard University Press, 1964.</t>
        </is>
      </c>
      <c r="M171" t="inlineStr">
        <is>
          <t>1964</t>
        </is>
      </c>
      <c r="O171" t="inlineStr">
        <is>
          <t>eng</t>
        </is>
      </c>
      <c r="P171" t="inlineStr">
        <is>
          <t>mau</t>
        </is>
      </c>
      <c r="Q171" t="inlineStr">
        <is>
          <t>Philip W. Lown Institute of Advanced Judaic Studies, Brandeis University. Studies and texts, v. 2</t>
        </is>
      </c>
      <c r="R171" t="inlineStr">
        <is>
          <t xml:space="preserve">DS </t>
        </is>
      </c>
      <c r="S171" t="n">
        <v>1</v>
      </c>
      <c r="T171" t="n">
        <v>1</v>
      </c>
      <c r="U171" t="inlineStr">
        <is>
          <t>1992-04-14</t>
        </is>
      </c>
      <c r="V171" t="inlineStr">
        <is>
          <t>1992-04-14</t>
        </is>
      </c>
      <c r="W171" t="inlineStr">
        <is>
          <t>1990-09-28</t>
        </is>
      </c>
      <c r="X171" t="inlineStr">
        <is>
          <t>1990-09-28</t>
        </is>
      </c>
      <c r="Y171" t="n">
        <v>321</v>
      </c>
      <c r="Z171" t="n">
        <v>247</v>
      </c>
      <c r="AA171" t="n">
        <v>255</v>
      </c>
      <c r="AB171" t="n">
        <v>1</v>
      </c>
      <c r="AC171" t="n">
        <v>1</v>
      </c>
      <c r="AD171" t="n">
        <v>6</v>
      </c>
      <c r="AE171" t="n">
        <v>6</v>
      </c>
      <c r="AF171" t="n">
        <v>0</v>
      </c>
      <c r="AG171" t="n">
        <v>0</v>
      </c>
      <c r="AH171" t="n">
        <v>3</v>
      </c>
      <c r="AI171" t="n">
        <v>3</v>
      </c>
      <c r="AJ171" t="n">
        <v>5</v>
      </c>
      <c r="AK171" t="n">
        <v>5</v>
      </c>
      <c r="AL171" t="n">
        <v>0</v>
      </c>
      <c r="AM171" t="n">
        <v>0</v>
      </c>
      <c r="AN171" t="n">
        <v>0</v>
      </c>
      <c r="AO171" t="n">
        <v>0</v>
      </c>
      <c r="AP171" t="inlineStr">
        <is>
          <t>No</t>
        </is>
      </c>
      <c r="AQ171" t="inlineStr">
        <is>
          <t>Yes</t>
        </is>
      </c>
      <c r="AR171">
        <f>HYPERLINK("http://catalog.hathitrust.org/Record/001242535","HathiTrust Record")</f>
        <v/>
      </c>
      <c r="AS171">
        <f>HYPERLINK("https://creighton-primo.hosted.exlibrisgroup.com/primo-explore/search?tab=default_tab&amp;search_scope=EVERYTHING&amp;vid=01CRU&amp;lang=en_US&amp;offset=0&amp;query=any,contains,991004318279702656","Catalog Record")</f>
        <v/>
      </c>
      <c r="AT171">
        <f>HYPERLINK("http://www.worldcat.org/oclc/3014564","WorldCat Record")</f>
        <v/>
      </c>
      <c r="AU171" t="inlineStr">
        <is>
          <t>10627915933:eng</t>
        </is>
      </c>
      <c r="AV171" t="inlineStr">
        <is>
          <t>3014564</t>
        </is>
      </c>
      <c r="AW171" t="inlineStr">
        <is>
          <t>991004318279702656</t>
        </is>
      </c>
      <c r="AX171" t="inlineStr">
        <is>
          <t>991004318279702656</t>
        </is>
      </c>
      <c r="AY171" t="inlineStr">
        <is>
          <t>2270320650002656</t>
        </is>
      </c>
      <c r="AZ171" t="inlineStr">
        <is>
          <t>BOOK</t>
        </is>
      </c>
      <c r="BC171" t="inlineStr">
        <is>
          <t>32285000293349</t>
        </is>
      </c>
      <c r="BD171" t="inlineStr">
        <is>
          <t>893259586</t>
        </is>
      </c>
    </row>
    <row r="172">
      <c r="A172" t="inlineStr">
        <is>
          <t>No</t>
        </is>
      </c>
      <c r="B172" t="inlineStr">
        <is>
          <t>DS113 .R66</t>
        </is>
      </c>
      <c r="C172" t="inlineStr">
        <is>
          <t>0                      DS 0113000R  66</t>
        </is>
      </c>
      <c r="D172" t="inlineStr">
        <is>
          <t>The Jews in the Renaissance.</t>
        </is>
      </c>
      <c r="F172" t="inlineStr">
        <is>
          <t>No</t>
        </is>
      </c>
      <c r="G172" t="inlineStr">
        <is>
          <t>1</t>
        </is>
      </c>
      <c r="H172" t="inlineStr">
        <is>
          <t>No</t>
        </is>
      </c>
      <c r="I172" t="inlineStr">
        <is>
          <t>No</t>
        </is>
      </c>
      <c r="J172" t="inlineStr">
        <is>
          <t>0</t>
        </is>
      </c>
      <c r="K172" t="inlineStr">
        <is>
          <t>Roth, Cecil, 1899-1970.</t>
        </is>
      </c>
      <c r="L172" t="inlineStr">
        <is>
          <t>Philadelphia, Jewish Publication Society of America, 1959.</t>
        </is>
      </c>
      <c r="M172" t="inlineStr">
        <is>
          <t>1959</t>
        </is>
      </c>
      <c r="N172" t="inlineStr">
        <is>
          <t>[1st ed.]</t>
        </is>
      </c>
      <c r="O172" t="inlineStr">
        <is>
          <t>eng</t>
        </is>
      </c>
      <c r="P172" t="inlineStr">
        <is>
          <t>pau</t>
        </is>
      </c>
      <c r="R172" t="inlineStr">
        <is>
          <t xml:space="preserve">DS </t>
        </is>
      </c>
      <c r="S172" t="n">
        <v>2</v>
      </c>
      <c r="T172" t="n">
        <v>2</v>
      </c>
      <c r="U172" t="inlineStr">
        <is>
          <t>2009-04-03</t>
        </is>
      </c>
      <c r="V172" t="inlineStr">
        <is>
          <t>2009-04-03</t>
        </is>
      </c>
      <c r="W172" t="inlineStr">
        <is>
          <t>1997-02-25</t>
        </is>
      </c>
      <c r="X172" t="inlineStr">
        <is>
          <t>1997-02-25</t>
        </is>
      </c>
      <c r="Y172" t="n">
        <v>517</v>
      </c>
      <c r="Z172" t="n">
        <v>454</v>
      </c>
      <c r="AA172" t="n">
        <v>685</v>
      </c>
      <c r="AB172" t="n">
        <v>2</v>
      </c>
      <c r="AC172" t="n">
        <v>4</v>
      </c>
      <c r="AD172" t="n">
        <v>20</v>
      </c>
      <c r="AE172" t="n">
        <v>31</v>
      </c>
      <c r="AF172" t="n">
        <v>5</v>
      </c>
      <c r="AG172" t="n">
        <v>10</v>
      </c>
      <c r="AH172" t="n">
        <v>6</v>
      </c>
      <c r="AI172" t="n">
        <v>8</v>
      </c>
      <c r="AJ172" t="n">
        <v>12</v>
      </c>
      <c r="AK172" t="n">
        <v>19</v>
      </c>
      <c r="AL172" t="n">
        <v>1</v>
      </c>
      <c r="AM172" t="n">
        <v>3</v>
      </c>
      <c r="AN172" t="n">
        <v>0</v>
      </c>
      <c r="AO172" t="n">
        <v>0</v>
      </c>
      <c r="AP172" t="inlineStr">
        <is>
          <t>No</t>
        </is>
      </c>
      <c r="AQ172" t="inlineStr">
        <is>
          <t>No</t>
        </is>
      </c>
      <c r="AS172">
        <f>HYPERLINK("https://creighton-primo.hosted.exlibrisgroup.com/primo-explore/search?tab=default_tab&amp;search_scope=EVERYTHING&amp;vid=01CRU&amp;lang=en_US&amp;offset=0&amp;query=any,contains,991003112109702656","Catalog Record")</f>
        <v/>
      </c>
      <c r="AT172">
        <f>HYPERLINK("http://www.worldcat.org/oclc/657486","WorldCat Record")</f>
        <v/>
      </c>
      <c r="AU172" t="inlineStr">
        <is>
          <t>1624078:eng</t>
        </is>
      </c>
      <c r="AV172" t="inlineStr">
        <is>
          <t>657486</t>
        </is>
      </c>
      <c r="AW172" t="inlineStr">
        <is>
          <t>991003112109702656</t>
        </is>
      </c>
      <c r="AX172" t="inlineStr">
        <is>
          <t>991003112109702656</t>
        </is>
      </c>
      <c r="AY172" t="inlineStr">
        <is>
          <t>2259938570002656</t>
        </is>
      </c>
      <c r="AZ172" t="inlineStr">
        <is>
          <t>BOOK</t>
        </is>
      </c>
      <c r="BC172" t="inlineStr">
        <is>
          <t>32285002461399</t>
        </is>
      </c>
      <c r="BD172" t="inlineStr">
        <is>
          <t>893524422</t>
        </is>
      </c>
    </row>
    <row r="173">
      <c r="A173" t="inlineStr">
        <is>
          <t>No</t>
        </is>
      </c>
      <c r="B173" t="inlineStr">
        <is>
          <t>DS113.3 .E98 1997</t>
        </is>
      </c>
      <c r="C173" t="inlineStr">
        <is>
          <t>0                      DS 0113300E  98          1997</t>
        </is>
      </c>
      <c r="D173" t="inlineStr">
        <is>
          <t>Rubber bullets : power and conscience in modern Israel / by Yaron Ezrahi.</t>
        </is>
      </c>
      <c r="F173" t="inlineStr">
        <is>
          <t>No</t>
        </is>
      </c>
      <c r="G173" t="inlineStr">
        <is>
          <t>1</t>
        </is>
      </c>
      <c r="H173" t="inlineStr">
        <is>
          <t>No</t>
        </is>
      </c>
      <c r="I173" t="inlineStr">
        <is>
          <t>No</t>
        </is>
      </c>
      <c r="J173" t="inlineStr">
        <is>
          <t>0</t>
        </is>
      </c>
      <c r="K173" t="inlineStr">
        <is>
          <t>Ezrahi, Yaron.</t>
        </is>
      </c>
      <c r="L173" t="inlineStr">
        <is>
          <t>New York : Farrar, Straus &amp; Giroux, 1997.</t>
        </is>
      </c>
      <c r="M173" t="inlineStr">
        <is>
          <t>1997</t>
        </is>
      </c>
      <c r="N173" t="inlineStr">
        <is>
          <t>1st ed.</t>
        </is>
      </c>
      <c r="O173" t="inlineStr">
        <is>
          <t>eng</t>
        </is>
      </c>
      <c r="P173" t="inlineStr">
        <is>
          <t>nyu</t>
        </is>
      </c>
      <c r="R173" t="inlineStr">
        <is>
          <t xml:space="preserve">DS </t>
        </is>
      </c>
      <c r="S173" t="n">
        <v>2</v>
      </c>
      <c r="T173" t="n">
        <v>2</v>
      </c>
      <c r="U173" t="inlineStr">
        <is>
          <t>1998-09-09</t>
        </is>
      </c>
      <c r="V173" t="inlineStr">
        <is>
          <t>1998-09-09</t>
        </is>
      </c>
      <c r="W173" t="inlineStr">
        <is>
          <t>1997-04-17</t>
        </is>
      </c>
      <c r="X173" t="inlineStr">
        <is>
          <t>1997-04-17</t>
        </is>
      </c>
      <c r="Y173" t="n">
        <v>459</v>
      </c>
      <c r="Z173" t="n">
        <v>398</v>
      </c>
      <c r="AA173" t="n">
        <v>469</v>
      </c>
      <c r="AB173" t="n">
        <v>3</v>
      </c>
      <c r="AC173" t="n">
        <v>3</v>
      </c>
      <c r="AD173" t="n">
        <v>17</v>
      </c>
      <c r="AE173" t="n">
        <v>23</v>
      </c>
      <c r="AF173" t="n">
        <v>5</v>
      </c>
      <c r="AG173" t="n">
        <v>7</v>
      </c>
      <c r="AH173" t="n">
        <v>4</v>
      </c>
      <c r="AI173" t="n">
        <v>5</v>
      </c>
      <c r="AJ173" t="n">
        <v>10</v>
      </c>
      <c r="AK173" t="n">
        <v>14</v>
      </c>
      <c r="AL173" t="n">
        <v>2</v>
      </c>
      <c r="AM173" t="n">
        <v>2</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HYPERLINK("https://creighton-primo.hosted.exlibrisgroup.com/primo-explore/search?tab=default_tab&amp;search_scope=EVERYTHING&amp;vid=01CRU&amp;lang=en_US&amp;offset=0&amp;query=any,contains,991002642459702656","Catalog Record")</f>
        <v/>
      </c>
      <c r="AT173">
        <f>HYPERLINK("http://www.worldcat.org/oclc/34590946","WorldCat Record")</f>
        <v/>
      </c>
      <c r="AU173" t="inlineStr">
        <is>
          <t>555182:eng</t>
        </is>
      </c>
      <c r="AV173" t="inlineStr">
        <is>
          <t>34590946</t>
        </is>
      </c>
      <c r="AW173" t="inlineStr">
        <is>
          <t>991002642459702656</t>
        </is>
      </c>
      <c r="AX173" t="inlineStr">
        <is>
          <t>991002642459702656</t>
        </is>
      </c>
      <c r="AY173" t="inlineStr">
        <is>
          <t>2264128940002656</t>
        </is>
      </c>
      <c r="AZ173" t="inlineStr">
        <is>
          <t>BOOK</t>
        </is>
      </c>
      <c r="BB173" t="inlineStr">
        <is>
          <t>9780374252793</t>
        </is>
      </c>
      <c r="BC173" t="inlineStr">
        <is>
          <t>32285002498136</t>
        </is>
      </c>
      <c r="BD173" t="inlineStr">
        <is>
          <t>893347737</t>
        </is>
      </c>
    </row>
    <row r="174">
      <c r="A174" t="inlineStr">
        <is>
          <t>No</t>
        </is>
      </c>
      <c r="B174" t="inlineStr">
        <is>
          <t>DS113.6 .K365 2006</t>
        </is>
      </c>
      <c r="C174" t="inlineStr">
        <is>
          <t>0                      DS 0113600K  365         2006</t>
        </is>
      </c>
      <c r="D174" t="inlineStr">
        <is>
          <t>The iron cage : the story of the Palestinian struggle for statehood / Rashid Khalidi.</t>
        </is>
      </c>
      <c r="F174" t="inlineStr">
        <is>
          <t>No</t>
        </is>
      </c>
      <c r="G174" t="inlineStr">
        <is>
          <t>1</t>
        </is>
      </c>
      <c r="H174" t="inlineStr">
        <is>
          <t>No</t>
        </is>
      </c>
      <c r="I174" t="inlineStr">
        <is>
          <t>No</t>
        </is>
      </c>
      <c r="J174" t="inlineStr">
        <is>
          <t>0</t>
        </is>
      </c>
      <c r="K174" t="inlineStr">
        <is>
          <t>Khalidi, Rashid.</t>
        </is>
      </c>
      <c r="L174" t="inlineStr">
        <is>
          <t>Boston : Beacon Press, c2006.</t>
        </is>
      </c>
      <c r="M174" t="inlineStr">
        <is>
          <t>2006</t>
        </is>
      </c>
      <c r="O174" t="inlineStr">
        <is>
          <t>eng</t>
        </is>
      </c>
      <c r="P174" t="inlineStr">
        <is>
          <t>mau</t>
        </is>
      </c>
      <c r="R174" t="inlineStr">
        <is>
          <t xml:space="preserve">DS </t>
        </is>
      </c>
      <c r="S174" t="n">
        <v>5</v>
      </c>
      <c r="T174" t="n">
        <v>5</v>
      </c>
      <c r="U174" t="inlineStr">
        <is>
          <t>2008-04-22</t>
        </is>
      </c>
      <c r="V174" t="inlineStr">
        <is>
          <t>2008-04-22</t>
        </is>
      </c>
      <c r="W174" t="inlineStr">
        <is>
          <t>2006-11-06</t>
        </is>
      </c>
      <c r="X174" t="inlineStr">
        <is>
          <t>2006-11-06</t>
        </is>
      </c>
      <c r="Y174" t="n">
        <v>977</v>
      </c>
      <c r="Z174" t="n">
        <v>867</v>
      </c>
      <c r="AA174" t="n">
        <v>1273</v>
      </c>
      <c r="AB174" t="n">
        <v>6</v>
      </c>
      <c r="AC174" t="n">
        <v>9</v>
      </c>
      <c r="AD174" t="n">
        <v>29</v>
      </c>
      <c r="AE174" t="n">
        <v>43</v>
      </c>
      <c r="AF174" t="n">
        <v>10</v>
      </c>
      <c r="AG174" t="n">
        <v>14</v>
      </c>
      <c r="AH174" t="n">
        <v>7</v>
      </c>
      <c r="AI174" t="n">
        <v>9</v>
      </c>
      <c r="AJ174" t="n">
        <v>14</v>
      </c>
      <c r="AK174" t="n">
        <v>20</v>
      </c>
      <c r="AL174" t="n">
        <v>3</v>
      </c>
      <c r="AM174" t="n">
        <v>6</v>
      </c>
      <c r="AN174" t="n">
        <v>0</v>
      </c>
      <c r="AO174" t="n">
        <v>1</v>
      </c>
      <c r="AP174" t="inlineStr">
        <is>
          <t>No</t>
        </is>
      </c>
      <c r="AQ174" t="inlineStr">
        <is>
          <t>Yes</t>
        </is>
      </c>
      <c r="AR174">
        <f>HYPERLINK("http://catalog.hathitrust.org/Record/005286040","HathiTrust Record")</f>
        <v/>
      </c>
      <c r="AS174">
        <f>HYPERLINK("https://creighton-primo.hosted.exlibrisgroup.com/primo-explore/search?tab=default_tab&amp;search_scope=EVERYTHING&amp;vid=01CRU&amp;lang=en_US&amp;offset=0&amp;query=any,contains,991004954429702656","Catalog Record")</f>
        <v/>
      </c>
      <c r="AT174">
        <f>HYPERLINK("http://www.worldcat.org/oclc/69021035","WorldCat Record")</f>
        <v/>
      </c>
      <c r="AU174" t="inlineStr">
        <is>
          <t>799428388:eng</t>
        </is>
      </c>
      <c r="AV174" t="inlineStr">
        <is>
          <t>69021035</t>
        </is>
      </c>
      <c r="AW174" t="inlineStr">
        <is>
          <t>991004954429702656</t>
        </is>
      </c>
      <c r="AX174" t="inlineStr">
        <is>
          <t>991004954429702656</t>
        </is>
      </c>
      <c r="AY174" t="inlineStr">
        <is>
          <t>2263951730002656</t>
        </is>
      </c>
      <c r="AZ174" t="inlineStr">
        <is>
          <t>BOOK</t>
        </is>
      </c>
      <c r="BB174" t="inlineStr">
        <is>
          <t>9780807003084</t>
        </is>
      </c>
      <c r="BC174" t="inlineStr">
        <is>
          <t>32285005235931</t>
        </is>
      </c>
      <c r="BD174" t="inlineStr">
        <is>
          <t>893436954</t>
        </is>
      </c>
    </row>
    <row r="175">
      <c r="A175" t="inlineStr">
        <is>
          <t>No</t>
        </is>
      </c>
      <c r="B175" t="inlineStr">
        <is>
          <t>DS113.6 .L93 2007</t>
        </is>
      </c>
      <c r="C175" t="inlineStr">
        <is>
          <t>0                      DS 0113600L  93          2007</t>
        </is>
      </c>
      <c r="D175" t="inlineStr">
        <is>
          <t>Identity and religion in Palestine : the struggle between Islamism and secularism in the occupied territories / Loren D. Lybarger.</t>
        </is>
      </c>
      <c r="F175" t="inlineStr">
        <is>
          <t>No</t>
        </is>
      </c>
      <c r="G175" t="inlineStr">
        <is>
          <t>1</t>
        </is>
      </c>
      <c r="H175" t="inlineStr">
        <is>
          <t>No</t>
        </is>
      </c>
      <c r="I175" t="inlineStr">
        <is>
          <t>No</t>
        </is>
      </c>
      <c r="J175" t="inlineStr">
        <is>
          <t>0</t>
        </is>
      </c>
      <c r="K175" t="inlineStr">
        <is>
          <t>Lybarger, Loren D., 1964-</t>
        </is>
      </c>
      <c r="L175" t="inlineStr">
        <is>
          <t>Princeton : Princeton University Press, c2007.</t>
        </is>
      </c>
      <c r="M175" t="inlineStr">
        <is>
          <t>2007</t>
        </is>
      </c>
      <c r="O175" t="inlineStr">
        <is>
          <t>eng</t>
        </is>
      </c>
      <c r="P175" t="inlineStr">
        <is>
          <t>nju</t>
        </is>
      </c>
      <c r="Q175" t="inlineStr">
        <is>
          <t>Princeton studies in Muslim politics</t>
        </is>
      </c>
      <c r="R175" t="inlineStr">
        <is>
          <t xml:space="preserve">DS </t>
        </is>
      </c>
      <c r="S175" t="n">
        <v>1</v>
      </c>
      <c r="T175" t="n">
        <v>1</v>
      </c>
      <c r="U175" t="inlineStr">
        <is>
          <t>2007-10-25</t>
        </is>
      </c>
      <c r="V175" t="inlineStr">
        <is>
          <t>2007-10-25</t>
        </is>
      </c>
      <c r="W175" t="inlineStr">
        <is>
          <t>2007-10-25</t>
        </is>
      </c>
      <c r="X175" t="inlineStr">
        <is>
          <t>2007-10-25</t>
        </is>
      </c>
      <c r="Y175" t="n">
        <v>420</v>
      </c>
      <c r="Z175" t="n">
        <v>308</v>
      </c>
      <c r="AA175" t="n">
        <v>506</v>
      </c>
      <c r="AB175" t="n">
        <v>2</v>
      </c>
      <c r="AC175" t="n">
        <v>2</v>
      </c>
      <c r="AD175" t="n">
        <v>19</v>
      </c>
      <c r="AE175" t="n">
        <v>28</v>
      </c>
      <c r="AF175" t="n">
        <v>6</v>
      </c>
      <c r="AG175" t="n">
        <v>13</v>
      </c>
      <c r="AH175" t="n">
        <v>7</v>
      </c>
      <c r="AI175" t="n">
        <v>9</v>
      </c>
      <c r="AJ175" t="n">
        <v>11</v>
      </c>
      <c r="AK175" t="n">
        <v>14</v>
      </c>
      <c r="AL175" t="n">
        <v>1</v>
      </c>
      <c r="AM175" t="n">
        <v>1</v>
      </c>
      <c r="AN175" t="n">
        <v>0</v>
      </c>
      <c r="AO175" t="n">
        <v>0</v>
      </c>
      <c r="AP175" t="inlineStr">
        <is>
          <t>No</t>
        </is>
      </c>
      <c r="AQ175" t="inlineStr">
        <is>
          <t>No</t>
        </is>
      </c>
      <c r="AS175">
        <f>HYPERLINK("https://creighton-primo.hosted.exlibrisgroup.com/primo-explore/search?tab=default_tab&amp;search_scope=EVERYTHING&amp;vid=01CRU&amp;lang=en_US&amp;offset=0&amp;query=any,contains,991005130809702656","Catalog Record")</f>
        <v/>
      </c>
      <c r="AT175">
        <f>HYPERLINK("http://www.worldcat.org/oclc/70061075","WorldCat Record")</f>
        <v/>
      </c>
      <c r="AU175" t="inlineStr">
        <is>
          <t>792533197:eng</t>
        </is>
      </c>
      <c r="AV175" t="inlineStr">
        <is>
          <t>70061075</t>
        </is>
      </c>
      <c r="AW175" t="inlineStr">
        <is>
          <t>991005130809702656</t>
        </is>
      </c>
      <c r="AX175" t="inlineStr">
        <is>
          <t>991005130809702656</t>
        </is>
      </c>
      <c r="AY175" t="inlineStr">
        <is>
          <t>2262975330002656</t>
        </is>
      </c>
      <c r="AZ175" t="inlineStr">
        <is>
          <t>BOOK</t>
        </is>
      </c>
      <c r="BB175" t="inlineStr">
        <is>
          <t>9780691127293</t>
        </is>
      </c>
      <c r="BC175" t="inlineStr">
        <is>
          <t>32285005361356</t>
        </is>
      </c>
      <c r="BD175" t="inlineStr">
        <is>
          <t>893536402</t>
        </is>
      </c>
    </row>
    <row r="176">
      <c r="A176" t="inlineStr">
        <is>
          <t>No</t>
        </is>
      </c>
      <c r="B176" t="inlineStr">
        <is>
          <t>DS113.7 .G65 1991</t>
        </is>
      </c>
      <c r="C176" t="inlineStr">
        <is>
          <t>0                      DS 0113700G  65          1991</t>
        </is>
      </c>
      <c r="D176" t="inlineStr">
        <is>
          <t>Days of honey, days of onion : the story of a Palestinian family in Israel / Michael Gorkin.</t>
        </is>
      </c>
      <c r="F176" t="inlineStr">
        <is>
          <t>No</t>
        </is>
      </c>
      <c r="G176" t="inlineStr">
        <is>
          <t>1</t>
        </is>
      </c>
      <c r="H176" t="inlineStr">
        <is>
          <t>No</t>
        </is>
      </c>
      <c r="I176" t="inlineStr">
        <is>
          <t>No</t>
        </is>
      </c>
      <c r="J176" t="inlineStr">
        <is>
          <t>0</t>
        </is>
      </c>
      <c r="K176" t="inlineStr">
        <is>
          <t>Gorkin, Michael.</t>
        </is>
      </c>
      <c r="L176" t="inlineStr">
        <is>
          <t>Boston : Beacon Press, c1991.</t>
        </is>
      </c>
      <c r="M176" t="inlineStr">
        <is>
          <t>1991</t>
        </is>
      </c>
      <c r="O176" t="inlineStr">
        <is>
          <t>eng</t>
        </is>
      </c>
      <c r="P176" t="inlineStr">
        <is>
          <t>mau</t>
        </is>
      </c>
      <c r="R176" t="inlineStr">
        <is>
          <t xml:space="preserve">DS </t>
        </is>
      </c>
      <c r="S176" t="n">
        <v>1</v>
      </c>
      <c r="T176" t="n">
        <v>1</v>
      </c>
      <c r="U176" t="inlineStr">
        <is>
          <t>1992-01-25</t>
        </is>
      </c>
      <c r="V176" t="inlineStr">
        <is>
          <t>1992-01-25</t>
        </is>
      </c>
      <c r="W176" t="inlineStr">
        <is>
          <t>1991-12-30</t>
        </is>
      </c>
      <c r="X176" t="inlineStr">
        <is>
          <t>1991-12-30</t>
        </is>
      </c>
      <c r="Y176" t="n">
        <v>422</v>
      </c>
      <c r="Z176" t="n">
        <v>393</v>
      </c>
      <c r="AA176" t="n">
        <v>494</v>
      </c>
      <c r="AB176" t="n">
        <v>3</v>
      </c>
      <c r="AC176" t="n">
        <v>3</v>
      </c>
      <c r="AD176" t="n">
        <v>9</v>
      </c>
      <c r="AE176" t="n">
        <v>20</v>
      </c>
      <c r="AF176" t="n">
        <v>2</v>
      </c>
      <c r="AG176" t="n">
        <v>6</v>
      </c>
      <c r="AH176" t="n">
        <v>4</v>
      </c>
      <c r="AI176" t="n">
        <v>8</v>
      </c>
      <c r="AJ176" t="n">
        <v>5</v>
      </c>
      <c r="AK176" t="n">
        <v>11</v>
      </c>
      <c r="AL176" t="n">
        <v>2</v>
      </c>
      <c r="AM176" t="n">
        <v>2</v>
      </c>
      <c r="AN176" t="n">
        <v>0</v>
      </c>
      <c r="AO176" t="n">
        <v>0</v>
      </c>
      <c r="AP176" t="inlineStr">
        <is>
          <t>No</t>
        </is>
      </c>
      <c r="AQ176" t="inlineStr">
        <is>
          <t>Yes</t>
        </is>
      </c>
      <c r="AR176">
        <f>HYPERLINK("http://catalog.hathitrust.org/Record/002480333","HathiTrust Record")</f>
        <v/>
      </c>
      <c r="AS176">
        <f>HYPERLINK("https://creighton-primo.hosted.exlibrisgroup.com/primo-explore/search?tab=default_tab&amp;search_scope=EVERYTHING&amp;vid=01CRU&amp;lang=en_US&amp;offset=0&amp;query=any,contains,991001855269702656","Catalog Record")</f>
        <v/>
      </c>
      <c r="AT176">
        <f>HYPERLINK("http://www.worldcat.org/oclc/23286540","WorldCat Record")</f>
        <v/>
      </c>
      <c r="AU176" t="inlineStr">
        <is>
          <t>25374277:eng</t>
        </is>
      </c>
      <c r="AV176" t="inlineStr">
        <is>
          <t>23286540</t>
        </is>
      </c>
      <c r="AW176" t="inlineStr">
        <is>
          <t>991001855269702656</t>
        </is>
      </c>
      <c r="AX176" t="inlineStr">
        <is>
          <t>991001855269702656</t>
        </is>
      </c>
      <c r="AY176" t="inlineStr">
        <is>
          <t>2269817180002656</t>
        </is>
      </c>
      <c r="AZ176" t="inlineStr">
        <is>
          <t>BOOK</t>
        </is>
      </c>
      <c r="BB176" t="inlineStr">
        <is>
          <t>9780807069028</t>
        </is>
      </c>
      <c r="BC176" t="inlineStr">
        <is>
          <t>32285000861939</t>
        </is>
      </c>
      <c r="BD176" t="inlineStr">
        <is>
          <t>893791764</t>
        </is>
      </c>
    </row>
    <row r="177">
      <c r="A177" t="inlineStr">
        <is>
          <t>No</t>
        </is>
      </c>
      <c r="B177" t="inlineStr">
        <is>
          <t>DS113.7 .J36 2005</t>
        </is>
      </c>
      <c r="C177" t="inlineStr">
        <is>
          <t>0                      DS 0113700J  36          2005</t>
        </is>
      </c>
      <c r="D177" t="inlineStr">
        <is>
          <t>The Palestinian national movement : politics of contention, 1967-2005 / Amal Jamal.</t>
        </is>
      </c>
      <c r="F177" t="inlineStr">
        <is>
          <t>No</t>
        </is>
      </c>
      <c r="G177" t="inlineStr">
        <is>
          <t>1</t>
        </is>
      </c>
      <c r="H177" t="inlineStr">
        <is>
          <t>No</t>
        </is>
      </c>
      <c r="I177" t="inlineStr">
        <is>
          <t>No</t>
        </is>
      </c>
      <c r="J177" t="inlineStr">
        <is>
          <t>0</t>
        </is>
      </c>
      <c r="K177" t="inlineStr">
        <is>
          <t>Jamal, Amal (Professor of political science)</t>
        </is>
      </c>
      <c r="L177" t="inlineStr">
        <is>
          <t>Bloomington : Indiana University Press, c2005.</t>
        </is>
      </c>
      <c r="M177" t="inlineStr">
        <is>
          <t>2005</t>
        </is>
      </c>
      <c r="O177" t="inlineStr">
        <is>
          <t>eng</t>
        </is>
      </c>
      <c r="P177" t="inlineStr">
        <is>
          <t>inu</t>
        </is>
      </c>
      <c r="Q177" t="inlineStr">
        <is>
          <t>Indiana series in Middle East studies</t>
        </is>
      </c>
      <c r="R177" t="inlineStr">
        <is>
          <t xml:space="preserve">DS </t>
        </is>
      </c>
      <c r="S177" t="n">
        <v>1</v>
      </c>
      <c r="T177" t="n">
        <v>1</v>
      </c>
      <c r="U177" t="inlineStr">
        <is>
          <t>2006-09-25</t>
        </is>
      </c>
      <c r="V177" t="inlineStr">
        <is>
          <t>2006-09-25</t>
        </is>
      </c>
      <c r="W177" t="inlineStr">
        <is>
          <t>2006-09-25</t>
        </is>
      </c>
      <c r="X177" t="inlineStr">
        <is>
          <t>2006-09-25</t>
        </is>
      </c>
      <c r="Y177" t="n">
        <v>394</v>
      </c>
      <c r="Z177" t="n">
        <v>311</v>
      </c>
      <c r="AA177" t="n">
        <v>517</v>
      </c>
      <c r="AB177" t="n">
        <v>3</v>
      </c>
      <c r="AC177" t="n">
        <v>3</v>
      </c>
      <c r="AD177" t="n">
        <v>16</v>
      </c>
      <c r="AE177" t="n">
        <v>26</v>
      </c>
      <c r="AF177" t="n">
        <v>5</v>
      </c>
      <c r="AG177" t="n">
        <v>11</v>
      </c>
      <c r="AH177" t="n">
        <v>5</v>
      </c>
      <c r="AI177" t="n">
        <v>8</v>
      </c>
      <c r="AJ177" t="n">
        <v>8</v>
      </c>
      <c r="AK177" t="n">
        <v>12</v>
      </c>
      <c r="AL177" t="n">
        <v>2</v>
      </c>
      <c r="AM177" t="n">
        <v>2</v>
      </c>
      <c r="AN177" t="n">
        <v>0</v>
      </c>
      <c r="AO177" t="n">
        <v>0</v>
      </c>
      <c r="AP177" t="inlineStr">
        <is>
          <t>No</t>
        </is>
      </c>
      <c r="AQ177" t="inlineStr">
        <is>
          <t>Yes</t>
        </is>
      </c>
      <c r="AR177">
        <f>HYPERLINK("http://catalog.hathitrust.org/Record/004947962","HathiTrust Record")</f>
        <v/>
      </c>
      <c r="AS177">
        <f>HYPERLINK("https://creighton-primo.hosted.exlibrisgroup.com/primo-explore/search?tab=default_tab&amp;search_scope=EVERYTHING&amp;vid=01CRU&amp;lang=en_US&amp;offset=0&amp;query=any,contains,991004911789702656","Catalog Record")</f>
        <v/>
      </c>
      <c r="AT177">
        <f>HYPERLINK("http://www.worldcat.org/oclc/57005910","WorldCat Record")</f>
        <v/>
      </c>
      <c r="AU177" t="inlineStr">
        <is>
          <t>195980745:eng</t>
        </is>
      </c>
      <c r="AV177" t="inlineStr">
        <is>
          <t>57005910</t>
        </is>
      </c>
      <c r="AW177" t="inlineStr">
        <is>
          <t>991004911789702656</t>
        </is>
      </c>
      <c r="AX177" t="inlineStr">
        <is>
          <t>991004911789702656</t>
        </is>
      </c>
      <c r="AY177" t="inlineStr">
        <is>
          <t>2267429410002656</t>
        </is>
      </c>
      <c r="AZ177" t="inlineStr">
        <is>
          <t>BOOK</t>
        </is>
      </c>
      <c r="BB177" t="inlineStr">
        <is>
          <t>9780253217738</t>
        </is>
      </c>
      <c r="BC177" t="inlineStr">
        <is>
          <t>32285005225437</t>
        </is>
      </c>
      <c r="BD177" t="inlineStr">
        <is>
          <t>893628410</t>
        </is>
      </c>
    </row>
    <row r="178">
      <c r="A178" t="inlineStr">
        <is>
          <t>No</t>
        </is>
      </c>
      <c r="B178" t="inlineStr">
        <is>
          <t>DS113.7 .J813</t>
        </is>
      </c>
      <c r="C178" t="inlineStr">
        <is>
          <t>0                      DS 0113700J  813</t>
        </is>
      </c>
      <c r="D178" t="inlineStr">
        <is>
          <t>The Arabs in Israel / Sabri Jiryis ; translated from the Arabic by Inea Bushnaq.</t>
        </is>
      </c>
      <c r="F178" t="inlineStr">
        <is>
          <t>No</t>
        </is>
      </c>
      <c r="G178" t="inlineStr">
        <is>
          <t>1</t>
        </is>
      </c>
      <c r="H178" t="inlineStr">
        <is>
          <t>No</t>
        </is>
      </c>
      <c r="I178" t="inlineStr">
        <is>
          <t>No</t>
        </is>
      </c>
      <c r="J178" t="inlineStr">
        <is>
          <t>0</t>
        </is>
      </c>
      <c r="K178" t="inlineStr">
        <is>
          <t>Jiryis, Ṣabrī.</t>
        </is>
      </c>
      <c r="L178" t="inlineStr">
        <is>
          <t>New York : Monthly Review Press, c1976.</t>
        </is>
      </c>
      <c r="M178" t="inlineStr">
        <is>
          <t>1976</t>
        </is>
      </c>
      <c r="O178" t="inlineStr">
        <is>
          <t>eng</t>
        </is>
      </c>
      <c r="P178" t="inlineStr">
        <is>
          <t>nyu</t>
        </is>
      </c>
      <c r="R178" t="inlineStr">
        <is>
          <t xml:space="preserve">DS </t>
        </is>
      </c>
      <c r="S178" t="n">
        <v>5</v>
      </c>
      <c r="T178" t="n">
        <v>5</v>
      </c>
      <c r="U178" t="inlineStr">
        <is>
          <t>2002-12-12</t>
        </is>
      </c>
      <c r="V178" t="inlineStr">
        <is>
          <t>2002-12-12</t>
        </is>
      </c>
      <c r="W178" t="inlineStr">
        <is>
          <t>1994-12-12</t>
        </is>
      </c>
      <c r="X178" t="inlineStr">
        <is>
          <t>1994-12-12</t>
        </is>
      </c>
      <c r="Y178" t="n">
        <v>628</v>
      </c>
      <c r="Z178" t="n">
        <v>542</v>
      </c>
      <c r="AA178" t="n">
        <v>745</v>
      </c>
      <c r="AB178" t="n">
        <v>3</v>
      </c>
      <c r="AC178" t="n">
        <v>4</v>
      </c>
      <c r="AD178" t="n">
        <v>21</v>
      </c>
      <c r="AE178" t="n">
        <v>32</v>
      </c>
      <c r="AF178" t="n">
        <v>7</v>
      </c>
      <c r="AG178" t="n">
        <v>13</v>
      </c>
      <c r="AH178" t="n">
        <v>6</v>
      </c>
      <c r="AI178" t="n">
        <v>7</v>
      </c>
      <c r="AJ178" t="n">
        <v>10</v>
      </c>
      <c r="AK178" t="n">
        <v>14</v>
      </c>
      <c r="AL178" t="n">
        <v>2</v>
      </c>
      <c r="AM178" t="n">
        <v>3</v>
      </c>
      <c r="AN178" t="n">
        <v>0</v>
      </c>
      <c r="AO178" t="n">
        <v>1</v>
      </c>
      <c r="AP178" t="inlineStr">
        <is>
          <t>No</t>
        </is>
      </c>
      <c r="AQ178" t="inlineStr">
        <is>
          <t>Yes</t>
        </is>
      </c>
      <c r="AR178">
        <f>HYPERLINK("http://catalog.hathitrust.org/Record/000683265","HathiTrust Record")</f>
        <v/>
      </c>
      <c r="AS178">
        <f>HYPERLINK("https://creighton-primo.hosted.exlibrisgroup.com/primo-explore/search?tab=default_tab&amp;search_scope=EVERYTHING&amp;vid=01CRU&amp;lang=en_US&amp;offset=0&amp;query=any,contains,991003987039702656","Catalog Record")</f>
        <v/>
      </c>
      <c r="AT178">
        <f>HYPERLINK("http://www.worldcat.org/oclc/2034677","WorldCat Record")</f>
        <v/>
      </c>
      <c r="AU178" t="inlineStr">
        <is>
          <t>18367280:eng</t>
        </is>
      </c>
      <c r="AV178" t="inlineStr">
        <is>
          <t>2034677</t>
        </is>
      </c>
      <c r="AW178" t="inlineStr">
        <is>
          <t>991003987039702656</t>
        </is>
      </c>
      <c r="AX178" t="inlineStr">
        <is>
          <t>991003987039702656</t>
        </is>
      </c>
      <c r="AY178" t="inlineStr">
        <is>
          <t>2270014800002656</t>
        </is>
      </c>
      <c r="AZ178" t="inlineStr">
        <is>
          <t>BOOK</t>
        </is>
      </c>
      <c r="BB178" t="inlineStr">
        <is>
          <t>9780853453772</t>
        </is>
      </c>
      <c r="BC178" t="inlineStr">
        <is>
          <t>32285001982007</t>
        </is>
      </c>
      <c r="BD178" t="inlineStr">
        <is>
          <t>893900642</t>
        </is>
      </c>
    </row>
    <row r="179">
      <c r="A179" t="inlineStr">
        <is>
          <t>No</t>
        </is>
      </c>
      <c r="B179" t="inlineStr">
        <is>
          <t>DS113.7 .L28 1993</t>
        </is>
      </c>
      <c r="C179" t="inlineStr">
        <is>
          <t>0                      DS 0113700L  28          1993</t>
        </is>
      </c>
      <c r="D179" t="inlineStr">
        <is>
          <t>The Arab minority in Israel, 1967-1991 : political aspects / Jacob M. Landau.</t>
        </is>
      </c>
      <c r="F179" t="inlineStr">
        <is>
          <t>No</t>
        </is>
      </c>
      <c r="G179" t="inlineStr">
        <is>
          <t>1</t>
        </is>
      </c>
      <c r="H179" t="inlineStr">
        <is>
          <t>No</t>
        </is>
      </c>
      <c r="I179" t="inlineStr">
        <is>
          <t>No</t>
        </is>
      </c>
      <c r="J179" t="inlineStr">
        <is>
          <t>0</t>
        </is>
      </c>
      <c r="K179" t="inlineStr">
        <is>
          <t>Landau, Jacob M.</t>
        </is>
      </c>
      <c r="L179" t="inlineStr">
        <is>
          <t>Oxford : Clarendon Press ; New York : Oxford University Press, 1993.</t>
        </is>
      </c>
      <c r="M179" t="inlineStr">
        <is>
          <t>1993</t>
        </is>
      </c>
      <c r="O179" t="inlineStr">
        <is>
          <t>eng</t>
        </is>
      </c>
      <c r="P179" t="inlineStr">
        <is>
          <t>enk</t>
        </is>
      </c>
      <c r="R179" t="inlineStr">
        <is>
          <t xml:space="preserve">DS </t>
        </is>
      </c>
      <c r="S179" t="n">
        <v>6</v>
      </c>
      <c r="T179" t="n">
        <v>6</v>
      </c>
      <c r="U179" t="inlineStr">
        <is>
          <t>2003-11-17</t>
        </is>
      </c>
      <c r="V179" t="inlineStr">
        <is>
          <t>2003-11-17</t>
        </is>
      </c>
      <c r="W179" t="inlineStr">
        <is>
          <t>1994-08-08</t>
        </is>
      </c>
      <c r="X179" t="inlineStr">
        <is>
          <t>1994-08-08</t>
        </is>
      </c>
      <c r="Y179" t="n">
        <v>478</v>
      </c>
      <c r="Z179" t="n">
        <v>367</v>
      </c>
      <c r="AA179" t="n">
        <v>406</v>
      </c>
      <c r="AB179" t="n">
        <v>4</v>
      </c>
      <c r="AC179" t="n">
        <v>4</v>
      </c>
      <c r="AD179" t="n">
        <v>21</v>
      </c>
      <c r="AE179" t="n">
        <v>22</v>
      </c>
      <c r="AF179" t="n">
        <v>7</v>
      </c>
      <c r="AG179" t="n">
        <v>7</v>
      </c>
      <c r="AH179" t="n">
        <v>5</v>
      </c>
      <c r="AI179" t="n">
        <v>6</v>
      </c>
      <c r="AJ179" t="n">
        <v>9</v>
      </c>
      <c r="AK179" t="n">
        <v>9</v>
      </c>
      <c r="AL179" t="n">
        <v>3</v>
      </c>
      <c r="AM179" t="n">
        <v>3</v>
      </c>
      <c r="AN179" t="n">
        <v>1</v>
      </c>
      <c r="AO179" t="n">
        <v>1</v>
      </c>
      <c r="AP179" t="inlineStr">
        <is>
          <t>No</t>
        </is>
      </c>
      <c r="AQ179" t="inlineStr">
        <is>
          <t>No</t>
        </is>
      </c>
      <c r="AS179">
        <f>HYPERLINK("https://creighton-primo.hosted.exlibrisgroup.com/primo-explore/search?tab=default_tab&amp;search_scope=EVERYTHING&amp;vid=01CRU&amp;lang=en_US&amp;offset=0&amp;query=any,contains,991002056819702656","Catalog Record")</f>
        <v/>
      </c>
      <c r="AT179">
        <f>HYPERLINK("http://www.worldcat.org/oclc/26304417","WorldCat Record")</f>
        <v/>
      </c>
      <c r="AU179" t="inlineStr">
        <is>
          <t>28624615:eng</t>
        </is>
      </c>
      <c r="AV179" t="inlineStr">
        <is>
          <t>26304417</t>
        </is>
      </c>
      <c r="AW179" t="inlineStr">
        <is>
          <t>991002056819702656</t>
        </is>
      </c>
      <c r="AX179" t="inlineStr">
        <is>
          <t>991002056819702656</t>
        </is>
      </c>
      <c r="AY179" t="inlineStr">
        <is>
          <t>2271776540002656</t>
        </is>
      </c>
      <c r="AZ179" t="inlineStr">
        <is>
          <t>BOOK</t>
        </is>
      </c>
      <c r="BB179" t="inlineStr">
        <is>
          <t>9780198277125</t>
        </is>
      </c>
      <c r="BC179" t="inlineStr">
        <is>
          <t>32285001942050</t>
        </is>
      </c>
      <c r="BD179" t="inlineStr">
        <is>
          <t>893420903</t>
        </is>
      </c>
    </row>
    <row r="180">
      <c r="A180" t="inlineStr">
        <is>
          <t>No</t>
        </is>
      </c>
      <c r="B180" t="inlineStr">
        <is>
          <t>DS113.7 .L3</t>
        </is>
      </c>
      <c r="C180" t="inlineStr">
        <is>
          <t>0                      DS 0113700L  3</t>
        </is>
      </c>
      <c r="D180" t="inlineStr">
        <is>
          <t>The Arabs in Israel : a political study / [by] Jacob M. Landau.</t>
        </is>
      </c>
      <c r="F180" t="inlineStr">
        <is>
          <t>No</t>
        </is>
      </c>
      <c r="G180" t="inlineStr">
        <is>
          <t>1</t>
        </is>
      </c>
      <c r="H180" t="inlineStr">
        <is>
          <t>No</t>
        </is>
      </c>
      <c r="I180" t="inlineStr">
        <is>
          <t>No</t>
        </is>
      </c>
      <c r="J180" t="inlineStr">
        <is>
          <t>0</t>
        </is>
      </c>
      <c r="K180" t="inlineStr">
        <is>
          <t>Landau, Jacob M.</t>
        </is>
      </c>
      <c r="L180" t="inlineStr">
        <is>
          <t>London ; New York : published under the auspices of the Royal Institute of International Affairs [by] Oxford U.P., 1969.</t>
        </is>
      </c>
      <c r="M180" t="inlineStr">
        <is>
          <t>1969</t>
        </is>
      </c>
      <c r="O180" t="inlineStr">
        <is>
          <t>eng</t>
        </is>
      </c>
      <c r="P180" t="inlineStr">
        <is>
          <t>enk</t>
        </is>
      </c>
      <c r="R180" t="inlineStr">
        <is>
          <t xml:space="preserve">DS </t>
        </is>
      </c>
      <c r="S180" t="n">
        <v>3</v>
      </c>
      <c r="T180" t="n">
        <v>3</v>
      </c>
      <c r="U180" t="inlineStr">
        <is>
          <t>1998-02-27</t>
        </is>
      </c>
      <c r="V180" t="inlineStr">
        <is>
          <t>1998-02-27</t>
        </is>
      </c>
      <c r="W180" t="inlineStr">
        <is>
          <t>1994-12-12</t>
        </is>
      </c>
      <c r="X180" t="inlineStr">
        <is>
          <t>1994-12-12</t>
        </is>
      </c>
      <c r="Y180" t="n">
        <v>660</v>
      </c>
      <c r="Z180" t="n">
        <v>538</v>
      </c>
      <c r="AA180" t="n">
        <v>600</v>
      </c>
      <c r="AB180" t="n">
        <v>4</v>
      </c>
      <c r="AC180" t="n">
        <v>4</v>
      </c>
      <c r="AD180" t="n">
        <v>25</v>
      </c>
      <c r="AE180" t="n">
        <v>25</v>
      </c>
      <c r="AF180" t="n">
        <v>8</v>
      </c>
      <c r="AG180" t="n">
        <v>8</v>
      </c>
      <c r="AH180" t="n">
        <v>7</v>
      </c>
      <c r="AI180" t="n">
        <v>7</v>
      </c>
      <c r="AJ180" t="n">
        <v>10</v>
      </c>
      <c r="AK180" t="n">
        <v>10</v>
      </c>
      <c r="AL180" t="n">
        <v>3</v>
      </c>
      <c r="AM180" t="n">
        <v>3</v>
      </c>
      <c r="AN180" t="n">
        <v>1</v>
      </c>
      <c r="AO180" t="n">
        <v>1</v>
      </c>
      <c r="AP180" t="inlineStr">
        <is>
          <t>No</t>
        </is>
      </c>
      <c r="AQ180" t="inlineStr">
        <is>
          <t>Yes</t>
        </is>
      </c>
      <c r="AR180">
        <f>HYPERLINK("http://catalog.hathitrust.org/Record/001242567","HathiTrust Record")</f>
        <v/>
      </c>
      <c r="AS180">
        <f>HYPERLINK("https://creighton-primo.hosted.exlibrisgroup.com/primo-explore/search?tab=default_tab&amp;search_scope=EVERYTHING&amp;vid=01CRU&amp;lang=en_US&amp;offset=0&amp;query=any,contains,991000009859702656","Catalog Record")</f>
        <v/>
      </c>
      <c r="AT180">
        <f>HYPERLINK("http://www.worldcat.org/oclc/14164","WorldCat Record")</f>
        <v/>
      </c>
      <c r="AU180" t="inlineStr">
        <is>
          <t>1136890:eng</t>
        </is>
      </c>
      <c r="AV180" t="inlineStr">
        <is>
          <t>14164</t>
        </is>
      </c>
      <c r="AW180" t="inlineStr">
        <is>
          <t>991000009859702656</t>
        </is>
      </c>
      <c r="AX180" t="inlineStr">
        <is>
          <t>991000009859702656</t>
        </is>
      </c>
      <c r="AY180" t="inlineStr">
        <is>
          <t>2265815090002656</t>
        </is>
      </c>
      <c r="AZ180" t="inlineStr">
        <is>
          <t>BOOK</t>
        </is>
      </c>
      <c r="BB180" t="inlineStr">
        <is>
          <t>9780192149770</t>
        </is>
      </c>
      <c r="BC180" t="inlineStr">
        <is>
          <t>32285001981991</t>
        </is>
      </c>
      <c r="BD180" t="inlineStr">
        <is>
          <t>893320734</t>
        </is>
      </c>
    </row>
    <row r="181">
      <c r="A181" t="inlineStr">
        <is>
          <t>No</t>
        </is>
      </c>
      <c r="B181" t="inlineStr">
        <is>
          <t>DS113.7 .L87 1980</t>
        </is>
      </c>
      <c r="C181" t="inlineStr">
        <is>
          <t>0                      DS 0113700L  87          1980</t>
        </is>
      </c>
      <c r="D181" t="inlineStr">
        <is>
          <t>Arabs in the Jewish State ; Israel's control of a national minority / by Ian Lustick.</t>
        </is>
      </c>
      <c r="F181" t="inlineStr">
        <is>
          <t>No</t>
        </is>
      </c>
      <c r="G181" t="inlineStr">
        <is>
          <t>1</t>
        </is>
      </c>
      <c r="H181" t="inlineStr">
        <is>
          <t>No</t>
        </is>
      </c>
      <c r="I181" t="inlineStr">
        <is>
          <t>No</t>
        </is>
      </c>
      <c r="J181" t="inlineStr">
        <is>
          <t>0</t>
        </is>
      </c>
      <c r="K181" t="inlineStr">
        <is>
          <t>Lustick, Ian, 1949-</t>
        </is>
      </c>
      <c r="L181" t="inlineStr">
        <is>
          <t>Austin : University of Texas Press, c1980.</t>
        </is>
      </c>
      <c r="M181" t="inlineStr">
        <is>
          <t>1980</t>
        </is>
      </c>
      <c r="O181" t="inlineStr">
        <is>
          <t>eng</t>
        </is>
      </c>
      <c r="P181" t="inlineStr">
        <is>
          <t>txu</t>
        </is>
      </c>
      <c r="Q181" t="inlineStr">
        <is>
          <t>Modern Middle East series ; no. 6</t>
        </is>
      </c>
      <c r="R181" t="inlineStr">
        <is>
          <t xml:space="preserve">DS </t>
        </is>
      </c>
      <c r="S181" t="n">
        <v>5</v>
      </c>
      <c r="T181" t="n">
        <v>5</v>
      </c>
      <c r="U181" t="inlineStr">
        <is>
          <t>1998-02-27</t>
        </is>
      </c>
      <c r="V181" t="inlineStr">
        <is>
          <t>1998-02-27</t>
        </is>
      </c>
      <c r="W181" t="inlineStr">
        <is>
          <t>1990-08-16</t>
        </is>
      </c>
      <c r="X181" t="inlineStr">
        <is>
          <t>1990-08-16</t>
        </is>
      </c>
      <c r="Y181" t="n">
        <v>809</v>
      </c>
      <c r="Z181" t="n">
        <v>672</v>
      </c>
      <c r="AA181" t="n">
        <v>675</v>
      </c>
      <c r="AB181" t="n">
        <v>3</v>
      </c>
      <c r="AC181" t="n">
        <v>3</v>
      </c>
      <c r="AD181" t="n">
        <v>30</v>
      </c>
      <c r="AE181" t="n">
        <v>30</v>
      </c>
      <c r="AF181" t="n">
        <v>13</v>
      </c>
      <c r="AG181" t="n">
        <v>13</v>
      </c>
      <c r="AH181" t="n">
        <v>7</v>
      </c>
      <c r="AI181" t="n">
        <v>7</v>
      </c>
      <c r="AJ181" t="n">
        <v>16</v>
      </c>
      <c r="AK181" t="n">
        <v>16</v>
      </c>
      <c r="AL181" t="n">
        <v>2</v>
      </c>
      <c r="AM181" t="n">
        <v>2</v>
      </c>
      <c r="AN181" t="n">
        <v>0</v>
      </c>
      <c r="AO181" t="n">
        <v>0</v>
      </c>
      <c r="AP181" t="inlineStr">
        <is>
          <t>No</t>
        </is>
      </c>
      <c r="AQ181" t="inlineStr">
        <is>
          <t>Yes</t>
        </is>
      </c>
      <c r="AR181">
        <f>HYPERLINK("http://catalog.hathitrust.org/Record/000695928","HathiTrust Record")</f>
        <v/>
      </c>
      <c r="AS181">
        <f>HYPERLINK("https://creighton-primo.hosted.exlibrisgroup.com/primo-explore/search?tab=default_tab&amp;search_scope=EVERYTHING&amp;vid=01CRU&amp;lang=en_US&amp;offset=0&amp;query=any,contains,991004839339702656","Catalog Record")</f>
        <v/>
      </c>
      <c r="AT181">
        <f>HYPERLINK("http://www.worldcat.org/oclc/5493481","WorldCat Record")</f>
        <v/>
      </c>
      <c r="AU181" t="inlineStr">
        <is>
          <t>3901381223:eng</t>
        </is>
      </c>
      <c r="AV181" t="inlineStr">
        <is>
          <t>5493481</t>
        </is>
      </c>
      <c r="AW181" t="inlineStr">
        <is>
          <t>991004839339702656</t>
        </is>
      </c>
      <c r="AX181" t="inlineStr">
        <is>
          <t>991004839339702656</t>
        </is>
      </c>
      <c r="AY181" t="inlineStr">
        <is>
          <t>2262811410002656</t>
        </is>
      </c>
      <c r="AZ181" t="inlineStr">
        <is>
          <t>BOOK</t>
        </is>
      </c>
      <c r="BB181" t="inlineStr">
        <is>
          <t>9780292703483</t>
        </is>
      </c>
      <c r="BC181" t="inlineStr">
        <is>
          <t>32285000274885</t>
        </is>
      </c>
      <c r="BD181" t="inlineStr">
        <is>
          <t>893412006</t>
        </is>
      </c>
    </row>
    <row r="182">
      <c r="A182" t="inlineStr">
        <is>
          <t>No</t>
        </is>
      </c>
      <c r="B182" t="inlineStr">
        <is>
          <t>DS113.7 .P35</t>
        </is>
      </c>
      <c r="C182" t="inlineStr">
        <is>
          <t>0                      DS 0113700P  35</t>
        </is>
      </c>
      <c r="D182" t="inlineStr">
        <is>
          <t>Palestinian society and politics / Joel S. Migdal ... [et al.].</t>
        </is>
      </c>
      <c r="F182" t="inlineStr">
        <is>
          <t>No</t>
        </is>
      </c>
      <c r="G182" t="inlineStr">
        <is>
          <t>1</t>
        </is>
      </c>
      <c r="H182" t="inlineStr">
        <is>
          <t>No</t>
        </is>
      </c>
      <c r="I182" t="inlineStr">
        <is>
          <t>No</t>
        </is>
      </c>
      <c r="J182" t="inlineStr">
        <is>
          <t>0</t>
        </is>
      </c>
      <c r="L182" t="inlineStr">
        <is>
          <t>Princeton, N.J. : Princeton University Press, c1980.</t>
        </is>
      </c>
      <c r="M182" t="inlineStr">
        <is>
          <t>1980</t>
        </is>
      </c>
      <c r="O182" t="inlineStr">
        <is>
          <t>eng</t>
        </is>
      </c>
      <c r="P182" t="inlineStr">
        <is>
          <t>nju</t>
        </is>
      </c>
      <c r="R182" t="inlineStr">
        <is>
          <t xml:space="preserve">DS </t>
        </is>
      </c>
      <c r="S182" t="n">
        <v>2</v>
      </c>
      <c r="T182" t="n">
        <v>2</v>
      </c>
      <c r="U182" t="inlineStr">
        <is>
          <t>1992-03-24</t>
        </is>
      </c>
      <c r="V182" t="inlineStr">
        <is>
          <t>1992-03-24</t>
        </is>
      </c>
      <c r="W182" t="inlineStr">
        <is>
          <t>1990-04-02</t>
        </is>
      </c>
      <c r="X182" t="inlineStr">
        <is>
          <t>1990-04-02</t>
        </is>
      </c>
      <c r="Y182" t="n">
        <v>639</v>
      </c>
      <c r="Z182" t="n">
        <v>484</v>
      </c>
      <c r="AA182" t="n">
        <v>703</v>
      </c>
      <c r="AB182" t="n">
        <v>2</v>
      </c>
      <c r="AC182" t="n">
        <v>5</v>
      </c>
      <c r="AD182" t="n">
        <v>17</v>
      </c>
      <c r="AE182" t="n">
        <v>30</v>
      </c>
      <c r="AF182" t="n">
        <v>9</v>
      </c>
      <c r="AG182" t="n">
        <v>15</v>
      </c>
      <c r="AH182" t="n">
        <v>4</v>
      </c>
      <c r="AI182" t="n">
        <v>8</v>
      </c>
      <c r="AJ182" t="n">
        <v>9</v>
      </c>
      <c r="AK182" t="n">
        <v>14</v>
      </c>
      <c r="AL182" t="n">
        <v>1</v>
      </c>
      <c r="AM182" t="n">
        <v>3</v>
      </c>
      <c r="AN182" t="n">
        <v>0</v>
      </c>
      <c r="AO182" t="n">
        <v>0</v>
      </c>
      <c r="AP182" t="inlineStr">
        <is>
          <t>No</t>
        </is>
      </c>
      <c r="AQ182" t="inlineStr">
        <is>
          <t>No</t>
        </is>
      </c>
      <c r="AS182">
        <f>HYPERLINK("https://creighton-primo.hosted.exlibrisgroup.com/primo-explore/search?tab=default_tab&amp;search_scope=EVERYTHING&amp;vid=01CRU&amp;lang=en_US&amp;offset=0&amp;query=any,contains,991004740759702656","Catalog Record")</f>
        <v/>
      </c>
      <c r="AT182">
        <f>HYPERLINK("http://www.worldcat.org/oclc/4883347","WorldCat Record")</f>
        <v/>
      </c>
      <c r="AU182" t="inlineStr">
        <is>
          <t>15075645:eng</t>
        </is>
      </c>
      <c r="AV182" t="inlineStr">
        <is>
          <t>4883347</t>
        </is>
      </c>
      <c r="AW182" t="inlineStr">
        <is>
          <t>991004740759702656</t>
        </is>
      </c>
      <c r="AX182" t="inlineStr">
        <is>
          <t>991004740759702656</t>
        </is>
      </c>
      <c r="AY182" t="inlineStr">
        <is>
          <t>2264102020002656</t>
        </is>
      </c>
      <c r="AZ182" t="inlineStr">
        <is>
          <t>BOOK</t>
        </is>
      </c>
      <c r="BB182" t="inlineStr">
        <is>
          <t>9780691021935</t>
        </is>
      </c>
      <c r="BC182" t="inlineStr">
        <is>
          <t>32285000107846</t>
        </is>
      </c>
      <c r="BD182" t="inlineStr">
        <is>
          <t>893411893</t>
        </is>
      </c>
    </row>
    <row r="183">
      <c r="A183" t="inlineStr">
        <is>
          <t>No</t>
        </is>
      </c>
      <c r="B183" t="inlineStr">
        <is>
          <t>DS113.72 .D364 2003</t>
        </is>
      </c>
      <c r="C183" t="inlineStr">
        <is>
          <t>0                      DS 0113720D  364         2003</t>
        </is>
      </c>
      <c r="D183" t="inlineStr">
        <is>
          <t>The Druze in the Middle East : their faith, leadership, identity and status / Nissim Dana.</t>
        </is>
      </c>
      <c r="F183" t="inlineStr">
        <is>
          <t>No</t>
        </is>
      </c>
      <c r="G183" t="inlineStr">
        <is>
          <t>1</t>
        </is>
      </c>
      <c r="H183" t="inlineStr">
        <is>
          <t>No</t>
        </is>
      </c>
      <c r="I183" t="inlineStr">
        <is>
          <t>No</t>
        </is>
      </c>
      <c r="J183" t="inlineStr">
        <is>
          <t>0</t>
        </is>
      </c>
      <c r="K183" t="inlineStr">
        <is>
          <t>Dana, Nissim, 1938-</t>
        </is>
      </c>
      <c r="L183" t="inlineStr">
        <is>
          <t>Brighton [England] ; Portland, Or. : Sussex Academic Press, 2003.</t>
        </is>
      </c>
      <c r="M183" t="inlineStr">
        <is>
          <t>2003</t>
        </is>
      </c>
      <c r="O183" t="inlineStr">
        <is>
          <t>eng</t>
        </is>
      </c>
      <c r="P183" t="inlineStr">
        <is>
          <t>enk</t>
        </is>
      </c>
      <c r="R183" t="inlineStr">
        <is>
          <t xml:space="preserve">DS </t>
        </is>
      </c>
      <c r="S183" t="n">
        <v>2</v>
      </c>
      <c r="T183" t="n">
        <v>2</v>
      </c>
      <c r="U183" t="inlineStr">
        <is>
          <t>2004-12-10</t>
        </is>
      </c>
      <c r="V183" t="inlineStr">
        <is>
          <t>2004-12-10</t>
        </is>
      </c>
      <c r="W183" t="inlineStr">
        <is>
          <t>2004-11-15</t>
        </is>
      </c>
      <c r="X183" t="inlineStr">
        <is>
          <t>2004-11-15</t>
        </is>
      </c>
      <c r="Y183" t="n">
        <v>390</v>
      </c>
      <c r="Z183" t="n">
        <v>324</v>
      </c>
      <c r="AA183" t="n">
        <v>328</v>
      </c>
      <c r="AB183" t="n">
        <v>1</v>
      </c>
      <c r="AC183" t="n">
        <v>1</v>
      </c>
      <c r="AD183" t="n">
        <v>20</v>
      </c>
      <c r="AE183" t="n">
        <v>20</v>
      </c>
      <c r="AF183" t="n">
        <v>11</v>
      </c>
      <c r="AG183" t="n">
        <v>11</v>
      </c>
      <c r="AH183" t="n">
        <v>5</v>
      </c>
      <c r="AI183" t="n">
        <v>5</v>
      </c>
      <c r="AJ183" t="n">
        <v>12</v>
      </c>
      <c r="AK183" t="n">
        <v>12</v>
      </c>
      <c r="AL183" t="n">
        <v>0</v>
      </c>
      <c r="AM183" t="n">
        <v>0</v>
      </c>
      <c r="AN183" t="n">
        <v>0</v>
      </c>
      <c r="AO183" t="n">
        <v>0</v>
      </c>
      <c r="AP183" t="inlineStr">
        <is>
          <t>No</t>
        </is>
      </c>
      <c r="AQ183" t="inlineStr">
        <is>
          <t>Yes</t>
        </is>
      </c>
      <c r="AR183">
        <f>HYPERLINK("http://catalog.hathitrust.org/Record/004359811","HathiTrust Record")</f>
        <v/>
      </c>
      <c r="AS183">
        <f>HYPERLINK("https://creighton-primo.hosted.exlibrisgroup.com/primo-explore/search?tab=default_tab&amp;search_scope=EVERYTHING&amp;vid=01CRU&amp;lang=en_US&amp;offset=0&amp;query=any,contains,991004394559702656","Catalog Record")</f>
        <v/>
      </c>
      <c r="AT183">
        <f>HYPERLINK("http://www.worldcat.org/oclc/51728714","WorldCat Record")</f>
        <v/>
      </c>
      <c r="AU183" t="inlineStr">
        <is>
          <t>826285:eng</t>
        </is>
      </c>
      <c r="AV183" t="inlineStr">
        <is>
          <t>51728714</t>
        </is>
      </c>
      <c r="AW183" t="inlineStr">
        <is>
          <t>991004394559702656</t>
        </is>
      </c>
      <c r="AX183" t="inlineStr">
        <is>
          <t>991004394559702656</t>
        </is>
      </c>
      <c r="AY183" t="inlineStr">
        <is>
          <t>2270259400002656</t>
        </is>
      </c>
      <c r="AZ183" t="inlineStr">
        <is>
          <t>BOOK</t>
        </is>
      </c>
      <c r="BB183" t="inlineStr">
        <is>
          <t>9781903900369</t>
        </is>
      </c>
      <c r="BC183" t="inlineStr">
        <is>
          <t>32285005010037</t>
        </is>
      </c>
      <c r="BD183" t="inlineStr">
        <is>
          <t>893687681</t>
        </is>
      </c>
    </row>
    <row r="184">
      <c r="A184" t="inlineStr">
        <is>
          <t>No</t>
        </is>
      </c>
      <c r="B184" t="inlineStr">
        <is>
          <t>DS113.8.S4 S53 2010</t>
        </is>
      </c>
      <c r="C184" t="inlineStr">
        <is>
          <t>0                      DS 0113800S  4                  S  53          2010</t>
        </is>
      </c>
      <c r="D184" t="inlineStr">
        <is>
          <t>We look like the enemy : the hidden story of Israel's Jews from Arab lands / Rachel Shabi.</t>
        </is>
      </c>
      <c r="F184" t="inlineStr">
        <is>
          <t>No</t>
        </is>
      </c>
      <c r="G184" t="inlineStr">
        <is>
          <t>1</t>
        </is>
      </c>
      <c r="H184" t="inlineStr">
        <is>
          <t>No</t>
        </is>
      </c>
      <c r="I184" t="inlineStr">
        <is>
          <t>No</t>
        </is>
      </c>
      <c r="J184" t="inlineStr">
        <is>
          <t>0</t>
        </is>
      </c>
      <c r="K184" t="inlineStr">
        <is>
          <t>Shabi, Rachel.</t>
        </is>
      </c>
      <c r="L184" t="inlineStr">
        <is>
          <t>New York : Walker &amp; Co., c2010.</t>
        </is>
      </c>
      <c r="M184" t="inlineStr">
        <is>
          <t>2010</t>
        </is>
      </c>
      <c r="N184" t="inlineStr">
        <is>
          <t>Pbk. ed.</t>
        </is>
      </c>
      <c r="O184" t="inlineStr">
        <is>
          <t>eng</t>
        </is>
      </c>
      <c r="P184" t="inlineStr">
        <is>
          <t>nyu</t>
        </is>
      </c>
      <c r="R184" t="inlineStr">
        <is>
          <t xml:space="preserve">DS </t>
        </is>
      </c>
      <c r="S184" t="n">
        <v>2</v>
      </c>
      <c r="T184" t="n">
        <v>2</v>
      </c>
      <c r="U184" t="inlineStr">
        <is>
          <t>2010-12-10</t>
        </is>
      </c>
      <c r="V184" t="inlineStr">
        <is>
          <t>2010-12-10</t>
        </is>
      </c>
      <c r="W184" t="inlineStr">
        <is>
          <t>2010-11-18</t>
        </is>
      </c>
      <c r="X184" t="inlineStr">
        <is>
          <t>2010-11-18</t>
        </is>
      </c>
      <c r="Y184" t="n">
        <v>33</v>
      </c>
      <c r="Z184" t="n">
        <v>31</v>
      </c>
      <c r="AA184" t="n">
        <v>248</v>
      </c>
      <c r="AB184" t="n">
        <v>1</v>
      </c>
      <c r="AC184" t="n">
        <v>1</v>
      </c>
      <c r="AD184" t="n">
        <v>1</v>
      </c>
      <c r="AE184" t="n">
        <v>7</v>
      </c>
      <c r="AF184" t="n">
        <v>1</v>
      </c>
      <c r="AG184" t="n">
        <v>2</v>
      </c>
      <c r="AH184" t="n">
        <v>0</v>
      </c>
      <c r="AI184" t="n">
        <v>4</v>
      </c>
      <c r="AJ184" t="n">
        <v>1</v>
      </c>
      <c r="AK184" t="n">
        <v>5</v>
      </c>
      <c r="AL184" t="n">
        <v>0</v>
      </c>
      <c r="AM184" t="n">
        <v>0</v>
      </c>
      <c r="AN184" t="n">
        <v>0</v>
      </c>
      <c r="AO184" t="n">
        <v>0</v>
      </c>
      <c r="AP184" t="inlineStr">
        <is>
          <t>No</t>
        </is>
      </c>
      <c r="AQ184" t="inlineStr">
        <is>
          <t>No</t>
        </is>
      </c>
      <c r="AS184">
        <f>HYPERLINK("https://creighton-primo.hosted.exlibrisgroup.com/primo-explore/search?tab=default_tab&amp;search_scope=EVERYTHING&amp;vid=01CRU&amp;lang=en_US&amp;offset=0&amp;query=any,contains,991000222819702656","Catalog Record")</f>
        <v/>
      </c>
      <c r="AT184">
        <f>HYPERLINK("http://www.worldcat.org/oclc/401152808","WorldCat Record")</f>
        <v/>
      </c>
      <c r="AU184" t="inlineStr">
        <is>
          <t>196123549:eng</t>
        </is>
      </c>
      <c r="AV184" t="inlineStr">
        <is>
          <t>401152808</t>
        </is>
      </c>
      <c r="AW184" t="inlineStr">
        <is>
          <t>991000222819702656</t>
        </is>
      </c>
      <c r="AX184" t="inlineStr">
        <is>
          <t>991000222819702656</t>
        </is>
      </c>
      <c r="AY184" t="inlineStr">
        <is>
          <t>2265961670002656</t>
        </is>
      </c>
      <c r="AZ184" t="inlineStr">
        <is>
          <t>BOOK</t>
        </is>
      </c>
      <c r="BB184" t="inlineStr">
        <is>
          <t>9780802717665</t>
        </is>
      </c>
      <c r="BC184" t="inlineStr">
        <is>
          <t>32285005606917</t>
        </is>
      </c>
      <c r="BD184" t="inlineStr">
        <is>
          <t>893425538</t>
        </is>
      </c>
    </row>
    <row r="185">
      <c r="A185" t="inlineStr">
        <is>
          <t>No</t>
        </is>
      </c>
      <c r="B185" t="inlineStr">
        <is>
          <t>DS113.8.Y4 M33 2009</t>
        </is>
      </c>
      <c r="C185" t="inlineStr">
        <is>
          <t>0                      DS 0113800Y  4                  M  33          2009</t>
        </is>
      </c>
      <c r="D185" t="inlineStr">
        <is>
          <t>Israeli media and the framing of internal conflict : the Yemenite babies affair / Shoshana Madmoni-Gerber.</t>
        </is>
      </c>
      <c r="F185" t="inlineStr">
        <is>
          <t>No</t>
        </is>
      </c>
      <c r="G185" t="inlineStr">
        <is>
          <t>1</t>
        </is>
      </c>
      <c r="H185" t="inlineStr">
        <is>
          <t>No</t>
        </is>
      </c>
      <c r="I185" t="inlineStr">
        <is>
          <t>No</t>
        </is>
      </c>
      <c r="J185" t="inlineStr">
        <is>
          <t>0</t>
        </is>
      </c>
      <c r="K185" t="inlineStr">
        <is>
          <t>Madmoni-Gerber, Shoshana.</t>
        </is>
      </c>
      <c r="L185" t="inlineStr">
        <is>
          <t>New York, NY : Palgrave Macmillan, 2009.</t>
        </is>
      </c>
      <c r="M185" t="inlineStr">
        <is>
          <t>2009</t>
        </is>
      </c>
      <c r="N185" t="inlineStr">
        <is>
          <t>1st ed.</t>
        </is>
      </c>
      <c r="O185" t="inlineStr">
        <is>
          <t>eng</t>
        </is>
      </c>
      <c r="P185" t="inlineStr">
        <is>
          <t>nyu</t>
        </is>
      </c>
      <c r="R185" t="inlineStr">
        <is>
          <t xml:space="preserve">DS </t>
        </is>
      </c>
      <c r="S185" t="n">
        <v>1</v>
      </c>
      <c r="T185" t="n">
        <v>1</v>
      </c>
      <c r="U185" t="inlineStr">
        <is>
          <t>2010-04-13</t>
        </is>
      </c>
      <c r="V185" t="inlineStr">
        <is>
          <t>2010-04-13</t>
        </is>
      </c>
      <c r="W185" t="inlineStr">
        <is>
          <t>2010-04-13</t>
        </is>
      </c>
      <c r="X185" t="inlineStr">
        <is>
          <t>2010-04-13</t>
        </is>
      </c>
      <c r="Y185" t="n">
        <v>141</v>
      </c>
      <c r="Z185" t="n">
        <v>110</v>
      </c>
      <c r="AA185" t="n">
        <v>150</v>
      </c>
      <c r="AB185" t="n">
        <v>1</v>
      </c>
      <c r="AC185" t="n">
        <v>2</v>
      </c>
      <c r="AD185" t="n">
        <v>5</v>
      </c>
      <c r="AE185" t="n">
        <v>9</v>
      </c>
      <c r="AF185" t="n">
        <v>1</v>
      </c>
      <c r="AG185" t="n">
        <v>4</v>
      </c>
      <c r="AH185" t="n">
        <v>3</v>
      </c>
      <c r="AI185" t="n">
        <v>4</v>
      </c>
      <c r="AJ185" t="n">
        <v>3</v>
      </c>
      <c r="AK185" t="n">
        <v>5</v>
      </c>
      <c r="AL185" t="n">
        <v>0</v>
      </c>
      <c r="AM185" t="n">
        <v>1</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HYPERLINK("https://creighton-primo.hosted.exlibrisgroup.com/primo-explore/search?tab=default_tab&amp;search_scope=EVERYTHING&amp;vid=01CRU&amp;lang=en_US&amp;offset=0&amp;query=any,contains,991005381249702656","Catalog Record")</f>
        <v/>
      </c>
      <c r="AT185">
        <f>HYPERLINK("http://www.worldcat.org/oclc/276995492","WorldCat Record")</f>
        <v/>
      </c>
      <c r="AU185" t="inlineStr">
        <is>
          <t>797268007:eng</t>
        </is>
      </c>
      <c r="AV185" t="inlineStr">
        <is>
          <t>276995492</t>
        </is>
      </c>
      <c r="AW185" t="inlineStr">
        <is>
          <t>991005381249702656</t>
        </is>
      </c>
      <c r="AX185" t="inlineStr">
        <is>
          <t>991005381249702656</t>
        </is>
      </c>
      <c r="AY185" t="inlineStr">
        <is>
          <t>2264449080002656</t>
        </is>
      </c>
      <c r="AZ185" t="inlineStr">
        <is>
          <t>BOOK</t>
        </is>
      </c>
      <c r="BB185" t="inlineStr">
        <is>
          <t>9780230613461</t>
        </is>
      </c>
      <c r="BC185" t="inlineStr">
        <is>
          <t>32285005563787</t>
        </is>
      </c>
      <c r="BD185" t="inlineStr">
        <is>
          <t>893443925</t>
        </is>
      </c>
    </row>
    <row r="186">
      <c r="A186" t="inlineStr">
        <is>
          <t>No</t>
        </is>
      </c>
      <c r="B186" t="inlineStr">
        <is>
          <t>DS115 .S63 1993b</t>
        </is>
      </c>
      <c r="C186" t="inlineStr">
        <is>
          <t>0                      DS 0115000S  63          1993b</t>
        </is>
      </c>
      <c r="D186" t="inlineStr">
        <is>
          <t>An introduction to the history of Israel and Judah / J. Alberto Soggin ; [translated by John Bowden].</t>
        </is>
      </c>
      <c r="F186" t="inlineStr">
        <is>
          <t>No</t>
        </is>
      </c>
      <c r="G186" t="inlineStr">
        <is>
          <t>1</t>
        </is>
      </c>
      <c r="H186" t="inlineStr">
        <is>
          <t>No</t>
        </is>
      </c>
      <c r="I186" t="inlineStr">
        <is>
          <t>No</t>
        </is>
      </c>
      <c r="J186" t="inlineStr">
        <is>
          <t>0</t>
        </is>
      </c>
      <c r="K186" t="inlineStr">
        <is>
          <t>Soggin, J. Alberto.</t>
        </is>
      </c>
      <c r="L186" t="inlineStr">
        <is>
          <t>Valley Forge, PA : Trinity Press International, 1993.</t>
        </is>
      </c>
      <c r="M186" t="inlineStr">
        <is>
          <t>1993</t>
        </is>
      </c>
      <c r="N186" t="inlineStr">
        <is>
          <t>2nd, completely rev. and upd. ed. ; 1st U.S. ed.</t>
        </is>
      </c>
      <c r="O186" t="inlineStr">
        <is>
          <t>eng</t>
        </is>
      </c>
      <c r="P186" t="inlineStr">
        <is>
          <t>pau</t>
        </is>
      </c>
      <c r="R186" t="inlineStr">
        <is>
          <t xml:space="preserve">DS </t>
        </is>
      </c>
      <c r="S186" t="n">
        <v>13</v>
      </c>
      <c r="T186" t="n">
        <v>13</v>
      </c>
      <c r="U186" t="inlineStr">
        <is>
          <t>2006-11-26</t>
        </is>
      </c>
      <c r="V186" t="inlineStr">
        <is>
          <t>2006-11-26</t>
        </is>
      </c>
      <c r="W186" t="inlineStr">
        <is>
          <t>1994-08-08</t>
        </is>
      </c>
      <c r="X186" t="inlineStr">
        <is>
          <t>1994-08-08</t>
        </is>
      </c>
      <c r="Y186" t="n">
        <v>224</v>
      </c>
      <c r="Z186" t="n">
        <v>200</v>
      </c>
      <c r="AA186" t="n">
        <v>245</v>
      </c>
      <c r="AB186" t="n">
        <v>3</v>
      </c>
      <c r="AC186" t="n">
        <v>3</v>
      </c>
      <c r="AD186" t="n">
        <v>13</v>
      </c>
      <c r="AE186" t="n">
        <v>15</v>
      </c>
      <c r="AF186" t="n">
        <v>8</v>
      </c>
      <c r="AG186" t="n">
        <v>8</v>
      </c>
      <c r="AH186" t="n">
        <v>3</v>
      </c>
      <c r="AI186" t="n">
        <v>3</v>
      </c>
      <c r="AJ186" t="n">
        <v>5</v>
      </c>
      <c r="AK186" t="n">
        <v>7</v>
      </c>
      <c r="AL186" t="n">
        <v>2</v>
      </c>
      <c r="AM186" t="n">
        <v>2</v>
      </c>
      <c r="AN186" t="n">
        <v>0</v>
      </c>
      <c r="AO186" t="n">
        <v>0</v>
      </c>
      <c r="AP186" t="inlineStr">
        <is>
          <t>No</t>
        </is>
      </c>
      <c r="AQ186" t="inlineStr">
        <is>
          <t>Yes</t>
        </is>
      </c>
      <c r="AR186">
        <f>HYPERLINK("http://catalog.hathitrust.org/Record/002800280","HathiTrust Record")</f>
        <v/>
      </c>
      <c r="AS186">
        <f>HYPERLINK("https://creighton-primo.hosted.exlibrisgroup.com/primo-explore/search?tab=default_tab&amp;search_scope=EVERYTHING&amp;vid=01CRU&amp;lang=en_US&amp;offset=0&amp;query=any,contains,991002276399702656","Catalog Record")</f>
        <v/>
      </c>
      <c r="AT186">
        <f>HYPERLINK("http://www.worldcat.org/oclc/29546023","WorldCat Record")</f>
        <v/>
      </c>
      <c r="AU186" t="inlineStr">
        <is>
          <t>2864377453:eng</t>
        </is>
      </c>
      <c r="AV186" t="inlineStr">
        <is>
          <t>29546023</t>
        </is>
      </c>
      <c r="AW186" t="inlineStr">
        <is>
          <t>991002276399702656</t>
        </is>
      </c>
      <c r="AX186" t="inlineStr">
        <is>
          <t>991002276399702656</t>
        </is>
      </c>
      <c r="AY186" t="inlineStr">
        <is>
          <t>2271791800002656</t>
        </is>
      </c>
      <c r="AZ186" t="inlineStr">
        <is>
          <t>BOOK</t>
        </is>
      </c>
      <c r="BB186" t="inlineStr">
        <is>
          <t>9781563380730</t>
        </is>
      </c>
      <c r="BC186" t="inlineStr">
        <is>
          <t>32285001941896</t>
        </is>
      </c>
      <c r="BD186" t="inlineStr">
        <is>
          <t>893792259</t>
        </is>
      </c>
    </row>
    <row r="187">
      <c r="A187" t="inlineStr">
        <is>
          <t>No</t>
        </is>
      </c>
      <c r="B187" t="inlineStr">
        <is>
          <t>DS115.2 .A58 1997</t>
        </is>
      </c>
      <c r="C187" t="inlineStr">
        <is>
          <t>0                      DS 0115200A  58          1997</t>
        </is>
      </c>
      <c r="D187" t="inlineStr">
        <is>
          <t>The journey home : Jewish women and the American century / Joyce Antler.</t>
        </is>
      </c>
      <c r="F187" t="inlineStr">
        <is>
          <t>No</t>
        </is>
      </c>
      <c r="G187" t="inlineStr">
        <is>
          <t>1</t>
        </is>
      </c>
      <c r="H187" t="inlineStr">
        <is>
          <t>No</t>
        </is>
      </c>
      <c r="I187" t="inlineStr">
        <is>
          <t>No</t>
        </is>
      </c>
      <c r="J187" t="inlineStr">
        <is>
          <t>0</t>
        </is>
      </c>
      <c r="K187" t="inlineStr">
        <is>
          <t>Antler, Joyce.</t>
        </is>
      </c>
      <c r="L187" t="inlineStr">
        <is>
          <t>New York : Free Press, c1997.</t>
        </is>
      </c>
      <c r="M187" t="inlineStr">
        <is>
          <t>1997</t>
        </is>
      </c>
      <c r="O187" t="inlineStr">
        <is>
          <t>eng</t>
        </is>
      </c>
      <c r="P187" t="inlineStr">
        <is>
          <t>nyu</t>
        </is>
      </c>
      <c r="R187" t="inlineStr">
        <is>
          <t xml:space="preserve">DS </t>
        </is>
      </c>
      <c r="S187" t="n">
        <v>2</v>
      </c>
      <c r="T187" t="n">
        <v>2</v>
      </c>
      <c r="U187" t="inlineStr">
        <is>
          <t>2000-04-05</t>
        </is>
      </c>
      <c r="V187" t="inlineStr">
        <is>
          <t>2000-04-05</t>
        </is>
      </c>
      <c r="W187" t="inlineStr">
        <is>
          <t>1997-09-25</t>
        </is>
      </c>
      <c r="X187" t="inlineStr">
        <is>
          <t>1997-09-25</t>
        </is>
      </c>
      <c r="Y187" t="n">
        <v>577</v>
      </c>
      <c r="Z187" t="n">
        <v>530</v>
      </c>
      <c r="AA187" t="n">
        <v>544</v>
      </c>
      <c r="AB187" t="n">
        <v>5</v>
      </c>
      <c r="AC187" t="n">
        <v>5</v>
      </c>
      <c r="AD187" t="n">
        <v>26</v>
      </c>
      <c r="AE187" t="n">
        <v>26</v>
      </c>
      <c r="AF187" t="n">
        <v>7</v>
      </c>
      <c r="AG187" t="n">
        <v>7</v>
      </c>
      <c r="AH187" t="n">
        <v>7</v>
      </c>
      <c r="AI187" t="n">
        <v>7</v>
      </c>
      <c r="AJ187" t="n">
        <v>15</v>
      </c>
      <c r="AK187" t="n">
        <v>15</v>
      </c>
      <c r="AL187" t="n">
        <v>4</v>
      </c>
      <c r="AM187" t="n">
        <v>4</v>
      </c>
      <c r="AN187" t="n">
        <v>0</v>
      </c>
      <c r="AO187" t="n">
        <v>0</v>
      </c>
      <c r="AP187" t="inlineStr">
        <is>
          <t>No</t>
        </is>
      </c>
      <c r="AQ187" t="inlineStr">
        <is>
          <t>Yes</t>
        </is>
      </c>
      <c r="AR187">
        <f>HYPERLINK("http://catalog.hathitrust.org/Record/003135855","HathiTrust Record")</f>
        <v/>
      </c>
      <c r="AS187">
        <f>HYPERLINK("https://creighton-primo.hosted.exlibrisgroup.com/primo-explore/search?tab=default_tab&amp;search_scope=EVERYTHING&amp;vid=01CRU&amp;lang=en_US&amp;offset=0&amp;query=any,contains,991002725959702656","Catalog Record")</f>
        <v/>
      </c>
      <c r="AT187">
        <f>HYPERLINK("http://www.worldcat.org/oclc/35758137","WorldCat Record")</f>
        <v/>
      </c>
      <c r="AU187" t="inlineStr">
        <is>
          <t>2288061245:eng</t>
        </is>
      </c>
      <c r="AV187" t="inlineStr">
        <is>
          <t>35758137</t>
        </is>
      </c>
      <c r="AW187" t="inlineStr">
        <is>
          <t>991002725959702656</t>
        </is>
      </c>
      <c r="AX187" t="inlineStr">
        <is>
          <t>991002725959702656</t>
        </is>
      </c>
      <c r="AY187" t="inlineStr">
        <is>
          <t>2260231780002656</t>
        </is>
      </c>
      <c r="AZ187" t="inlineStr">
        <is>
          <t>BOOK</t>
        </is>
      </c>
      <c r="BB187" t="inlineStr">
        <is>
          <t>9780684834443</t>
        </is>
      </c>
      <c r="BC187" t="inlineStr">
        <is>
          <t>32285003250783</t>
        </is>
      </c>
      <c r="BD187" t="inlineStr">
        <is>
          <t>893239417</t>
        </is>
      </c>
    </row>
    <row r="188">
      <c r="A188" t="inlineStr">
        <is>
          <t>No</t>
        </is>
      </c>
      <c r="B188" t="inlineStr">
        <is>
          <t>DS115.2 .C45 1997</t>
        </is>
      </c>
      <c r="C188" t="inlineStr">
        <is>
          <t>0                      DS 0115200C  45          1997</t>
        </is>
      </c>
      <c r="D188" t="inlineStr">
        <is>
          <t>Celebrating the lives of Jewish women : patterns in a feminist sampler / Rachel Josefowitz Siegel, Ellen Cole, editors.</t>
        </is>
      </c>
      <c r="F188" t="inlineStr">
        <is>
          <t>No</t>
        </is>
      </c>
      <c r="G188" t="inlineStr">
        <is>
          <t>1</t>
        </is>
      </c>
      <c r="H188" t="inlineStr">
        <is>
          <t>No</t>
        </is>
      </c>
      <c r="I188" t="inlineStr">
        <is>
          <t>No</t>
        </is>
      </c>
      <c r="J188" t="inlineStr">
        <is>
          <t>0</t>
        </is>
      </c>
      <c r="L188" t="inlineStr">
        <is>
          <t>New York : Harrington Park Press, c1997.</t>
        </is>
      </c>
      <c r="M188" t="inlineStr">
        <is>
          <t>1997</t>
        </is>
      </c>
      <c r="O188" t="inlineStr">
        <is>
          <t>eng</t>
        </is>
      </c>
      <c r="P188" t="inlineStr">
        <is>
          <t>nyu</t>
        </is>
      </c>
      <c r="Q188" t="inlineStr">
        <is>
          <t>Haworth innovations in feminist studies</t>
        </is>
      </c>
      <c r="R188" t="inlineStr">
        <is>
          <t xml:space="preserve">DS </t>
        </is>
      </c>
      <c r="S188" t="n">
        <v>5</v>
      </c>
      <c r="T188" t="n">
        <v>5</v>
      </c>
      <c r="U188" t="inlineStr">
        <is>
          <t>2003-11-11</t>
        </is>
      </c>
      <c r="V188" t="inlineStr">
        <is>
          <t>2003-11-11</t>
        </is>
      </c>
      <c r="W188" t="inlineStr">
        <is>
          <t>1998-12-08</t>
        </is>
      </c>
      <c r="X188" t="inlineStr">
        <is>
          <t>1998-12-08</t>
        </is>
      </c>
      <c r="Y188" t="n">
        <v>266</v>
      </c>
      <c r="Z188" t="n">
        <v>228</v>
      </c>
      <c r="AA188" t="n">
        <v>267</v>
      </c>
      <c r="AB188" t="n">
        <v>3</v>
      </c>
      <c r="AC188" t="n">
        <v>3</v>
      </c>
      <c r="AD188" t="n">
        <v>13</v>
      </c>
      <c r="AE188" t="n">
        <v>13</v>
      </c>
      <c r="AF188" t="n">
        <v>5</v>
      </c>
      <c r="AG188" t="n">
        <v>5</v>
      </c>
      <c r="AH188" t="n">
        <v>3</v>
      </c>
      <c r="AI188" t="n">
        <v>3</v>
      </c>
      <c r="AJ188" t="n">
        <v>8</v>
      </c>
      <c r="AK188" t="n">
        <v>8</v>
      </c>
      <c r="AL188" t="n">
        <v>2</v>
      </c>
      <c r="AM188" t="n">
        <v>2</v>
      </c>
      <c r="AN188" t="n">
        <v>0</v>
      </c>
      <c r="AO188" t="n">
        <v>0</v>
      </c>
      <c r="AP188" t="inlineStr">
        <is>
          <t>No</t>
        </is>
      </c>
      <c r="AQ188" t="inlineStr">
        <is>
          <t>Yes</t>
        </is>
      </c>
      <c r="AR188">
        <f>HYPERLINK("http://catalog.hathitrust.org/Record/003203277","HathiTrust Record")</f>
        <v/>
      </c>
      <c r="AS188">
        <f>HYPERLINK("https://creighton-primo.hosted.exlibrisgroup.com/primo-explore/search?tab=default_tab&amp;search_scope=EVERYTHING&amp;vid=01CRU&amp;lang=en_US&amp;offset=0&amp;query=any,contains,991002797959702656","Catalog Record")</f>
        <v/>
      </c>
      <c r="AT188">
        <f>HYPERLINK("http://www.worldcat.org/oclc/36755750","WorldCat Record")</f>
        <v/>
      </c>
      <c r="AU188" t="inlineStr">
        <is>
          <t>376085963:eng</t>
        </is>
      </c>
      <c r="AV188" t="inlineStr">
        <is>
          <t>36755750</t>
        </is>
      </c>
      <c r="AW188" t="inlineStr">
        <is>
          <t>991002797959702656</t>
        </is>
      </c>
      <c r="AX188" t="inlineStr">
        <is>
          <t>991002797959702656</t>
        </is>
      </c>
      <c r="AY188" t="inlineStr">
        <is>
          <t>2265812140002656</t>
        </is>
      </c>
      <c r="AZ188" t="inlineStr">
        <is>
          <t>BOOK</t>
        </is>
      </c>
      <c r="BB188" t="inlineStr">
        <is>
          <t>9780789000866</t>
        </is>
      </c>
      <c r="BC188" t="inlineStr">
        <is>
          <t>32285003494746</t>
        </is>
      </c>
      <c r="BD188" t="inlineStr">
        <is>
          <t>893604046</t>
        </is>
      </c>
    </row>
    <row r="189">
      <c r="A189" t="inlineStr">
        <is>
          <t>No</t>
        </is>
      </c>
      <c r="B189" t="inlineStr">
        <is>
          <t>DS115.5 .C36 1997</t>
        </is>
      </c>
      <c r="C189" t="inlineStr">
        <is>
          <t>0                      DS 0115500C  36          1997</t>
        </is>
      </c>
      <c r="D189" t="inlineStr">
        <is>
          <t>Can a 'history of Israel' be written? / edited by Lester L. Grabbe.</t>
        </is>
      </c>
      <c r="F189" t="inlineStr">
        <is>
          <t>No</t>
        </is>
      </c>
      <c r="G189" t="inlineStr">
        <is>
          <t>1</t>
        </is>
      </c>
      <c r="H189" t="inlineStr">
        <is>
          <t>No</t>
        </is>
      </c>
      <c r="I189" t="inlineStr">
        <is>
          <t>No</t>
        </is>
      </c>
      <c r="J189" t="inlineStr">
        <is>
          <t>0</t>
        </is>
      </c>
      <c r="L189" t="inlineStr">
        <is>
          <t>Sheffield, England : Sheffield Academic Press, c1997.</t>
        </is>
      </c>
      <c r="M189" t="inlineStr">
        <is>
          <t>1997</t>
        </is>
      </c>
      <c r="O189" t="inlineStr">
        <is>
          <t>eng</t>
        </is>
      </c>
      <c r="P189" t="inlineStr">
        <is>
          <t>enk</t>
        </is>
      </c>
      <c r="Q189" t="inlineStr">
        <is>
          <t>European seminar in historical methodology ; 1</t>
        </is>
      </c>
      <c r="R189" t="inlineStr">
        <is>
          <t xml:space="preserve">DS </t>
        </is>
      </c>
      <c r="S189" t="n">
        <v>2</v>
      </c>
      <c r="T189" t="n">
        <v>2</v>
      </c>
      <c r="U189" t="inlineStr">
        <is>
          <t>2001-02-13</t>
        </is>
      </c>
      <c r="V189" t="inlineStr">
        <is>
          <t>2001-02-13</t>
        </is>
      </c>
      <c r="W189" t="inlineStr">
        <is>
          <t>1999-10-26</t>
        </is>
      </c>
      <c r="X189" t="inlineStr">
        <is>
          <t>1999-10-26</t>
        </is>
      </c>
      <c r="Y189" t="n">
        <v>291</v>
      </c>
      <c r="Z189" t="n">
        <v>216</v>
      </c>
      <c r="AA189" t="n">
        <v>216</v>
      </c>
      <c r="AB189" t="n">
        <v>1</v>
      </c>
      <c r="AC189" t="n">
        <v>1</v>
      </c>
      <c r="AD189" t="n">
        <v>12</v>
      </c>
      <c r="AE189" t="n">
        <v>12</v>
      </c>
      <c r="AF189" t="n">
        <v>4</v>
      </c>
      <c r="AG189" t="n">
        <v>4</v>
      </c>
      <c r="AH189" t="n">
        <v>3</v>
      </c>
      <c r="AI189" t="n">
        <v>3</v>
      </c>
      <c r="AJ189" t="n">
        <v>7</v>
      </c>
      <c r="AK189" t="n">
        <v>7</v>
      </c>
      <c r="AL189" t="n">
        <v>0</v>
      </c>
      <c r="AM189" t="n">
        <v>0</v>
      </c>
      <c r="AN189" t="n">
        <v>0</v>
      </c>
      <c r="AO189" t="n">
        <v>0</v>
      </c>
      <c r="AP189" t="inlineStr">
        <is>
          <t>No</t>
        </is>
      </c>
      <c r="AQ189" t="inlineStr">
        <is>
          <t>No</t>
        </is>
      </c>
      <c r="AS189">
        <f>HYPERLINK("https://creighton-primo.hosted.exlibrisgroup.com/primo-explore/search?tab=default_tab&amp;search_scope=EVERYTHING&amp;vid=01CRU&amp;lang=en_US&amp;offset=0&amp;query=any,contains,991003023979702656","Catalog Record")</f>
        <v/>
      </c>
      <c r="AT189">
        <f>HYPERLINK("http://www.worldcat.org/oclc/41278213","WorldCat Record")</f>
        <v/>
      </c>
      <c r="AU189" t="inlineStr">
        <is>
          <t>5218482812:eng</t>
        </is>
      </c>
      <c r="AV189" t="inlineStr">
        <is>
          <t>41278213</t>
        </is>
      </c>
      <c r="AW189" t="inlineStr">
        <is>
          <t>991003023979702656</t>
        </is>
      </c>
      <c r="AX189" t="inlineStr">
        <is>
          <t>991003023979702656</t>
        </is>
      </c>
      <c r="AY189" t="inlineStr">
        <is>
          <t>2267656740002656</t>
        </is>
      </c>
      <c r="AZ189" t="inlineStr">
        <is>
          <t>BOOK</t>
        </is>
      </c>
      <c r="BB189" t="inlineStr">
        <is>
          <t>9781850756699</t>
        </is>
      </c>
      <c r="BC189" t="inlineStr">
        <is>
          <t>32285003613378</t>
        </is>
      </c>
      <c r="BD189" t="inlineStr">
        <is>
          <t>893348256</t>
        </is>
      </c>
    </row>
    <row r="190">
      <c r="A190" t="inlineStr">
        <is>
          <t>No</t>
        </is>
      </c>
      <c r="B190" t="inlineStr">
        <is>
          <t>DS115.5 .D39 2003</t>
        </is>
      </c>
      <c r="C190" t="inlineStr">
        <is>
          <t>0                      DS 0115500D  39          2003</t>
        </is>
      </c>
      <c r="D190" t="inlineStr">
        <is>
          <t>Who were the early Israelites, and where did they come from? / William G. Dever.</t>
        </is>
      </c>
      <c r="F190" t="inlineStr">
        <is>
          <t>No</t>
        </is>
      </c>
      <c r="G190" t="inlineStr">
        <is>
          <t>1</t>
        </is>
      </c>
      <c r="H190" t="inlineStr">
        <is>
          <t>No</t>
        </is>
      </c>
      <c r="I190" t="inlineStr">
        <is>
          <t>No</t>
        </is>
      </c>
      <c r="J190" t="inlineStr">
        <is>
          <t>0</t>
        </is>
      </c>
      <c r="K190" t="inlineStr">
        <is>
          <t>Dever, William G.</t>
        </is>
      </c>
      <c r="L190" t="inlineStr">
        <is>
          <t>Grand Rapids, Mich. : William B. Eerdmans Pub. Co., c2003.</t>
        </is>
      </c>
      <c r="M190" t="inlineStr">
        <is>
          <t>2003</t>
        </is>
      </c>
      <c r="O190" t="inlineStr">
        <is>
          <t>eng</t>
        </is>
      </c>
      <c r="P190" t="inlineStr">
        <is>
          <t>miu</t>
        </is>
      </c>
      <c r="R190" t="inlineStr">
        <is>
          <t xml:space="preserve">DS </t>
        </is>
      </c>
      <c r="S190" t="n">
        <v>7</v>
      </c>
      <c r="T190" t="n">
        <v>7</v>
      </c>
      <c r="U190" t="inlineStr">
        <is>
          <t>2007-03-05</t>
        </is>
      </c>
      <c r="V190" t="inlineStr">
        <is>
          <t>2007-03-05</t>
        </is>
      </c>
      <c r="W190" t="inlineStr">
        <is>
          <t>2003-08-06</t>
        </is>
      </c>
      <c r="X190" t="inlineStr">
        <is>
          <t>2003-08-06</t>
        </is>
      </c>
      <c r="Y190" t="n">
        <v>739</v>
      </c>
      <c r="Z190" t="n">
        <v>617</v>
      </c>
      <c r="AA190" t="n">
        <v>697</v>
      </c>
      <c r="AB190" t="n">
        <v>7</v>
      </c>
      <c r="AC190" t="n">
        <v>8</v>
      </c>
      <c r="AD190" t="n">
        <v>33</v>
      </c>
      <c r="AE190" t="n">
        <v>37</v>
      </c>
      <c r="AF190" t="n">
        <v>13</v>
      </c>
      <c r="AG190" t="n">
        <v>15</v>
      </c>
      <c r="AH190" t="n">
        <v>8</v>
      </c>
      <c r="AI190" t="n">
        <v>9</v>
      </c>
      <c r="AJ190" t="n">
        <v>14</v>
      </c>
      <c r="AK190" t="n">
        <v>14</v>
      </c>
      <c r="AL190" t="n">
        <v>6</v>
      </c>
      <c r="AM190" t="n">
        <v>7</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HYPERLINK("https://creighton-primo.hosted.exlibrisgroup.com/primo-explore/search?tab=default_tab&amp;search_scope=EVERYTHING&amp;vid=01CRU&amp;lang=en_US&amp;offset=0&amp;query=any,contains,991004095689702656","Catalog Record")</f>
        <v/>
      </c>
      <c r="AT190">
        <f>HYPERLINK("http://www.worldcat.org/oclc/51216016","WorldCat Record")</f>
        <v/>
      </c>
      <c r="AU190" t="inlineStr">
        <is>
          <t>781972:eng</t>
        </is>
      </c>
      <c r="AV190" t="inlineStr">
        <is>
          <t>51216016</t>
        </is>
      </c>
      <c r="AW190" t="inlineStr">
        <is>
          <t>991004095689702656</t>
        </is>
      </c>
      <c r="AX190" t="inlineStr">
        <is>
          <t>991004095689702656</t>
        </is>
      </c>
      <c r="AY190" t="inlineStr">
        <is>
          <t>2270235100002656</t>
        </is>
      </c>
      <c r="AZ190" t="inlineStr">
        <is>
          <t>BOOK</t>
        </is>
      </c>
      <c r="BB190" t="inlineStr">
        <is>
          <t>9780802809759</t>
        </is>
      </c>
      <c r="BC190" t="inlineStr">
        <is>
          <t>32285004758974</t>
        </is>
      </c>
      <c r="BD190" t="inlineStr">
        <is>
          <t>893869276</t>
        </is>
      </c>
    </row>
    <row r="191">
      <c r="A191" t="inlineStr">
        <is>
          <t>No</t>
        </is>
      </c>
      <c r="B191" t="inlineStr">
        <is>
          <t>DS115.5 .W475 1996</t>
        </is>
      </c>
      <c r="C191" t="inlineStr">
        <is>
          <t>0                      DS 0115500W  475         1996</t>
        </is>
      </c>
      <c r="D191" t="inlineStr">
        <is>
          <t>The invention of ancient Israel : the silencing of Palestinian history / Keith W. Whitelam.</t>
        </is>
      </c>
      <c r="F191" t="inlineStr">
        <is>
          <t>No</t>
        </is>
      </c>
      <c r="G191" t="inlineStr">
        <is>
          <t>1</t>
        </is>
      </c>
      <c r="H191" t="inlineStr">
        <is>
          <t>No</t>
        </is>
      </c>
      <c r="I191" t="inlineStr">
        <is>
          <t>No</t>
        </is>
      </c>
      <c r="J191" t="inlineStr">
        <is>
          <t>0</t>
        </is>
      </c>
      <c r="K191" t="inlineStr">
        <is>
          <t>Whitelam, Keith W.</t>
        </is>
      </c>
      <c r="L191" t="inlineStr">
        <is>
          <t>New York : Routledge, 1996, (1997 printing).</t>
        </is>
      </c>
      <c r="M191" t="inlineStr">
        <is>
          <t>1996</t>
        </is>
      </c>
      <c r="O191" t="inlineStr">
        <is>
          <t>eng</t>
        </is>
      </c>
      <c r="P191" t="inlineStr">
        <is>
          <t>nyu</t>
        </is>
      </c>
      <c r="R191" t="inlineStr">
        <is>
          <t xml:space="preserve">DS </t>
        </is>
      </c>
      <c r="S191" t="n">
        <v>3</v>
      </c>
      <c r="T191" t="n">
        <v>3</v>
      </c>
      <c r="U191" t="inlineStr">
        <is>
          <t>2001-02-13</t>
        </is>
      </c>
      <c r="V191" t="inlineStr">
        <is>
          <t>2001-02-13</t>
        </is>
      </c>
      <c r="W191" t="inlineStr">
        <is>
          <t>1997-10-15</t>
        </is>
      </c>
      <c r="X191" t="inlineStr">
        <is>
          <t>1997-10-15</t>
        </is>
      </c>
      <c r="Y191" t="n">
        <v>400</v>
      </c>
      <c r="Z191" t="n">
        <v>326</v>
      </c>
      <c r="AA191" t="n">
        <v>429</v>
      </c>
      <c r="AB191" t="n">
        <v>2</v>
      </c>
      <c r="AC191" t="n">
        <v>3</v>
      </c>
      <c r="AD191" t="n">
        <v>19</v>
      </c>
      <c r="AE191" t="n">
        <v>26</v>
      </c>
      <c r="AF191" t="n">
        <v>5</v>
      </c>
      <c r="AG191" t="n">
        <v>9</v>
      </c>
      <c r="AH191" t="n">
        <v>3</v>
      </c>
      <c r="AI191" t="n">
        <v>4</v>
      </c>
      <c r="AJ191" t="n">
        <v>13</v>
      </c>
      <c r="AK191" t="n">
        <v>17</v>
      </c>
      <c r="AL191" t="n">
        <v>1</v>
      </c>
      <c r="AM191" t="n">
        <v>2</v>
      </c>
      <c r="AN191" t="n">
        <v>0</v>
      </c>
      <c r="AO191" t="n">
        <v>0</v>
      </c>
      <c r="AP191" t="inlineStr">
        <is>
          <t>No</t>
        </is>
      </c>
      <c r="AQ191" t="inlineStr">
        <is>
          <t>No</t>
        </is>
      </c>
      <c r="AS191">
        <f>HYPERLINK("https://creighton-primo.hosted.exlibrisgroup.com/primo-explore/search?tab=default_tab&amp;search_scope=EVERYTHING&amp;vid=01CRU&amp;lang=en_US&amp;offset=0&amp;query=any,contains,991002492929702656","Catalog Record")</f>
        <v/>
      </c>
      <c r="AT191">
        <f>HYPERLINK("http://www.worldcat.org/oclc/32431464","WorldCat Record")</f>
        <v/>
      </c>
      <c r="AU191" t="inlineStr">
        <is>
          <t>836917395:eng</t>
        </is>
      </c>
      <c r="AV191" t="inlineStr">
        <is>
          <t>32431464</t>
        </is>
      </c>
      <c r="AW191" t="inlineStr">
        <is>
          <t>991002492929702656</t>
        </is>
      </c>
      <c r="AX191" t="inlineStr">
        <is>
          <t>991002492929702656</t>
        </is>
      </c>
      <c r="AY191" t="inlineStr">
        <is>
          <t>2257149590002656</t>
        </is>
      </c>
      <c r="AZ191" t="inlineStr">
        <is>
          <t>BOOK</t>
        </is>
      </c>
      <c r="BB191" t="inlineStr">
        <is>
          <t>9780415107587</t>
        </is>
      </c>
      <c r="BC191" t="inlineStr">
        <is>
          <t>32285003254470</t>
        </is>
      </c>
      <c r="BD191" t="inlineStr">
        <is>
          <t>893804670</t>
        </is>
      </c>
    </row>
    <row r="192">
      <c r="A192" t="inlineStr">
        <is>
          <t>No</t>
        </is>
      </c>
      <c r="B192" t="inlineStr">
        <is>
          <t>DS115.5 .W48 1984</t>
        </is>
      </c>
      <c r="C192" t="inlineStr">
        <is>
          <t>0                      DS 0115500W  48          1984</t>
        </is>
      </c>
      <c r="D192" t="inlineStr">
        <is>
          <t>Jews and Christians : Graeco-Roman views / Molly Whittaker.</t>
        </is>
      </c>
      <c r="F192" t="inlineStr">
        <is>
          <t>No</t>
        </is>
      </c>
      <c r="G192" t="inlineStr">
        <is>
          <t>1</t>
        </is>
      </c>
      <c r="H192" t="inlineStr">
        <is>
          <t>No</t>
        </is>
      </c>
      <c r="I192" t="inlineStr">
        <is>
          <t>No</t>
        </is>
      </c>
      <c r="J192" t="inlineStr">
        <is>
          <t>0</t>
        </is>
      </c>
      <c r="K192" t="inlineStr">
        <is>
          <t>Whittaker, Molly.</t>
        </is>
      </c>
      <c r="L192" t="inlineStr">
        <is>
          <t>Cambridge [Cambridgeshire] ; New York : Cambridge University Press, 1984.</t>
        </is>
      </c>
      <c r="M192" t="inlineStr">
        <is>
          <t>1984</t>
        </is>
      </c>
      <c r="O192" t="inlineStr">
        <is>
          <t>eng</t>
        </is>
      </c>
      <c r="P192" t="inlineStr">
        <is>
          <t>enk</t>
        </is>
      </c>
      <c r="Q192" t="inlineStr">
        <is>
          <t>Cambridge commentaries on writings of the Jewish and Christian world, 200 BC to AD 200 ; v. 6</t>
        </is>
      </c>
      <c r="R192" t="inlineStr">
        <is>
          <t xml:space="preserve">DS </t>
        </is>
      </c>
      <c r="S192" t="n">
        <v>2</v>
      </c>
      <c r="T192" t="n">
        <v>2</v>
      </c>
      <c r="U192" t="inlineStr">
        <is>
          <t>2009-10-12</t>
        </is>
      </c>
      <c r="V192" t="inlineStr">
        <is>
          <t>2009-10-12</t>
        </is>
      </c>
      <c r="W192" t="inlineStr">
        <is>
          <t>1990-09-28</t>
        </is>
      </c>
      <c r="X192" t="inlineStr">
        <is>
          <t>1990-09-28</t>
        </is>
      </c>
      <c r="Y192" t="n">
        <v>798</v>
      </c>
      <c r="Z192" t="n">
        <v>608</v>
      </c>
      <c r="AA192" t="n">
        <v>616</v>
      </c>
      <c r="AB192" t="n">
        <v>3</v>
      </c>
      <c r="AC192" t="n">
        <v>3</v>
      </c>
      <c r="AD192" t="n">
        <v>32</v>
      </c>
      <c r="AE192" t="n">
        <v>32</v>
      </c>
      <c r="AF192" t="n">
        <v>13</v>
      </c>
      <c r="AG192" t="n">
        <v>13</v>
      </c>
      <c r="AH192" t="n">
        <v>6</v>
      </c>
      <c r="AI192" t="n">
        <v>6</v>
      </c>
      <c r="AJ192" t="n">
        <v>19</v>
      </c>
      <c r="AK192" t="n">
        <v>19</v>
      </c>
      <c r="AL192" t="n">
        <v>2</v>
      </c>
      <c r="AM192" t="n">
        <v>2</v>
      </c>
      <c r="AN192" t="n">
        <v>0</v>
      </c>
      <c r="AO192" t="n">
        <v>0</v>
      </c>
      <c r="AP192" t="inlineStr">
        <is>
          <t>No</t>
        </is>
      </c>
      <c r="AQ192" t="inlineStr">
        <is>
          <t>No</t>
        </is>
      </c>
      <c r="AS192">
        <f>HYPERLINK("https://creighton-primo.hosted.exlibrisgroup.com/primo-explore/search?tab=default_tab&amp;search_scope=EVERYTHING&amp;vid=01CRU&amp;lang=en_US&amp;offset=0&amp;query=any,contains,991000366949702656","Catalog Record")</f>
        <v/>
      </c>
      <c r="AT192">
        <f>HYPERLINK("http://www.worldcat.org/oclc/10403853","WorldCat Record")</f>
        <v/>
      </c>
      <c r="AU192" t="inlineStr">
        <is>
          <t>836654811:eng</t>
        </is>
      </c>
      <c r="AV192" t="inlineStr">
        <is>
          <t>10403853</t>
        </is>
      </c>
      <c r="AW192" t="inlineStr">
        <is>
          <t>991000366949702656</t>
        </is>
      </c>
      <c r="AX192" t="inlineStr">
        <is>
          <t>991000366949702656</t>
        </is>
      </c>
      <c r="AY192" t="inlineStr">
        <is>
          <t>2267461400002656</t>
        </is>
      </c>
      <c r="AZ192" t="inlineStr">
        <is>
          <t>BOOK</t>
        </is>
      </c>
      <c r="BB192" t="inlineStr">
        <is>
          <t>9780521285568</t>
        </is>
      </c>
      <c r="BC192" t="inlineStr">
        <is>
          <t>32285000293364</t>
        </is>
      </c>
      <c r="BD192" t="inlineStr">
        <is>
          <t>893339484</t>
        </is>
      </c>
    </row>
    <row r="193">
      <c r="A193" t="inlineStr">
        <is>
          <t>No</t>
        </is>
      </c>
      <c r="B193" t="inlineStr">
        <is>
          <t>DS115.9.E95 W3</t>
        </is>
      </c>
      <c r="C193" t="inlineStr">
        <is>
          <t>0                      DS 0115900E  95                 W  3</t>
        </is>
      </c>
      <c r="D193" t="inlineStr">
        <is>
          <t>Eupolemus; a study of Judaeo-Greek literature.</t>
        </is>
      </c>
      <c r="F193" t="inlineStr">
        <is>
          <t>No</t>
        </is>
      </c>
      <c r="G193" t="inlineStr">
        <is>
          <t>1</t>
        </is>
      </c>
      <c r="H193" t="inlineStr">
        <is>
          <t>No</t>
        </is>
      </c>
      <c r="I193" t="inlineStr">
        <is>
          <t>No</t>
        </is>
      </c>
      <c r="J193" t="inlineStr">
        <is>
          <t>0</t>
        </is>
      </c>
      <c r="K193" t="inlineStr">
        <is>
          <t>Wacholder, Ben Zion.</t>
        </is>
      </c>
      <c r="L193" t="inlineStr">
        <is>
          <t>Cincinnati, Hebrew Union College-Jewish Institute of Religion, 1974 [i.e. 1975]</t>
        </is>
      </c>
      <c r="M193" t="inlineStr">
        <is>
          <t>1975</t>
        </is>
      </c>
      <c r="O193" t="inlineStr">
        <is>
          <t>eng</t>
        </is>
      </c>
      <c r="P193" t="inlineStr">
        <is>
          <t>ohu</t>
        </is>
      </c>
      <c r="Q193" t="inlineStr">
        <is>
          <t>Monographs of the Hebrew Union College ; no. 3</t>
        </is>
      </c>
      <c r="R193" t="inlineStr">
        <is>
          <t xml:space="preserve">DS </t>
        </is>
      </c>
      <c r="S193" t="n">
        <v>1</v>
      </c>
      <c r="T193" t="n">
        <v>1</v>
      </c>
      <c r="U193" t="inlineStr">
        <is>
          <t>1992-05-14</t>
        </is>
      </c>
      <c r="V193" t="inlineStr">
        <is>
          <t>1992-05-14</t>
        </is>
      </c>
      <c r="W193" t="inlineStr">
        <is>
          <t>1992-05-14</t>
        </is>
      </c>
      <c r="X193" t="inlineStr">
        <is>
          <t>1992-05-14</t>
        </is>
      </c>
      <c r="Y193" t="n">
        <v>240</v>
      </c>
      <c r="Z193" t="n">
        <v>211</v>
      </c>
      <c r="AA193" t="n">
        <v>224</v>
      </c>
      <c r="AB193" t="n">
        <v>1</v>
      </c>
      <c r="AC193" t="n">
        <v>1</v>
      </c>
      <c r="AD193" t="n">
        <v>7</v>
      </c>
      <c r="AE193" t="n">
        <v>8</v>
      </c>
      <c r="AF193" t="n">
        <v>1</v>
      </c>
      <c r="AG193" t="n">
        <v>2</v>
      </c>
      <c r="AH193" t="n">
        <v>4</v>
      </c>
      <c r="AI193" t="n">
        <v>4</v>
      </c>
      <c r="AJ193" t="n">
        <v>4</v>
      </c>
      <c r="AK193" t="n">
        <v>5</v>
      </c>
      <c r="AL193" t="n">
        <v>0</v>
      </c>
      <c r="AM193" t="n">
        <v>0</v>
      </c>
      <c r="AN193" t="n">
        <v>0</v>
      </c>
      <c r="AO193" t="n">
        <v>0</v>
      </c>
      <c r="AP193" t="inlineStr">
        <is>
          <t>No</t>
        </is>
      </c>
      <c r="AQ193" t="inlineStr">
        <is>
          <t>Yes</t>
        </is>
      </c>
      <c r="AR193">
        <f>HYPERLINK("http://catalog.hathitrust.org/Record/000019558","HathiTrust Record")</f>
        <v/>
      </c>
      <c r="AS193">
        <f>HYPERLINK("https://creighton-primo.hosted.exlibrisgroup.com/primo-explore/search?tab=default_tab&amp;search_scope=EVERYTHING&amp;vid=01CRU&amp;lang=en_US&amp;offset=0&amp;query=any,contains,991003495399702656","Catalog Record")</f>
        <v/>
      </c>
      <c r="AT193">
        <f>HYPERLINK("http://www.worldcat.org/oclc/1045990","WorldCat Record")</f>
        <v/>
      </c>
      <c r="AU193" t="inlineStr">
        <is>
          <t>815120873:eng</t>
        </is>
      </c>
      <c r="AV193" t="inlineStr">
        <is>
          <t>1045990</t>
        </is>
      </c>
      <c r="AW193" t="inlineStr">
        <is>
          <t>991003495399702656</t>
        </is>
      </c>
      <c r="AX193" t="inlineStr">
        <is>
          <t>991003495399702656</t>
        </is>
      </c>
      <c r="AY193" t="inlineStr">
        <is>
          <t>2268774010002656</t>
        </is>
      </c>
      <c r="AZ193" t="inlineStr">
        <is>
          <t>BOOK</t>
        </is>
      </c>
      <c r="BB193" t="inlineStr">
        <is>
          <t>9780878204014</t>
        </is>
      </c>
      <c r="BC193" t="inlineStr">
        <is>
          <t>32285001110138</t>
        </is>
      </c>
      <c r="BD193" t="inlineStr">
        <is>
          <t>893252420</t>
        </is>
      </c>
    </row>
    <row r="194">
      <c r="A194" t="inlineStr">
        <is>
          <t>No</t>
        </is>
      </c>
      <c r="B194" t="inlineStr">
        <is>
          <t>DS116 .E41 1963</t>
        </is>
      </c>
      <c r="C194" t="inlineStr">
        <is>
          <t>0                      DS 0116000E  41          1963</t>
        </is>
      </c>
      <c r="D194" t="inlineStr">
        <is>
          <t>A concise history of Israel from the earliest times to the destruction of the temple in A. D. 70. [Translated by James Barr.</t>
        </is>
      </c>
      <c r="F194" t="inlineStr">
        <is>
          <t>No</t>
        </is>
      </c>
      <c r="G194" t="inlineStr">
        <is>
          <t>1</t>
        </is>
      </c>
      <c r="H194" t="inlineStr">
        <is>
          <t>No</t>
        </is>
      </c>
      <c r="I194" t="inlineStr">
        <is>
          <t>No</t>
        </is>
      </c>
      <c r="J194" t="inlineStr">
        <is>
          <t>0</t>
        </is>
      </c>
      <c r="K194" t="inlineStr">
        <is>
          <t>Ehrlich, Ernst Ludwig.</t>
        </is>
      </c>
      <c r="L194" t="inlineStr">
        <is>
          <t>London] Darton, Longman &amp; Todd [1963, c1962]</t>
        </is>
      </c>
      <c r="M194" t="inlineStr">
        <is>
          <t>1963</t>
        </is>
      </c>
      <c r="O194" t="inlineStr">
        <is>
          <t>eng</t>
        </is>
      </c>
      <c r="P194" t="inlineStr">
        <is>
          <t xml:space="preserve">xx </t>
        </is>
      </c>
      <c r="R194" t="inlineStr">
        <is>
          <t xml:space="preserve">DS </t>
        </is>
      </c>
      <c r="S194" t="n">
        <v>3</v>
      </c>
      <c r="T194" t="n">
        <v>3</v>
      </c>
      <c r="U194" t="inlineStr">
        <is>
          <t>1999-01-19</t>
        </is>
      </c>
      <c r="V194" t="inlineStr">
        <is>
          <t>1999-01-19</t>
        </is>
      </c>
      <c r="W194" t="inlineStr">
        <is>
          <t>1997-02-25</t>
        </is>
      </c>
      <c r="X194" t="inlineStr">
        <is>
          <t>1997-02-25</t>
        </is>
      </c>
      <c r="Y194" t="n">
        <v>144</v>
      </c>
      <c r="Z194" t="n">
        <v>89</v>
      </c>
      <c r="AA194" t="n">
        <v>90</v>
      </c>
      <c r="AB194" t="n">
        <v>1</v>
      </c>
      <c r="AC194" t="n">
        <v>1</v>
      </c>
      <c r="AD194" t="n">
        <v>6</v>
      </c>
      <c r="AE194" t="n">
        <v>6</v>
      </c>
      <c r="AF194" t="n">
        <v>2</v>
      </c>
      <c r="AG194" t="n">
        <v>2</v>
      </c>
      <c r="AH194" t="n">
        <v>2</v>
      </c>
      <c r="AI194" t="n">
        <v>2</v>
      </c>
      <c r="AJ194" t="n">
        <v>4</v>
      </c>
      <c r="AK194" t="n">
        <v>4</v>
      </c>
      <c r="AL194" t="n">
        <v>0</v>
      </c>
      <c r="AM194" t="n">
        <v>0</v>
      </c>
      <c r="AN194" t="n">
        <v>0</v>
      </c>
      <c r="AO194" t="n">
        <v>0</v>
      </c>
      <c r="AP194" t="inlineStr">
        <is>
          <t>No</t>
        </is>
      </c>
      <c r="AQ194" t="inlineStr">
        <is>
          <t>No</t>
        </is>
      </c>
      <c r="AS194">
        <f>HYPERLINK("https://creighton-primo.hosted.exlibrisgroup.com/primo-explore/search?tab=default_tab&amp;search_scope=EVERYTHING&amp;vid=01CRU&amp;lang=en_US&amp;offset=0&amp;query=any,contains,991004467659702656","Catalog Record")</f>
        <v/>
      </c>
      <c r="AT194">
        <f>HYPERLINK("http://www.worldcat.org/oclc/11674035","WorldCat Record")</f>
        <v/>
      </c>
      <c r="AU194" t="inlineStr">
        <is>
          <t>2556881455:eng</t>
        </is>
      </c>
      <c r="AV194" t="inlineStr">
        <is>
          <t>11674035</t>
        </is>
      </c>
      <c r="AW194" t="inlineStr">
        <is>
          <t>991004467659702656</t>
        </is>
      </c>
      <c r="AX194" t="inlineStr">
        <is>
          <t>991004467659702656</t>
        </is>
      </c>
      <c r="AY194" t="inlineStr">
        <is>
          <t>2262172220002656</t>
        </is>
      </c>
      <c r="AZ194" t="inlineStr">
        <is>
          <t>BOOK</t>
        </is>
      </c>
      <c r="BC194" t="inlineStr">
        <is>
          <t>32285002461431</t>
        </is>
      </c>
      <c r="BD194" t="inlineStr">
        <is>
          <t>893247609</t>
        </is>
      </c>
    </row>
    <row r="195">
      <c r="A195" t="inlineStr">
        <is>
          <t>No</t>
        </is>
      </c>
      <c r="B195" t="inlineStr">
        <is>
          <t>DS116 .J67 1981</t>
        </is>
      </c>
      <c r="C195" t="inlineStr">
        <is>
          <t>0                      DS 0116000J  67          1981</t>
        </is>
      </c>
      <c r="D195" t="inlineStr">
        <is>
          <t>Flavius Josèphe : un témoin juif de la Palestine au temps des Apôtres.</t>
        </is>
      </c>
      <c r="F195" t="inlineStr">
        <is>
          <t>No</t>
        </is>
      </c>
      <c r="G195" t="inlineStr">
        <is>
          <t>1</t>
        </is>
      </c>
      <c r="H195" t="inlineStr">
        <is>
          <t>No</t>
        </is>
      </c>
      <c r="I195" t="inlineStr">
        <is>
          <t>No</t>
        </is>
      </c>
      <c r="J195" t="inlineStr">
        <is>
          <t>0</t>
        </is>
      </c>
      <c r="L195" t="inlineStr">
        <is>
          <t>Paris : Éditions du Cerf, 1981.</t>
        </is>
      </c>
      <c r="M195" t="inlineStr">
        <is>
          <t>1981</t>
        </is>
      </c>
      <c r="O195" t="inlineStr">
        <is>
          <t>fre</t>
        </is>
      </c>
      <c r="P195" t="inlineStr">
        <is>
          <t xml:space="preserve">fr </t>
        </is>
      </c>
      <c r="Q195" t="inlineStr">
        <is>
          <t>Cahiers evangile, 0222-9706 ; 36</t>
        </is>
      </c>
      <c r="R195" t="inlineStr">
        <is>
          <t xml:space="preserve">DS </t>
        </is>
      </c>
      <c r="S195" t="n">
        <v>3</v>
      </c>
      <c r="T195" t="n">
        <v>3</v>
      </c>
      <c r="U195" t="inlineStr">
        <is>
          <t>2005-02-13</t>
        </is>
      </c>
      <c r="V195" t="inlineStr">
        <is>
          <t>2005-02-13</t>
        </is>
      </c>
      <c r="W195" t="inlineStr">
        <is>
          <t>1990-09-28</t>
        </is>
      </c>
      <c r="X195" t="inlineStr">
        <is>
          <t>1990-09-28</t>
        </is>
      </c>
      <c r="Y195" t="n">
        <v>5</v>
      </c>
      <c r="Z195" t="n">
        <v>3</v>
      </c>
      <c r="AA195" t="n">
        <v>3</v>
      </c>
      <c r="AB195" t="n">
        <v>1</v>
      </c>
      <c r="AC195" t="n">
        <v>1</v>
      </c>
      <c r="AD195" t="n">
        <v>0</v>
      </c>
      <c r="AE195" t="n">
        <v>0</v>
      </c>
      <c r="AF195" t="n">
        <v>0</v>
      </c>
      <c r="AG195" t="n">
        <v>0</v>
      </c>
      <c r="AH195" t="n">
        <v>0</v>
      </c>
      <c r="AI195" t="n">
        <v>0</v>
      </c>
      <c r="AJ195" t="n">
        <v>0</v>
      </c>
      <c r="AK195" t="n">
        <v>0</v>
      </c>
      <c r="AL195" t="n">
        <v>0</v>
      </c>
      <c r="AM195" t="n">
        <v>0</v>
      </c>
      <c r="AN195" t="n">
        <v>0</v>
      </c>
      <c r="AO195" t="n">
        <v>0</v>
      </c>
      <c r="AP195" t="inlineStr">
        <is>
          <t>No</t>
        </is>
      </c>
      <c r="AQ195" t="inlineStr">
        <is>
          <t>No</t>
        </is>
      </c>
      <c r="AS195">
        <f>HYPERLINK("https://creighton-primo.hosted.exlibrisgroup.com/primo-explore/search?tab=default_tab&amp;search_scope=EVERYTHING&amp;vid=01CRU&amp;lang=en_US&amp;offset=0&amp;query=any,contains,991000830369702656","Catalog Record")</f>
        <v/>
      </c>
      <c r="AT195">
        <f>HYPERLINK("http://www.worldcat.org/oclc/13449952","WorldCat Record")</f>
        <v/>
      </c>
      <c r="AU195" t="inlineStr">
        <is>
          <t>5609024736:fre</t>
        </is>
      </c>
      <c r="AV195" t="inlineStr">
        <is>
          <t>13449952</t>
        </is>
      </c>
      <c r="AW195" t="inlineStr">
        <is>
          <t>991000830369702656</t>
        </is>
      </c>
      <c r="AX195" t="inlineStr">
        <is>
          <t>991000830369702656</t>
        </is>
      </c>
      <c r="AY195" t="inlineStr">
        <is>
          <t>2255938070002656</t>
        </is>
      </c>
      <c r="AZ195" t="inlineStr">
        <is>
          <t>BOOK</t>
        </is>
      </c>
      <c r="BC195" t="inlineStr">
        <is>
          <t>32285000293372</t>
        </is>
      </c>
      <c r="BD195" t="inlineStr">
        <is>
          <t>893614529</t>
        </is>
      </c>
    </row>
    <row r="196">
      <c r="A196" t="inlineStr">
        <is>
          <t>No</t>
        </is>
      </c>
      <c r="B196" t="inlineStr">
        <is>
          <t>DS117 .C26 1994</t>
        </is>
      </c>
      <c r="C196" t="inlineStr">
        <is>
          <t>0                      DS 0117000C  26          1994</t>
        </is>
      </c>
      <c r="D196" t="inlineStr">
        <is>
          <t>The sacred chain : the history of the Jews / Norman F. Cantor.</t>
        </is>
      </c>
      <c r="F196" t="inlineStr">
        <is>
          <t>No</t>
        </is>
      </c>
      <c r="G196" t="inlineStr">
        <is>
          <t>1</t>
        </is>
      </c>
      <c r="H196" t="inlineStr">
        <is>
          <t>No</t>
        </is>
      </c>
      <c r="I196" t="inlineStr">
        <is>
          <t>No</t>
        </is>
      </c>
      <c r="J196" t="inlineStr">
        <is>
          <t>0</t>
        </is>
      </c>
      <c r="K196" t="inlineStr">
        <is>
          <t>Cantor, Norman F.</t>
        </is>
      </c>
      <c r="L196" t="inlineStr">
        <is>
          <t>New York, NY : HarperCollins, c1994.</t>
        </is>
      </c>
      <c r="M196" t="inlineStr">
        <is>
          <t>1994</t>
        </is>
      </c>
      <c r="N196" t="inlineStr">
        <is>
          <t>1st ed.</t>
        </is>
      </c>
      <c r="O196" t="inlineStr">
        <is>
          <t>eng</t>
        </is>
      </c>
      <c r="P196" t="inlineStr">
        <is>
          <t>nyu</t>
        </is>
      </c>
      <c r="R196" t="inlineStr">
        <is>
          <t xml:space="preserve">DS </t>
        </is>
      </c>
      <c r="S196" t="n">
        <v>2</v>
      </c>
      <c r="T196" t="n">
        <v>2</v>
      </c>
      <c r="U196" t="inlineStr">
        <is>
          <t>1996-04-11</t>
        </is>
      </c>
      <c r="V196" t="inlineStr">
        <is>
          <t>1996-04-11</t>
        </is>
      </c>
      <c r="W196" t="inlineStr">
        <is>
          <t>1995-01-09</t>
        </is>
      </c>
      <c r="X196" t="inlineStr">
        <is>
          <t>1995-01-09</t>
        </is>
      </c>
      <c r="Y196" t="n">
        <v>776</v>
      </c>
      <c r="Z196" t="n">
        <v>713</v>
      </c>
      <c r="AA196" t="n">
        <v>964</v>
      </c>
      <c r="AB196" t="n">
        <v>7</v>
      </c>
      <c r="AC196" t="n">
        <v>11</v>
      </c>
      <c r="AD196" t="n">
        <v>27</v>
      </c>
      <c r="AE196" t="n">
        <v>34</v>
      </c>
      <c r="AF196" t="n">
        <v>6</v>
      </c>
      <c r="AG196" t="n">
        <v>8</v>
      </c>
      <c r="AH196" t="n">
        <v>6</v>
      </c>
      <c r="AI196" t="n">
        <v>8</v>
      </c>
      <c r="AJ196" t="n">
        <v>16</v>
      </c>
      <c r="AK196" t="n">
        <v>17</v>
      </c>
      <c r="AL196" t="n">
        <v>6</v>
      </c>
      <c r="AM196" t="n">
        <v>9</v>
      </c>
      <c r="AN196" t="n">
        <v>0</v>
      </c>
      <c r="AO196" t="n">
        <v>0</v>
      </c>
      <c r="AP196" t="inlineStr">
        <is>
          <t>No</t>
        </is>
      </c>
      <c r="AQ196" t="inlineStr">
        <is>
          <t>Yes</t>
        </is>
      </c>
      <c r="AR196">
        <f>HYPERLINK("http://catalog.hathitrust.org/Record/002905725","HathiTrust Record")</f>
        <v/>
      </c>
      <c r="AS196">
        <f>HYPERLINK("https://creighton-primo.hosted.exlibrisgroup.com/primo-explore/search?tab=default_tab&amp;search_scope=EVERYTHING&amp;vid=01CRU&amp;lang=en_US&amp;offset=0&amp;query=any,contains,991002352179702656","Catalog Record")</f>
        <v/>
      </c>
      <c r="AT196">
        <f>HYPERLINK("http://www.worldcat.org/oclc/30624376","WorldCat Record")</f>
        <v/>
      </c>
      <c r="AU196" t="inlineStr">
        <is>
          <t>7028007:eng</t>
        </is>
      </c>
      <c r="AV196" t="inlineStr">
        <is>
          <t>30624376</t>
        </is>
      </c>
      <c r="AW196" t="inlineStr">
        <is>
          <t>991002352179702656</t>
        </is>
      </c>
      <c r="AX196" t="inlineStr">
        <is>
          <t>991002352179702656</t>
        </is>
      </c>
      <c r="AY196" t="inlineStr">
        <is>
          <t>2260222670002656</t>
        </is>
      </c>
      <c r="AZ196" t="inlineStr">
        <is>
          <t>BOOK</t>
        </is>
      </c>
      <c r="BB196" t="inlineStr">
        <is>
          <t>9780060167462</t>
        </is>
      </c>
      <c r="BC196" t="inlineStr">
        <is>
          <t>32285001991453</t>
        </is>
      </c>
      <c r="BD196" t="inlineStr">
        <is>
          <t>893529862</t>
        </is>
      </c>
    </row>
    <row r="197">
      <c r="A197" t="inlineStr">
        <is>
          <t>No</t>
        </is>
      </c>
      <c r="B197" t="inlineStr">
        <is>
          <t>DS117 .C2813 1985</t>
        </is>
      </c>
      <c r="C197" t="inlineStr">
        <is>
          <t>0                      DS 0117000C  2813        1985</t>
        </is>
      </c>
      <c r="D197" t="inlineStr">
        <is>
          <t>The history of Israel and Judah in Old Testament times / by Francois Castel ; translated by Matthew J. O'Connell.</t>
        </is>
      </c>
      <c r="F197" t="inlineStr">
        <is>
          <t>No</t>
        </is>
      </c>
      <c r="G197" t="inlineStr">
        <is>
          <t>1</t>
        </is>
      </c>
      <c r="H197" t="inlineStr">
        <is>
          <t>No</t>
        </is>
      </c>
      <c r="I197" t="inlineStr">
        <is>
          <t>No</t>
        </is>
      </c>
      <c r="J197" t="inlineStr">
        <is>
          <t>0</t>
        </is>
      </c>
      <c r="K197" t="inlineStr">
        <is>
          <t>Castel, François.</t>
        </is>
      </c>
      <c r="L197" t="inlineStr">
        <is>
          <t>New York : Paulist Press, c1985.</t>
        </is>
      </c>
      <c r="M197" t="inlineStr">
        <is>
          <t>1985</t>
        </is>
      </c>
      <c r="O197" t="inlineStr">
        <is>
          <t>eng</t>
        </is>
      </c>
      <c r="P197" t="inlineStr">
        <is>
          <t>nyu</t>
        </is>
      </c>
      <c r="R197" t="inlineStr">
        <is>
          <t xml:space="preserve">DS </t>
        </is>
      </c>
      <c r="S197" t="n">
        <v>18</v>
      </c>
      <c r="T197" t="n">
        <v>18</v>
      </c>
      <c r="U197" t="inlineStr">
        <is>
          <t>2006-11-26</t>
        </is>
      </c>
      <c r="V197" t="inlineStr">
        <is>
          <t>2006-11-26</t>
        </is>
      </c>
      <c r="W197" t="inlineStr">
        <is>
          <t>1990-09-28</t>
        </is>
      </c>
      <c r="X197" t="inlineStr">
        <is>
          <t>1990-09-28</t>
        </is>
      </c>
      <c r="Y197" t="n">
        <v>227</v>
      </c>
      <c r="Z197" t="n">
        <v>194</v>
      </c>
      <c r="AA197" t="n">
        <v>199</v>
      </c>
      <c r="AB197" t="n">
        <v>2</v>
      </c>
      <c r="AC197" t="n">
        <v>2</v>
      </c>
      <c r="AD197" t="n">
        <v>15</v>
      </c>
      <c r="AE197" t="n">
        <v>15</v>
      </c>
      <c r="AF197" t="n">
        <v>4</v>
      </c>
      <c r="AG197" t="n">
        <v>4</v>
      </c>
      <c r="AH197" t="n">
        <v>4</v>
      </c>
      <c r="AI197" t="n">
        <v>4</v>
      </c>
      <c r="AJ197" t="n">
        <v>9</v>
      </c>
      <c r="AK197" t="n">
        <v>9</v>
      </c>
      <c r="AL197" t="n">
        <v>1</v>
      </c>
      <c r="AM197" t="n">
        <v>1</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HYPERLINK("https://creighton-primo.hosted.exlibrisgroup.com/primo-explore/search?tab=default_tab&amp;search_scope=EVERYTHING&amp;vid=01CRU&amp;lang=en_US&amp;offset=0&amp;query=any,contains,991000772669702656","Catalog Record")</f>
        <v/>
      </c>
      <c r="AT197">
        <f>HYPERLINK("http://www.worldcat.org/oclc/13038489","WorldCat Record")</f>
        <v/>
      </c>
      <c r="AU197" t="inlineStr">
        <is>
          <t>1806305664:eng</t>
        </is>
      </c>
      <c r="AV197" t="inlineStr">
        <is>
          <t>13038489</t>
        </is>
      </c>
      <c r="AW197" t="inlineStr">
        <is>
          <t>991000772669702656</t>
        </is>
      </c>
      <c r="AX197" t="inlineStr">
        <is>
          <t>991000772669702656</t>
        </is>
      </c>
      <c r="AY197" t="inlineStr">
        <is>
          <t>2260830130002656</t>
        </is>
      </c>
      <c r="AZ197" t="inlineStr">
        <is>
          <t>BOOK</t>
        </is>
      </c>
      <c r="BB197" t="inlineStr">
        <is>
          <t>9780809127016</t>
        </is>
      </c>
      <c r="BC197" t="inlineStr">
        <is>
          <t>32285000293380</t>
        </is>
      </c>
      <c r="BD197" t="inlineStr">
        <is>
          <t>893620775</t>
        </is>
      </c>
    </row>
    <row r="198">
      <c r="A198" t="inlineStr">
        <is>
          <t>No</t>
        </is>
      </c>
      <c r="B198" t="inlineStr">
        <is>
          <t>DS117 .F52</t>
        </is>
      </c>
      <c r="C198" t="inlineStr">
        <is>
          <t>0                      DS 0117000F  52</t>
        </is>
      </c>
      <c r="D198" t="inlineStr">
        <is>
          <t>Discovering Israel : an archaeological guide to the Holy Land / by Jack Finegan.</t>
        </is>
      </c>
      <c r="F198" t="inlineStr">
        <is>
          <t>No</t>
        </is>
      </c>
      <c r="G198" t="inlineStr">
        <is>
          <t>1</t>
        </is>
      </c>
      <c r="H198" t="inlineStr">
        <is>
          <t>No</t>
        </is>
      </c>
      <c r="I198" t="inlineStr">
        <is>
          <t>No</t>
        </is>
      </c>
      <c r="J198" t="inlineStr">
        <is>
          <t>0</t>
        </is>
      </c>
      <c r="K198" t="inlineStr">
        <is>
          <t>Finegan, Jack, 1908-2000.</t>
        </is>
      </c>
      <c r="L198" t="inlineStr">
        <is>
          <t>Grand Rapids : Eerdmans, c1981.</t>
        </is>
      </c>
      <c r="M198" t="inlineStr">
        <is>
          <t>1981</t>
        </is>
      </c>
      <c r="O198" t="inlineStr">
        <is>
          <t>eng</t>
        </is>
      </c>
      <c r="P198" t="inlineStr">
        <is>
          <t>miu</t>
        </is>
      </c>
      <c r="R198" t="inlineStr">
        <is>
          <t xml:space="preserve">DS </t>
        </is>
      </c>
      <c r="S198" t="n">
        <v>4</v>
      </c>
      <c r="T198" t="n">
        <v>4</v>
      </c>
      <c r="U198" t="inlineStr">
        <is>
          <t>2002-11-23</t>
        </is>
      </c>
      <c r="V198" t="inlineStr">
        <is>
          <t>2002-11-23</t>
        </is>
      </c>
      <c r="W198" t="inlineStr">
        <is>
          <t>1990-04-02</t>
        </is>
      </c>
      <c r="X198" t="inlineStr">
        <is>
          <t>1990-04-02</t>
        </is>
      </c>
      <c r="Y198" t="n">
        <v>309</v>
      </c>
      <c r="Z198" t="n">
        <v>270</v>
      </c>
      <c r="AA198" t="n">
        <v>276</v>
      </c>
      <c r="AB198" t="n">
        <v>1</v>
      </c>
      <c r="AC198" t="n">
        <v>1</v>
      </c>
      <c r="AD198" t="n">
        <v>13</v>
      </c>
      <c r="AE198" t="n">
        <v>13</v>
      </c>
      <c r="AF198" t="n">
        <v>5</v>
      </c>
      <c r="AG198" t="n">
        <v>5</v>
      </c>
      <c r="AH198" t="n">
        <v>5</v>
      </c>
      <c r="AI198" t="n">
        <v>5</v>
      </c>
      <c r="AJ198" t="n">
        <v>6</v>
      </c>
      <c r="AK198" t="n">
        <v>6</v>
      </c>
      <c r="AL198" t="n">
        <v>0</v>
      </c>
      <c r="AM198" t="n">
        <v>0</v>
      </c>
      <c r="AN198" t="n">
        <v>0</v>
      </c>
      <c r="AO198" t="n">
        <v>0</v>
      </c>
      <c r="AP198" t="inlineStr">
        <is>
          <t>No</t>
        </is>
      </c>
      <c r="AQ198" t="inlineStr">
        <is>
          <t>Yes</t>
        </is>
      </c>
      <c r="AR198">
        <f>HYPERLINK("http://catalog.hathitrust.org/Record/000763402","HathiTrust Record")</f>
        <v/>
      </c>
      <c r="AS198">
        <f>HYPERLINK("https://creighton-primo.hosted.exlibrisgroup.com/primo-explore/search?tab=default_tab&amp;search_scope=EVERYTHING&amp;vid=01CRU&amp;lang=en_US&amp;offset=0&amp;query=any,contains,991005079859702656","Catalog Record")</f>
        <v/>
      </c>
      <c r="AT198">
        <f>HYPERLINK("http://www.worldcat.org/oclc/7170385","WorldCat Record")</f>
        <v/>
      </c>
      <c r="AU198" t="inlineStr">
        <is>
          <t>365434499:eng</t>
        </is>
      </c>
      <c r="AV198" t="inlineStr">
        <is>
          <t>7170385</t>
        </is>
      </c>
      <c r="AW198" t="inlineStr">
        <is>
          <t>991005079859702656</t>
        </is>
      </c>
      <c r="AX198" t="inlineStr">
        <is>
          <t>991005079859702656</t>
        </is>
      </c>
      <c r="AY198" t="inlineStr">
        <is>
          <t>2256632230002656</t>
        </is>
      </c>
      <c r="AZ198" t="inlineStr">
        <is>
          <t>BOOK</t>
        </is>
      </c>
      <c r="BB198" t="inlineStr">
        <is>
          <t>9780802818690</t>
        </is>
      </c>
      <c r="BC198" t="inlineStr">
        <is>
          <t>32285000107853</t>
        </is>
      </c>
      <c r="BD198" t="inlineStr">
        <is>
          <t>893344611</t>
        </is>
      </c>
    </row>
    <row r="199">
      <c r="A199" t="inlineStr">
        <is>
          <t>No</t>
        </is>
      </c>
      <c r="B199" t="inlineStr">
        <is>
          <t>DS117 .F53 1988</t>
        </is>
      </c>
      <c r="C199" t="inlineStr">
        <is>
          <t>0                      DS 0117000F  53          1988</t>
        </is>
      </c>
      <c r="D199" t="inlineStr">
        <is>
          <t>David's social drama : a hologram of Israel's Early Iron Age / James W. Flanagan.</t>
        </is>
      </c>
      <c r="F199" t="inlineStr">
        <is>
          <t>No</t>
        </is>
      </c>
      <c r="G199" t="inlineStr">
        <is>
          <t>1</t>
        </is>
      </c>
      <c r="H199" t="inlineStr">
        <is>
          <t>No</t>
        </is>
      </c>
      <c r="I199" t="inlineStr">
        <is>
          <t>No</t>
        </is>
      </c>
      <c r="J199" t="inlineStr">
        <is>
          <t>0</t>
        </is>
      </c>
      <c r="K199" t="inlineStr">
        <is>
          <t>Flanagan, James W.</t>
        </is>
      </c>
      <c r="L199" t="inlineStr">
        <is>
          <t>Sheffield : Almond, 1988.</t>
        </is>
      </c>
      <c r="M199" t="inlineStr">
        <is>
          <t>1988</t>
        </is>
      </c>
      <c r="O199" t="inlineStr">
        <is>
          <t>eng</t>
        </is>
      </c>
      <c r="P199" t="inlineStr">
        <is>
          <t>enk</t>
        </is>
      </c>
      <c r="Q199" t="inlineStr">
        <is>
          <t>Journal for the study of the Old Testament. Supplement series, 0309-0787 ; 73</t>
        </is>
      </c>
      <c r="R199" t="inlineStr">
        <is>
          <t xml:space="preserve">DS </t>
        </is>
      </c>
      <c r="S199" t="n">
        <v>20</v>
      </c>
      <c r="T199" t="n">
        <v>20</v>
      </c>
      <c r="U199" t="inlineStr">
        <is>
          <t>1999-02-28</t>
        </is>
      </c>
      <c r="V199" t="inlineStr">
        <is>
          <t>1999-02-28</t>
        </is>
      </c>
      <c r="W199" t="inlineStr">
        <is>
          <t>1990-04-17</t>
        </is>
      </c>
      <c r="X199" t="inlineStr">
        <is>
          <t>1990-04-17</t>
        </is>
      </c>
      <c r="Y199" t="n">
        <v>290</v>
      </c>
      <c r="Z199" t="n">
        <v>194</v>
      </c>
      <c r="AA199" t="n">
        <v>195</v>
      </c>
      <c r="AB199" t="n">
        <v>2</v>
      </c>
      <c r="AC199" t="n">
        <v>2</v>
      </c>
      <c r="AD199" t="n">
        <v>10</v>
      </c>
      <c r="AE199" t="n">
        <v>10</v>
      </c>
      <c r="AF199" t="n">
        <v>2</v>
      </c>
      <c r="AG199" t="n">
        <v>2</v>
      </c>
      <c r="AH199" t="n">
        <v>4</v>
      </c>
      <c r="AI199" t="n">
        <v>4</v>
      </c>
      <c r="AJ199" t="n">
        <v>4</v>
      </c>
      <c r="AK199" t="n">
        <v>4</v>
      </c>
      <c r="AL199" t="n">
        <v>1</v>
      </c>
      <c r="AM199" t="n">
        <v>1</v>
      </c>
      <c r="AN199" t="n">
        <v>0</v>
      </c>
      <c r="AO199" t="n">
        <v>0</v>
      </c>
      <c r="AP199" t="inlineStr">
        <is>
          <t>No</t>
        </is>
      </c>
      <c r="AQ199" t="inlineStr">
        <is>
          <t>Yes</t>
        </is>
      </c>
      <c r="AR199">
        <f>HYPERLINK("http://catalog.hathitrust.org/Record/002164452","HathiTrust Record")</f>
        <v/>
      </c>
      <c r="AS199">
        <f>HYPERLINK("https://creighton-primo.hosted.exlibrisgroup.com/primo-explore/search?tab=default_tab&amp;search_scope=EVERYTHING&amp;vid=01CRU&amp;lang=en_US&amp;offset=0&amp;query=any,contains,991001399459702656","Catalog Record")</f>
        <v/>
      </c>
      <c r="AT199">
        <f>HYPERLINK("http://www.worldcat.org/oclc/18815413","WorldCat Record")</f>
        <v/>
      </c>
      <c r="AU199" t="inlineStr">
        <is>
          <t>5090468231:eng</t>
        </is>
      </c>
      <c r="AV199" t="inlineStr">
        <is>
          <t>18815413</t>
        </is>
      </c>
      <c r="AW199" t="inlineStr">
        <is>
          <t>991001399459702656</t>
        </is>
      </c>
      <c r="AX199" t="inlineStr">
        <is>
          <t>991001399459702656</t>
        </is>
      </c>
      <c r="AY199" t="inlineStr">
        <is>
          <t>2265570990002656</t>
        </is>
      </c>
      <c r="AZ199" t="inlineStr">
        <is>
          <t>BOOK</t>
        </is>
      </c>
      <c r="BB199" t="inlineStr">
        <is>
          <t>9781850752028</t>
        </is>
      </c>
      <c r="BC199" t="inlineStr">
        <is>
          <t>32285000102243</t>
        </is>
      </c>
      <c r="BD199" t="inlineStr">
        <is>
          <t>893684294</t>
        </is>
      </c>
    </row>
    <row r="200">
      <c r="A200" t="inlineStr">
        <is>
          <t>No</t>
        </is>
      </c>
      <c r="B200" t="inlineStr">
        <is>
          <t>DS117 .I55 1997</t>
        </is>
      </c>
      <c r="C200" t="inlineStr">
        <is>
          <t>0                      DS 0117000I  55          1997</t>
        </is>
      </c>
      <c r="D200" t="inlineStr">
        <is>
          <t>The illustrated history of the Jewish people / edited by Nicholas De Lange ; with essays by Jane S. Gerber ... [et al.].</t>
        </is>
      </c>
      <c r="F200" t="inlineStr">
        <is>
          <t>No</t>
        </is>
      </c>
      <c r="G200" t="inlineStr">
        <is>
          <t>1</t>
        </is>
      </c>
      <c r="H200" t="inlineStr">
        <is>
          <t>No</t>
        </is>
      </c>
      <c r="I200" t="inlineStr">
        <is>
          <t>No</t>
        </is>
      </c>
      <c r="J200" t="inlineStr">
        <is>
          <t>0</t>
        </is>
      </c>
      <c r="L200" t="inlineStr">
        <is>
          <t>New York : Harcourt Brace, c1997.</t>
        </is>
      </c>
      <c r="M200" t="inlineStr">
        <is>
          <t>1997</t>
        </is>
      </c>
      <c r="O200" t="inlineStr">
        <is>
          <t>eng</t>
        </is>
      </c>
      <c r="P200" t="inlineStr">
        <is>
          <t>nyu</t>
        </is>
      </c>
      <c r="R200" t="inlineStr">
        <is>
          <t xml:space="preserve">DS </t>
        </is>
      </c>
      <c r="S200" t="n">
        <v>1</v>
      </c>
      <c r="T200" t="n">
        <v>1</v>
      </c>
      <c r="U200" t="inlineStr">
        <is>
          <t>2008-06-10</t>
        </is>
      </c>
      <c r="V200" t="inlineStr">
        <is>
          <t>2008-06-10</t>
        </is>
      </c>
      <c r="W200" t="inlineStr">
        <is>
          <t>2008-06-10</t>
        </is>
      </c>
      <c r="X200" t="inlineStr">
        <is>
          <t>2008-06-10</t>
        </is>
      </c>
      <c r="Y200" t="n">
        <v>776</v>
      </c>
      <c r="Z200" t="n">
        <v>742</v>
      </c>
      <c r="AA200" t="n">
        <v>819</v>
      </c>
      <c r="AB200" t="n">
        <v>5</v>
      </c>
      <c r="AC200" t="n">
        <v>5</v>
      </c>
      <c r="AD200" t="n">
        <v>20</v>
      </c>
      <c r="AE200" t="n">
        <v>21</v>
      </c>
      <c r="AF200" t="n">
        <v>8</v>
      </c>
      <c r="AG200" t="n">
        <v>8</v>
      </c>
      <c r="AH200" t="n">
        <v>3</v>
      </c>
      <c r="AI200" t="n">
        <v>4</v>
      </c>
      <c r="AJ200" t="n">
        <v>10</v>
      </c>
      <c r="AK200" t="n">
        <v>11</v>
      </c>
      <c r="AL200" t="n">
        <v>2</v>
      </c>
      <c r="AM200" t="n">
        <v>2</v>
      </c>
      <c r="AN200" t="n">
        <v>0</v>
      </c>
      <c r="AO200" t="n">
        <v>0</v>
      </c>
      <c r="AP200" t="inlineStr">
        <is>
          <t>No</t>
        </is>
      </c>
      <c r="AQ200" t="inlineStr">
        <is>
          <t>Yes</t>
        </is>
      </c>
      <c r="AR200">
        <f>HYPERLINK("http://catalog.hathitrust.org/Record/003954869","HathiTrust Record")</f>
        <v/>
      </c>
      <c r="AS200">
        <f>HYPERLINK("https://creighton-primo.hosted.exlibrisgroup.com/primo-explore/search?tab=default_tab&amp;search_scope=EVERYTHING&amp;vid=01CRU&amp;lang=en_US&amp;offset=0&amp;query=any,contains,991005233609702656","Catalog Record")</f>
        <v/>
      </c>
      <c r="AT200">
        <f>HYPERLINK("http://www.worldcat.org/oclc/37629838","WorldCat Record")</f>
        <v/>
      </c>
      <c r="AU200" t="inlineStr">
        <is>
          <t>57214963:eng</t>
        </is>
      </c>
      <c r="AV200" t="inlineStr">
        <is>
          <t>37629838</t>
        </is>
      </c>
      <c r="AW200" t="inlineStr">
        <is>
          <t>991005233609702656</t>
        </is>
      </c>
      <c r="AX200" t="inlineStr">
        <is>
          <t>991005233609702656</t>
        </is>
      </c>
      <c r="AY200" t="inlineStr">
        <is>
          <t>2258241090002656</t>
        </is>
      </c>
      <c r="AZ200" t="inlineStr">
        <is>
          <t>BOOK</t>
        </is>
      </c>
      <c r="BB200" t="inlineStr">
        <is>
          <t>9780151003020</t>
        </is>
      </c>
      <c r="BC200" t="inlineStr">
        <is>
          <t>32285005444707</t>
        </is>
      </c>
      <c r="BD200" t="inlineStr">
        <is>
          <t>893607053</t>
        </is>
      </c>
    </row>
    <row r="201">
      <c r="A201" t="inlineStr">
        <is>
          <t>No</t>
        </is>
      </c>
      <c r="B201" t="inlineStr">
        <is>
          <t>DS117 .J43</t>
        </is>
      </c>
      <c r="C201" t="inlineStr">
        <is>
          <t>0                      DS 0117000J  43</t>
        </is>
      </c>
      <c r="D201" t="inlineStr">
        <is>
          <t>The Jewish world : history and culture of the Jewish people / edited by Elie Kedourie ; texts by Elie Kedourie ... [et al.].</t>
        </is>
      </c>
      <c r="F201" t="inlineStr">
        <is>
          <t>No</t>
        </is>
      </c>
      <c r="G201" t="inlineStr">
        <is>
          <t>1</t>
        </is>
      </c>
      <c r="H201" t="inlineStr">
        <is>
          <t>No</t>
        </is>
      </c>
      <c r="I201" t="inlineStr">
        <is>
          <t>No</t>
        </is>
      </c>
      <c r="J201" t="inlineStr">
        <is>
          <t>0</t>
        </is>
      </c>
      <c r="L201" t="inlineStr">
        <is>
          <t>New York : H. N. Abrams, 1979.</t>
        </is>
      </c>
      <c r="M201" t="inlineStr">
        <is>
          <t>1979</t>
        </is>
      </c>
      <c r="O201" t="inlineStr">
        <is>
          <t>eng</t>
        </is>
      </c>
      <c r="P201" t="inlineStr">
        <is>
          <t>nyu</t>
        </is>
      </c>
      <c r="R201" t="inlineStr">
        <is>
          <t xml:space="preserve">DS </t>
        </is>
      </c>
      <c r="S201" t="n">
        <v>8</v>
      </c>
      <c r="T201" t="n">
        <v>8</v>
      </c>
      <c r="U201" t="inlineStr">
        <is>
          <t>2000-02-14</t>
        </is>
      </c>
      <c r="V201" t="inlineStr">
        <is>
          <t>2000-02-14</t>
        </is>
      </c>
      <c r="W201" t="inlineStr">
        <is>
          <t>1990-09-28</t>
        </is>
      </c>
      <c r="X201" t="inlineStr">
        <is>
          <t>1990-09-28</t>
        </is>
      </c>
      <c r="Y201" t="n">
        <v>796</v>
      </c>
      <c r="Z201" t="n">
        <v>740</v>
      </c>
      <c r="AA201" t="n">
        <v>825</v>
      </c>
      <c r="AB201" t="n">
        <v>5</v>
      </c>
      <c r="AC201" t="n">
        <v>5</v>
      </c>
      <c r="AD201" t="n">
        <v>24</v>
      </c>
      <c r="AE201" t="n">
        <v>26</v>
      </c>
      <c r="AF201" t="n">
        <v>14</v>
      </c>
      <c r="AG201" t="n">
        <v>15</v>
      </c>
      <c r="AH201" t="n">
        <v>5</v>
      </c>
      <c r="AI201" t="n">
        <v>6</v>
      </c>
      <c r="AJ201" t="n">
        <v>9</v>
      </c>
      <c r="AK201" t="n">
        <v>11</v>
      </c>
      <c r="AL201" t="n">
        <v>0</v>
      </c>
      <c r="AM201" t="n">
        <v>0</v>
      </c>
      <c r="AN201" t="n">
        <v>0</v>
      </c>
      <c r="AO201" t="n">
        <v>0</v>
      </c>
      <c r="AP201" t="inlineStr">
        <is>
          <t>No</t>
        </is>
      </c>
      <c r="AQ201" t="inlineStr">
        <is>
          <t>Yes</t>
        </is>
      </c>
      <c r="AR201">
        <f>HYPERLINK("http://catalog.hathitrust.org/Record/000685721","HathiTrust Record")</f>
        <v/>
      </c>
      <c r="AS201">
        <f>HYPERLINK("https://creighton-primo.hosted.exlibrisgroup.com/primo-explore/search?tab=default_tab&amp;search_scope=EVERYTHING&amp;vid=01CRU&amp;lang=en_US&amp;offset=0&amp;query=any,contains,991004677379702656","Catalog Record")</f>
        <v/>
      </c>
      <c r="AT201">
        <f>HYPERLINK("http://www.worldcat.org/oclc/4549408","WorldCat Record")</f>
        <v/>
      </c>
      <c r="AU201" t="inlineStr">
        <is>
          <t>8868147036:eng</t>
        </is>
      </c>
      <c r="AV201" t="inlineStr">
        <is>
          <t>4549408</t>
        </is>
      </c>
      <c r="AW201" t="inlineStr">
        <is>
          <t>991004677379702656</t>
        </is>
      </c>
      <c r="AX201" t="inlineStr">
        <is>
          <t>991004677379702656</t>
        </is>
      </c>
      <c r="AY201" t="inlineStr">
        <is>
          <t>2272579810002656</t>
        </is>
      </c>
      <c r="AZ201" t="inlineStr">
        <is>
          <t>BOOK</t>
        </is>
      </c>
      <c r="BB201" t="inlineStr">
        <is>
          <t>9780810911543</t>
        </is>
      </c>
      <c r="BC201" t="inlineStr">
        <is>
          <t>32285000293406</t>
        </is>
      </c>
      <c r="BD201" t="inlineStr">
        <is>
          <t>893700530</t>
        </is>
      </c>
    </row>
    <row r="202">
      <c r="A202" t="inlineStr">
        <is>
          <t>No</t>
        </is>
      </c>
      <c r="B202" t="inlineStr">
        <is>
          <t>DS117 .J54 1987</t>
        </is>
      </c>
      <c r="C202" t="inlineStr">
        <is>
          <t>0                      DS 0117000J  54          1987</t>
        </is>
      </c>
      <c r="D202" t="inlineStr">
        <is>
          <t>A history of the Jews / Paul Johnson.</t>
        </is>
      </c>
      <c r="F202" t="inlineStr">
        <is>
          <t>No</t>
        </is>
      </c>
      <c r="G202" t="inlineStr">
        <is>
          <t>1</t>
        </is>
      </c>
      <c r="H202" t="inlineStr">
        <is>
          <t>No</t>
        </is>
      </c>
      <c r="I202" t="inlineStr">
        <is>
          <t>No</t>
        </is>
      </c>
      <c r="J202" t="inlineStr">
        <is>
          <t>0</t>
        </is>
      </c>
      <c r="K202" t="inlineStr">
        <is>
          <t>Johnson, Paul, 1928-</t>
        </is>
      </c>
      <c r="L202" t="inlineStr">
        <is>
          <t>New York : Harper &amp; Row, c1987.</t>
        </is>
      </c>
      <c r="M202" t="inlineStr">
        <is>
          <t>1987</t>
        </is>
      </c>
      <c r="N202" t="inlineStr">
        <is>
          <t>1st U.S. ed.</t>
        </is>
      </c>
      <c r="O202" t="inlineStr">
        <is>
          <t>eng</t>
        </is>
      </c>
      <c r="P202" t="inlineStr">
        <is>
          <t>nyu</t>
        </is>
      </c>
      <c r="R202" t="inlineStr">
        <is>
          <t xml:space="preserve">DS </t>
        </is>
      </c>
      <c r="S202" t="n">
        <v>4</v>
      </c>
      <c r="T202" t="n">
        <v>4</v>
      </c>
      <c r="U202" t="inlineStr">
        <is>
          <t>2001-03-02</t>
        </is>
      </c>
      <c r="V202" t="inlineStr">
        <is>
          <t>2001-03-02</t>
        </is>
      </c>
      <c r="W202" t="inlineStr">
        <is>
          <t>1990-08-16</t>
        </is>
      </c>
      <c r="X202" t="inlineStr">
        <is>
          <t>1990-08-16</t>
        </is>
      </c>
      <c r="Y202" t="n">
        <v>1874</v>
      </c>
      <c r="Z202" t="n">
        <v>1750</v>
      </c>
      <c r="AA202" t="n">
        <v>2122</v>
      </c>
      <c r="AB202" t="n">
        <v>7</v>
      </c>
      <c r="AC202" t="n">
        <v>9</v>
      </c>
      <c r="AD202" t="n">
        <v>44</v>
      </c>
      <c r="AE202" t="n">
        <v>49</v>
      </c>
      <c r="AF202" t="n">
        <v>20</v>
      </c>
      <c r="AG202" t="n">
        <v>22</v>
      </c>
      <c r="AH202" t="n">
        <v>9</v>
      </c>
      <c r="AI202" t="n">
        <v>9</v>
      </c>
      <c r="AJ202" t="n">
        <v>22</v>
      </c>
      <c r="AK202" t="n">
        <v>25</v>
      </c>
      <c r="AL202" t="n">
        <v>4</v>
      </c>
      <c r="AM202" t="n">
        <v>5</v>
      </c>
      <c r="AN202" t="n">
        <v>0</v>
      </c>
      <c r="AO202" t="n">
        <v>0</v>
      </c>
      <c r="AP202" t="inlineStr">
        <is>
          <t>No</t>
        </is>
      </c>
      <c r="AQ202" t="inlineStr">
        <is>
          <t>No</t>
        </is>
      </c>
      <c r="AS202">
        <f>HYPERLINK("https://creighton-primo.hosted.exlibrisgroup.com/primo-explore/search?tab=default_tab&amp;search_scope=EVERYTHING&amp;vid=01CRU&amp;lang=en_US&amp;offset=0&amp;query=any,contains,991001010669702656","Catalog Record")</f>
        <v/>
      </c>
      <c r="AT202">
        <f>HYPERLINK("http://www.worldcat.org/oclc/15282826","WorldCat Record")</f>
        <v/>
      </c>
      <c r="AU202" t="inlineStr">
        <is>
          <t>1151119366:eng</t>
        </is>
      </c>
      <c r="AV202" t="inlineStr">
        <is>
          <t>15282826</t>
        </is>
      </c>
      <c r="AW202" t="inlineStr">
        <is>
          <t>991001010669702656</t>
        </is>
      </c>
      <c r="AX202" t="inlineStr">
        <is>
          <t>991001010669702656</t>
        </is>
      </c>
      <c r="AY202" t="inlineStr">
        <is>
          <t>2266338800002656</t>
        </is>
      </c>
      <c r="AZ202" t="inlineStr">
        <is>
          <t>BOOK</t>
        </is>
      </c>
      <c r="BB202" t="inlineStr">
        <is>
          <t>9780060156985</t>
        </is>
      </c>
      <c r="BC202" t="inlineStr">
        <is>
          <t>32285000274919</t>
        </is>
      </c>
      <c r="BD202" t="inlineStr">
        <is>
          <t>893778473</t>
        </is>
      </c>
    </row>
    <row r="203">
      <c r="A203" t="inlineStr">
        <is>
          <t>No</t>
        </is>
      </c>
      <c r="B203" t="inlineStr">
        <is>
          <t>DS117 .J56</t>
        </is>
      </c>
      <c r="C203" t="inlineStr">
        <is>
          <t>0                      DS 0117000J  56</t>
        </is>
      </c>
      <c r="D203" t="inlineStr">
        <is>
          <t>A history of Israel.</t>
        </is>
      </c>
      <c r="F203" t="inlineStr">
        <is>
          <t>No</t>
        </is>
      </c>
      <c r="G203" t="inlineStr">
        <is>
          <t>1</t>
        </is>
      </c>
      <c r="H203" t="inlineStr">
        <is>
          <t>No</t>
        </is>
      </c>
      <c r="I203" t="inlineStr">
        <is>
          <t>No</t>
        </is>
      </c>
      <c r="J203" t="inlineStr">
        <is>
          <t>0</t>
        </is>
      </c>
      <c r="K203" t="inlineStr">
        <is>
          <t>Johnston, Leonard.</t>
        </is>
      </c>
      <c r="L203" t="inlineStr">
        <is>
          <t>New York : Sheed and Ward, [1964]</t>
        </is>
      </c>
      <c r="M203" t="inlineStr">
        <is>
          <t>1964</t>
        </is>
      </c>
      <c r="O203" t="inlineStr">
        <is>
          <t>eng</t>
        </is>
      </c>
      <c r="P203" t="inlineStr">
        <is>
          <t>nyu</t>
        </is>
      </c>
      <c r="R203" t="inlineStr">
        <is>
          <t xml:space="preserve">DS </t>
        </is>
      </c>
      <c r="S203" t="n">
        <v>6</v>
      </c>
      <c r="T203" t="n">
        <v>6</v>
      </c>
      <c r="U203" t="inlineStr">
        <is>
          <t>2002-03-19</t>
        </is>
      </c>
      <c r="V203" t="inlineStr">
        <is>
          <t>2002-03-19</t>
        </is>
      </c>
      <c r="W203" t="inlineStr">
        <is>
          <t>1992-05-08</t>
        </is>
      </c>
      <c r="X203" t="inlineStr">
        <is>
          <t>1992-05-08</t>
        </is>
      </c>
      <c r="Y203" t="n">
        <v>364</v>
      </c>
      <c r="Z203" t="n">
        <v>323</v>
      </c>
      <c r="AA203" t="n">
        <v>345</v>
      </c>
      <c r="AB203" t="n">
        <v>2</v>
      </c>
      <c r="AC203" t="n">
        <v>2</v>
      </c>
      <c r="AD203" t="n">
        <v>32</v>
      </c>
      <c r="AE203" t="n">
        <v>32</v>
      </c>
      <c r="AF203" t="n">
        <v>10</v>
      </c>
      <c r="AG203" t="n">
        <v>10</v>
      </c>
      <c r="AH203" t="n">
        <v>8</v>
      </c>
      <c r="AI203" t="n">
        <v>8</v>
      </c>
      <c r="AJ203" t="n">
        <v>21</v>
      </c>
      <c r="AK203" t="n">
        <v>21</v>
      </c>
      <c r="AL203" t="n">
        <v>1</v>
      </c>
      <c r="AM203" t="n">
        <v>1</v>
      </c>
      <c r="AN203" t="n">
        <v>1</v>
      </c>
      <c r="AO203" t="n">
        <v>1</v>
      </c>
      <c r="AP203" t="inlineStr">
        <is>
          <t>No</t>
        </is>
      </c>
      <c r="AQ203" t="inlineStr">
        <is>
          <t>Yes</t>
        </is>
      </c>
      <c r="AR203">
        <f>HYPERLINK("http://catalog.hathitrust.org/Record/001242668","HathiTrust Record")</f>
        <v/>
      </c>
      <c r="AS203">
        <f>HYPERLINK("https://creighton-primo.hosted.exlibrisgroup.com/primo-explore/search?tab=default_tab&amp;search_scope=EVERYTHING&amp;vid=01CRU&amp;lang=en_US&amp;offset=0&amp;query=any,contains,991002680049702656","Catalog Record")</f>
        <v/>
      </c>
      <c r="AT203">
        <f>HYPERLINK("http://www.worldcat.org/oclc/398214","WorldCat Record")</f>
        <v/>
      </c>
      <c r="AU203" t="inlineStr">
        <is>
          <t>1546372:eng</t>
        </is>
      </c>
      <c r="AV203" t="inlineStr">
        <is>
          <t>398214</t>
        </is>
      </c>
      <c r="AW203" t="inlineStr">
        <is>
          <t>991002680049702656</t>
        </is>
      </c>
      <c r="AX203" t="inlineStr">
        <is>
          <t>991002680049702656</t>
        </is>
      </c>
      <c r="AY203" t="inlineStr">
        <is>
          <t>2259605120002656</t>
        </is>
      </c>
      <c r="AZ203" t="inlineStr">
        <is>
          <t>BOOK</t>
        </is>
      </c>
      <c r="BC203" t="inlineStr">
        <is>
          <t>32285001106144</t>
        </is>
      </c>
      <c r="BD203" t="inlineStr">
        <is>
          <t>893773905</t>
        </is>
      </c>
    </row>
    <row r="204">
      <c r="A204" t="inlineStr">
        <is>
          <t>No</t>
        </is>
      </c>
      <c r="B204" t="inlineStr">
        <is>
          <t>DS117 .R512</t>
        </is>
      </c>
      <c r="C204" t="inlineStr">
        <is>
          <t>0                      DS 0117000R  512</t>
        </is>
      </c>
      <c r="D204" t="inlineStr">
        <is>
          <t>The history of Israel / translated by Clement Della Penta and Richard T. A. Murphy.</t>
        </is>
      </c>
      <c r="E204" t="inlineStr">
        <is>
          <t>V.1</t>
        </is>
      </c>
      <c r="F204" t="inlineStr">
        <is>
          <t>Yes</t>
        </is>
      </c>
      <c r="G204" t="inlineStr">
        <is>
          <t>1</t>
        </is>
      </c>
      <c r="H204" t="inlineStr">
        <is>
          <t>No</t>
        </is>
      </c>
      <c r="I204" t="inlineStr">
        <is>
          <t>No</t>
        </is>
      </c>
      <c r="J204" t="inlineStr">
        <is>
          <t>0</t>
        </is>
      </c>
      <c r="K204" t="inlineStr">
        <is>
          <t>Ricciotti, Giuseppe, 1890-1964.</t>
        </is>
      </c>
      <c r="L204" t="inlineStr">
        <is>
          <t>Milwaukee : Bruce, [1955]</t>
        </is>
      </c>
      <c r="M204" t="inlineStr">
        <is>
          <t>1955</t>
        </is>
      </c>
      <c r="O204" t="inlineStr">
        <is>
          <t>eng</t>
        </is>
      </c>
      <c r="P204" t="inlineStr">
        <is>
          <t>wiu</t>
        </is>
      </c>
      <c r="R204" t="inlineStr">
        <is>
          <t xml:space="preserve">DS </t>
        </is>
      </c>
      <c r="S204" t="n">
        <v>4</v>
      </c>
      <c r="T204" t="n">
        <v>4</v>
      </c>
      <c r="U204" t="inlineStr">
        <is>
          <t>2001-03-22</t>
        </is>
      </c>
      <c r="V204" t="inlineStr">
        <is>
          <t>2001-03-22</t>
        </is>
      </c>
      <c r="W204" t="inlineStr">
        <is>
          <t>1996-08-09</t>
        </is>
      </c>
      <c r="X204" t="inlineStr">
        <is>
          <t>1996-08-09</t>
        </is>
      </c>
      <c r="Y204" t="n">
        <v>348</v>
      </c>
      <c r="Z204" t="n">
        <v>304</v>
      </c>
      <c r="AA204" t="n">
        <v>524</v>
      </c>
      <c r="AB204" t="n">
        <v>4</v>
      </c>
      <c r="AC204" t="n">
        <v>4</v>
      </c>
      <c r="AD204" t="n">
        <v>33</v>
      </c>
      <c r="AE204" t="n">
        <v>37</v>
      </c>
      <c r="AF204" t="n">
        <v>9</v>
      </c>
      <c r="AG204" t="n">
        <v>12</v>
      </c>
      <c r="AH204" t="n">
        <v>7</v>
      </c>
      <c r="AI204" t="n">
        <v>7</v>
      </c>
      <c r="AJ204" t="n">
        <v>26</v>
      </c>
      <c r="AK204" t="n">
        <v>26</v>
      </c>
      <c r="AL204" t="n">
        <v>2</v>
      </c>
      <c r="AM204" t="n">
        <v>2</v>
      </c>
      <c r="AN204" t="n">
        <v>0</v>
      </c>
      <c r="AO204" t="n">
        <v>1</v>
      </c>
      <c r="AP204" t="inlineStr">
        <is>
          <t>No</t>
        </is>
      </c>
      <c r="AQ204" t="inlineStr">
        <is>
          <t>Yes</t>
        </is>
      </c>
      <c r="AR204">
        <f>HYPERLINK("http://catalog.hathitrust.org/Record/010085672","HathiTrust Record")</f>
        <v/>
      </c>
      <c r="AS204">
        <f>HYPERLINK("https://creighton-primo.hosted.exlibrisgroup.com/primo-explore/search?tab=default_tab&amp;search_scope=EVERYTHING&amp;vid=01CRU&amp;lang=en_US&amp;offset=0&amp;query=any,contains,991003840279702656","Catalog Record")</f>
        <v/>
      </c>
      <c r="AT204">
        <f>HYPERLINK("http://www.worldcat.org/oclc/1615468","WorldCat Record")</f>
        <v/>
      </c>
      <c r="AU204" t="inlineStr">
        <is>
          <t>3144577090:eng</t>
        </is>
      </c>
      <c r="AV204" t="inlineStr">
        <is>
          <t>1615468</t>
        </is>
      </c>
      <c r="AW204" t="inlineStr">
        <is>
          <t>991003840279702656</t>
        </is>
      </c>
      <c r="AX204" t="inlineStr">
        <is>
          <t>991003840279702656</t>
        </is>
      </c>
      <c r="AY204" t="inlineStr">
        <is>
          <t>2266399570002656</t>
        </is>
      </c>
      <c r="AZ204" t="inlineStr">
        <is>
          <t>BOOK</t>
        </is>
      </c>
      <c r="BC204" t="inlineStr">
        <is>
          <t>32285002272556</t>
        </is>
      </c>
      <c r="BD204" t="inlineStr">
        <is>
          <t>893337024</t>
        </is>
      </c>
    </row>
    <row r="205">
      <c r="A205" t="inlineStr">
        <is>
          <t>No</t>
        </is>
      </c>
      <c r="B205" t="inlineStr">
        <is>
          <t>DS117 .R512</t>
        </is>
      </c>
      <c r="C205" t="inlineStr">
        <is>
          <t>0                      DS 0117000R  512</t>
        </is>
      </c>
      <c r="D205" t="inlineStr">
        <is>
          <t>The history of Israel / translated by Clement Della Penta and Richard T. A. Murphy.</t>
        </is>
      </c>
      <c r="E205" t="inlineStr">
        <is>
          <t>V.2</t>
        </is>
      </c>
      <c r="F205" t="inlineStr">
        <is>
          <t>Yes</t>
        </is>
      </c>
      <c r="G205" t="inlineStr">
        <is>
          <t>1</t>
        </is>
      </c>
      <c r="H205" t="inlineStr">
        <is>
          <t>No</t>
        </is>
      </c>
      <c r="I205" t="inlineStr">
        <is>
          <t>No</t>
        </is>
      </c>
      <c r="J205" t="inlineStr">
        <is>
          <t>0</t>
        </is>
      </c>
      <c r="K205" t="inlineStr">
        <is>
          <t>Ricciotti, Giuseppe, 1890-1964.</t>
        </is>
      </c>
      <c r="L205" t="inlineStr">
        <is>
          <t>Milwaukee : Bruce, [1955]</t>
        </is>
      </c>
      <c r="M205" t="inlineStr">
        <is>
          <t>1955</t>
        </is>
      </c>
      <c r="O205" t="inlineStr">
        <is>
          <t>eng</t>
        </is>
      </c>
      <c r="P205" t="inlineStr">
        <is>
          <t>wiu</t>
        </is>
      </c>
      <c r="R205" t="inlineStr">
        <is>
          <t xml:space="preserve">DS </t>
        </is>
      </c>
      <c r="S205" t="n">
        <v>0</v>
      </c>
      <c r="T205" t="n">
        <v>4</v>
      </c>
      <c r="V205" t="inlineStr">
        <is>
          <t>2001-03-22</t>
        </is>
      </c>
      <c r="W205" t="inlineStr">
        <is>
          <t>1996-08-09</t>
        </is>
      </c>
      <c r="X205" t="inlineStr">
        <is>
          <t>1996-08-09</t>
        </is>
      </c>
      <c r="Y205" t="n">
        <v>348</v>
      </c>
      <c r="Z205" t="n">
        <v>304</v>
      </c>
      <c r="AA205" t="n">
        <v>524</v>
      </c>
      <c r="AB205" t="n">
        <v>4</v>
      </c>
      <c r="AC205" t="n">
        <v>4</v>
      </c>
      <c r="AD205" t="n">
        <v>33</v>
      </c>
      <c r="AE205" t="n">
        <v>37</v>
      </c>
      <c r="AF205" t="n">
        <v>9</v>
      </c>
      <c r="AG205" t="n">
        <v>12</v>
      </c>
      <c r="AH205" t="n">
        <v>7</v>
      </c>
      <c r="AI205" t="n">
        <v>7</v>
      </c>
      <c r="AJ205" t="n">
        <v>26</v>
      </c>
      <c r="AK205" t="n">
        <v>26</v>
      </c>
      <c r="AL205" t="n">
        <v>2</v>
      </c>
      <c r="AM205" t="n">
        <v>2</v>
      </c>
      <c r="AN205" t="n">
        <v>0</v>
      </c>
      <c r="AO205" t="n">
        <v>1</v>
      </c>
      <c r="AP205" t="inlineStr">
        <is>
          <t>No</t>
        </is>
      </c>
      <c r="AQ205" t="inlineStr">
        <is>
          <t>Yes</t>
        </is>
      </c>
      <c r="AR205">
        <f>HYPERLINK("http://catalog.hathitrust.org/Record/010085672","HathiTrust Record")</f>
        <v/>
      </c>
      <c r="AS205">
        <f>HYPERLINK("https://creighton-primo.hosted.exlibrisgroup.com/primo-explore/search?tab=default_tab&amp;search_scope=EVERYTHING&amp;vid=01CRU&amp;lang=en_US&amp;offset=0&amp;query=any,contains,991003840279702656","Catalog Record")</f>
        <v/>
      </c>
      <c r="AT205">
        <f>HYPERLINK("http://www.worldcat.org/oclc/1615468","WorldCat Record")</f>
        <v/>
      </c>
      <c r="AU205" t="inlineStr">
        <is>
          <t>3144577090:eng</t>
        </is>
      </c>
      <c r="AV205" t="inlineStr">
        <is>
          <t>1615468</t>
        </is>
      </c>
      <c r="AW205" t="inlineStr">
        <is>
          <t>991003840279702656</t>
        </is>
      </c>
      <c r="AX205" t="inlineStr">
        <is>
          <t>991003840279702656</t>
        </is>
      </c>
      <c r="AY205" t="inlineStr">
        <is>
          <t>2266399570002656</t>
        </is>
      </c>
      <c r="AZ205" t="inlineStr">
        <is>
          <t>BOOK</t>
        </is>
      </c>
      <c r="BC205" t="inlineStr">
        <is>
          <t>32285002272564</t>
        </is>
      </c>
      <c r="BD205" t="inlineStr">
        <is>
          <t>893318467</t>
        </is>
      </c>
    </row>
    <row r="206">
      <c r="A206" t="inlineStr">
        <is>
          <t>No</t>
        </is>
      </c>
      <c r="B206" t="inlineStr">
        <is>
          <t>DS117 .S45 1998</t>
        </is>
      </c>
      <c r="C206" t="inlineStr">
        <is>
          <t>0                      DS 0117000S  45          1998</t>
        </is>
      </c>
      <c r="D206" t="inlineStr">
        <is>
          <t>A short history of the Jewish people : from legendary times to modern statehood / Raymond P. Scheindlin.</t>
        </is>
      </c>
      <c r="F206" t="inlineStr">
        <is>
          <t>No</t>
        </is>
      </c>
      <c r="G206" t="inlineStr">
        <is>
          <t>1</t>
        </is>
      </c>
      <c r="H206" t="inlineStr">
        <is>
          <t>No</t>
        </is>
      </c>
      <c r="I206" t="inlineStr">
        <is>
          <t>No</t>
        </is>
      </c>
      <c r="J206" t="inlineStr">
        <is>
          <t>0</t>
        </is>
      </c>
      <c r="K206" t="inlineStr">
        <is>
          <t>Scheindlin, Raymond P.</t>
        </is>
      </c>
      <c r="L206" t="inlineStr">
        <is>
          <t>New York : Macmillan, c1998.</t>
        </is>
      </c>
      <c r="M206" t="inlineStr">
        <is>
          <t>1998</t>
        </is>
      </c>
      <c r="O206" t="inlineStr">
        <is>
          <t>eng</t>
        </is>
      </c>
      <c r="P206" t="inlineStr">
        <is>
          <t>nyu</t>
        </is>
      </c>
      <c r="R206" t="inlineStr">
        <is>
          <t xml:space="preserve">DS </t>
        </is>
      </c>
      <c r="S206" t="n">
        <v>6</v>
      </c>
      <c r="T206" t="n">
        <v>6</v>
      </c>
      <c r="U206" t="inlineStr">
        <is>
          <t>2000-09-19</t>
        </is>
      </c>
      <c r="V206" t="inlineStr">
        <is>
          <t>2000-09-19</t>
        </is>
      </c>
      <c r="W206" t="inlineStr">
        <is>
          <t>1999-01-05</t>
        </is>
      </c>
      <c r="X206" t="inlineStr">
        <is>
          <t>1999-01-05</t>
        </is>
      </c>
      <c r="Y206" t="n">
        <v>363</v>
      </c>
      <c r="Z206" t="n">
        <v>344</v>
      </c>
      <c r="AA206" t="n">
        <v>674</v>
      </c>
      <c r="AB206" t="n">
        <v>5</v>
      </c>
      <c r="AC206" t="n">
        <v>5</v>
      </c>
      <c r="AD206" t="n">
        <v>14</v>
      </c>
      <c r="AE206" t="n">
        <v>27</v>
      </c>
      <c r="AF206" t="n">
        <v>5</v>
      </c>
      <c r="AG206" t="n">
        <v>10</v>
      </c>
      <c r="AH206" t="n">
        <v>4</v>
      </c>
      <c r="AI206" t="n">
        <v>8</v>
      </c>
      <c r="AJ206" t="n">
        <v>5</v>
      </c>
      <c r="AK206" t="n">
        <v>12</v>
      </c>
      <c r="AL206" t="n">
        <v>3</v>
      </c>
      <c r="AM206" t="n">
        <v>3</v>
      </c>
      <c r="AN206" t="n">
        <v>0</v>
      </c>
      <c r="AO206" t="n">
        <v>0</v>
      </c>
      <c r="AP206" t="inlineStr">
        <is>
          <t>No</t>
        </is>
      </c>
      <c r="AQ206" t="inlineStr">
        <is>
          <t>Yes</t>
        </is>
      </c>
      <c r="AR206">
        <f>HYPERLINK("http://catalog.hathitrust.org/Record/004006279","HathiTrust Record")</f>
        <v/>
      </c>
      <c r="AS206">
        <f>HYPERLINK("https://creighton-primo.hosted.exlibrisgroup.com/primo-explore/search?tab=default_tab&amp;search_scope=EVERYTHING&amp;vid=01CRU&amp;lang=en_US&amp;offset=0&amp;query=any,contains,991002899369702656","Catalog Record")</f>
        <v/>
      </c>
      <c r="AT206">
        <f>HYPERLINK("http://www.worldcat.org/oclc/38216614","WorldCat Record")</f>
        <v/>
      </c>
      <c r="AU206" t="inlineStr">
        <is>
          <t>3769612193:eng</t>
        </is>
      </c>
      <c r="AV206" t="inlineStr">
        <is>
          <t>38216614</t>
        </is>
      </c>
      <c r="AW206" t="inlineStr">
        <is>
          <t>991002899369702656</t>
        </is>
      </c>
      <c r="AX206" t="inlineStr">
        <is>
          <t>991002899369702656</t>
        </is>
      </c>
      <c r="AY206" t="inlineStr">
        <is>
          <t>2255709840002656</t>
        </is>
      </c>
      <c r="AZ206" t="inlineStr">
        <is>
          <t>BOOK</t>
        </is>
      </c>
      <c r="BB206" t="inlineStr">
        <is>
          <t>9780028625867</t>
        </is>
      </c>
      <c r="BC206" t="inlineStr">
        <is>
          <t>32285003509261</t>
        </is>
      </c>
      <c r="BD206" t="inlineStr">
        <is>
          <t>893227413</t>
        </is>
      </c>
    </row>
    <row r="207">
      <c r="A207" t="inlineStr">
        <is>
          <t>No</t>
        </is>
      </c>
      <c r="B207" t="inlineStr">
        <is>
          <t>DS117 .S6413 1985</t>
        </is>
      </c>
      <c r="C207" t="inlineStr">
        <is>
          <t>0                      DS 0117000S  6413        1985</t>
        </is>
      </c>
      <c r="D207" t="inlineStr">
        <is>
          <t>A history of ancient Israel / J. Alberto Soggin ; with two appendixes by Diethelm Conrad and Haim Tadmor ; [translated by John Bowden from the Italian].</t>
        </is>
      </c>
      <c r="F207" t="inlineStr">
        <is>
          <t>No</t>
        </is>
      </c>
      <c r="G207" t="inlineStr">
        <is>
          <t>1</t>
        </is>
      </c>
      <c r="H207" t="inlineStr">
        <is>
          <t>No</t>
        </is>
      </c>
      <c r="I207" t="inlineStr">
        <is>
          <t>No</t>
        </is>
      </c>
      <c r="J207" t="inlineStr">
        <is>
          <t>0</t>
        </is>
      </c>
      <c r="K207" t="inlineStr">
        <is>
          <t>Soggin, J. Alberto.</t>
        </is>
      </c>
      <c r="L207" t="inlineStr">
        <is>
          <t>Philadelphia : Westminster Press, 1985, c1984.</t>
        </is>
      </c>
      <c r="M207" t="inlineStr">
        <is>
          <t>1985</t>
        </is>
      </c>
      <c r="N207" t="inlineStr">
        <is>
          <t>1st American ed.</t>
        </is>
      </c>
      <c r="O207" t="inlineStr">
        <is>
          <t>eng</t>
        </is>
      </c>
      <c r="P207" t="inlineStr">
        <is>
          <t>pau</t>
        </is>
      </c>
      <c r="R207" t="inlineStr">
        <is>
          <t xml:space="preserve">DS </t>
        </is>
      </c>
      <c r="S207" t="n">
        <v>14</v>
      </c>
      <c r="T207" t="n">
        <v>14</v>
      </c>
      <c r="U207" t="inlineStr">
        <is>
          <t>2006-10-25</t>
        </is>
      </c>
      <c r="V207" t="inlineStr">
        <is>
          <t>2006-10-25</t>
        </is>
      </c>
      <c r="W207" t="inlineStr">
        <is>
          <t>1989-12-07</t>
        </is>
      </c>
      <c r="X207" t="inlineStr">
        <is>
          <t>1989-12-07</t>
        </is>
      </c>
      <c r="Y207" t="n">
        <v>550</v>
      </c>
      <c r="Z207" t="n">
        <v>500</v>
      </c>
      <c r="AA207" t="n">
        <v>514</v>
      </c>
      <c r="AB207" t="n">
        <v>3</v>
      </c>
      <c r="AC207" t="n">
        <v>3</v>
      </c>
      <c r="AD207" t="n">
        <v>26</v>
      </c>
      <c r="AE207" t="n">
        <v>26</v>
      </c>
      <c r="AF207" t="n">
        <v>10</v>
      </c>
      <c r="AG207" t="n">
        <v>10</v>
      </c>
      <c r="AH207" t="n">
        <v>9</v>
      </c>
      <c r="AI207" t="n">
        <v>9</v>
      </c>
      <c r="AJ207" t="n">
        <v>12</v>
      </c>
      <c r="AK207" t="n">
        <v>12</v>
      </c>
      <c r="AL207" t="n">
        <v>1</v>
      </c>
      <c r="AM207" t="n">
        <v>1</v>
      </c>
      <c r="AN207" t="n">
        <v>0</v>
      </c>
      <c r="AO207" t="n">
        <v>0</v>
      </c>
      <c r="AP207" t="inlineStr">
        <is>
          <t>No</t>
        </is>
      </c>
      <c r="AQ207" t="inlineStr">
        <is>
          <t>No</t>
        </is>
      </c>
      <c r="AS207">
        <f>HYPERLINK("https://creighton-primo.hosted.exlibrisgroup.com/primo-explore/search?tab=default_tab&amp;search_scope=EVERYTHING&amp;vid=01CRU&amp;lang=en_US&amp;offset=0&amp;query=any,contains,991000547359702656","Catalog Record")</f>
        <v/>
      </c>
      <c r="AT207">
        <f>HYPERLINK("http://www.worldcat.org/oclc/11519144","WorldCat Record")</f>
        <v/>
      </c>
      <c r="AU207" t="inlineStr">
        <is>
          <t>4202265705:eng</t>
        </is>
      </c>
      <c r="AV207" t="inlineStr">
        <is>
          <t>11519144</t>
        </is>
      </c>
      <c r="AW207" t="inlineStr">
        <is>
          <t>991000547359702656</t>
        </is>
      </c>
      <c r="AX207" t="inlineStr">
        <is>
          <t>991000547359702656</t>
        </is>
      </c>
      <c r="AY207" t="inlineStr">
        <is>
          <t>2267304980002656</t>
        </is>
      </c>
      <c r="AZ207" t="inlineStr">
        <is>
          <t>BOOK</t>
        </is>
      </c>
      <c r="BB207" t="inlineStr">
        <is>
          <t>9780664212582</t>
        </is>
      </c>
      <c r="BC207" t="inlineStr">
        <is>
          <t>32285000030121</t>
        </is>
      </c>
      <c r="BD207" t="inlineStr">
        <is>
          <t>893255520</t>
        </is>
      </c>
    </row>
    <row r="208">
      <c r="A208" t="inlineStr">
        <is>
          <t>No</t>
        </is>
      </c>
      <c r="B208" t="inlineStr">
        <is>
          <t>DS117 .T613</t>
        </is>
      </c>
      <c r="C208" t="inlineStr">
        <is>
          <t>0                      DS 0117000T  613</t>
        </is>
      </c>
      <c r="D208" t="inlineStr">
        <is>
          <t>A History of the Jewish people / A. Malamat ... [et al.] ; edited by H. H. Ben-Sasson.</t>
        </is>
      </c>
      <c r="F208" t="inlineStr">
        <is>
          <t>No</t>
        </is>
      </c>
      <c r="G208" t="inlineStr">
        <is>
          <t>1</t>
        </is>
      </c>
      <c r="H208" t="inlineStr">
        <is>
          <t>No</t>
        </is>
      </c>
      <c r="I208" t="inlineStr">
        <is>
          <t>No</t>
        </is>
      </c>
      <c r="J208" t="inlineStr">
        <is>
          <t>0</t>
        </is>
      </c>
      <c r="K208" t="inlineStr">
        <is>
          <t>Halperin, Raphael.</t>
        </is>
      </c>
      <c r="L208" t="inlineStr">
        <is>
          <t>Cambridge, Mass. : Harvard University Press, 1976.</t>
        </is>
      </c>
      <c r="M208" t="inlineStr">
        <is>
          <t>1976</t>
        </is>
      </c>
      <c r="O208" t="inlineStr">
        <is>
          <t>eng</t>
        </is>
      </c>
      <c r="P208" t="inlineStr">
        <is>
          <t>mau</t>
        </is>
      </c>
      <c r="R208" t="inlineStr">
        <is>
          <t xml:space="preserve">DS </t>
        </is>
      </c>
      <c r="S208" t="n">
        <v>12</v>
      </c>
      <c r="T208" t="n">
        <v>12</v>
      </c>
      <c r="U208" t="inlineStr">
        <is>
          <t>1997-03-06</t>
        </is>
      </c>
      <c r="V208" t="inlineStr">
        <is>
          <t>1997-03-06</t>
        </is>
      </c>
      <c r="W208" t="inlineStr">
        <is>
          <t>1990-05-18</t>
        </is>
      </c>
      <c r="X208" t="inlineStr">
        <is>
          <t>1990-05-18</t>
        </is>
      </c>
      <c r="Y208" t="n">
        <v>1397</v>
      </c>
      <c r="Z208" t="n">
        <v>1253</v>
      </c>
      <c r="AA208" t="n">
        <v>1294</v>
      </c>
      <c r="AB208" t="n">
        <v>8</v>
      </c>
      <c r="AC208" t="n">
        <v>9</v>
      </c>
      <c r="AD208" t="n">
        <v>47</v>
      </c>
      <c r="AE208" t="n">
        <v>48</v>
      </c>
      <c r="AF208" t="n">
        <v>23</v>
      </c>
      <c r="AG208" t="n">
        <v>23</v>
      </c>
      <c r="AH208" t="n">
        <v>9</v>
      </c>
      <c r="AI208" t="n">
        <v>10</v>
      </c>
      <c r="AJ208" t="n">
        <v>22</v>
      </c>
      <c r="AK208" t="n">
        <v>22</v>
      </c>
      <c r="AL208" t="n">
        <v>5</v>
      </c>
      <c r="AM208" t="n">
        <v>5</v>
      </c>
      <c r="AN208" t="n">
        <v>0</v>
      </c>
      <c r="AO208" t="n">
        <v>0</v>
      </c>
      <c r="AP208" t="inlineStr">
        <is>
          <t>No</t>
        </is>
      </c>
      <c r="AQ208" t="inlineStr">
        <is>
          <t>No</t>
        </is>
      </c>
      <c r="AS208">
        <f>HYPERLINK("https://creighton-primo.hosted.exlibrisgroup.com/primo-explore/search?tab=default_tab&amp;search_scope=EVERYTHING&amp;vid=01CRU&amp;lang=en_US&amp;offset=0&amp;query=any,contains,991004346899702656","Catalog Record")</f>
        <v/>
      </c>
      <c r="AT208">
        <f>HYPERLINK("http://www.worldcat.org/oclc/3103763","WorldCat Record")</f>
        <v/>
      </c>
      <c r="AU208" t="inlineStr">
        <is>
          <t>3943536817:eng</t>
        </is>
      </c>
      <c r="AV208" t="inlineStr">
        <is>
          <t>3103763</t>
        </is>
      </c>
      <c r="AW208" t="inlineStr">
        <is>
          <t>991004346899702656</t>
        </is>
      </c>
      <c r="AX208" t="inlineStr">
        <is>
          <t>991004346899702656</t>
        </is>
      </c>
      <c r="AY208" t="inlineStr">
        <is>
          <t>2272623260002656</t>
        </is>
      </c>
      <c r="AZ208" t="inlineStr">
        <is>
          <t>BOOK</t>
        </is>
      </c>
      <c r="BB208" t="inlineStr">
        <is>
          <t>9780674397309</t>
        </is>
      </c>
      <c r="BC208" t="inlineStr">
        <is>
          <t>32285000157106</t>
        </is>
      </c>
      <c r="BD208" t="inlineStr">
        <is>
          <t>893612239</t>
        </is>
      </c>
    </row>
    <row r="209">
      <c r="A209" t="inlineStr">
        <is>
          <t>No</t>
        </is>
      </c>
      <c r="B209" t="inlineStr">
        <is>
          <t>DS117 .W3</t>
        </is>
      </c>
      <c r="C209" t="inlineStr">
        <is>
          <t>0                      DS 0117000W  3</t>
        </is>
      </c>
      <c r="D209" t="inlineStr">
        <is>
          <t>Great confrontations in Jewish history / edited by Stanley M. Wagner and Allen D. Breck.</t>
        </is>
      </c>
      <c r="F209" t="inlineStr">
        <is>
          <t>No</t>
        </is>
      </c>
      <c r="G209" t="inlineStr">
        <is>
          <t>1</t>
        </is>
      </c>
      <c r="H209" t="inlineStr">
        <is>
          <t>No</t>
        </is>
      </c>
      <c r="I209" t="inlineStr">
        <is>
          <t>No</t>
        </is>
      </c>
      <c r="J209" t="inlineStr">
        <is>
          <t>0</t>
        </is>
      </c>
      <c r="K209" t="inlineStr">
        <is>
          <t>Wagner, Stanley M., editor.</t>
        </is>
      </c>
      <c r="L209" t="inlineStr">
        <is>
          <t>Denver : University of Denver, Dept. of History, 1977.</t>
        </is>
      </c>
      <c r="M209" t="inlineStr">
        <is>
          <t>1977</t>
        </is>
      </c>
      <c r="N209" t="inlineStr">
        <is>
          <t>1st ed.</t>
        </is>
      </c>
      <c r="O209" t="inlineStr">
        <is>
          <t>eng</t>
        </is>
      </c>
      <c r="P209" t="inlineStr">
        <is>
          <t>cou</t>
        </is>
      </c>
      <c r="Q209" t="inlineStr">
        <is>
          <t>The J.M. Goodstein lecture series on Judaica : 1975.</t>
        </is>
      </c>
      <c r="R209" t="inlineStr">
        <is>
          <t xml:space="preserve">DS </t>
        </is>
      </c>
      <c r="S209" t="n">
        <v>5</v>
      </c>
      <c r="T209" t="n">
        <v>5</v>
      </c>
      <c r="U209" t="inlineStr">
        <is>
          <t>1999-03-17</t>
        </is>
      </c>
      <c r="V209" t="inlineStr">
        <is>
          <t>1999-03-17</t>
        </is>
      </c>
      <c r="W209" t="inlineStr">
        <is>
          <t>1993-06-07</t>
        </is>
      </c>
      <c r="X209" t="inlineStr">
        <is>
          <t>1993-06-07</t>
        </is>
      </c>
      <c r="Y209" t="n">
        <v>102</v>
      </c>
      <c r="Z209" t="n">
        <v>91</v>
      </c>
      <c r="AA209" t="n">
        <v>93</v>
      </c>
      <c r="AB209" t="n">
        <v>1</v>
      </c>
      <c r="AC209" t="n">
        <v>1</v>
      </c>
      <c r="AD209" t="n">
        <v>5</v>
      </c>
      <c r="AE209" t="n">
        <v>5</v>
      </c>
      <c r="AF209" t="n">
        <v>2</v>
      </c>
      <c r="AG209" t="n">
        <v>2</v>
      </c>
      <c r="AH209" t="n">
        <v>1</v>
      </c>
      <c r="AI209" t="n">
        <v>1</v>
      </c>
      <c r="AJ209" t="n">
        <v>4</v>
      </c>
      <c r="AK209" t="n">
        <v>4</v>
      </c>
      <c r="AL209" t="n">
        <v>0</v>
      </c>
      <c r="AM209" t="n">
        <v>0</v>
      </c>
      <c r="AN209" t="n">
        <v>0</v>
      </c>
      <c r="AO209" t="n">
        <v>0</v>
      </c>
      <c r="AP209" t="inlineStr">
        <is>
          <t>No</t>
        </is>
      </c>
      <c r="AQ209" t="inlineStr">
        <is>
          <t>No</t>
        </is>
      </c>
      <c r="AS209">
        <f>HYPERLINK("https://creighton-primo.hosted.exlibrisgroup.com/primo-explore/search?tab=default_tab&amp;search_scope=EVERYTHING&amp;vid=01CRU&amp;lang=en_US&amp;offset=0&amp;query=any,contains,991004383139702656","Catalog Record")</f>
        <v/>
      </c>
      <c r="AT209">
        <f>HYPERLINK("http://www.worldcat.org/oclc/3229778","WorldCat Record")</f>
        <v/>
      </c>
      <c r="AU209" t="inlineStr">
        <is>
          <t>481237769:eng</t>
        </is>
      </c>
      <c r="AV209" t="inlineStr">
        <is>
          <t>3229778</t>
        </is>
      </c>
      <c r="AW209" t="inlineStr">
        <is>
          <t>991004383139702656</t>
        </is>
      </c>
      <c r="AX209" t="inlineStr">
        <is>
          <t>991004383139702656</t>
        </is>
      </c>
      <c r="AY209" t="inlineStr">
        <is>
          <t>2254993710002656</t>
        </is>
      </c>
      <c r="AZ209" t="inlineStr">
        <is>
          <t>BOOK</t>
        </is>
      </c>
      <c r="BB209" t="inlineStr">
        <is>
          <t>9780930078058</t>
        </is>
      </c>
      <c r="BC209" t="inlineStr">
        <is>
          <t>32285001714293</t>
        </is>
      </c>
      <c r="BD209" t="inlineStr">
        <is>
          <t>893417553</t>
        </is>
      </c>
    </row>
    <row r="210">
      <c r="A210" t="inlineStr">
        <is>
          <t>No</t>
        </is>
      </c>
      <c r="B210" t="inlineStr">
        <is>
          <t>DS117 .W6 v.1</t>
        </is>
      </c>
      <c r="C210" t="inlineStr">
        <is>
          <t>0                      DS 0117000W  6                                                       v.1</t>
        </is>
      </c>
      <c r="D210" t="inlineStr">
        <is>
          <t>At the dawn of civilization : a background of Biblical history / editor, E. A. Speiser.</t>
        </is>
      </c>
      <c r="E210" t="inlineStr">
        <is>
          <t>V.1</t>
        </is>
      </c>
      <c r="F210" t="inlineStr">
        <is>
          <t>No</t>
        </is>
      </c>
      <c r="G210" t="inlineStr">
        <is>
          <t>1</t>
        </is>
      </c>
      <c r="H210" t="inlineStr">
        <is>
          <t>No</t>
        </is>
      </c>
      <c r="I210" t="inlineStr">
        <is>
          <t>No</t>
        </is>
      </c>
      <c r="J210" t="inlineStr">
        <is>
          <t>0</t>
        </is>
      </c>
      <c r="L210" t="inlineStr">
        <is>
          <t>[Tel-Aviv?] : Jewish History Publications Ltd. ; [New Brunswick] : Rutgers University Press, 1964, c1963.</t>
        </is>
      </c>
      <c r="M210" t="inlineStr">
        <is>
          <t>1964</t>
        </is>
      </c>
      <c r="O210" t="inlineStr">
        <is>
          <t>eng</t>
        </is>
      </c>
      <c r="P210" t="inlineStr">
        <is>
          <t xml:space="preserve">is </t>
        </is>
      </c>
      <c r="Q210" t="inlineStr">
        <is>
          <t>The World history of the Jewish people : Ancient times ; 1st ser., v. 1</t>
        </is>
      </c>
      <c r="R210" t="inlineStr">
        <is>
          <t xml:space="preserve">DS </t>
        </is>
      </c>
      <c r="S210" t="n">
        <v>1</v>
      </c>
      <c r="T210" t="n">
        <v>1</v>
      </c>
      <c r="U210" t="inlineStr">
        <is>
          <t>2001-03-22</t>
        </is>
      </c>
      <c r="V210" t="inlineStr">
        <is>
          <t>2001-03-22</t>
        </is>
      </c>
      <c r="W210" t="inlineStr">
        <is>
          <t>1994-05-25</t>
        </is>
      </c>
      <c r="X210" t="inlineStr">
        <is>
          <t>1994-05-25</t>
        </is>
      </c>
      <c r="Y210" t="n">
        <v>333</v>
      </c>
      <c r="Z210" t="n">
        <v>305</v>
      </c>
      <c r="AA210" t="n">
        <v>356</v>
      </c>
      <c r="AB210" t="n">
        <v>3</v>
      </c>
      <c r="AC210" t="n">
        <v>3</v>
      </c>
      <c r="AD210" t="n">
        <v>18</v>
      </c>
      <c r="AE210" t="n">
        <v>19</v>
      </c>
      <c r="AF210" t="n">
        <v>4</v>
      </c>
      <c r="AG210" t="n">
        <v>5</v>
      </c>
      <c r="AH210" t="n">
        <v>8</v>
      </c>
      <c r="AI210" t="n">
        <v>8</v>
      </c>
      <c r="AJ210" t="n">
        <v>9</v>
      </c>
      <c r="AK210" t="n">
        <v>9</v>
      </c>
      <c r="AL210" t="n">
        <v>2</v>
      </c>
      <c r="AM210" t="n">
        <v>2</v>
      </c>
      <c r="AN210" t="n">
        <v>0</v>
      </c>
      <c r="AO210" t="n">
        <v>0</v>
      </c>
      <c r="AP210" t="inlineStr">
        <is>
          <t>No</t>
        </is>
      </c>
      <c r="AQ210" t="inlineStr">
        <is>
          <t>No</t>
        </is>
      </c>
      <c r="AS210">
        <f>HYPERLINK("https://creighton-primo.hosted.exlibrisgroup.com/primo-explore/search?tab=default_tab&amp;search_scope=EVERYTHING&amp;vid=01CRU&amp;lang=en_US&amp;offset=0&amp;query=any,contains,991003952139702656","Catalog Record")</f>
        <v/>
      </c>
      <c r="AT210">
        <f>HYPERLINK("http://www.worldcat.org/oclc/1958553","WorldCat Record")</f>
        <v/>
      </c>
      <c r="AU210" t="inlineStr">
        <is>
          <t>3855543636:eng</t>
        </is>
      </c>
      <c r="AV210" t="inlineStr">
        <is>
          <t>1958553</t>
        </is>
      </c>
      <c r="AW210" t="inlineStr">
        <is>
          <t>991003952139702656</t>
        </is>
      </c>
      <c r="AX210" t="inlineStr">
        <is>
          <t>991003952139702656</t>
        </is>
      </c>
      <c r="AY210" t="inlineStr">
        <is>
          <t>2265547260002656</t>
        </is>
      </c>
      <c r="AZ210" t="inlineStr">
        <is>
          <t>BOOK</t>
        </is>
      </c>
      <c r="BC210" t="inlineStr">
        <is>
          <t>32285001912228</t>
        </is>
      </c>
      <c r="BD210" t="inlineStr">
        <is>
          <t>893318629</t>
        </is>
      </c>
    </row>
    <row r="211">
      <c r="A211" t="inlineStr">
        <is>
          <t>No</t>
        </is>
      </c>
      <c r="B211" t="inlineStr">
        <is>
          <t>DS117 .W6 v.4, pt.1</t>
        </is>
      </c>
      <c r="C211" t="inlineStr">
        <is>
          <t>0                      DS 0117000W  6                                                       v.4, pt.1</t>
        </is>
      </c>
      <c r="D211" t="inlineStr">
        <is>
          <t>The Age of the monarchies : political history / editor: Abraham Malamat ; associate editor: Israel Ephʻal.</t>
        </is>
      </c>
      <c r="E211" t="inlineStr">
        <is>
          <t>V.4 PT.1</t>
        </is>
      </c>
      <c r="F211" t="inlineStr">
        <is>
          <t>No</t>
        </is>
      </c>
      <c r="G211" t="inlineStr">
        <is>
          <t>1</t>
        </is>
      </c>
      <c r="H211" t="inlineStr">
        <is>
          <t>No</t>
        </is>
      </c>
      <c r="I211" t="inlineStr">
        <is>
          <t>No</t>
        </is>
      </c>
      <c r="J211" t="inlineStr">
        <is>
          <t>0</t>
        </is>
      </c>
      <c r="L211" t="inlineStr">
        <is>
          <t>Jerusalem : Massada Press, 1979.</t>
        </is>
      </c>
      <c r="M211" t="inlineStr">
        <is>
          <t>1979</t>
        </is>
      </c>
      <c r="O211" t="inlineStr">
        <is>
          <t>eng</t>
        </is>
      </c>
      <c r="P211" t="inlineStr">
        <is>
          <t xml:space="preserve">xx </t>
        </is>
      </c>
      <c r="Q211" t="inlineStr">
        <is>
          <t>The world history of the Jewish people ; 1st series : ancient times ; v. 4-I</t>
        </is>
      </c>
      <c r="R211" t="inlineStr">
        <is>
          <t xml:space="preserve">DS </t>
        </is>
      </c>
      <c r="S211" t="n">
        <v>2</v>
      </c>
      <c r="T211" t="n">
        <v>2</v>
      </c>
      <c r="U211" t="inlineStr">
        <is>
          <t>2001-03-02</t>
        </is>
      </c>
      <c r="V211" t="inlineStr">
        <is>
          <t>2001-03-02</t>
        </is>
      </c>
      <c r="W211" t="inlineStr">
        <is>
          <t>1992-05-08</t>
        </is>
      </c>
      <c r="X211" t="inlineStr">
        <is>
          <t>1992-05-08</t>
        </is>
      </c>
      <c r="Y211" t="n">
        <v>119</v>
      </c>
      <c r="Z211" t="n">
        <v>100</v>
      </c>
      <c r="AA211" t="n">
        <v>101</v>
      </c>
      <c r="AB211" t="n">
        <v>2</v>
      </c>
      <c r="AC211" t="n">
        <v>2</v>
      </c>
      <c r="AD211" t="n">
        <v>7</v>
      </c>
      <c r="AE211" t="n">
        <v>8</v>
      </c>
      <c r="AF211" t="n">
        <v>1</v>
      </c>
      <c r="AG211" t="n">
        <v>2</v>
      </c>
      <c r="AH211" t="n">
        <v>4</v>
      </c>
      <c r="AI211" t="n">
        <v>4</v>
      </c>
      <c r="AJ211" t="n">
        <v>3</v>
      </c>
      <c r="AK211" t="n">
        <v>3</v>
      </c>
      <c r="AL211" t="n">
        <v>1</v>
      </c>
      <c r="AM211" t="n">
        <v>1</v>
      </c>
      <c r="AN211" t="n">
        <v>0</v>
      </c>
      <c r="AO211" t="n">
        <v>0</v>
      </c>
      <c r="AP211" t="inlineStr">
        <is>
          <t>No</t>
        </is>
      </c>
      <c r="AQ211" t="inlineStr">
        <is>
          <t>No</t>
        </is>
      </c>
      <c r="AS211">
        <f>HYPERLINK("https://creighton-primo.hosted.exlibrisgroup.com/primo-explore/search?tab=default_tab&amp;search_scope=EVERYTHING&amp;vid=01CRU&amp;lang=en_US&amp;offset=0&amp;query=any,contains,991004988189702656","Catalog Record")</f>
        <v/>
      </c>
      <c r="AT211">
        <f>HYPERLINK("http://www.worldcat.org/oclc/6477335","WorldCat Record")</f>
        <v/>
      </c>
      <c r="AU211" t="inlineStr">
        <is>
          <t>9021362159:eng</t>
        </is>
      </c>
      <c r="AV211" t="inlineStr">
        <is>
          <t>6477335</t>
        </is>
      </c>
      <c r="AW211" t="inlineStr">
        <is>
          <t>991004988189702656</t>
        </is>
      </c>
      <c r="AX211" t="inlineStr">
        <is>
          <t>991004988189702656</t>
        </is>
      </c>
      <c r="AY211" t="inlineStr">
        <is>
          <t>2255410620002656</t>
        </is>
      </c>
      <c r="AZ211" t="inlineStr">
        <is>
          <t>BOOK</t>
        </is>
      </c>
      <c r="BC211" t="inlineStr">
        <is>
          <t>32285001106136</t>
        </is>
      </c>
      <c r="BD211" t="inlineStr">
        <is>
          <t>893713284</t>
        </is>
      </c>
    </row>
    <row r="212">
      <c r="A212" t="inlineStr">
        <is>
          <t>No</t>
        </is>
      </c>
      <c r="B212" t="inlineStr">
        <is>
          <t>DS117 .W6 v.4, pt.2</t>
        </is>
      </c>
      <c r="C212" t="inlineStr">
        <is>
          <t>0                      DS 0117000W  6                                                       v.4, pt.2</t>
        </is>
      </c>
      <c r="D212" t="inlineStr">
        <is>
          <t>The Age of the monarchies : culture and society / editor: Abraham Malamat ; associate editor: Israel Ephʻal.</t>
        </is>
      </c>
      <c r="E212" t="inlineStr">
        <is>
          <t>V.4 PT.2</t>
        </is>
      </c>
      <c r="F212" t="inlineStr">
        <is>
          <t>No</t>
        </is>
      </c>
      <c r="G212" t="inlineStr">
        <is>
          <t>1</t>
        </is>
      </c>
      <c r="H212" t="inlineStr">
        <is>
          <t>No</t>
        </is>
      </c>
      <c r="I212" t="inlineStr">
        <is>
          <t>No</t>
        </is>
      </c>
      <c r="J212" t="inlineStr">
        <is>
          <t>0</t>
        </is>
      </c>
      <c r="L212" t="inlineStr">
        <is>
          <t>Jerusalem : Massada Press, 1979.</t>
        </is>
      </c>
      <c r="M212" t="inlineStr">
        <is>
          <t>1979</t>
        </is>
      </c>
      <c r="O212" t="inlineStr">
        <is>
          <t>eng</t>
        </is>
      </c>
      <c r="P212" t="inlineStr">
        <is>
          <t xml:space="preserve">is </t>
        </is>
      </c>
      <c r="Q212" t="inlineStr">
        <is>
          <t>The world history of the Jewish people ; 1st series : ancient times ; v. 4-II</t>
        </is>
      </c>
      <c r="R212" t="inlineStr">
        <is>
          <t xml:space="preserve">DS </t>
        </is>
      </c>
      <c r="S212" t="n">
        <v>0</v>
      </c>
      <c r="T212" t="n">
        <v>0</v>
      </c>
      <c r="U212" t="inlineStr">
        <is>
          <t>2005-02-24</t>
        </is>
      </c>
      <c r="V212" t="inlineStr">
        <is>
          <t>2005-02-24</t>
        </is>
      </c>
      <c r="W212" t="inlineStr">
        <is>
          <t>1994-05-04</t>
        </is>
      </c>
      <c r="X212" t="inlineStr">
        <is>
          <t>1994-05-04</t>
        </is>
      </c>
      <c r="Y212" t="n">
        <v>114</v>
      </c>
      <c r="Z212" t="n">
        <v>91</v>
      </c>
      <c r="AA212" t="n">
        <v>127</v>
      </c>
      <c r="AB212" t="n">
        <v>2</v>
      </c>
      <c r="AC212" t="n">
        <v>2</v>
      </c>
      <c r="AD212" t="n">
        <v>6</v>
      </c>
      <c r="AE212" t="n">
        <v>6</v>
      </c>
      <c r="AF212" t="n">
        <v>1</v>
      </c>
      <c r="AG212" t="n">
        <v>1</v>
      </c>
      <c r="AH212" t="n">
        <v>3</v>
      </c>
      <c r="AI212" t="n">
        <v>3</v>
      </c>
      <c r="AJ212" t="n">
        <v>3</v>
      </c>
      <c r="AK212" t="n">
        <v>3</v>
      </c>
      <c r="AL212" t="n">
        <v>1</v>
      </c>
      <c r="AM212" t="n">
        <v>1</v>
      </c>
      <c r="AN212" t="n">
        <v>0</v>
      </c>
      <c r="AO212" t="n">
        <v>0</v>
      </c>
      <c r="AP212" t="inlineStr">
        <is>
          <t>No</t>
        </is>
      </c>
      <c r="AQ212" t="inlineStr">
        <is>
          <t>No</t>
        </is>
      </c>
      <c r="AS212">
        <f>HYPERLINK("https://creighton-primo.hosted.exlibrisgroup.com/primo-explore/search?tab=default_tab&amp;search_scope=EVERYTHING&amp;vid=01CRU&amp;lang=en_US&amp;offset=0&amp;query=any,contains,991004923979702656","Catalog Record")</f>
        <v/>
      </c>
      <c r="AT212">
        <f>HYPERLINK("http://www.worldcat.org/oclc/6072620","WorldCat Record")</f>
        <v/>
      </c>
      <c r="AU212" t="inlineStr">
        <is>
          <t>3901458822:eng</t>
        </is>
      </c>
      <c r="AV212" t="inlineStr">
        <is>
          <t>6072620</t>
        </is>
      </c>
      <c r="AW212" t="inlineStr">
        <is>
          <t>991004923979702656</t>
        </is>
      </c>
      <c r="AX212" t="inlineStr">
        <is>
          <t>991004923979702656</t>
        </is>
      </c>
      <c r="AY212" t="inlineStr">
        <is>
          <t>2270769870002656</t>
        </is>
      </c>
      <c r="AZ212" t="inlineStr">
        <is>
          <t>BOOK</t>
        </is>
      </c>
      <c r="BC212" t="inlineStr">
        <is>
          <t>32285001906824</t>
        </is>
      </c>
      <c r="BD212" t="inlineStr">
        <is>
          <t>893619222</t>
        </is>
      </c>
    </row>
    <row r="213">
      <c r="A213" t="inlineStr">
        <is>
          <t>No</t>
        </is>
      </c>
      <c r="B213" t="inlineStr">
        <is>
          <t>DS117 .W6 v.7</t>
        </is>
      </c>
      <c r="C213" t="inlineStr">
        <is>
          <t>0                      DS 0117000W  6                                                       v.7</t>
        </is>
      </c>
      <c r="D213" t="inlineStr">
        <is>
          <t>The Herodian period / editor, Michael Avi-Yonah ; assistant editor, Zvi Baras.</t>
        </is>
      </c>
      <c r="E213" t="inlineStr">
        <is>
          <t>V.7</t>
        </is>
      </c>
      <c r="F213" t="inlineStr">
        <is>
          <t>No</t>
        </is>
      </c>
      <c r="G213" t="inlineStr">
        <is>
          <t>1</t>
        </is>
      </c>
      <c r="H213" t="inlineStr">
        <is>
          <t>No</t>
        </is>
      </c>
      <c r="I213" t="inlineStr">
        <is>
          <t>No</t>
        </is>
      </c>
      <c r="J213" t="inlineStr">
        <is>
          <t>0</t>
        </is>
      </c>
      <c r="L213" t="inlineStr">
        <is>
          <t>[Tel-Aviv?] : Jewish History Publications Ltd. ; New Brunswick : Rutgers University Press, c1975.</t>
        </is>
      </c>
      <c r="M213" t="inlineStr">
        <is>
          <t>1975</t>
        </is>
      </c>
      <c r="O213" t="inlineStr">
        <is>
          <t>eng</t>
        </is>
      </c>
      <c r="P213" t="inlineStr">
        <is>
          <t xml:space="preserve">is </t>
        </is>
      </c>
      <c r="Q213" t="inlineStr">
        <is>
          <t>The World history of the Jewish People : Ancient times ; 1st ser., v. 7</t>
        </is>
      </c>
      <c r="R213" t="inlineStr">
        <is>
          <t xml:space="preserve">DS </t>
        </is>
      </c>
      <c r="S213" t="n">
        <v>4</v>
      </c>
      <c r="T213" t="n">
        <v>4</v>
      </c>
      <c r="U213" t="inlineStr">
        <is>
          <t>2007-03-19</t>
        </is>
      </c>
      <c r="V213" t="inlineStr">
        <is>
          <t>2007-03-19</t>
        </is>
      </c>
      <c r="W213" t="inlineStr">
        <is>
          <t>1994-05-25</t>
        </is>
      </c>
      <c r="X213" t="inlineStr">
        <is>
          <t>1994-05-25</t>
        </is>
      </c>
      <c r="Y213" t="n">
        <v>319</v>
      </c>
      <c r="Z213" t="n">
        <v>287</v>
      </c>
      <c r="AA213" t="n">
        <v>300</v>
      </c>
      <c r="AB213" t="n">
        <v>3</v>
      </c>
      <c r="AC213" t="n">
        <v>3</v>
      </c>
      <c r="AD213" t="n">
        <v>19</v>
      </c>
      <c r="AE213" t="n">
        <v>19</v>
      </c>
      <c r="AF213" t="n">
        <v>7</v>
      </c>
      <c r="AG213" t="n">
        <v>7</v>
      </c>
      <c r="AH213" t="n">
        <v>6</v>
      </c>
      <c r="AI213" t="n">
        <v>6</v>
      </c>
      <c r="AJ213" t="n">
        <v>9</v>
      </c>
      <c r="AK213" t="n">
        <v>9</v>
      </c>
      <c r="AL213" t="n">
        <v>2</v>
      </c>
      <c r="AM213" t="n">
        <v>2</v>
      </c>
      <c r="AN213" t="n">
        <v>0</v>
      </c>
      <c r="AO213" t="n">
        <v>0</v>
      </c>
      <c r="AP213" t="inlineStr">
        <is>
          <t>No</t>
        </is>
      </c>
      <c r="AQ213" t="inlineStr">
        <is>
          <t>No</t>
        </is>
      </c>
      <c r="AS213">
        <f>HYPERLINK("https://creighton-primo.hosted.exlibrisgroup.com/primo-explore/search?tab=default_tab&amp;search_scope=EVERYTHING&amp;vid=01CRU&amp;lang=en_US&amp;offset=0&amp;query=any,contains,991003818569702656","Catalog Record")</f>
        <v/>
      </c>
      <c r="AT213">
        <f>HYPERLINK("http://www.worldcat.org/oclc/1551852","WorldCat Record")</f>
        <v/>
      </c>
      <c r="AU213" t="inlineStr">
        <is>
          <t>9349790505:eng</t>
        </is>
      </c>
      <c r="AV213" t="inlineStr">
        <is>
          <t>1551852</t>
        </is>
      </c>
      <c r="AW213" t="inlineStr">
        <is>
          <t>991003818569702656</t>
        </is>
      </c>
      <c r="AX213" t="inlineStr">
        <is>
          <t>991003818569702656</t>
        </is>
      </c>
      <c r="AY213" t="inlineStr">
        <is>
          <t>2265794290002656</t>
        </is>
      </c>
      <c r="AZ213" t="inlineStr">
        <is>
          <t>BOOK</t>
        </is>
      </c>
      <c r="BB213" t="inlineStr">
        <is>
          <t>9780813508061</t>
        </is>
      </c>
      <c r="BC213" t="inlineStr">
        <is>
          <t>32285001912244</t>
        </is>
      </c>
      <c r="BD213" t="inlineStr">
        <is>
          <t>893445876</t>
        </is>
      </c>
    </row>
    <row r="214">
      <c r="A214" t="inlineStr">
        <is>
          <t>No</t>
        </is>
      </c>
      <c r="B214" t="inlineStr">
        <is>
          <t>DS118 .A3313</t>
        </is>
      </c>
      <c r="C214" t="inlineStr">
        <is>
          <t>0                      DS 0118000A  3313</t>
        </is>
      </c>
      <c r="D214" t="inlineStr">
        <is>
          <t>The land of the Bible; a historical geography, by Yohanan Aharoni. Translated from the Hebrew by A.F. Rainey.</t>
        </is>
      </c>
      <c r="F214" t="inlineStr">
        <is>
          <t>No</t>
        </is>
      </c>
      <c r="G214" t="inlineStr">
        <is>
          <t>1</t>
        </is>
      </c>
      <c r="H214" t="inlineStr">
        <is>
          <t>No</t>
        </is>
      </c>
      <c r="I214" t="inlineStr">
        <is>
          <t>No</t>
        </is>
      </c>
      <c r="J214" t="inlineStr">
        <is>
          <t>0</t>
        </is>
      </c>
      <c r="K214" t="inlineStr">
        <is>
          <t>Aharoni, Yohanan, 1919-1976.</t>
        </is>
      </c>
      <c r="L214" t="inlineStr">
        <is>
          <t>Philadelphia, Westminster Press [1967]</t>
        </is>
      </c>
      <c r="M214" t="inlineStr">
        <is>
          <t>1967</t>
        </is>
      </c>
      <c r="O214" t="inlineStr">
        <is>
          <t>eng</t>
        </is>
      </c>
      <c r="P214" t="inlineStr">
        <is>
          <t>pau</t>
        </is>
      </c>
      <c r="R214" t="inlineStr">
        <is>
          <t xml:space="preserve">DS </t>
        </is>
      </c>
      <c r="S214" t="n">
        <v>3</v>
      </c>
      <c r="T214" t="n">
        <v>3</v>
      </c>
      <c r="U214" t="inlineStr">
        <is>
          <t>2002-03-19</t>
        </is>
      </c>
      <c r="V214" t="inlineStr">
        <is>
          <t>2002-03-19</t>
        </is>
      </c>
      <c r="W214" t="inlineStr">
        <is>
          <t>1997-02-25</t>
        </is>
      </c>
      <c r="X214" t="inlineStr">
        <is>
          <t>1997-02-25</t>
        </is>
      </c>
      <c r="Y214" t="n">
        <v>800</v>
      </c>
      <c r="Z214" t="n">
        <v>748</v>
      </c>
      <c r="AA214" t="n">
        <v>1154</v>
      </c>
      <c r="AB214" t="n">
        <v>8</v>
      </c>
      <c r="AC214" t="n">
        <v>9</v>
      </c>
      <c r="AD214" t="n">
        <v>26</v>
      </c>
      <c r="AE214" t="n">
        <v>46</v>
      </c>
      <c r="AF214" t="n">
        <v>8</v>
      </c>
      <c r="AG214" t="n">
        <v>21</v>
      </c>
      <c r="AH214" t="n">
        <v>7</v>
      </c>
      <c r="AI214" t="n">
        <v>10</v>
      </c>
      <c r="AJ214" t="n">
        <v>11</v>
      </c>
      <c r="AK214" t="n">
        <v>22</v>
      </c>
      <c r="AL214" t="n">
        <v>6</v>
      </c>
      <c r="AM214" t="n">
        <v>7</v>
      </c>
      <c r="AN214" t="n">
        <v>0</v>
      </c>
      <c r="AO214" t="n">
        <v>0</v>
      </c>
      <c r="AP214" t="inlineStr">
        <is>
          <t>No</t>
        </is>
      </c>
      <c r="AQ214" t="inlineStr">
        <is>
          <t>Yes</t>
        </is>
      </c>
      <c r="AR214">
        <f>HYPERLINK("http://catalog.hathitrust.org/Record/001409526","HathiTrust Record")</f>
        <v/>
      </c>
      <c r="AS214">
        <f>HYPERLINK("https://creighton-primo.hosted.exlibrisgroup.com/primo-explore/search?tab=default_tab&amp;search_scope=EVERYTHING&amp;vid=01CRU&amp;lang=en_US&amp;offset=0&amp;query=any,contains,991003307409702656","Catalog Record")</f>
        <v/>
      </c>
      <c r="AT214">
        <f>HYPERLINK("http://www.worldcat.org/oclc/830863","WorldCat Record")</f>
        <v/>
      </c>
      <c r="AU214" t="inlineStr">
        <is>
          <t>513660:eng</t>
        </is>
      </c>
      <c r="AV214" t="inlineStr">
        <is>
          <t>830863</t>
        </is>
      </c>
      <c r="AW214" t="inlineStr">
        <is>
          <t>991003307409702656</t>
        </is>
      </c>
      <c r="AX214" t="inlineStr">
        <is>
          <t>991003307409702656</t>
        </is>
      </c>
      <c r="AY214" t="inlineStr">
        <is>
          <t>2269828440002656</t>
        </is>
      </c>
      <c r="AZ214" t="inlineStr">
        <is>
          <t>BOOK</t>
        </is>
      </c>
      <c r="BC214" t="inlineStr">
        <is>
          <t>32285002461571</t>
        </is>
      </c>
      <c r="BD214" t="inlineStr">
        <is>
          <t>893227922</t>
        </is>
      </c>
    </row>
    <row r="215">
      <c r="A215" t="inlineStr">
        <is>
          <t>No</t>
        </is>
      </c>
      <c r="B215" t="inlineStr">
        <is>
          <t>DS118 .A8</t>
        </is>
      </c>
      <c r="C215" t="inlineStr">
        <is>
          <t>0                      DS 0118000A  8</t>
        </is>
      </c>
      <c r="D215" t="inlineStr">
        <is>
          <t>Pictorial history of the Jewish people, from Bible times to our own day throughout the world.</t>
        </is>
      </c>
      <c r="F215" t="inlineStr">
        <is>
          <t>No</t>
        </is>
      </c>
      <c r="G215" t="inlineStr">
        <is>
          <t>1</t>
        </is>
      </c>
      <c r="H215" t="inlineStr">
        <is>
          <t>No</t>
        </is>
      </c>
      <c r="I215" t="inlineStr">
        <is>
          <t>No</t>
        </is>
      </c>
      <c r="J215" t="inlineStr">
        <is>
          <t>0</t>
        </is>
      </c>
      <c r="K215" t="inlineStr">
        <is>
          <t>Ausubel, Nathan, 1898-1986.</t>
        </is>
      </c>
      <c r="L215" t="inlineStr">
        <is>
          <t>New York, Crown Publishers [1953]</t>
        </is>
      </c>
      <c r="M215" t="inlineStr">
        <is>
          <t>1953</t>
        </is>
      </c>
      <c r="O215" t="inlineStr">
        <is>
          <t>eng</t>
        </is>
      </c>
      <c r="P215" t="inlineStr">
        <is>
          <t>nyu</t>
        </is>
      </c>
      <c r="R215" t="inlineStr">
        <is>
          <t xml:space="preserve">DS </t>
        </is>
      </c>
      <c r="S215" t="n">
        <v>2</v>
      </c>
      <c r="T215" t="n">
        <v>2</v>
      </c>
      <c r="U215" t="inlineStr">
        <is>
          <t>2000-09-19</t>
        </is>
      </c>
      <c r="V215" t="inlineStr">
        <is>
          <t>2000-09-19</t>
        </is>
      </c>
      <c r="W215" t="inlineStr">
        <is>
          <t>1992-05-06</t>
        </is>
      </c>
      <c r="X215" t="inlineStr">
        <is>
          <t>1992-05-06</t>
        </is>
      </c>
      <c r="Y215" t="n">
        <v>726</v>
      </c>
      <c r="Z215" t="n">
        <v>655</v>
      </c>
      <c r="AA215" t="n">
        <v>1014</v>
      </c>
      <c r="AB215" t="n">
        <v>5</v>
      </c>
      <c r="AC215" t="n">
        <v>7</v>
      </c>
      <c r="AD215" t="n">
        <v>25</v>
      </c>
      <c r="AE215" t="n">
        <v>28</v>
      </c>
      <c r="AF215" t="n">
        <v>11</v>
      </c>
      <c r="AG215" t="n">
        <v>13</v>
      </c>
      <c r="AH215" t="n">
        <v>3</v>
      </c>
      <c r="AI215" t="n">
        <v>3</v>
      </c>
      <c r="AJ215" t="n">
        <v>12</v>
      </c>
      <c r="AK215" t="n">
        <v>12</v>
      </c>
      <c r="AL215" t="n">
        <v>4</v>
      </c>
      <c r="AM215" t="n">
        <v>5</v>
      </c>
      <c r="AN215" t="n">
        <v>0</v>
      </c>
      <c r="AO215" t="n">
        <v>0</v>
      </c>
      <c r="AP215" t="inlineStr">
        <is>
          <t>No</t>
        </is>
      </c>
      <c r="AQ215" t="inlineStr">
        <is>
          <t>Yes</t>
        </is>
      </c>
      <c r="AR215">
        <f>HYPERLINK("http://catalog.hathitrust.org/Record/000583184","HathiTrust Record")</f>
        <v/>
      </c>
      <c r="AS215">
        <f>HYPERLINK("https://creighton-primo.hosted.exlibrisgroup.com/primo-explore/search?tab=default_tab&amp;search_scope=EVERYTHING&amp;vid=01CRU&amp;lang=en_US&amp;offset=0&amp;query=any,contains,991003100049702656","Catalog Record")</f>
        <v/>
      </c>
      <c r="AT215">
        <f>HYPERLINK("http://www.worldcat.org/oclc/649234","WorldCat Record")</f>
        <v/>
      </c>
      <c r="AU215" t="inlineStr">
        <is>
          <t>3855308152:eng</t>
        </is>
      </c>
      <c r="AV215" t="inlineStr">
        <is>
          <t>649234</t>
        </is>
      </c>
      <c r="AW215" t="inlineStr">
        <is>
          <t>991003100049702656</t>
        </is>
      </c>
      <c r="AX215" t="inlineStr">
        <is>
          <t>991003100049702656</t>
        </is>
      </c>
      <c r="AY215" t="inlineStr">
        <is>
          <t>2259020320002656</t>
        </is>
      </c>
      <c r="AZ215" t="inlineStr">
        <is>
          <t>BOOK</t>
        </is>
      </c>
      <c r="BC215" t="inlineStr">
        <is>
          <t>32285001121226</t>
        </is>
      </c>
      <c r="BD215" t="inlineStr">
        <is>
          <t>893518151</t>
        </is>
      </c>
    </row>
    <row r="216">
      <c r="A216" t="inlineStr">
        <is>
          <t>No</t>
        </is>
      </c>
      <c r="B216" t="inlineStr">
        <is>
          <t>DS118 .A8713 1977</t>
        </is>
      </c>
      <c r="C216" t="inlineStr">
        <is>
          <t>0                      DS 0118000A  8713        1977</t>
        </is>
      </c>
      <c r="D216" t="inlineStr">
        <is>
          <t>The Holy Land, from the Persian to the Arab conquests (536 B. C. to A. D. 640) : a historical geography / by Michael Avi-Yonah.</t>
        </is>
      </c>
      <c r="F216" t="inlineStr">
        <is>
          <t>No</t>
        </is>
      </c>
      <c r="G216" t="inlineStr">
        <is>
          <t>1</t>
        </is>
      </c>
      <c r="H216" t="inlineStr">
        <is>
          <t>No</t>
        </is>
      </c>
      <c r="I216" t="inlineStr">
        <is>
          <t>No</t>
        </is>
      </c>
      <c r="J216" t="inlineStr">
        <is>
          <t>0</t>
        </is>
      </c>
      <c r="K216" t="inlineStr">
        <is>
          <t>Avi-Yonah, Michael, 1904-1974.</t>
        </is>
      </c>
      <c r="L216" t="inlineStr">
        <is>
          <t>Grand Rapids, Mich. : Baker Book House, c1977, 1979 printing.</t>
        </is>
      </c>
      <c r="M216" t="inlineStr">
        <is>
          <t>1977</t>
        </is>
      </c>
      <c r="N216" t="inlineStr">
        <is>
          <t>Rev. ed.</t>
        </is>
      </c>
      <c r="O216" t="inlineStr">
        <is>
          <t>eng</t>
        </is>
      </c>
      <c r="P216" t="inlineStr">
        <is>
          <t>miu</t>
        </is>
      </c>
      <c r="R216" t="inlineStr">
        <is>
          <t xml:space="preserve">DS </t>
        </is>
      </c>
      <c r="S216" t="n">
        <v>3</v>
      </c>
      <c r="T216" t="n">
        <v>3</v>
      </c>
      <c r="U216" t="inlineStr">
        <is>
          <t>1999-01-26</t>
        </is>
      </c>
      <c r="V216" t="inlineStr">
        <is>
          <t>1999-01-26</t>
        </is>
      </c>
      <c r="W216" t="inlineStr">
        <is>
          <t>1990-08-16</t>
        </is>
      </c>
      <c r="X216" t="inlineStr">
        <is>
          <t>1990-08-16</t>
        </is>
      </c>
      <c r="Y216" t="n">
        <v>210</v>
      </c>
      <c r="Z216" t="n">
        <v>174</v>
      </c>
      <c r="AA216" t="n">
        <v>431</v>
      </c>
      <c r="AB216" t="n">
        <v>2</v>
      </c>
      <c r="AC216" t="n">
        <v>4</v>
      </c>
      <c r="AD216" t="n">
        <v>9</v>
      </c>
      <c r="AE216" t="n">
        <v>22</v>
      </c>
      <c r="AF216" t="n">
        <v>4</v>
      </c>
      <c r="AG216" t="n">
        <v>8</v>
      </c>
      <c r="AH216" t="n">
        <v>1</v>
      </c>
      <c r="AI216" t="n">
        <v>4</v>
      </c>
      <c r="AJ216" t="n">
        <v>4</v>
      </c>
      <c r="AK216" t="n">
        <v>12</v>
      </c>
      <c r="AL216" t="n">
        <v>1</v>
      </c>
      <c r="AM216" t="n">
        <v>2</v>
      </c>
      <c r="AN216" t="n">
        <v>0</v>
      </c>
      <c r="AO216" t="n">
        <v>0</v>
      </c>
      <c r="AP216" t="inlineStr">
        <is>
          <t>No</t>
        </is>
      </c>
      <c r="AQ216" t="inlineStr">
        <is>
          <t>Yes</t>
        </is>
      </c>
      <c r="AR216">
        <f>HYPERLINK("http://catalog.hathitrust.org/Record/001242689","HathiTrust Record")</f>
        <v/>
      </c>
      <c r="AS216">
        <f>HYPERLINK("https://creighton-primo.hosted.exlibrisgroup.com/primo-explore/search?tab=default_tab&amp;search_scope=EVERYTHING&amp;vid=01CRU&amp;lang=en_US&amp;offset=0&amp;query=any,contains,991004383329702656","Catalog Record")</f>
        <v/>
      </c>
      <c r="AT216">
        <f>HYPERLINK("http://www.worldcat.org/oclc/3123600","WorldCat Record")</f>
        <v/>
      </c>
      <c r="AU216" t="inlineStr">
        <is>
          <t>767726224:eng</t>
        </is>
      </c>
      <c r="AV216" t="inlineStr">
        <is>
          <t>3123600</t>
        </is>
      </c>
      <c r="AW216" t="inlineStr">
        <is>
          <t>991004383329702656</t>
        </is>
      </c>
      <c r="AX216" t="inlineStr">
        <is>
          <t>991004383329702656</t>
        </is>
      </c>
      <c r="AY216" t="inlineStr">
        <is>
          <t>2261547910002656</t>
        </is>
      </c>
      <c r="AZ216" t="inlineStr">
        <is>
          <t>BOOK</t>
        </is>
      </c>
      <c r="BB216" t="inlineStr">
        <is>
          <t>9781801000109</t>
        </is>
      </c>
      <c r="BC216" t="inlineStr">
        <is>
          <t>32285000290246</t>
        </is>
      </c>
      <c r="BD216" t="inlineStr">
        <is>
          <t>893869652</t>
        </is>
      </c>
    </row>
    <row r="217">
      <c r="A217" t="inlineStr">
        <is>
          <t>No</t>
        </is>
      </c>
      <c r="B217" t="inlineStr">
        <is>
          <t>DS118 .B413 1963</t>
        </is>
      </c>
      <c r="C217" t="inlineStr">
        <is>
          <t>0                      DS 0118000B  413         1963</t>
        </is>
      </c>
      <c r="D217" t="inlineStr">
        <is>
          <t>Concise history of Israel : from Abraham to the Bar Cochba rebellion / translated by Arnold J. Pomerans.</t>
        </is>
      </c>
      <c r="F217" t="inlineStr">
        <is>
          <t>No</t>
        </is>
      </c>
      <c r="G217" t="inlineStr">
        <is>
          <t>1</t>
        </is>
      </c>
      <c r="H217" t="inlineStr">
        <is>
          <t>No</t>
        </is>
      </c>
      <c r="I217" t="inlineStr">
        <is>
          <t>No</t>
        </is>
      </c>
      <c r="J217" t="inlineStr">
        <is>
          <t>0</t>
        </is>
      </c>
      <c r="K217" t="inlineStr">
        <is>
          <t>Beek, M. A. (Martinus Adrianus), 1909-1987.</t>
        </is>
      </c>
      <c r="L217" t="inlineStr">
        <is>
          <t>New York : Harper &amp; Row, [c1963]</t>
        </is>
      </c>
      <c r="M217" t="inlineStr">
        <is>
          <t>1963</t>
        </is>
      </c>
      <c r="O217" t="inlineStr">
        <is>
          <t>eng</t>
        </is>
      </c>
      <c r="P217" t="inlineStr">
        <is>
          <t>nyu</t>
        </is>
      </c>
      <c r="R217" t="inlineStr">
        <is>
          <t xml:space="preserve">DS </t>
        </is>
      </c>
      <c r="S217" t="n">
        <v>3</v>
      </c>
      <c r="T217" t="n">
        <v>3</v>
      </c>
      <c r="U217" t="inlineStr">
        <is>
          <t>1999-01-25</t>
        </is>
      </c>
      <c r="V217" t="inlineStr">
        <is>
          <t>1999-01-25</t>
        </is>
      </c>
      <c r="W217" t="inlineStr">
        <is>
          <t>1992-05-08</t>
        </is>
      </c>
      <c r="X217" t="inlineStr">
        <is>
          <t>1992-05-08</t>
        </is>
      </c>
      <c r="Y217" t="n">
        <v>399</v>
      </c>
      <c r="Z217" t="n">
        <v>372</v>
      </c>
      <c r="AA217" t="n">
        <v>380</v>
      </c>
      <c r="AB217" t="n">
        <v>3</v>
      </c>
      <c r="AC217" t="n">
        <v>3</v>
      </c>
      <c r="AD217" t="n">
        <v>14</v>
      </c>
      <c r="AE217" t="n">
        <v>14</v>
      </c>
      <c r="AF217" t="n">
        <v>6</v>
      </c>
      <c r="AG217" t="n">
        <v>6</v>
      </c>
      <c r="AH217" t="n">
        <v>3</v>
      </c>
      <c r="AI217" t="n">
        <v>3</v>
      </c>
      <c r="AJ217" t="n">
        <v>7</v>
      </c>
      <c r="AK217" t="n">
        <v>7</v>
      </c>
      <c r="AL217" t="n">
        <v>1</v>
      </c>
      <c r="AM217" t="n">
        <v>1</v>
      </c>
      <c r="AN217" t="n">
        <v>0</v>
      </c>
      <c r="AO217" t="n">
        <v>0</v>
      </c>
      <c r="AP217" t="inlineStr">
        <is>
          <t>No</t>
        </is>
      </c>
      <c r="AQ217" t="inlineStr">
        <is>
          <t>No</t>
        </is>
      </c>
      <c r="AR217">
        <f>HYPERLINK("http://catalog.hathitrust.org/Record/001242694","HathiTrust Record")</f>
        <v/>
      </c>
      <c r="AS217">
        <f>HYPERLINK("https://creighton-primo.hosted.exlibrisgroup.com/primo-explore/search?tab=default_tab&amp;search_scope=EVERYTHING&amp;vid=01CRU&amp;lang=en_US&amp;offset=0&amp;query=any,contains,991002699259702656","Catalog Record")</f>
        <v/>
      </c>
      <c r="AT217">
        <f>HYPERLINK("http://www.worldcat.org/oclc/404916","WorldCat Record")</f>
        <v/>
      </c>
      <c r="AU217" t="inlineStr">
        <is>
          <t>3768899200:eng</t>
        </is>
      </c>
      <c r="AV217" t="inlineStr">
        <is>
          <t>404916</t>
        </is>
      </c>
      <c r="AW217" t="inlineStr">
        <is>
          <t>991002699259702656</t>
        </is>
      </c>
      <c r="AX217" t="inlineStr">
        <is>
          <t>991002699259702656</t>
        </is>
      </c>
      <c r="AY217" t="inlineStr">
        <is>
          <t>2260399830002656</t>
        </is>
      </c>
      <c r="AZ217" t="inlineStr">
        <is>
          <t>BOOK</t>
        </is>
      </c>
      <c r="BC217" t="inlineStr">
        <is>
          <t>32285001106128</t>
        </is>
      </c>
      <c r="BD217" t="inlineStr">
        <is>
          <t>893616446</t>
        </is>
      </c>
    </row>
    <row r="218">
      <c r="A218" t="inlineStr">
        <is>
          <t>No</t>
        </is>
      </c>
      <c r="B218" t="inlineStr">
        <is>
          <t>DS118 .G46 2002</t>
        </is>
      </c>
      <c r="C218" t="inlineStr">
        <is>
          <t>0                      DS 0118000G  46          2002</t>
        </is>
      </c>
      <c r="D218" t="inlineStr">
        <is>
          <t>Letters to Auntie Fori : the 5000-year history of the Jewish people and their faith / Martin Gilbert.</t>
        </is>
      </c>
      <c r="F218" t="inlineStr">
        <is>
          <t>No</t>
        </is>
      </c>
      <c r="G218" t="inlineStr">
        <is>
          <t>1</t>
        </is>
      </c>
      <c r="H218" t="inlineStr">
        <is>
          <t>No</t>
        </is>
      </c>
      <c r="I218" t="inlineStr">
        <is>
          <t>No</t>
        </is>
      </c>
      <c r="J218" t="inlineStr">
        <is>
          <t>0</t>
        </is>
      </c>
      <c r="K218" t="inlineStr">
        <is>
          <t>Gilbert, Martin, 1936-2015.</t>
        </is>
      </c>
      <c r="L218" t="inlineStr">
        <is>
          <t>New York : Schocken Books, c2002.</t>
        </is>
      </c>
      <c r="M218" t="inlineStr">
        <is>
          <t>2002</t>
        </is>
      </c>
      <c r="N218" t="inlineStr">
        <is>
          <t>1st American ed.</t>
        </is>
      </c>
      <c r="O218" t="inlineStr">
        <is>
          <t>eng</t>
        </is>
      </c>
      <c r="P218" t="inlineStr">
        <is>
          <t>nyu</t>
        </is>
      </c>
      <c r="R218" t="inlineStr">
        <is>
          <t xml:space="preserve">DS </t>
        </is>
      </c>
      <c r="S218" t="n">
        <v>3</v>
      </c>
      <c r="T218" t="n">
        <v>3</v>
      </c>
      <c r="U218" t="inlineStr">
        <is>
          <t>2002-06-16</t>
        </is>
      </c>
      <c r="V218" t="inlineStr">
        <is>
          <t>2002-06-16</t>
        </is>
      </c>
      <c r="W218" t="inlineStr">
        <is>
          <t>2002-05-01</t>
        </is>
      </c>
      <c r="X218" t="inlineStr">
        <is>
          <t>2002-05-01</t>
        </is>
      </c>
      <c r="Y218" t="n">
        <v>385</v>
      </c>
      <c r="Z218" t="n">
        <v>307</v>
      </c>
      <c r="AA218" t="n">
        <v>375</v>
      </c>
      <c r="AB218" t="n">
        <v>4</v>
      </c>
      <c r="AC218" t="n">
        <v>4</v>
      </c>
      <c r="AD218" t="n">
        <v>13</v>
      </c>
      <c r="AE218" t="n">
        <v>13</v>
      </c>
      <c r="AF218" t="n">
        <v>4</v>
      </c>
      <c r="AG218" t="n">
        <v>4</v>
      </c>
      <c r="AH218" t="n">
        <v>4</v>
      </c>
      <c r="AI218" t="n">
        <v>4</v>
      </c>
      <c r="AJ218" t="n">
        <v>6</v>
      </c>
      <c r="AK218" t="n">
        <v>6</v>
      </c>
      <c r="AL218" t="n">
        <v>2</v>
      </c>
      <c r="AM218" t="n">
        <v>2</v>
      </c>
      <c r="AN218" t="n">
        <v>0</v>
      </c>
      <c r="AO218" t="n">
        <v>0</v>
      </c>
      <c r="AP218" t="inlineStr">
        <is>
          <t>No</t>
        </is>
      </c>
      <c r="AQ218" t="inlineStr">
        <is>
          <t>Yes</t>
        </is>
      </c>
      <c r="AR218">
        <f>HYPERLINK("http://catalog.hathitrust.org/Record/004234906","HathiTrust Record")</f>
        <v/>
      </c>
      <c r="AS218">
        <f>HYPERLINK("https://creighton-primo.hosted.exlibrisgroup.com/primo-explore/search?tab=default_tab&amp;search_scope=EVERYTHING&amp;vid=01CRU&amp;lang=en_US&amp;offset=0&amp;query=any,contains,991003798059702656","Catalog Record")</f>
        <v/>
      </c>
      <c r="AT218">
        <f>HYPERLINK("http://www.worldcat.org/oclc/46394464","WorldCat Record")</f>
        <v/>
      </c>
      <c r="AU218" t="inlineStr">
        <is>
          <t>837050088:eng</t>
        </is>
      </c>
      <c r="AV218" t="inlineStr">
        <is>
          <t>46394464</t>
        </is>
      </c>
      <c r="AW218" t="inlineStr">
        <is>
          <t>991003798059702656</t>
        </is>
      </c>
      <c r="AX218" t="inlineStr">
        <is>
          <t>991003798059702656</t>
        </is>
      </c>
      <c r="AY218" t="inlineStr">
        <is>
          <t>2266413720002656</t>
        </is>
      </c>
      <c r="AZ218" t="inlineStr">
        <is>
          <t>BOOK</t>
        </is>
      </c>
      <c r="BB218" t="inlineStr">
        <is>
          <t>9780805241884</t>
        </is>
      </c>
      <c r="BC218" t="inlineStr">
        <is>
          <t>32285004485230</t>
        </is>
      </c>
      <c r="BD218" t="inlineStr">
        <is>
          <t>893506006</t>
        </is>
      </c>
    </row>
    <row r="219">
      <c r="A219" t="inlineStr">
        <is>
          <t>No</t>
        </is>
      </c>
      <c r="B219" t="inlineStr">
        <is>
          <t>DS118 .K1513</t>
        </is>
      </c>
      <c r="C219" t="inlineStr">
        <is>
          <t>0                      DS 0118000K  1513</t>
        </is>
      </c>
      <c r="D219" t="inlineStr">
        <is>
          <t>Israel : from the earliest times to the birth of Christ / [by] Arvid S. Kapelrud. Translated [from the Norwegian] by J.M. Moe.</t>
        </is>
      </c>
      <c r="F219" t="inlineStr">
        <is>
          <t>No</t>
        </is>
      </c>
      <c r="G219" t="inlineStr">
        <is>
          <t>1</t>
        </is>
      </c>
      <c r="H219" t="inlineStr">
        <is>
          <t>No</t>
        </is>
      </c>
      <c r="I219" t="inlineStr">
        <is>
          <t>No</t>
        </is>
      </c>
      <c r="J219" t="inlineStr">
        <is>
          <t>0</t>
        </is>
      </c>
      <c r="K219" t="inlineStr">
        <is>
          <t>Kapelrud, Arvid S., 1912-1994.</t>
        </is>
      </c>
      <c r="L219" t="inlineStr">
        <is>
          <t>Oxford : Blackwell, 1966</t>
        </is>
      </c>
      <c r="M219" t="inlineStr">
        <is>
          <t>1966</t>
        </is>
      </c>
      <c r="O219" t="inlineStr">
        <is>
          <t>eng</t>
        </is>
      </c>
      <c r="P219" t="inlineStr">
        <is>
          <t xml:space="preserve">xx </t>
        </is>
      </c>
      <c r="R219" t="inlineStr">
        <is>
          <t xml:space="preserve">DS </t>
        </is>
      </c>
      <c r="S219" t="n">
        <v>1</v>
      </c>
      <c r="T219" t="n">
        <v>1</v>
      </c>
      <c r="U219" t="inlineStr">
        <is>
          <t>1999-01-21</t>
        </is>
      </c>
      <c r="V219" t="inlineStr">
        <is>
          <t>1999-01-21</t>
        </is>
      </c>
      <c r="W219" t="inlineStr">
        <is>
          <t>1992-05-08</t>
        </is>
      </c>
      <c r="X219" t="inlineStr">
        <is>
          <t>1992-05-08</t>
        </is>
      </c>
      <c r="Y219" t="n">
        <v>250</v>
      </c>
      <c r="Z219" t="n">
        <v>164</v>
      </c>
      <c r="AA219" t="n">
        <v>166</v>
      </c>
      <c r="AB219" t="n">
        <v>1</v>
      </c>
      <c r="AC219" t="n">
        <v>1</v>
      </c>
      <c r="AD219" t="n">
        <v>10</v>
      </c>
      <c r="AE219" t="n">
        <v>10</v>
      </c>
      <c r="AF219" t="n">
        <v>4</v>
      </c>
      <c r="AG219" t="n">
        <v>4</v>
      </c>
      <c r="AH219" t="n">
        <v>1</v>
      </c>
      <c r="AI219" t="n">
        <v>1</v>
      </c>
      <c r="AJ219" t="n">
        <v>7</v>
      </c>
      <c r="AK219" t="n">
        <v>7</v>
      </c>
      <c r="AL219" t="n">
        <v>0</v>
      </c>
      <c r="AM219" t="n">
        <v>0</v>
      </c>
      <c r="AN219" t="n">
        <v>0</v>
      </c>
      <c r="AO219" t="n">
        <v>0</v>
      </c>
      <c r="AP219" t="inlineStr">
        <is>
          <t>No</t>
        </is>
      </c>
      <c r="AQ219" t="inlineStr">
        <is>
          <t>Yes</t>
        </is>
      </c>
      <c r="AR219">
        <f>HYPERLINK("http://catalog.hathitrust.org/Record/001242712","HathiTrust Record")</f>
        <v/>
      </c>
      <c r="AS219">
        <f>HYPERLINK("https://creighton-primo.hosted.exlibrisgroup.com/primo-explore/search?tab=default_tab&amp;search_scope=EVERYTHING&amp;vid=01CRU&amp;lang=en_US&amp;offset=0&amp;query=any,contains,991003555289702656","Catalog Record")</f>
        <v/>
      </c>
      <c r="AT219">
        <f>HYPERLINK("http://www.worldcat.org/oclc/1123166","WorldCat Record")</f>
        <v/>
      </c>
      <c r="AU219" t="inlineStr">
        <is>
          <t>3900993013:eng</t>
        </is>
      </c>
      <c r="AV219" t="inlineStr">
        <is>
          <t>1123166</t>
        </is>
      </c>
      <c r="AW219" t="inlineStr">
        <is>
          <t>991003555289702656</t>
        </is>
      </c>
      <c r="AX219" t="inlineStr">
        <is>
          <t>991003555289702656</t>
        </is>
      </c>
      <c r="AY219" t="inlineStr">
        <is>
          <t>2265343800002656</t>
        </is>
      </c>
      <c r="AZ219" t="inlineStr">
        <is>
          <t>BOOK</t>
        </is>
      </c>
      <c r="BC219" t="inlineStr">
        <is>
          <t>32285001106110</t>
        </is>
      </c>
      <c r="BD219" t="inlineStr">
        <is>
          <t>893348803</t>
        </is>
      </c>
    </row>
    <row r="220">
      <c r="A220" t="inlineStr">
        <is>
          <t>No</t>
        </is>
      </c>
      <c r="B220" t="inlineStr">
        <is>
          <t>DS118 .M26 1991</t>
        </is>
      </c>
      <c r="C220" t="inlineStr">
        <is>
          <t>0                      DS 0118000M  26          1991</t>
        </is>
      </c>
      <c r="D220" t="inlineStr">
        <is>
          <t>Jewish history and thought : an introduction / by Menahem Mansoor.</t>
        </is>
      </c>
      <c r="F220" t="inlineStr">
        <is>
          <t>No</t>
        </is>
      </c>
      <c r="G220" t="inlineStr">
        <is>
          <t>1</t>
        </is>
      </c>
      <c r="H220" t="inlineStr">
        <is>
          <t>No</t>
        </is>
      </c>
      <c r="I220" t="inlineStr">
        <is>
          <t>No</t>
        </is>
      </c>
      <c r="J220" t="inlineStr">
        <is>
          <t>0</t>
        </is>
      </c>
      <c r="K220" t="inlineStr">
        <is>
          <t>Mansoor, Menahem.</t>
        </is>
      </c>
      <c r="L220" t="inlineStr">
        <is>
          <t>Hoboken, NJ : Ktav Pub. House, c1991.</t>
        </is>
      </c>
      <c r="M220" t="inlineStr">
        <is>
          <t>1991</t>
        </is>
      </c>
      <c r="O220" t="inlineStr">
        <is>
          <t>eng</t>
        </is>
      </c>
      <c r="P220" t="inlineStr">
        <is>
          <t>nju</t>
        </is>
      </c>
      <c r="R220" t="inlineStr">
        <is>
          <t xml:space="preserve">DS </t>
        </is>
      </c>
      <c r="S220" t="n">
        <v>9</v>
      </c>
      <c r="T220" t="n">
        <v>9</v>
      </c>
      <c r="U220" t="inlineStr">
        <is>
          <t>2003-12-06</t>
        </is>
      </c>
      <c r="V220" t="inlineStr">
        <is>
          <t>2003-12-06</t>
        </is>
      </c>
      <c r="W220" t="inlineStr">
        <is>
          <t>1995-04-17</t>
        </is>
      </c>
      <c r="X220" t="inlineStr">
        <is>
          <t>1995-04-17</t>
        </is>
      </c>
      <c r="Y220" t="n">
        <v>682</v>
      </c>
      <c r="Z220" t="n">
        <v>634</v>
      </c>
      <c r="AA220" t="n">
        <v>639</v>
      </c>
      <c r="AB220" t="n">
        <v>3</v>
      </c>
      <c r="AC220" t="n">
        <v>3</v>
      </c>
      <c r="AD220" t="n">
        <v>32</v>
      </c>
      <c r="AE220" t="n">
        <v>32</v>
      </c>
      <c r="AF220" t="n">
        <v>16</v>
      </c>
      <c r="AG220" t="n">
        <v>16</v>
      </c>
      <c r="AH220" t="n">
        <v>8</v>
      </c>
      <c r="AI220" t="n">
        <v>8</v>
      </c>
      <c r="AJ220" t="n">
        <v>17</v>
      </c>
      <c r="AK220" t="n">
        <v>17</v>
      </c>
      <c r="AL220" t="n">
        <v>2</v>
      </c>
      <c r="AM220" t="n">
        <v>2</v>
      </c>
      <c r="AN220" t="n">
        <v>0</v>
      </c>
      <c r="AO220" t="n">
        <v>0</v>
      </c>
      <c r="AP220" t="inlineStr">
        <is>
          <t>No</t>
        </is>
      </c>
      <c r="AQ220" t="inlineStr">
        <is>
          <t>Yes</t>
        </is>
      </c>
      <c r="AR220">
        <f>HYPERLINK("http://catalog.hathitrust.org/Record/002534091","HathiTrust Record")</f>
        <v/>
      </c>
      <c r="AS220">
        <f>HYPERLINK("https://creighton-primo.hosted.exlibrisgroup.com/primo-explore/search?tab=default_tab&amp;search_scope=EVERYTHING&amp;vid=01CRU&amp;lang=en_US&amp;offset=0&amp;query=any,contains,991001939719702656","Catalog Record")</f>
        <v/>
      </c>
      <c r="AT220">
        <f>HYPERLINK("http://www.worldcat.org/oclc/24503299","WorldCat Record")</f>
        <v/>
      </c>
      <c r="AU220" t="inlineStr">
        <is>
          <t>368317707:eng</t>
        </is>
      </c>
      <c r="AV220" t="inlineStr">
        <is>
          <t>24503299</t>
        </is>
      </c>
      <c r="AW220" t="inlineStr">
        <is>
          <t>991001939719702656</t>
        </is>
      </c>
      <c r="AX220" t="inlineStr">
        <is>
          <t>991001939719702656</t>
        </is>
      </c>
      <c r="AY220" t="inlineStr">
        <is>
          <t>2261647690002656</t>
        </is>
      </c>
      <c r="AZ220" t="inlineStr">
        <is>
          <t>BOOK</t>
        </is>
      </c>
      <c r="BB220" t="inlineStr">
        <is>
          <t>9780881254037</t>
        </is>
      </c>
      <c r="BC220" t="inlineStr">
        <is>
          <t>32285002008836</t>
        </is>
      </c>
      <c r="BD220" t="inlineStr">
        <is>
          <t>893244566</t>
        </is>
      </c>
    </row>
    <row r="221">
      <c r="A221" t="inlineStr">
        <is>
          <t>No</t>
        </is>
      </c>
      <c r="B221" t="inlineStr">
        <is>
          <t>DS118 .M55 1969</t>
        </is>
      </c>
      <c r="C221" t="inlineStr">
        <is>
          <t>0                      DS 0118000M  55          1969</t>
        </is>
      </c>
      <c r="D221" t="inlineStr">
        <is>
          <t>The decadence of Judaism in our time.</t>
        </is>
      </c>
      <c r="F221" t="inlineStr">
        <is>
          <t>No</t>
        </is>
      </c>
      <c r="G221" t="inlineStr">
        <is>
          <t>1</t>
        </is>
      </c>
      <c r="H221" t="inlineStr">
        <is>
          <t>No</t>
        </is>
      </c>
      <c r="I221" t="inlineStr">
        <is>
          <t>No</t>
        </is>
      </c>
      <c r="J221" t="inlineStr">
        <is>
          <t>0</t>
        </is>
      </c>
      <c r="K221" t="inlineStr">
        <is>
          <t>Menuhin, Moshe, 1893-1983.</t>
        </is>
      </c>
      <c r="L221" t="inlineStr">
        <is>
          <t>Beirut : Institute for Palestine Studies, 1969.</t>
        </is>
      </c>
      <c r="M221" t="inlineStr">
        <is>
          <t>1969</t>
        </is>
      </c>
      <c r="O221" t="inlineStr">
        <is>
          <t>eng</t>
        </is>
      </c>
      <c r="P221" t="inlineStr">
        <is>
          <t xml:space="preserve">le </t>
        </is>
      </c>
      <c r="Q221" t="inlineStr">
        <is>
          <t>Institute for Palestine Studies. Reprint series, no. 1</t>
        </is>
      </c>
      <c r="R221" t="inlineStr">
        <is>
          <t xml:space="preserve">DS </t>
        </is>
      </c>
      <c r="S221" t="n">
        <v>1</v>
      </c>
      <c r="T221" t="n">
        <v>1</v>
      </c>
      <c r="U221" t="inlineStr">
        <is>
          <t>1995-08-29</t>
        </is>
      </c>
      <c r="V221" t="inlineStr">
        <is>
          <t>1995-08-29</t>
        </is>
      </c>
      <c r="W221" t="inlineStr">
        <is>
          <t>1993-12-06</t>
        </is>
      </c>
      <c r="X221" t="inlineStr">
        <is>
          <t>1993-12-06</t>
        </is>
      </c>
      <c r="Y221" t="n">
        <v>233</v>
      </c>
      <c r="Z221" t="n">
        <v>184</v>
      </c>
      <c r="AA221" t="n">
        <v>319</v>
      </c>
      <c r="AB221" t="n">
        <v>2</v>
      </c>
      <c r="AC221" t="n">
        <v>2</v>
      </c>
      <c r="AD221" t="n">
        <v>10</v>
      </c>
      <c r="AE221" t="n">
        <v>15</v>
      </c>
      <c r="AF221" t="n">
        <v>2</v>
      </c>
      <c r="AG221" t="n">
        <v>3</v>
      </c>
      <c r="AH221" t="n">
        <v>4</v>
      </c>
      <c r="AI221" t="n">
        <v>4</v>
      </c>
      <c r="AJ221" t="n">
        <v>5</v>
      </c>
      <c r="AK221" t="n">
        <v>10</v>
      </c>
      <c r="AL221" t="n">
        <v>1</v>
      </c>
      <c r="AM221" t="n">
        <v>1</v>
      </c>
      <c r="AN221" t="n">
        <v>0</v>
      </c>
      <c r="AO221" t="n">
        <v>0</v>
      </c>
      <c r="AP221" t="inlineStr">
        <is>
          <t>No</t>
        </is>
      </c>
      <c r="AQ221" t="inlineStr">
        <is>
          <t>Yes</t>
        </is>
      </c>
      <c r="AR221">
        <f>HYPERLINK("http://catalog.hathitrust.org/Record/001242722","HathiTrust Record")</f>
        <v/>
      </c>
      <c r="AS221">
        <f>HYPERLINK("https://creighton-primo.hosted.exlibrisgroup.com/primo-explore/search?tab=default_tab&amp;search_scope=EVERYTHING&amp;vid=01CRU&amp;lang=en_US&amp;offset=0&amp;query=any,contains,991000627879702656","Catalog Record")</f>
        <v/>
      </c>
      <c r="AT221">
        <f>HYPERLINK("http://www.worldcat.org/oclc/104943","WorldCat Record")</f>
        <v/>
      </c>
      <c r="AU221" t="inlineStr">
        <is>
          <t>1184265:eng</t>
        </is>
      </c>
      <c r="AV221" t="inlineStr">
        <is>
          <t>104943</t>
        </is>
      </c>
      <c r="AW221" t="inlineStr">
        <is>
          <t>991000627879702656</t>
        </is>
      </c>
      <c r="AX221" t="inlineStr">
        <is>
          <t>991000627879702656</t>
        </is>
      </c>
      <c r="AY221" t="inlineStr">
        <is>
          <t>2260824010002656</t>
        </is>
      </c>
      <c r="AZ221" t="inlineStr">
        <is>
          <t>BOOK</t>
        </is>
      </c>
      <c r="BC221" t="inlineStr">
        <is>
          <t>32285001805851</t>
        </is>
      </c>
      <c r="BD221" t="inlineStr">
        <is>
          <t>893608117</t>
        </is>
      </c>
    </row>
    <row r="222">
      <c r="A222" t="inlineStr">
        <is>
          <t>No</t>
        </is>
      </c>
      <c r="B222" t="inlineStr">
        <is>
          <t>DS118 .P35 1983</t>
        </is>
      </c>
      <c r="C222" t="inlineStr">
        <is>
          <t>0                      DS 0118000P  35          1983</t>
        </is>
      </c>
      <c r="D222" t="inlineStr">
        <is>
          <t>Palestine in transition: the emergence of ancient Israel / edited by David Noel Freedman and David Frank Graf.</t>
        </is>
      </c>
      <c r="F222" t="inlineStr">
        <is>
          <t>No</t>
        </is>
      </c>
      <c r="G222" t="inlineStr">
        <is>
          <t>1</t>
        </is>
      </c>
      <c r="H222" t="inlineStr">
        <is>
          <t>No</t>
        </is>
      </c>
      <c r="I222" t="inlineStr">
        <is>
          <t>No</t>
        </is>
      </c>
      <c r="J222" t="inlineStr">
        <is>
          <t>0</t>
        </is>
      </c>
      <c r="L222" t="inlineStr">
        <is>
          <t>Sheffield, Eng. : published in association with The American Schools of Oriental Research by the Almond Press, 1983.</t>
        </is>
      </c>
      <c r="M222" t="inlineStr">
        <is>
          <t>1983</t>
        </is>
      </c>
      <c r="O222" t="inlineStr">
        <is>
          <t>eng</t>
        </is>
      </c>
      <c r="P222" t="inlineStr">
        <is>
          <t>enk</t>
        </is>
      </c>
      <c r="Q222" t="inlineStr">
        <is>
          <t>The Social world of Biblical antiquity ; 2</t>
        </is>
      </c>
      <c r="R222" t="inlineStr">
        <is>
          <t xml:space="preserve">DS </t>
        </is>
      </c>
      <c r="S222" t="n">
        <v>0</v>
      </c>
      <c r="T222" t="n">
        <v>0</v>
      </c>
      <c r="U222" t="inlineStr">
        <is>
          <t>2001-06-27</t>
        </is>
      </c>
      <c r="V222" t="inlineStr">
        <is>
          <t>2001-06-27</t>
        </is>
      </c>
      <c r="W222" t="inlineStr">
        <is>
          <t>1991-06-28</t>
        </is>
      </c>
      <c r="X222" t="inlineStr">
        <is>
          <t>1991-06-28</t>
        </is>
      </c>
      <c r="Y222" t="n">
        <v>403</v>
      </c>
      <c r="Z222" t="n">
        <v>282</v>
      </c>
      <c r="AA222" t="n">
        <v>295</v>
      </c>
      <c r="AB222" t="n">
        <v>1</v>
      </c>
      <c r="AC222" t="n">
        <v>2</v>
      </c>
      <c r="AD222" t="n">
        <v>13</v>
      </c>
      <c r="AE222" t="n">
        <v>14</v>
      </c>
      <c r="AF222" t="n">
        <v>4</v>
      </c>
      <c r="AG222" t="n">
        <v>4</v>
      </c>
      <c r="AH222" t="n">
        <v>3</v>
      </c>
      <c r="AI222" t="n">
        <v>3</v>
      </c>
      <c r="AJ222" t="n">
        <v>8</v>
      </c>
      <c r="AK222" t="n">
        <v>8</v>
      </c>
      <c r="AL222" t="n">
        <v>0</v>
      </c>
      <c r="AM222" t="n">
        <v>1</v>
      </c>
      <c r="AN222" t="n">
        <v>0</v>
      </c>
      <c r="AO222" t="n">
        <v>0</v>
      </c>
      <c r="AP222" t="inlineStr">
        <is>
          <t>Yes</t>
        </is>
      </c>
      <c r="AQ222" t="inlineStr">
        <is>
          <t>Yes</t>
        </is>
      </c>
      <c r="AR222">
        <f>HYPERLINK("http://catalog.hathitrust.org/Record/004735337","HathiTrust Record")</f>
        <v/>
      </c>
      <c r="AS222">
        <f>HYPERLINK("https://creighton-primo.hosted.exlibrisgroup.com/primo-explore/search?tab=default_tab&amp;search_scope=EVERYTHING&amp;vid=01CRU&amp;lang=en_US&amp;offset=0&amp;query=any,contains,991000356049702656","Catalog Record")</f>
        <v/>
      </c>
      <c r="AT222">
        <f>HYPERLINK("http://www.worldcat.org/oclc/10327192","WorldCat Record")</f>
        <v/>
      </c>
      <c r="AU222" t="inlineStr">
        <is>
          <t>806543183:eng</t>
        </is>
      </c>
      <c r="AV222" t="inlineStr">
        <is>
          <t>10327192</t>
        </is>
      </c>
      <c r="AW222" t="inlineStr">
        <is>
          <t>991000356049702656</t>
        </is>
      </c>
      <c r="AX222" t="inlineStr">
        <is>
          <t>991000356049702656</t>
        </is>
      </c>
      <c r="AY222" t="inlineStr">
        <is>
          <t>2264686250002656</t>
        </is>
      </c>
      <c r="AZ222" t="inlineStr">
        <is>
          <t>BOOK</t>
        </is>
      </c>
      <c r="BB222" t="inlineStr">
        <is>
          <t>9780907459323</t>
        </is>
      </c>
      <c r="BC222" t="inlineStr">
        <is>
          <t>32285000672310</t>
        </is>
      </c>
      <c r="BD222" t="inlineStr">
        <is>
          <t>893333396</t>
        </is>
      </c>
    </row>
    <row r="223">
      <c r="A223" t="inlineStr">
        <is>
          <t>No</t>
        </is>
      </c>
      <c r="B223" t="inlineStr">
        <is>
          <t>DS118 .P53 1974</t>
        </is>
      </c>
      <c r="C223" t="inlineStr">
        <is>
          <t>0                      DS 0118000P  53          1974</t>
        </is>
      </c>
      <c r="D223" t="inlineStr">
        <is>
          <t>Picture history of Jewish civilization / editor-in-chief: Bezalel Narkiss. Co-editors: Samuel Abramsky [and others]</t>
        </is>
      </c>
      <c r="F223" t="inlineStr">
        <is>
          <t>No</t>
        </is>
      </c>
      <c r="G223" t="inlineStr">
        <is>
          <t>1</t>
        </is>
      </c>
      <c r="H223" t="inlineStr">
        <is>
          <t>No</t>
        </is>
      </c>
      <c r="I223" t="inlineStr">
        <is>
          <t>No</t>
        </is>
      </c>
      <c r="J223" t="inlineStr">
        <is>
          <t>0</t>
        </is>
      </c>
      <c r="L223" t="inlineStr">
        <is>
          <t>New York : Tudor Pub. Co., [c1974]</t>
        </is>
      </c>
      <c r="M223" t="inlineStr">
        <is>
          <t>1974</t>
        </is>
      </c>
      <c r="N223" t="inlineStr">
        <is>
          <t>[Rev. ed.]</t>
        </is>
      </c>
      <c r="O223" t="inlineStr">
        <is>
          <t>eng</t>
        </is>
      </c>
      <c r="P223" t="inlineStr">
        <is>
          <t>nyu</t>
        </is>
      </c>
      <c r="R223" t="inlineStr">
        <is>
          <t xml:space="preserve">DS </t>
        </is>
      </c>
      <c r="S223" t="n">
        <v>1</v>
      </c>
      <c r="T223" t="n">
        <v>1</v>
      </c>
      <c r="U223" t="inlineStr">
        <is>
          <t>2000-09-12</t>
        </is>
      </c>
      <c r="V223" t="inlineStr">
        <is>
          <t>2000-09-12</t>
        </is>
      </c>
      <c r="W223" t="inlineStr">
        <is>
          <t>1992-05-07</t>
        </is>
      </c>
      <c r="X223" t="inlineStr">
        <is>
          <t>1992-05-07</t>
        </is>
      </c>
      <c r="Y223" t="n">
        <v>73</v>
      </c>
      <c r="Z223" t="n">
        <v>63</v>
      </c>
      <c r="AA223" t="n">
        <v>410</v>
      </c>
      <c r="AB223" t="n">
        <v>2</v>
      </c>
      <c r="AC223" t="n">
        <v>4</v>
      </c>
      <c r="AD223" t="n">
        <v>4</v>
      </c>
      <c r="AE223" t="n">
        <v>11</v>
      </c>
      <c r="AF223" t="n">
        <v>1</v>
      </c>
      <c r="AG223" t="n">
        <v>2</v>
      </c>
      <c r="AH223" t="n">
        <v>2</v>
      </c>
      <c r="AI223" t="n">
        <v>4</v>
      </c>
      <c r="AJ223" t="n">
        <v>2</v>
      </c>
      <c r="AK223" t="n">
        <v>5</v>
      </c>
      <c r="AL223" t="n">
        <v>0</v>
      </c>
      <c r="AM223" t="n">
        <v>2</v>
      </c>
      <c r="AN223" t="n">
        <v>0</v>
      </c>
      <c r="AO223" t="n">
        <v>0</v>
      </c>
      <c r="AP223" t="inlineStr">
        <is>
          <t>No</t>
        </is>
      </c>
      <c r="AQ223" t="inlineStr">
        <is>
          <t>No</t>
        </is>
      </c>
      <c r="AS223">
        <f>HYPERLINK("https://creighton-primo.hosted.exlibrisgroup.com/primo-explore/search?tab=default_tab&amp;search_scope=EVERYTHING&amp;vid=01CRU&amp;lang=en_US&amp;offset=0&amp;query=any,contains,991003847089702656","Catalog Record")</f>
        <v/>
      </c>
      <c r="AT223">
        <f>HYPERLINK("http://www.worldcat.org/oclc/1632974","WorldCat Record")</f>
        <v/>
      </c>
      <c r="AU223" t="inlineStr">
        <is>
          <t>5453694732:eng</t>
        </is>
      </c>
      <c r="AV223" t="inlineStr">
        <is>
          <t>1632974</t>
        </is>
      </c>
      <c r="AW223" t="inlineStr">
        <is>
          <t>991003847089702656</t>
        </is>
      </c>
      <c r="AX223" t="inlineStr">
        <is>
          <t>991003847089702656</t>
        </is>
      </c>
      <c r="AY223" t="inlineStr">
        <is>
          <t>2257851360002656</t>
        </is>
      </c>
      <c r="AZ223" t="inlineStr">
        <is>
          <t>BOOK</t>
        </is>
      </c>
      <c r="BC223" t="inlineStr">
        <is>
          <t>32285001094662</t>
        </is>
      </c>
      <c r="BD223" t="inlineStr">
        <is>
          <t>893718135</t>
        </is>
      </c>
    </row>
    <row r="224">
      <c r="A224" t="inlineStr">
        <is>
          <t>No</t>
        </is>
      </c>
      <c r="B224" t="inlineStr">
        <is>
          <t>DS119 .G58</t>
        </is>
      </c>
      <c r="C224" t="inlineStr">
        <is>
          <t>0                      DS 0119000G  58</t>
        </is>
      </c>
      <c r="D224" t="inlineStr">
        <is>
          <t>Jews and Arabs, their contacts through the ages.</t>
        </is>
      </c>
      <c r="F224" t="inlineStr">
        <is>
          <t>No</t>
        </is>
      </c>
      <c r="G224" t="inlineStr">
        <is>
          <t>1</t>
        </is>
      </c>
      <c r="H224" t="inlineStr">
        <is>
          <t>No</t>
        </is>
      </c>
      <c r="I224" t="inlineStr">
        <is>
          <t>No</t>
        </is>
      </c>
      <c r="J224" t="inlineStr">
        <is>
          <t>0</t>
        </is>
      </c>
      <c r="K224" t="inlineStr">
        <is>
          <t>Goitein, Shelomo Dov, 1900-1985.</t>
        </is>
      </c>
      <c r="L224" t="inlineStr">
        <is>
          <t>New York, Schocken Books [1955]</t>
        </is>
      </c>
      <c r="M224" t="inlineStr">
        <is>
          <t>1955</t>
        </is>
      </c>
      <c r="O224" t="inlineStr">
        <is>
          <t>eng</t>
        </is>
      </c>
      <c r="P224" t="inlineStr">
        <is>
          <t>nyu</t>
        </is>
      </c>
      <c r="R224" t="inlineStr">
        <is>
          <t xml:space="preserve">DS </t>
        </is>
      </c>
      <c r="S224" t="n">
        <v>1</v>
      </c>
      <c r="T224" t="n">
        <v>1</v>
      </c>
      <c r="U224" t="inlineStr">
        <is>
          <t>2007-04-01</t>
        </is>
      </c>
      <c r="V224" t="inlineStr">
        <is>
          <t>2007-04-01</t>
        </is>
      </c>
      <c r="W224" t="inlineStr">
        <is>
          <t>1991-12-12</t>
        </is>
      </c>
      <c r="X224" t="inlineStr">
        <is>
          <t>1991-12-12</t>
        </is>
      </c>
      <c r="Y224" t="n">
        <v>498</v>
      </c>
      <c r="Z224" t="n">
        <v>436</v>
      </c>
      <c r="AA224" t="n">
        <v>1234</v>
      </c>
      <c r="AB224" t="n">
        <v>5</v>
      </c>
      <c r="AC224" t="n">
        <v>9</v>
      </c>
      <c r="AD224" t="n">
        <v>15</v>
      </c>
      <c r="AE224" t="n">
        <v>54</v>
      </c>
      <c r="AF224" t="n">
        <v>2</v>
      </c>
      <c r="AG224" t="n">
        <v>20</v>
      </c>
      <c r="AH224" t="n">
        <v>5</v>
      </c>
      <c r="AI224" t="n">
        <v>10</v>
      </c>
      <c r="AJ224" t="n">
        <v>6</v>
      </c>
      <c r="AK224" t="n">
        <v>25</v>
      </c>
      <c r="AL224" t="n">
        <v>4</v>
      </c>
      <c r="AM224" t="n">
        <v>7</v>
      </c>
      <c r="AN224" t="n">
        <v>0</v>
      </c>
      <c r="AO224" t="n">
        <v>6</v>
      </c>
      <c r="AP224" t="inlineStr">
        <is>
          <t>No</t>
        </is>
      </c>
      <c r="AQ224" t="inlineStr">
        <is>
          <t>No</t>
        </is>
      </c>
      <c r="AS224">
        <f>HYPERLINK("https://creighton-primo.hosted.exlibrisgroup.com/primo-explore/search?tab=default_tab&amp;search_scope=EVERYTHING&amp;vid=01CRU&amp;lang=en_US&amp;offset=0&amp;query=any,contains,991003425459702656","Catalog Record")</f>
        <v/>
      </c>
      <c r="AT224">
        <f>HYPERLINK("http://www.worldcat.org/oclc/964501","WorldCat Record")</f>
        <v/>
      </c>
      <c r="AU224" t="inlineStr">
        <is>
          <t>149316274:eng</t>
        </is>
      </c>
      <c r="AV224" t="inlineStr">
        <is>
          <t>964501</t>
        </is>
      </c>
      <c r="AW224" t="inlineStr">
        <is>
          <t>991003425459702656</t>
        </is>
      </c>
      <c r="AX224" t="inlineStr">
        <is>
          <t>991003425459702656</t>
        </is>
      </c>
      <c r="AY224" t="inlineStr">
        <is>
          <t>2261772820002656</t>
        </is>
      </c>
      <c r="AZ224" t="inlineStr">
        <is>
          <t>BOOK</t>
        </is>
      </c>
      <c r="BC224" t="inlineStr">
        <is>
          <t>32285000878537</t>
        </is>
      </c>
      <c r="BD224" t="inlineStr">
        <is>
          <t>893317973</t>
        </is>
      </c>
    </row>
    <row r="225">
      <c r="A225" t="inlineStr">
        <is>
          <t>No</t>
        </is>
      </c>
      <c r="B225" t="inlineStr">
        <is>
          <t>DS119.2 .D86 1978</t>
        </is>
      </c>
      <c r="C225" t="inlineStr">
        <is>
          <t>0                      DS 0119200D  86          1978</t>
        </is>
      </c>
      <c r="D225" t="inlineStr">
        <is>
          <t>Elusive victory : the Arab-Israeli wars, 1947-1974 / Trevor N. Dupuy. --</t>
        </is>
      </c>
      <c r="F225" t="inlineStr">
        <is>
          <t>No</t>
        </is>
      </c>
      <c r="G225" t="inlineStr">
        <is>
          <t>1</t>
        </is>
      </c>
      <c r="H225" t="inlineStr">
        <is>
          <t>No</t>
        </is>
      </c>
      <c r="I225" t="inlineStr">
        <is>
          <t>No</t>
        </is>
      </c>
      <c r="J225" t="inlineStr">
        <is>
          <t>0</t>
        </is>
      </c>
      <c r="K225" t="inlineStr">
        <is>
          <t>Dupuy, Trevor N. (Trevor Nevitt), 1916-1995.</t>
        </is>
      </c>
      <c r="L225" t="inlineStr">
        <is>
          <t>New York : Harper &amp; Row, c1978.</t>
        </is>
      </c>
      <c r="M225" t="inlineStr">
        <is>
          <t>1978</t>
        </is>
      </c>
      <c r="N225" t="inlineStr">
        <is>
          <t>1st ed. --</t>
        </is>
      </c>
      <c r="O225" t="inlineStr">
        <is>
          <t>eng</t>
        </is>
      </c>
      <c r="P225" t="inlineStr">
        <is>
          <t>nyu</t>
        </is>
      </c>
      <c r="R225" t="inlineStr">
        <is>
          <t xml:space="preserve">DS </t>
        </is>
      </c>
      <c r="S225" t="n">
        <v>4</v>
      </c>
      <c r="T225" t="n">
        <v>4</v>
      </c>
      <c r="U225" t="inlineStr">
        <is>
          <t>1998-04-24</t>
        </is>
      </c>
      <c r="V225" t="inlineStr">
        <is>
          <t>1998-04-24</t>
        </is>
      </c>
      <c r="W225" t="inlineStr">
        <is>
          <t>1990-02-14</t>
        </is>
      </c>
      <c r="X225" t="inlineStr">
        <is>
          <t>1990-02-14</t>
        </is>
      </c>
      <c r="Y225" t="n">
        <v>780</v>
      </c>
      <c r="Z225" t="n">
        <v>700</v>
      </c>
      <c r="AA225" t="n">
        <v>778</v>
      </c>
      <c r="AB225" t="n">
        <v>4</v>
      </c>
      <c r="AC225" t="n">
        <v>5</v>
      </c>
      <c r="AD225" t="n">
        <v>20</v>
      </c>
      <c r="AE225" t="n">
        <v>23</v>
      </c>
      <c r="AF225" t="n">
        <v>9</v>
      </c>
      <c r="AG225" t="n">
        <v>10</v>
      </c>
      <c r="AH225" t="n">
        <v>6</v>
      </c>
      <c r="AI225" t="n">
        <v>7</v>
      </c>
      <c r="AJ225" t="n">
        <v>8</v>
      </c>
      <c r="AK225" t="n">
        <v>8</v>
      </c>
      <c r="AL225" t="n">
        <v>2</v>
      </c>
      <c r="AM225" t="n">
        <v>3</v>
      </c>
      <c r="AN225" t="n">
        <v>0</v>
      </c>
      <c r="AO225" t="n">
        <v>0</v>
      </c>
      <c r="AP225" t="inlineStr">
        <is>
          <t>No</t>
        </is>
      </c>
      <c r="AQ225" t="inlineStr">
        <is>
          <t>Yes</t>
        </is>
      </c>
      <c r="AR225">
        <f>HYPERLINK("http://catalog.hathitrust.org/Record/000176841","HathiTrust Record")</f>
        <v/>
      </c>
      <c r="AS225">
        <f>HYPERLINK("https://creighton-primo.hosted.exlibrisgroup.com/primo-explore/search?tab=default_tab&amp;search_scope=EVERYTHING&amp;vid=01CRU&amp;lang=en_US&amp;offset=0&amp;query=any,contains,991004568029702656","Catalog Record")</f>
        <v/>
      </c>
      <c r="AT225">
        <f>HYPERLINK("http://www.worldcat.org/oclc/4004996","WorldCat Record")</f>
        <v/>
      </c>
      <c r="AU225" t="inlineStr">
        <is>
          <t>284194896:eng</t>
        </is>
      </c>
      <c r="AV225" t="inlineStr">
        <is>
          <t>4004996</t>
        </is>
      </c>
      <c r="AW225" t="inlineStr">
        <is>
          <t>991004568029702656</t>
        </is>
      </c>
      <c r="AX225" t="inlineStr">
        <is>
          <t>991004568029702656</t>
        </is>
      </c>
      <c r="AY225" t="inlineStr">
        <is>
          <t>2264983080002656</t>
        </is>
      </c>
      <c r="AZ225" t="inlineStr">
        <is>
          <t>BOOK</t>
        </is>
      </c>
      <c r="BB225" t="inlineStr">
        <is>
          <t>9780060111120</t>
        </is>
      </c>
      <c r="BC225" t="inlineStr">
        <is>
          <t>32285000053784</t>
        </is>
      </c>
      <c r="BD225" t="inlineStr">
        <is>
          <t>893319399</t>
        </is>
      </c>
    </row>
    <row r="226">
      <c r="A226" t="inlineStr">
        <is>
          <t>No</t>
        </is>
      </c>
      <c r="B226" t="inlineStr">
        <is>
          <t>DS119.2 .S3413</t>
        </is>
      </c>
      <c r="C226" t="inlineStr">
        <is>
          <t>0                      DS 0119200S  3413</t>
        </is>
      </c>
      <c r="D226" t="inlineStr">
        <is>
          <t>A history of the Israeli Army (1870-1974) / by Zeev Schiff ; translated and edited by Raphael Rothstein.</t>
        </is>
      </c>
      <c r="F226" t="inlineStr">
        <is>
          <t>No</t>
        </is>
      </c>
      <c r="G226" t="inlineStr">
        <is>
          <t>1</t>
        </is>
      </c>
      <c r="H226" t="inlineStr">
        <is>
          <t>No</t>
        </is>
      </c>
      <c r="I226" t="inlineStr">
        <is>
          <t>No</t>
        </is>
      </c>
      <c r="J226" t="inlineStr">
        <is>
          <t>0</t>
        </is>
      </c>
      <c r="K226" t="inlineStr">
        <is>
          <t>Schiff, Zeev, 1933-2007.</t>
        </is>
      </c>
      <c r="L226" t="inlineStr">
        <is>
          <t>San Francisco : Straight Arrow Books ; New York : distributed by Simon and Schuster, 1974.</t>
        </is>
      </c>
      <c r="M226" t="inlineStr">
        <is>
          <t>1974</t>
        </is>
      </c>
      <c r="O226" t="inlineStr">
        <is>
          <t>eng</t>
        </is>
      </c>
      <c r="P226" t="inlineStr">
        <is>
          <t>cau</t>
        </is>
      </c>
      <c r="R226" t="inlineStr">
        <is>
          <t xml:space="preserve">DS </t>
        </is>
      </c>
      <c r="S226" t="n">
        <v>3</v>
      </c>
      <c r="T226" t="n">
        <v>3</v>
      </c>
      <c r="U226" t="inlineStr">
        <is>
          <t>2003-09-22</t>
        </is>
      </c>
      <c r="V226" t="inlineStr">
        <is>
          <t>2003-09-22</t>
        </is>
      </c>
      <c r="W226" t="inlineStr">
        <is>
          <t>1997-02-25</t>
        </is>
      </c>
      <c r="X226" t="inlineStr">
        <is>
          <t>1997-02-25</t>
        </is>
      </c>
      <c r="Y226" t="n">
        <v>354</v>
      </c>
      <c r="Z226" t="n">
        <v>297</v>
      </c>
      <c r="AA226" t="n">
        <v>304</v>
      </c>
      <c r="AB226" t="n">
        <v>5</v>
      </c>
      <c r="AC226" t="n">
        <v>5</v>
      </c>
      <c r="AD226" t="n">
        <v>9</v>
      </c>
      <c r="AE226" t="n">
        <v>9</v>
      </c>
      <c r="AF226" t="n">
        <v>0</v>
      </c>
      <c r="AG226" t="n">
        <v>0</v>
      </c>
      <c r="AH226" t="n">
        <v>3</v>
      </c>
      <c r="AI226" t="n">
        <v>3</v>
      </c>
      <c r="AJ226" t="n">
        <v>4</v>
      </c>
      <c r="AK226" t="n">
        <v>4</v>
      </c>
      <c r="AL226" t="n">
        <v>4</v>
      </c>
      <c r="AM226" t="n">
        <v>4</v>
      </c>
      <c r="AN226" t="n">
        <v>0</v>
      </c>
      <c r="AO226" t="n">
        <v>0</v>
      </c>
      <c r="AP226" t="inlineStr">
        <is>
          <t>No</t>
        </is>
      </c>
      <c r="AQ226" t="inlineStr">
        <is>
          <t>Yes</t>
        </is>
      </c>
      <c r="AR226">
        <f>HYPERLINK("http://catalog.hathitrust.org/Record/001242760","HathiTrust Record")</f>
        <v/>
      </c>
      <c r="AS226">
        <f>HYPERLINK("https://creighton-primo.hosted.exlibrisgroup.com/primo-explore/search?tab=default_tab&amp;search_scope=EVERYTHING&amp;vid=01CRU&amp;lang=en_US&amp;offset=0&amp;query=any,contains,991003607879702656","Catalog Record")</f>
        <v/>
      </c>
      <c r="AT226">
        <f>HYPERLINK("http://www.worldcat.org/oclc/1188936","WorldCat Record")</f>
        <v/>
      </c>
      <c r="AU226" t="inlineStr">
        <is>
          <t>2144210:eng</t>
        </is>
      </c>
      <c r="AV226" t="inlineStr">
        <is>
          <t>1188936</t>
        </is>
      </c>
      <c r="AW226" t="inlineStr">
        <is>
          <t>991003607879702656</t>
        </is>
      </c>
      <c r="AX226" t="inlineStr">
        <is>
          <t>991003607879702656</t>
        </is>
      </c>
      <c r="AY226" t="inlineStr">
        <is>
          <t>2266069000002656</t>
        </is>
      </c>
      <c r="AZ226" t="inlineStr">
        <is>
          <t>BOOK</t>
        </is>
      </c>
      <c r="BB226" t="inlineStr">
        <is>
          <t>9780879320775</t>
        </is>
      </c>
      <c r="BC226" t="inlineStr">
        <is>
          <t>32285002461670</t>
        </is>
      </c>
      <c r="BD226" t="inlineStr">
        <is>
          <t>893781181</t>
        </is>
      </c>
    </row>
    <row r="227">
      <c r="A227" t="inlineStr">
        <is>
          <t>No</t>
        </is>
      </c>
      <c r="B227" t="inlineStr">
        <is>
          <t>DS119.6 .B73 1975</t>
        </is>
      </c>
      <c r="C227" t="inlineStr">
        <is>
          <t>0                      DS 0119600B  73          1975</t>
        </is>
      </c>
      <c r="D227" t="inlineStr">
        <is>
          <t>Decisions in Israel's foreign policy / Michael Brecher.</t>
        </is>
      </c>
      <c r="F227" t="inlineStr">
        <is>
          <t>No</t>
        </is>
      </c>
      <c r="G227" t="inlineStr">
        <is>
          <t>1</t>
        </is>
      </c>
      <c r="H227" t="inlineStr">
        <is>
          <t>No</t>
        </is>
      </c>
      <c r="I227" t="inlineStr">
        <is>
          <t>No</t>
        </is>
      </c>
      <c r="J227" t="inlineStr">
        <is>
          <t>0</t>
        </is>
      </c>
      <c r="K227" t="inlineStr">
        <is>
          <t>Brecher, Michael.</t>
        </is>
      </c>
      <c r="L227" t="inlineStr">
        <is>
          <t>New Haven : Yale University Press, 1975.</t>
        </is>
      </c>
      <c r="M227" t="inlineStr">
        <is>
          <t>1975</t>
        </is>
      </c>
      <c r="O227" t="inlineStr">
        <is>
          <t>eng</t>
        </is>
      </c>
      <c r="P227" t="inlineStr">
        <is>
          <t>ctu</t>
        </is>
      </c>
      <c r="R227" t="inlineStr">
        <is>
          <t xml:space="preserve">DS </t>
        </is>
      </c>
      <c r="S227" t="n">
        <v>1</v>
      </c>
      <c r="T227" t="n">
        <v>1</v>
      </c>
      <c r="U227" t="inlineStr">
        <is>
          <t>2004-04-23</t>
        </is>
      </c>
      <c r="V227" t="inlineStr">
        <is>
          <t>2004-04-23</t>
        </is>
      </c>
      <c r="W227" t="inlineStr">
        <is>
          <t>1997-02-25</t>
        </is>
      </c>
      <c r="X227" t="inlineStr">
        <is>
          <t>1997-02-25</t>
        </is>
      </c>
      <c r="Y227" t="n">
        <v>471</v>
      </c>
      <c r="Z227" t="n">
        <v>412</v>
      </c>
      <c r="AA227" t="n">
        <v>455</v>
      </c>
      <c r="AB227" t="n">
        <v>2</v>
      </c>
      <c r="AC227" t="n">
        <v>3</v>
      </c>
      <c r="AD227" t="n">
        <v>20</v>
      </c>
      <c r="AE227" t="n">
        <v>23</v>
      </c>
      <c r="AF227" t="n">
        <v>9</v>
      </c>
      <c r="AG227" t="n">
        <v>9</v>
      </c>
      <c r="AH227" t="n">
        <v>6</v>
      </c>
      <c r="AI227" t="n">
        <v>6</v>
      </c>
      <c r="AJ227" t="n">
        <v>11</v>
      </c>
      <c r="AK227" t="n">
        <v>13</v>
      </c>
      <c r="AL227" t="n">
        <v>1</v>
      </c>
      <c r="AM227" t="n">
        <v>2</v>
      </c>
      <c r="AN227" t="n">
        <v>0</v>
      </c>
      <c r="AO227" t="n">
        <v>0</v>
      </c>
      <c r="AP227" t="inlineStr">
        <is>
          <t>No</t>
        </is>
      </c>
      <c r="AQ227" t="inlineStr">
        <is>
          <t>No</t>
        </is>
      </c>
      <c r="AS227">
        <f>HYPERLINK("https://creighton-primo.hosted.exlibrisgroup.com/primo-explore/search?tab=default_tab&amp;search_scope=EVERYTHING&amp;vid=01CRU&amp;lang=en_US&amp;offset=0&amp;query=any,contains,991003580369702656","Catalog Record")</f>
        <v/>
      </c>
      <c r="AT227">
        <f>HYPERLINK("http://www.worldcat.org/oclc/1161438","WorldCat Record")</f>
        <v/>
      </c>
      <c r="AU227" t="inlineStr">
        <is>
          <t>2095947:eng</t>
        </is>
      </c>
      <c r="AV227" t="inlineStr">
        <is>
          <t>1161438</t>
        </is>
      </c>
      <c r="AW227" t="inlineStr">
        <is>
          <t>991003580369702656</t>
        </is>
      </c>
      <c r="AX227" t="inlineStr">
        <is>
          <t>991003580369702656</t>
        </is>
      </c>
      <c r="AY227" t="inlineStr">
        <is>
          <t>2271325500002656</t>
        </is>
      </c>
      <c r="AZ227" t="inlineStr">
        <is>
          <t>BOOK</t>
        </is>
      </c>
      <c r="BB227" t="inlineStr">
        <is>
          <t>9780300016604</t>
        </is>
      </c>
      <c r="BC227" t="inlineStr">
        <is>
          <t>32285002461688</t>
        </is>
      </c>
      <c r="BD227" t="inlineStr">
        <is>
          <t>893240365</t>
        </is>
      </c>
    </row>
    <row r="228">
      <c r="A228" t="inlineStr">
        <is>
          <t>No</t>
        </is>
      </c>
      <c r="B228" t="inlineStr">
        <is>
          <t>DS119.6 .N48 2000</t>
        </is>
      </c>
      <c r="C228" t="inlineStr">
        <is>
          <t>0                      DS 0119600N  48          2000</t>
        </is>
      </c>
      <c r="D228" t="inlineStr">
        <is>
          <t>A durable peace : Israel and its place among the nations / Benjamin Netanyahu.</t>
        </is>
      </c>
      <c r="F228" t="inlineStr">
        <is>
          <t>No</t>
        </is>
      </c>
      <c r="G228" t="inlineStr">
        <is>
          <t>1</t>
        </is>
      </c>
      <c r="H228" t="inlineStr">
        <is>
          <t>No</t>
        </is>
      </c>
      <c r="I228" t="inlineStr">
        <is>
          <t>No</t>
        </is>
      </c>
      <c r="J228" t="inlineStr">
        <is>
          <t>0</t>
        </is>
      </c>
      <c r="K228" t="inlineStr">
        <is>
          <t>Netanyahu, Binyamin.</t>
        </is>
      </c>
      <c r="L228" t="inlineStr">
        <is>
          <t>New York : Warner Books, c2000.</t>
        </is>
      </c>
      <c r="M228" t="inlineStr">
        <is>
          <t>2000</t>
        </is>
      </c>
      <c r="N228" t="inlineStr">
        <is>
          <t>Warner Books ed.</t>
        </is>
      </c>
      <c r="O228" t="inlineStr">
        <is>
          <t>eng</t>
        </is>
      </c>
      <c r="P228" t="inlineStr">
        <is>
          <t>nyu</t>
        </is>
      </c>
      <c r="R228" t="inlineStr">
        <is>
          <t xml:space="preserve">DS </t>
        </is>
      </c>
      <c r="S228" t="n">
        <v>3</v>
      </c>
      <c r="T228" t="n">
        <v>3</v>
      </c>
      <c r="U228" t="inlineStr">
        <is>
          <t>2009-02-02</t>
        </is>
      </c>
      <c r="V228" t="inlineStr">
        <is>
          <t>2009-02-02</t>
        </is>
      </c>
      <c r="W228" t="inlineStr">
        <is>
          <t>2000-02-23</t>
        </is>
      </c>
      <c r="X228" t="inlineStr">
        <is>
          <t>2000-02-23</t>
        </is>
      </c>
      <c r="Y228" t="n">
        <v>453</v>
      </c>
      <c r="Z228" t="n">
        <v>391</v>
      </c>
      <c r="AA228" t="n">
        <v>419</v>
      </c>
      <c r="AB228" t="n">
        <v>2</v>
      </c>
      <c r="AC228" t="n">
        <v>2</v>
      </c>
      <c r="AD228" t="n">
        <v>13</v>
      </c>
      <c r="AE228" t="n">
        <v>14</v>
      </c>
      <c r="AF228" t="n">
        <v>4</v>
      </c>
      <c r="AG228" t="n">
        <v>4</v>
      </c>
      <c r="AH228" t="n">
        <v>3</v>
      </c>
      <c r="AI228" t="n">
        <v>4</v>
      </c>
      <c r="AJ228" t="n">
        <v>8</v>
      </c>
      <c r="AK228" t="n">
        <v>9</v>
      </c>
      <c r="AL228" t="n">
        <v>1</v>
      </c>
      <c r="AM228" t="n">
        <v>1</v>
      </c>
      <c r="AN228" t="n">
        <v>0</v>
      </c>
      <c r="AO228" t="n">
        <v>0</v>
      </c>
      <c r="AP228" t="inlineStr">
        <is>
          <t>No</t>
        </is>
      </c>
      <c r="AQ228" t="inlineStr">
        <is>
          <t>No</t>
        </is>
      </c>
      <c r="AS228">
        <f>HYPERLINK("https://creighton-primo.hosted.exlibrisgroup.com/primo-explore/search?tab=default_tab&amp;search_scope=EVERYTHING&amp;vid=01CRU&amp;lang=en_US&amp;offset=0&amp;query=any,contains,991003015669702656","Catalog Record")</f>
        <v/>
      </c>
      <c r="AT228">
        <f>HYPERLINK("http://www.worldcat.org/oclc/41017446","WorldCat Record")</f>
        <v/>
      </c>
      <c r="AU228" t="inlineStr">
        <is>
          <t>546053:eng</t>
        </is>
      </c>
      <c r="AV228" t="inlineStr">
        <is>
          <t>41017446</t>
        </is>
      </c>
      <c r="AW228" t="inlineStr">
        <is>
          <t>991003015669702656</t>
        </is>
      </c>
      <c r="AX228" t="inlineStr">
        <is>
          <t>991003015669702656</t>
        </is>
      </c>
      <c r="AY228" t="inlineStr">
        <is>
          <t>2255354110002656</t>
        </is>
      </c>
      <c r="AZ228" t="inlineStr">
        <is>
          <t>BOOK</t>
        </is>
      </c>
      <c r="BB228" t="inlineStr">
        <is>
          <t>9780446523066</t>
        </is>
      </c>
      <c r="BC228" t="inlineStr">
        <is>
          <t>32285003663829</t>
        </is>
      </c>
      <c r="BD228" t="inlineStr">
        <is>
          <t>893610611</t>
        </is>
      </c>
    </row>
    <row r="229">
      <c r="A229" t="inlineStr">
        <is>
          <t>No</t>
        </is>
      </c>
      <c r="B229" t="inlineStr">
        <is>
          <t>DS119.7 .A59623 1995</t>
        </is>
      </c>
      <c r="C229" t="inlineStr">
        <is>
          <t>0                      DS 0119700A  59623       1995</t>
        </is>
      </c>
      <c r="D229" t="inlineStr">
        <is>
          <t>Through secret channels / Mahmoud Abbas.</t>
        </is>
      </c>
      <c r="F229" t="inlineStr">
        <is>
          <t>No</t>
        </is>
      </c>
      <c r="G229" t="inlineStr">
        <is>
          <t>1</t>
        </is>
      </c>
      <c r="H229" t="inlineStr">
        <is>
          <t>No</t>
        </is>
      </c>
      <c r="I229" t="inlineStr">
        <is>
          <t>No</t>
        </is>
      </c>
      <c r="J229" t="inlineStr">
        <is>
          <t>0</t>
        </is>
      </c>
      <c r="K229" t="inlineStr">
        <is>
          <t>ʻAbbās, Maḥmūd.</t>
        </is>
      </c>
      <c r="L229" t="inlineStr">
        <is>
          <t>Reading, UK : Garnet Pub., 1995.</t>
        </is>
      </c>
      <c r="M229" t="inlineStr">
        <is>
          <t>1995</t>
        </is>
      </c>
      <c r="O229" t="inlineStr">
        <is>
          <t>eng</t>
        </is>
      </c>
      <c r="P229" t="inlineStr">
        <is>
          <t>enk</t>
        </is>
      </c>
      <c r="R229" t="inlineStr">
        <is>
          <t xml:space="preserve">DS </t>
        </is>
      </c>
      <c r="S229" t="n">
        <v>2</v>
      </c>
      <c r="T229" t="n">
        <v>2</v>
      </c>
      <c r="U229" t="inlineStr">
        <is>
          <t>2005-01-28</t>
        </is>
      </c>
      <c r="V229" t="inlineStr">
        <is>
          <t>2005-01-28</t>
        </is>
      </c>
      <c r="W229" t="inlineStr">
        <is>
          <t>1997-05-14</t>
        </is>
      </c>
      <c r="X229" t="inlineStr">
        <is>
          <t>1997-05-14</t>
        </is>
      </c>
      <c r="Y229" t="n">
        <v>215</v>
      </c>
      <c r="Z229" t="n">
        <v>140</v>
      </c>
      <c r="AA229" t="n">
        <v>141</v>
      </c>
      <c r="AB229" t="n">
        <v>1</v>
      </c>
      <c r="AC229" t="n">
        <v>1</v>
      </c>
      <c r="AD229" t="n">
        <v>7</v>
      </c>
      <c r="AE229" t="n">
        <v>7</v>
      </c>
      <c r="AF229" t="n">
        <v>1</v>
      </c>
      <c r="AG229" t="n">
        <v>1</v>
      </c>
      <c r="AH229" t="n">
        <v>3</v>
      </c>
      <c r="AI229" t="n">
        <v>3</v>
      </c>
      <c r="AJ229" t="n">
        <v>5</v>
      </c>
      <c r="AK229" t="n">
        <v>5</v>
      </c>
      <c r="AL229" t="n">
        <v>0</v>
      </c>
      <c r="AM229" t="n">
        <v>0</v>
      </c>
      <c r="AN229" t="n">
        <v>0</v>
      </c>
      <c r="AO229" t="n">
        <v>0</v>
      </c>
      <c r="AP229" t="inlineStr">
        <is>
          <t>No</t>
        </is>
      </c>
      <c r="AQ229" t="inlineStr">
        <is>
          <t>Yes</t>
        </is>
      </c>
      <c r="AR229">
        <f>HYPERLINK("http://catalog.hathitrust.org/Record/002989820","HathiTrust Record")</f>
        <v/>
      </c>
      <c r="AS229">
        <f>HYPERLINK("https://creighton-primo.hosted.exlibrisgroup.com/primo-explore/search?tab=default_tab&amp;search_scope=EVERYTHING&amp;vid=01CRU&amp;lang=en_US&amp;offset=0&amp;query=any,contains,991002540969702656","Catalog Record")</f>
        <v/>
      </c>
      <c r="AT229">
        <f>HYPERLINK("http://www.worldcat.org/oclc/33018689","WorldCat Record")</f>
        <v/>
      </c>
      <c r="AU229" t="inlineStr">
        <is>
          <t>37595760:eng</t>
        </is>
      </c>
      <c r="AV229" t="inlineStr">
        <is>
          <t>33018689</t>
        </is>
      </c>
      <c r="AW229" t="inlineStr">
        <is>
          <t>991002540969702656</t>
        </is>
      </c>
      <c r="AX229" t="inlineStr">
        <is>
          <t>991002540969702656</t>
        </is>
      </c>
      <c r="AY229" t="inlineStr">
        <is>
          <t>2257746700002656</t>
        </is>
      </c>
      <c r="AZ229" t="inlineStr">
        <is>
          <t>BOOK</t>
        </is>
      </c>
      <c r="BB229" t="inlineStr">
        <is>
          <t>9781859640470</t>
        </is>
      </c>
      <c r="BC229" t="inlineStr">
        <is>
          <t>32285002607991</t>
        </is>
      </c>
      <c r="BD229" t="inlineStr">
        <is>
          <t>893616247</t>
        </is>
      </c>
    </row>
    <row r="230">
      <c r="A230" t="inlineStr">
        <is>
          <t>No</t>
        </is>
      </c>
      <c r="B230" t="inlineStr">
        <is>
          <t>DS119.7 .A597</t>
        </is>
      </c>
      <c r="C230" t="inlineStr">
        <is>
          <t>0                      DS 0119700A  597</t>
        </is>
      </c>
      <c r="D230" t="inlineStr">
        <is>
          <t>The angry Arabs, by W. F. Abboushi.</t>
        </is>
      </c>
      <c r="F230" t="inlineStr">
        <is>
          <t>No</t>
        </is>
      </c>
      <c r="G230" t="inlineStr">
        <is>
          <t>1</t>
        </is>
      </c>
      <c r="H230" t="inlineStr">
        <is>
          <t>No</t>
        </is>
      </c>
      <c r="I230" t="inlineStr">
        <is>
          <t>No</t>
        </is>
      </c>
      <c r="J230" t="inlineStr">
        <is>
          <t>0</t>
        </is>
      </c>
      <c r="K230" t="inlineStr">
        <is>
          <t>Abboushi, W. F., 1931-</t>
        </is>
      </c>
      <c r="L230" t="inlineStr">
        <is>
          <t>Philadelphia, Westminster Press [1974]</t>
        </is>
      </c>
      <c r="M230" t="inlineStr">
        <is>
          <t>1974</t>
        </is>
      </c>
      <c r="O230" t="inlineStr">
        <is>
          <t>eng</t>
        </is>
      </c>
      <c r="P230" t="inlineStr">
        <is>
          <t>pau</t>
        </is>
      </c>
      <c r="R230" t="inlineStr">
        <is>
          <t xml:space="preserve">DS </t>
        </is>
      </c>
      <c r="S230" t="n">
        <v>3</v>
      </c>
      <c r="T230" t="n">
        <v>3</v>
      </c>
      <c r="U230" t="inlineStr">
        <is>
          <t>2004-04-23</t>
        </is>
      </c>
      <c r="V230" t="inlineStr">
        <is>
          <t>2004-04-23</t>
        </is>
      </c>
      <c r="W230" t="inlineStr">
        <is>
          <t>1997-02-25</t>
        </is>
      </c>
      <c r="X230" t="inlineStr">
        <is>
          <t>1997-02-25</t>
        </is>
      </c>
      <c r="Y230" t="n">
        <v>678</v>
      </c>
      <c r="Z230" t="n">
        <v>593</v>
      </c>
      <c r="AA230" t="n">
        <v>598</v>
      </c>
      <c r="AB230" t="n">
        <v>7</v>
      </c>
      <c r="AC230" t="n">
        <v>7</v>
      </c>
      <c r="AD230" t="n">
        <v>20</v>
      </c>
      <c r="AE230" t="n">
        <v>20</v>
      </c>
      <c r="AF230" t="n">
        <v>8</v>
      </c>
      <c r="AG230" t="n">
        <v>8</v>
      </c>
      <c r="AH230" t="n">
        <v>3</v>
      </c>
      <c r="AI230" t="n">
        <v>3</v>
      </c>
      <c r="AJ230" t="n">
        <v>7</v>
      </c>
      <c r="AK230" t="n">
        <v>7</v>
      </c>
      <c r="AL230" t="n">
        <v>4</v>
      </c>
      <c r="AM230" t="n">
        <v>4</v>
      </c>
      <c r="AN230" t="n">
        <v>0</v>
      </c>
      <c r="AO230" t="n">
        <v>0</v>
      </c>
      <c r="AP230" t="inlineStr">
        <is>
          <t>No</t>
        </is>
      </c>
      <c r="AQ230" t="inlineStr">
        <is>
          <t>Yes</t>
        </is>
      </c>
      <c r="AR230">
        <f>HYPERLINK("http://catalog.hathitrust.org/Record/001242774","HathiTrust Record")</f>
        <v/>
      </c>
      <c r="AS230">
        <f>HYPERLINK("https://creighton-primo.hosted.exlibrisgroup.com/primo-explore/search?tab=default_tab&amp;search_scope=EVERYTHING&amp;vid=01CRU&amp;lang=en_US&amp;offset=0&amp;query=any,contains,991003171799702656","Catalog Record")</f>
        <v/>
      </c>
      <c r="AT230">
        <f>HYPERLINK("http://www.worldcat.org/oclc/707372","WorldCat Record")</f>
        <v/>
      </c>
      <c r="AU230" t="inlineStr">
        <is>
          <t>1637743:eng</t>
        </is>
      </c>
      <c r="AV230" t="inlineStr">
        <is>
          <t>707372</t>
        </is>
      </c>
      <c r="AW230" t="inlineStr">
        <is>
          <t>991003171799702656</t>
        </is>
      </c>
      <c r="AX230" t="inlineStr">
        <is>
          <t>991003171799702656</t>
        </is>
      </c>
      <c r="AY230" t="inlineStr">
        <is>
          <t>2270841340002656</t>
        </is>
      </c>
      <c r="AZ230" t="inlineStr">
        <is>
          <t>BOOK</t>
        </is>
      </c>
      <c r="BB230" t="inlineStr">
        <is>
          <t>9780664209919</t>
        </is>
      </c>
      <c r="BC230" t="inlineStr">
        <is>
          <t>32285002461696</t>
        </is>
      </c>
      <c r="BD230" t="inlineStr">
        <is>
          <t>893227751</t>
        </is>
      </c>
    </row>
    <row r="231">
      <c r="A231" t="inlineStr">
        <is>
          <t>No</t>
        </is>
      </c>
      <c r="B231" t="inlineStr">
        <is>
          <t>DS119.7 .A643</t>
        </is>
      </c>
      <c r="C231" t="inlineStr">
        <is>
          <t>0                      DS 0119700A  643</t>
        </is>
      </c>
      <c r="D231" t="inlineStr">
        <is>
          <t>The role of communications in the Middle East conflict; ideological and religious aspects.</t>
        </is>
      </c>
      <c r="F231" t="inlineStr">
        <is>
          <t>No</t>
        </is>
      </c>
      <c r="G231" t="inlineStr">
        <is>
          <t>1</t>
        </is>
      </c>
      <c r="H231" t="inlineStr">
        <is>
          <t>No</t>
        </is>
      </c>
      <c r="I231" t="inlineStr">
        <is>
          <t>No</t>
        </is>
      </c>
      <c r="J231" t="inlineStr">
        <is>
          <t>0</t>
        </is>
      </c>
      <c r="K231" t="inlineStr">
        <is>
          <t>Alexander, Yonah.</t>
        </is>
      </c>
      <c r="L231" t="inlineStr">
        <is>
          <t>New York, Praeger [1974, c1973]</t>
        </is>
      </c>
      <c r="M231" t="inlineStr">
        <is>
          <t>1974</t>
        </is>
      </c>
      <c r="O231" t="inlineStr">
        <is>
          <t>eng</t>
        </is>
      </c>
      <c r="P231" t="inlineStr">
        <is>
          <t>nyu</t>
        </is>
      </c>
      <c r="Q231" t="inlineStr">
        <is>
          <t>Praeger special studies in international politics and government</t>
        </is>
      </c>
      <c r="R231" t="inlineStr">
        <is>
          <t xml:space="preserve">DS </t>
        </is>
      </c>
      <c r="S231" t="n">
        <v>3</v>
      </c>
      <c r="T231" t="n">
        <v>3</v>
      </c>
      <c r="U231" t="inlineStr">
        <is>
          <t>2003-02-23</t>
        </is>
      </c>
      <c r="V231" t="inlineStr">
        <is>
          <t>2003-02-23</t>
        </is>
      </c>
      <c r="W231" t="inlineStr">
        <is>
          <t>1997-02-25</t>
        </is>
      </c>
      <c r="X231" t="inlineStr">
        <is>
          <t>1997-02-25</t>
        </is>
      </c>
      <c r="Y231" t="n">
        <v>361</v>
      </c>
      <c r="Z231" t="n">
        <v>316</v>
      </c>
      <c r="AA231" t="n">
        <v>338</v>
      </c>
      <c r="AB231" t="n">
        <v>5</v>
      </c>
      <c r="AC231" t="n">
        <v>5</v>
      </c>
      <c r="AD231" t="n">
        <v>14</v>
      </c>
      <c r="AE231" t="n">
        <v>15</v>
      </c>
      <c r="AF231" t="n">
        <v>3</v>
      </c>
      <c r="AG231" t="n">
        <v>3</v>
      </c>
      <c r="AH231" t="n">
        <v>3</v>
      </c>
      <c r="AI231" t="n">
        <v>3</v>
      </c>
      <c r="AJ231" t="n">
        <v>6</v>
      </c>
      <c r="AK231" t="n">
        <v>7</v>
      </c>
      <c r="AL231" t="n">
        <v>4</v>
      </c>
      <c r="AM231" t="n">
        <v>4</v>
      </c>
      <c r="AN231" t="n">
        <v>0</v>
      </c>
      <c r="AO231" t="n">
        <v>0</v>
      </c>
      <c r="AP231" t="inlineStr">
        <is>
          <t>No</t>
        </is>
      </c>
      <c r="AQ231" t="inlineStr">
        <is>
          <t>Yes</t>
        </is>
      </c>
      <c r="AR231">
        <f>HYPERLINK("http://catalog.hathitrust.org/Record/001242783","HathiTrust Record")</f>
        <v/>
      </c>
      <c r="AS231">
        <f>HYPERLINK("https://creighton-primo.hosted.exlibrisgroup.com/primo-explore/search?tab=default_tab&amp;search_scope=EVERYTHING&amp;vid=01CRU&amp;lang=en_US&amp;offset=0&amp;query=any,contains,991003210549702656","Catalog Record")</f>
        <v/>
      </c>
      <c r="AT231">
        <f>HYPERLINK("http://www.worldcat.org/oclc/736836","WorldCat Record")</f>
        <v/>
      </c>
      <c r="AU231" t="inlineStr">
        <is>
          <t>146746833:eng</t>
        </is>
      </c>
      <c r="AV231" t="inlineStr">
        <is>
          <t>736836</t>
        </is>
      </c>
      <c r="AW231" t="inlineStr">
        <is>
          <t>991003210549702656</t>
        </is>
      </c>
      <c r="AX231" t="inlineStr">
        <is>
          <t>991003210549702656</t>
        </is>
      </c>
      <c r="AY231" t="inlineStr">
        <is>
          <t>2254951650002656</t>
        </is>
      </c>
      <c r="AZ231" t="inlineStr">
        <is>
          <t>BOOK</t>
        </is>
      </c>
      <c r="BC231" t="inlineStr">
        <is>
          <t>32285002461704</t>
        </is>
      </c>
      <c r="BD231" t="inlineStr">
        <is>
          <t>893342328</t>
        </is>
      </c>
    </row>
    <row r="232">
      <c r="A232" t="inlineStr">
        <is>
          <t>No</t>
        </is>
      </c>
      <c r="B232" t="inlineStr">
        <is>
          <t>DS119.7 .A6655 1979</t>
        </is>
      </c>
      <c r="C232" t="inlineStr">
        <is>
          <t>0                      DS 0119700A  6655        1979</t>
        </is>
      </c>
      <c r="D232" t="inlineStr">
        <is>
          <t>Arab-Israeli political/military relations : Arab perceptions, politics, and escalation / by John W. Amos II.</t>
        </is>
      </c>
      <c r="F232" t="inlineStr">
        <is>
          <t>No</t>
        </is>
      </c>
      <c r="G232" t="inlineStr">
        <is>
          <t>1</t>
        </is>
      </c>
      <c r="H232" t="inlineStr">
        <is>
          <t>No</t>
        </is>
      </c>
      <c r="I232" t="inlineStr">
        <is>
          <t>No</t>
        </is>
      </c>
      <c r="J232" t="inlineStr">
        <is>
          <t>0</t>
        </is>
      </c>
      <c r="K232" t="inlineStr">
        <is>
          <t>Amos, John W., 1936-</t>
        </is>
      </c>
      <c r="L232" t="inlineStr">
        <is>
          <t>New York : Pergamon Press, [1979]</t>
        </is>
      </c>
      <c r="M232" t="inlineStr">
        <is>
          <t>1979</t>
        </is>
      </c>
      <c r="O232" t="inlineStr">
        <is>
          <t>eng</t>
        </is>
      </c>
      <c r="P232" t="inlineStr">
        <is>
          <t>nyu</t>
        </is>
      </c>
      <c r="Q232" t="inlineStr">
        <is>
          <t>Pergamon policy studies</t>
        </is>
      </c>
      <c r="R232" t="inlineStr">
        <is>
          <t xml:space="preserve">DS </t>
        </is>
      </c>
      <c r="S232" t="n">
        <v>6</v>
      </c>
      <c r="T232" t="n">
        <v>6</v>
      </c>
      <c r="U232" t="inlineStr">
        <is>
          <t>2007-11-26</t>
        </is>
      </c>
      <c r="V232" t="inlineStr">
        <is>
          <t>2007-11-26</t>
        </is>
      </c>
      <c r="W232" t="inlineStr">
        <is>
          <t>1990-02-14</t>
        </is>
      </c>
      <c r="X232" t="inlineStr">
        <is>
          <t>1990-02-14</t>
        </is>
      </c>
      <c r="Y232" t="n">
        <v>367</v>
      </c>
      <c r="Z232" t="n">
        <v>255</v>
      </c>
      <c r="AA232" t="n">
        <v>276</v>
      </c>
      <c r="AB232" t="n">
        <v>2</v>
      </c>
      <c r="AC232" t="n">
        <v>2</v>
      </c>
      <c r="AD232" t="n">
        <v>8</v>
      </c>
      <c r="AE232" t="n">
        <v>10</v>
      </c>
      <c r="AF232" t="n">
        <v>1</v>
      </c>
      <c r="AG232" t="n">
        <v>2</v>
      </c>
      <c r="AH232" t="n">
        <v>3</v>
      </c>
      <c r="AI232" t="n">
        <v>4</v>
      </c>
      <c r="AJ232" t="n">
        <v>4</v>
      </c>
      <c r="AK232" t="n">
        <v>4</v>
      </c>
      <c r="AL232" t="n">
        <v>1</v>
      </c>
      <c r="AM232" t="n">
        <v>1</v>
      </c>
      <c r="AN232" t="n">
        <v>0</v>
      </c>
      <c r="AO232" t="n">
        <v>0</v>
      </c>
      <c r="AP232" t="inlineStr">
        <is>
          <t>No</t>
        </is>
      </c>
      <c r="AQ232" t="inlineStr">
        <is>
          <t>Yes</t>
        </is>
      </c>
      <c r="AR232">
        <f>HYPERLINK("http://catalog.hathitrust.org/Record/000259329","HathiTrust Record")</f>
        <v/>
      </c>
      <c r="AS232">
        <f>HYPERLINK("https://creighton-primo.hosted.exlibrisgroup.com/primo-explore/search?tab=default_tab&amp;search_scope=EVERYTHING&amp;vid=01CRU&amp;lang=en_US&amp;offset=0&amp;query=any,contains,991004688569702656","Catalog Record")</f>
        <v/>
      </c>
      <c r="AT232">
        <f>HYPERLINK("http://www.worldcat.org/oclc/4593671","WorldCat Record")</f>
        <v/>
      </c>
      <c r="AU232" t="inlineStr">
        <is>
          <t>867244648:eng</t>
        </is>
      </c>
      <c r="AV232" t="inlineStr">
        <is>
          <t>4593671</t>
        </is>
      </c>
      <c r="AW232" t="inlineStr">
        <is>
          <t>991004688569702656</t>
        </is>
      </c>
      <c r="AX232" t="inlineStr">
        <is>
          <t>991004688569702656</t>
        </is>
      </c>
      <c r="AY232" t="inlineStr">
        <is>
          <t>2271394710002656</t>
        </is>
      </c>
      <c r="AZ232" t="inlineStr">
        <is>
          <t>BOOK</t>
        </is>
      </c>
      <c r="BB232" t="inlineStr">
        <is>
          <t>9780080238654</t>
        </is>
      </c>
      <c r="BC232" t="inlineStr">
        <is>
          <t>32285000053800</t>
        </is>
      </c>
      <c r="BD232" t="inlineStr">
        <is>
          <t>893889143</t>
        </is>
      </c>
    </row>
    <row r="233">
      <c r="A233" t="inlineStr">
        <is>
          <t>No</t>
        </is>
      </c>
      <c r="B233" t="inlineStr">
        <is>
          <t>DS119.7 .A6718 1975</t>
        </is>
      </c>
      <c r="C233" t="inlineStr">
        <is>
          <t>0                      DS 0119700A  6718        1975</t>
        </is>
      </c>
      <c r="D233" t="inlineStr">
        <is>
          <t>The Arab-Israeli conflict / edited by John Norton Moore ; sponsored by the American Society of International Law.</t>
        </is>
      </c>
      <c r="E233" t="inlineStr">
        <is>
          <t>V.2</t>
        </is>
      </c>
      <c r="F233" t="inlineStr">
        <is>
          <t>Yes</t>
        </is>
      </c>
      <c r="G233" t="inlineStr">
        <is>
          <t>1</t>
        </is>
      </c>
      <c r="H233" t="inlineStr">
        <is>
          <t>No</t>
        </is>
      </c>
      <c r="I233" t="inlineStr">
        <is>
          <t>No</t>
        </is>
      </c>
      <c r="J233" t="inlineStr">
        <is>
          <t>0</t>
        </is>
      </c>
      <c r="L233" t="inlineStr">
        <is>
          <t>Princeton, N. J. : Princeton University Press, [1975] c1974-&lt;1990 &gt;</t>
        </is>
      </c>
      <c r="M233" t="inlineStr">
        <is>
          <t>1975</t>
        </is>
      </c>
      <c r="O233" t="inlineStr">
        <is>
          <t>eng</t>
        </is>
      </c>
      <c r="P233" t="inlineStr">
        <is>
          <t>nju</t>
        </is>
      </c>
      <c r="R233" t="inlineStr">
        <is>
          <t xml:space="preserve">DS </t>
        </is>
      </c>
      <c r="S233" t="n">
        <v>3</v>
      </c>
      <c r="T233" t="n">
        <v>8</v>
      </c>
      <c r="U233" t="inlineStr">
        <is>
          <t>2010-04-21</t>
        </is>
      </c>
      <c r="V233" t="inlineStr">
        <is>
          <t>2010-04-21</t>
        </is>
      </c>
      <c r="W233" t="inlineStr">
        <is>
          <t>1993-01-04</t>
        </is>
      </c>
      <c r="X233" t="inlineStr">
        <is>
          <t>1997-02-27</t>
        </is>
      </c>
      <c r="Y233" t="n">
        <v>590</v>
      </c>
      <c r="Z233" t="n">
        <v>523</v>
      </c>
      <c r="AA233" t="n">
        <v>546</v>
      </c>
      <c r="AB233" t="n">
        <v>6</v>
      </c>
      <c r="AC233" t="n">
        <v>6</v>
      </c>
      <c r="AD233" t="n">
        <v>32</v>
      </c>
      <c r="AE233" t="n">
        <v>32</v>
      </c>
      <c r="AF233" t="n">
        <v>6</v>
      </c>
      <c r="AG233" t="n">
        <v>6</v>
      </c>
      <c r="AH233" t="n">
        <v>6</v>
      </c>
      <c r="AI233" t="n">
        <v>6</v>
      </c>
      <c r="AJ233" t="n">
        <v>11</v>
      </c>
      <c r="AK233" t="n">
        <v>11</v>
      </c>
      <c r="AL233" t="n">
        <v>5</v>
      </c>
      <c r="AM233" t="n">
        <v>5</v>
      </c>
      <c r="AN233" t="n">
        <v>8</v>
      </c>
      <c r="AO233" t="n">
        <v>8</v>
      </c>
      <c r="AP233" t="inlineStr">
        <is>
          <t>No</t>
        </is>
      </c>
      <c r="AQ233" t="inlineStr">
        <is>
          <t>Yes</t>
        </is>
      </c>
      <c r="AR233">
        <f>HYPERLINK("http://catalog.hathitrust.org/Record/000187695","HathiTrust Record")</f>
        <v/>
      </c>
      <c r="AS233">
        <f>HYPERLINK("https://creighton-primo.hosted.exlibrisgroup.com/primo-explore/search?tab=default_tab&amp;search_scope=EVERYTHING&amp;vid=01CRU&amp;lang=en_US&amp;offset=0&amp;query=any,contains,991003589699702656","Catalog Record")</f>
        <v/>
      </c>
      <c r="AT233">
        <f>HYPERLINK("http://www.worldcat.org/oclc/1171894","WorldCat Record")</f>
        <v/>
      </c>
      <c r="AU233" t="inlineStr">
        <is>
          <t>2865681415:eng</t>
        </is>
      </c>
      <c r="AV233" t="inlineStr">
        <is>
          <t>1171894</t>
        </is>
      </c>
      <c r="AW233" t="inlineStr">
        <is>
          <t>991003589699702656</t>
        </is>
      </c>
      <c r="AX233" t="inlineStr">
        <is>
          <t>991003589699702656</t>
        </is>
      </c>
      <c r="AY233" t="inlineStr">
        <is>
          <t>2267559630002656</t>
        </is>
      </c>
      <c r="AZ233" t="inlineStr">
        <is>
          <t>BOOK</t>
        </is>
      </c>
      <c r="BB233" t="inlineStr">
        <is>
          <t>9780691056487</t>
        </is>
      </c>
      <c r="BC233" t="inlineStr">
        <is>
          <t>32285001472397</t>
        </is>
      </c>
      <c r="BD233" t="inlineStr">
        <is>
          <t>893505730</t>
        </is>
      </c>
    </row>
    <row r="234">
      <c r="A234" t="inlineStr">
        <is>
          <t>No</t>
        </is>
      </c>
      <c r="B234" t="inlineStr">
        <is>
          <t>DS119.7 .A6718 1975</t>
        </is>
      </c>
      <c r="C234" t="inlineStr">
        <is>
          <t>0                      DS 0119700A  6718        1975</t>
        </is>
      </c>
      <c r="D234" t="inlineStr">
        <is>
          <t>The Arab-Israeli conflict / edited by John Norton Moore ; sponsored by the American Society of International Law.</t>
        </is>
      </c>
      <c r="E234" t="inlineStr">
        <is>
          <t>V.3</t>
        </is>
      </c>
      <c r="F234" t="inlineStr">
        <is>
          <t>Yes</t>
        </is>
      </c>
      <c r="G234" t="inlineStr">
        <is>
          <t>1</t>
        </is>
      </c>
      <c r="H234" t="inlineStr">
        <is>
          <t>No</t>
        </is>
      </c>
      <c r="I234" t="inlineStr">
        <is>
          <t>No</t>
        </is>
      </c>
      <c r="J234" t="inlineStr">
        <is>
          <t>0</t>
        </is>
      </c>
      <c r="L234" t="inlineStr">
        <is>
          <t>Princeton, N. J. : Princeton University Press, [1975] c1974-&lt;1990 &gt;</t>
        </is>
      </c>
      <c r="M234" t="inlineStr">
        <is>
          <t>1975</t>
        </is>
      </c>
      <c r="O234" t="inlineStr">
        <is>
          <t>eng</t>
        </is>
      </c>
      <c r="P234" t="inlineStr">
        <is>
          <t>nju</t>
        </is>
      </c>
      <c r="R234" t="inlineStr">
        <is>
          <t xml:space="preserve">DS </t>
        </is>
      </c>
      <c r="S234" t="n">
        <v>2</v>
      </c>
      <c r="T234" t="n">
        <v>8</v>
      </c>
      <c r="U234" t="inlineStr">
        <is>
          <t>2003-04-02</t>
        </is>
      </c>
      <c r="V234" t="inlineStr">
        <is>
          <t>2010-04-21</t>
        </is>
      </c>
      <c r="W234" t="inlineStr">
        <is>
          <t>1992-08-19</t>
        </is>
      </c>
      <c r="X234" t="inlineStr">
        <is>
          <t>1997-02-27</t>
        </is>
      </c>
      <c r="Y234" t="n">
        <v>590</v>
      </c>
      <c r="Z234" t="n">
        <v>523</v>
      </c>
      <c r="AA234" t="n">
        <v>546</v>
      </c>
      <c r="AB234" t="n">
        <v>6</v>
      </c>
      <c r="AC234" t="n">
        <v>6</v>
      </c>
      <c r="AD234" t="n">
        <v>32</v>
      </c>
      <c r="AE234" t="n">
        <v>32</v>
      </c>
      <c r="AF234" t="n">
        <v>6</v>
      </c>
      <c r="AG234" t="n">
        <v>6</v>
      </c>
      <c r="AH234" t="n">
        <v>6</v>
      </c>
      <c r="AI234" t="n">
        <v>6</v>
      </c>
      <c r="AJ234" t="n">
        <v>11</v>
      </c>
      <c r="AK234" t="n">
        <v>11</v>
      </c>
      <c r="AL234" t="n">
        <v>5</v>
      </c>
      <c r="AM234" t="n">
        <v>5</v>
      </c>
      <c r="AN234" t="n">
        <v>8</v>
      </c>
      <c r="AO234" t="n">
        <v>8</v>
      </c>
      <c r="AP234" t="inlineStr">
        <is>
          <t>No</t>
        </is>
      </c>
      <c r="AQ234" t="inlineStr">
        <is>
          <t>Yes</t>
        </is>
      </c>
      <c r="AR234">
        <f>HYPERLINK("http://catalog.hathitrust.org/Record/000187695","HathiTrust Record")</f>
        <v/>
      </c>
      <c r="AS234">
        <f>HYPERLINK("https://creighton-primo.hosted.exlibrisgroup.com/primo-explore/search?tab=default_tab&amp;search_scope=EVERYTHING&amp;vid=01CRU&amp;lang=en_US&amp;offset=0&amp;query=any,contains,991003589699702656","Catalog Record")</f>
        <v/>
      </c>
      <c r="AT234">
        <f>HYPERLINK("http://www.worldcat.org/oclc/1171894","WorldCat Record")</f>
        <v/>
      </c>
      <c r="AU234" t="inlineStr">
        <is>
          <t>2865681415:eng</t>
        </is>
      </c>
      <c r="AV234" t="inlineStr">
        <is>
          <t>1171894</t>
        </is>
      </c>
      <c r="AW234" t="inlineStr">
        <is>
          <t>991003589699702656</t>
        </is>
      </c>
      <c r="AX234" t="inlineStr">
        <is>
          <t>991003589699702656</t>
        </is>
      </c>
      <c r="AY234" t="inlineStr">
        <is>
          <t>2267559630002656</t>
        </is>
      </c>
      <c r="AZ234" t="inlineStr">
        <is>
          <t>BOOK</t>
        </is>
      </c>
      <c r="BB234" t="inlineStr">
        <is>
          <t>9780691056487</t>
        </is>
      </c>
      <c r="BC234" t="inlineStr">
        <is>
          <t>32285001246767</t>
        </is>
      </c>
      <c r="BD234" t="inlineStr">
        <is>
          <t>893499454</t>
        </is>
      </c>
    </row>
    <row r="235">
      <c r="A235" t="inlineStr">
        <is>
          <t>No</t>
        </is>
      </c>
      <c r="B235" t="inlineStr">
        <is>
          <t>DS119.7 .A6718 1975</t>
        </is>
      </c>
      <c r="C235" t="inlineStr">
        <is>
          <t>0                      DS 0119700A  6718        1975</t>
        </is>
      </c>
      <c r="D235" t="inlineStr">
        <is>
          <t>The Arab-Israeli conflict / edited by John Norton Moore ; sponsored by the American Society of International Law.</t>
        </is>
      </c>
      <c r="E235" t="inlineStr">
        <is>
          <t>V.1</t>
        </is>
      </c>
      <c r="F235" t="inlineStr">
        <is>
          <t>Yes</t>
        </is>
      </c>
      <c r="G235" t="inlineStr">
        <is>
          <t>1</t>
        </is>
      </c>
      <c r="H235" t="inlineStr">
        <is>
          <t>No</t>
        </is>
      </c>
      <c r="I235" t="inlineStr">
        <is>
          <t>No</t>
        </is>
      </c>
      <c r="J235" t="inlineStr">
        <is>
          <t>0</t>
        </is>
      </c>
      <c r="L235" t="inlineStr">
        <is>
          <t>Princeton, N. J. : Princeton University Press, [1975] c1974-&lt;1990 &gt;</t>
        </is>
      </c>
      <c r="M235" t="inlineStr">
        <is>
          <t>1975</t>
        </is>
      </c>
      <c r="O235" t="inlineStr">
        <is>
          <t>eng</t>
        </is>
      </c>
      <c r="P235" t="inlineStr">
        <is>
          <t>nju</t>
        </is>
      </c>
      <c r="R235" t="inlineStr">
        <is>
          <t xml:space="preserve">DS </t>
        </is>
      </c>
      <c r="S235" t="n">
        <v>3</v>
      </c>
      <c r="T235" t="n">
        <v>8</v>
      </c>
      <c r="U235" t="inlineStr">
        <is>
          <t>2010-04-18</t>
        </is>
      </c>
      <c r="V235" t="inlineStr">
        <is>
          <t>2010-04-21</t>
        </is>
      </c>
      <c r="W235" t="inlineStr">
        <is>
          <t>1997-02-27</t>
        </is>
      </c>
      <c r="X235" t="inlineStr">
        <is>
          <t>1997-02-27</t>
        </is>
      </c>
      <c r="Y235" t="n">
        <v>590</v>
      </c>
      <c r="Z235" t="n">
        <v>523</v>
      </c>
      <c r="AA235" t="n">
        <v>546</v>
      </c>
      <c r="AB235" t="n">
        <v>6</v>
      </c>
      <c r="AC235" t="n">
        <v>6</v>
      </c>
      <c r="AD235" t="n">
        <v>32</v>
      </c>
      <c r="AE235" t="n">
        <v>32</v>
      </c>
      <c r="AF235" t="n">
        <v>6</v>
      </c>
      <c r="AG235" t="n">
        <v>6</v>
      </c>
      <c r="AH235" t="n">
        <v>6</v>
      </c>
      <c r="AI235" t="n">
        <v>6</v>
      </c>
      <c r="AJ235" t="n">
        <v>11</v>
      </c>
      <c r="AK235" t="n">
        <v>11</v>
      </c>
      <c r="AL235" t="n">
        <v>5</v>
      </c>
      <c r="AM235" t="n">
        <v>5</v>
      </c>
      <c r="AN235" t="n">
        <v>8</v>
      </c>
      <c r="AO235" t="n">
        <v>8</v>
      </c>
      <c r="AP235" t="inlineStr">
        <is>
          <t>No</t>
        </is>
      </c>
      <c r="AQ235" t="inlineStr">
        <is>
          <t>Yes</t>
        </is>
      </c>
      <c r="AR235">
        <f>HYPERLINK("http://catalog.hathitrust.org/Record/000187695","HathiTrust Record")</f>
        <v/>
      </c>
      <c r="AS235">
        <f>HYPERLINK("https://creighton-primo.hosted.exlibrisgroup.com/primo-explore/search?tab=default_tab&amp;search_scope=EVERYTHING&amp;vid=01CRU&amp;lang=en_US&amp;offset=0&amp;query=any,contains,991003589699702656","Catalog Record")</f>
        <v/>
      </c>
      <c r="AT235">
        <f>HYPERLINK("http://www.worldcat.org/oclc/1171894","WorldCat Record")</f>
        <v/>
      </c>
      <c r="AU235" t="inlineStr">
        <is>
          <t>2865681415:eng</t>
        </is>
      </c>
      <c r="AV235" t="inlineStr">
        <is>
          <t>1171894</t>
        </is>
      </c>
      <c r="AW235" t="inlineStr">
        <is>
          <t>991003589699702656</t>
        </is>
      </c>
      <c r="AX235" t="inlineStr">
        <is>
          <t>991003589699702656</t>
        </is>
      </c>
      <c r="AY235" t="inlineStr">
        <is>
          <t>2267559630002656</t>
        </is>
      </c>
      <c r="AZ235" t="inlineStr">
        <is>
          <t>BOOK</t>
        </is>
      </c>
      <c r="BB235" t="inlineStr">
        <is>
          <t>9780691056487</t>
        </is>
      </c>
      <c r="BC235" t="inlineStr">
        <is>
          <t>32285002463148</t>
        </is>
      </c>
      <c r="BD235" t="inlineStr">
        <is>
          <t>893518650</t>
        </is>
      </c>
    </row>
    <row r="236">
      <c r="A236" t="inlineStr">
        <is>
          <t>No</t>
        </is>
      </c>
      <c r="B236" t="inlineStr">
        <is>
          <t>DS119.7 .A6719 1992</t>
        </is>
      </c>
      <c r="C236" t="inlineStr">
        <is>
          <t>0                      DS 0119700A  6719        1992</t>
        </is>
      </c>
      <c r="D236" t="inlineStr">
        <is>
          <t>The Arab-Israel conflict and its resolution : selected documents / edited by Ruth Lapidoth and Moshe Hirsch.</t>
        </is>
      </c>
      <c r="F236" t="inlineStr">
        <is>
          <t>No</t>
        </is>
      </c>
      <c r="G236" t="inlineStr">
        <is>
          <t>1</t>
        </is>
      </c>
      <c r="H236" t="inlineStr">
        <is>
          <t>No</t>
        </is>
      </c>
      <c r="I236" t="inlineStr">
        <is>
          <t>No</t>
        </is>
      </c>
      <c r="J236" t="inlineStr">
        <is>
          <t>0</t>
        </is>
      </c>
      <c r="L236" t="inlineStr">
        <is>
          <t>Dordrecht ; Boston : Martinus Nijhoff Publishers ; Norwell, MA : Distributed in the U.S.A. and Canada by Kluwer Academic Publishers, c1992.</t>
        </is>
      </c>
      <c r="M236" t="inlineStr">
        <is>
          <t>1992</t>
        </is>
      </c>
      <c r="O236" t="inlineStr">
        <is>
          <t>eng</t>
        </is>
      </c>
      <c r="P236" t="inlineStr">
        <is>
          <t xml:space="preserve">ne </t>
        </is>
      </c>
      <c r="R236" t="inlineStr">
        <is>
          <t xml:space="preserve">DS </t>
        </is>
      </c>
      <c r="S236" t="n">
        <v>14</v>
      </c>
      <c r="T236" t="n">
        <v>14</v>
      </c>
      <c r="U236" t="inlineStr">
        <is>
          <t>2004-04-04</t>
        </is>
      </c>
      <c r="V236" t="inlineStr">
        <is>
          <t>2004-04-04</t>
        </is>
      </c>
      <c r="W236" t="inlineStr">
        <is>
          <t>1993-05-24</t>
        </is>
      </c>
      <c r="X236" t="inlineStr">
        <is>
          <t>1993-05-24</t>
        </is>
      </c>
      <c r="Y236" t="n">
        <v>170</v>
      </c>
      <c r="Z236" t="n">
        <v>105</v>
      </c>
      <c r="AA236" t="n">
        <v>106</v>
      </c>
      <c r="AB236" t="n">
        <v>2</v>
      </c>
      <c r="AC236" t="n">
        <v>2</v>
      </c>
      <c r="AD236" t="n">
        <v>6</v>
      </c>
      <c r="AE236" t="n">
        <v>6</v>
      </c>
      <c r="AF236" t="n">
        <v>0</v>
      </c>
      <c r="AG236" t="n">
        <v>0</v>
      </c>
      <c r="AH236" t="n">
        <v>1</v>
      </c>
      <c r="AI236" t="n">
        <v>1</v>
      </c>
      <c r="AJ236" t="n">
        <v>3</v>
      </c>
      <c r="AK236" t="n">
        <v>3</v>
      </c>
      <c r="AL236" t="n">
        <v>1</v>
      </c>
      <c r="AM236" t="n">
        <v>1</v>
      </c>
      <c r="AN236" t="n">
        <v>2</v>
      </c>
      <c r="AO236" t="n">
        <v>2</v>
      </c>
      <c r="AP236" t="inlineStr">
        <is>
          <t>No</t>
        </is>
      </c>
      <c r="AQ236" t="inlineStr">
        <is>
          <t>Yes</t>
        </is>
      </c>
      <c r="AR236">
        <f>HYPERLINK("http://catalog.hathitrust.org/Record/002579498","HathiTrust Record")</f>
        <v/>
      </c>
      <c r="AS236">
        <f>HYPERLINK("https://creighton-primo.hosted.exlibrisgroup.com/primo-explore/search?tab=default_tab&amp;search_scope=EVERYTHING&amp;vid=01CRU&amp;lang=en_US&amp;offset=0&amp;query=any,contains,991001886559702656","Catalog Record")</f>
        <v/>
      </c>
      <c r="AT236">
        <f>HYPERLINK("http://www.worldcat.org/oclc/23767413","WorldCat Record")</f>
        <v/>
      </c>
      <c r="AU236" t="inlineStr">
        <is>
          <t>836867434:eng</t>
        </is>
      </c>
      <c r="AV236" t="inlineStr">
        <is>
          <t>23767413</t>
        </is>
      </c>
      <c r="AW236" t="inlineStr">
        <is>
          <t>991001886559702656</t>
        </is>
      </c>
      <c r="AX236" t="inlineStr">
        <is>
          <t>991001886559702656</t>
        </is>
      </c>
      <c r="AY236" t="inlineStr">
        <is>
          <t>2269202710002656</t>
        </is>
      </c>
      <c r="AZ236" t="inlineStr">
        <is>
          <t>BOOK</t>
        </is>
      </c>
      <c r="BB236" t="inlineStr">
        <is>
          <t>9780792313007</t>
        </is>
      </c>
      <c r="BC236" t="inlineStr">
        <is>
          <t>32285001582690</t>
        </is>
      </c>
      <c r="BD236" t="inlineStr">
        <is>
          <t>893244491</t>
        </is>
      </c>
    </row>
    <row r="237">
      <c r="A237" t="inlineStr">
        <is>
          <t>No</t>
        </is>
      </c>
      <c r="B237" t="inlineStr">
        <is>
          <t>DS119.7 .A67266 v.2</t>
        </is>
      </c>
      <c r="C237" t="inlineStr">
        <is>
          <t>0                      DS 0119700A  67266                                                   v.2</t>
        </is>
      </c>
      <c r="D237" t="inlineStr">
        <is>
          <t>Triumph and catastrophe : the War of 1948, Israeli independence, and the refugee problem / edited with introductions by Ian S. Lustick.</t>
        </is>
      </c>
      <c r="E237" t="inlineStr">
        <is>
          <t>V.2</t>
        </is>
      </c>
      <c r="F237" t="inlineStr">
        <is>
          <t>No</t>
        </is>
      </c>
      <c r="G237" t="inlineStr">
        <is>
          <t>1</t>
        </is>
      </c>
      <c r="H237" t="inlineStr">
        <is>
          <t>No</t>
        </is>
      </c>
      <c r="I237" t="inlineStr">
        <is>
          <t>No</t>
        </is>
      </c>
      <c r="J237" t="inlineStr">
        <is>
          <t>0</t>
        </is>
      </c>
      <c r="L237" t="inlineStr">
        <is>
          <t>New York : Garland Pub., 1994.</t>
        </is>
      </c>
      <c r="M237" t="inlineStr">
        <is>
          <t>1994</t>
        </is>
      </c>
      <c r="O237" t="inlineStr">
        <is>
          <t>eng</t>
        </is>
      </c>
      <c r="P237" t="inlineStr">
        <is>
          <t>nyu</t>
        </is>
      </c>
      <c r="Q237" t="inlineStr">
        <is>
          <t>Arab-Israeli relations ; v. 2</t>
        </is>
      </c>
      <c r="R237" t="inlineStr">
        <is>
          <t xml:space="preserve">DS </t>
        </is>
      </c>
      <c r="S237" t="n">
        <v>6</v>
      </c>
      <c r="T237" t="n">
        <v>6</v>
      </c>
      <c r="U237" t="inlineStr">
        <is>
          <t>2010-04-18</t>
        </is>
      </c>
      <c r="V237" t="inlineStr">
        <is>
          <t>2010-04-18</t>
        </is>
      </c>
      <c r="W237" t="inlineStr">
        <is>
          <t>1995-06-07</t>
        </is>
      </c>
      <c r="X237" t="inlineStr">
        <is>
          <t>1995-06-07</t>
        </is>
      </c>
      <c r="Y237" t="n">
        <v>141</v>
      </c>
      <c r="Z237" t="n">
        <v>106</v>
      </c>
      <c r="AA237" t="n">
        <v>106</v>
      </c>
      <c r="AB237" t="n">
        <v>1</v>
      </c>
      <c r="AC237" t="n">
        <v>1</v>
      </c>
      <c r="AD237" t="n">
        <v>5</v>
      </c>
      <c r="AE237" t="n">
        <v>5</v>
      </c>
      <c r="AF237" t="n">
        <v>2</v>
      </c>
      <c r="AG237" t="n">
        <v>2</v>
      </c>
      <c r="AH237" t="n">
        <v>2</v>
      </c>
      <c r="AI237" t="n">
        <v>2</v>
      </c>
      <c r="AJ237" t="n">
        <v>4</v>
      </c>
      <c r="AK237" t="n">
        <v>4</v>
      </c>
      <c r="AL237" t="n">
        <v>0</v>
      </c>
      <c r="AM237" t="n">
        <v>0</v>
      </c>
      <c r="AN237" t="n">
        <v>0</v>
      </c>
      <c r="AO237" t="n">
        <v>0</v>
      </c>
      <c r="AP237" t="inlineStr">
        <is>
          <t>No</t>
        </is>
      </c>
      <c r="AQ237" t="inlineStr">
        <is>
          <t>No</t>
        </is>
      </c>
      <c r="AS237">
        <f>HYPERLINK("https://creighton-primo.hosted.exlibrisgroup.com/primo-explore/search?tab=default_tab&amp;search_scope=EVERYTHING&amp;vid=01CRU&amp;lang=en_US&amp;offset=0&amp;query=any,contains,991002282269702656","Catalog Record")</f>
        <v/>
      </c>
      <c r="AT237">
        <f>HYPERLINK("http://www.worldcat.org/oclc/29595113","WorldCat Record")</f>
        <v/>
      </c>
      <c r="AU237" t="inlineStr">
        <is>
          <t>366880514:eng</t>
        </is>
      </c>
      <c r="AV237" t="inlineStr">
        <is>
          <t>29595113</t>
        </is>
      </c>
      <c r="AW237" t="inlineStr">
        <is>
          <t>991002282269702656</t>
        </is>
      </c>
      <c r="AX237" t="inlineStr">
        <is>
          <t>991002282269702656</t>
        </is>
      </c>
      <c r="AY237" t="inlineStr">
        <is>
          <t>2261226440002656</t>
        </is>
      </c>
      <c r="AZ237" t="inlineStr">
        <is>
          <t>BOOK</t>
        </is>
      </c>
      <c r="BB237" t="inlineStr">
        <is>
          <t>9780815315827</t>
        </is>
      </c>
      <c r="BC237" t="inlineStr">
        <is>
          <t>32285002050887</t>
        </is>
      </c>
      <c r="BD237" t="inlineStr">
        <is>
          <t>893523415</t>
        </is>
      </c>
    </row>
    <row r="238">
      <c r="A238" t="inlineStr">
        <is>
          <t>No</t>
        </is>
      </c>
      <c r="B238" t="inlineStr">
        <is>
          <t>DS119.7 .A67266 v.5</t>
        </is>
      </c>
      <c r="C238" t="inlineStr">
        <is>
          <t>0                      DS 0119700A  67266                                                   v.5</t>
        </is>
      </c>
      <c r="D238" t="inlineStr">
        <is>
          <t>Religion, culture, and psychology in Arab-Israeli relations / edited with introductions by Ian S. Lustick.</t>
        </is>
      </c>
      <c r="E238" t="inlineStr">
        <is>
          <t>V.5</t>
        </is>
      </c>
      <c r="F238" t="inlineStr">
        <is>
          <t>No</t>
        </is>
      </c>
      <c r="G238" t="inlineStr">
        <is>
          <t>1</t>
        </is>
      </c>
      <c r="H238" t="inlineStr">
        <is>
          <t>No</t>
        </is>
      </c>
      <c r="I238" t="inlineStr">
        <is>
          <t>No</t>
        </is>
      </c>
      <c r="J238" t="inlineStr">
        <is>
          <t>0</t>
        </is>
      </c>
      <c r="L238" t="inlineStr">
        <is>
          <t>New York : Garland Pub., 1994.</t>
        </is>
      </c>
      <c r="M238" t="inlineStr">
        <is>
          <t>1994</t>
        </is>
      </c>
      <c r="O238" t="inlineStr">
        <is>
          <t>eng</t>
        </is>
      </c>
      <c r="P238" t="inlineStr">
        <is>
          <t>nyu</t>
        </is>
      </c>
      <c r="Q238" t="inlineStr">
        <is>
          <t>Arab-Israeli relations ; v. 5</t>
        </is>
      </c>
      <c r="R238" t="inlineStr">
        <is>
          <t xml:space="preserve">DS </t>
        </is>
      </c>
      <c r="S238" t="n">
        <v>7</v>
      </c>
      <c r="T238" t="n">
        <v>7</v>
      </c>
      <c r="U238" t="inlineStr">
        <is>
          <t>2010-04-19</t>
        </is>
      </c>
      <c r="V238" t="inlineStr">
        <is>
          <t>2010-04-19</t>
        </is>
      </c>
      <c r="W238" t="inlineStr">
        <is>
          <t>1995-06-07</t>
        </is>
      </c>
      <c r="X238" t="inlineStr">
        <is>
          <t>1995-06-07</t>
        </is>
      </c>
      <c r="Y238" t="n">
        <v>146</v>
      </c>
      <c r="Z238" t="n">
        <v>110</v>
      </c>
      <c r="AA238" t="n">
        <v>110</v>
      </c>
      <c r="AB238" t="n">
        <v>1</v>
      </c>
      <c r="AC238" t="n">
        <v>1</v>
      </c>
      <c r="AD238" t="n">
        <v>7</v>
      </c>
      <c r="AE238" t="n">
        <v>7</v>
      </c>
      <c r="AF238" t="n">
        <v>2</v>
      </c>
      <c r="AG238" t="n">
        <v>2</v>
      </c>
      <c r="AH238" t="n">
        <v>4</v>
      </c>
      <c r="AI238" t="n">
        <v>4</v>
      </c>
      <c r="AJ238" t="n">
        <v>4</v>
      </c>
      <c r="AK238" t="n">
        <v>4</v>
      </c>
      <c r="AL238" t="n">
        <v>0</v>
      </c>
      <c r="AM238" t="n">
        <v>0</v>
      </c>
      <c r="AN238" t="n">
        <v>0</v>
      </c>
      <c r="AO238" t="n">
        <v>0</v>
      </c>
      <c r="AP238" t="inlineStr">
        <is>
          <t>No</t>
        </is>
      </c>
      <c r="AQ238" t="inlineStr">
        <is>
          <t>No</t>
        </is>
      </c>
      <c r="AS238">
        <f>HYPERLINK("https://creighton-primo.hosted.exlibrisgroup.com/primo-explore/search?tab=default_tab&amp;search_scope=EVERYTHING&amp;vid=01CRU&amp;lang=en_US&amp;offset=0&amp;query=any,contains,991002285049702656","Catalog Record")</f>
        <v/>
      </c>
      <c r="AT238">
        <f>HYPERLINK("http://www.worldcat.org/oclc/29634359","WorldCat Record")</f>
        <v/>
      </c>
      <c r="AU238" t="inlineStr">
        <is>
          <t>2770326:eng</t>
        </is>
      </c>
      <c r="AV238" t="inlineStr">
        <is>
          <t>29634359</t>
        </is>
      </c>
      <c r="AW238" t="inlineStr">
        <is>
          <t>991002285049702656</t>
        </is>
      </c>
      <c r="AX238" t="inlineStr">
        <is>
          <t>991002285049702656</t>
        </is>
      </c>
      <c r="AY238" t="inlineStr">
        <is>
          <t>2257131690002656</t>
        </is>
      </c>
      <c r="AZ238" t="inlineStr">
        <is>
          <t>BOOK</t>
        </is>
      </c>
      <c r="BB238" t="inlineStr">
        <is>
          <t>9780815315858</t>
        </is>
      </c>
      <c r="BC238" t="inlineStr">
        <is>
          <t>32285002050853</t>
        </is>
      </c>
      <c r="BD238" t="inlineStr">
        <is>
          <t>893316622</t>
        </is>
      </c>
    </row>
    <row r="239">
      <c r="A239" t="inlineStr">
        <is>
          <t>No</t>
        </is>
      </c>
      <c r="B239" t="inlineStr">
        <is>
          <t>DS119.7 .A67266 v.6</t>
        </is>
      </c>
      <c r="C239" t="inlineStr">
        <is>
          <t>0                      DS 0119700A  67266                                                   v.6</t>
        </is>
      </c>
      <c r="D239" t="inlineStr">
        <is>
          <t>Economic, legal, and demographic dimensions of Arab-Israeli relations / edited with introductions by Ian S. Lustick.</t>
        </is>
      </c>
      <c r="E239" t="inlineStr">
        <is>
          <t>V.6</t>
        </is>
      </c>
      <c r="F239" t="inlineStr">
        <is>
          <t>No</t>
        </is>
      </c>
      <c r="G239" t="inlineStr">
        <is>
          <t>1</t>
        </is>
      </c>
      <c r="H239" t="inlineStr">
        <is>
          <t>No</t>
        </is>
      </c>
      <c r="I239" t="inlineStr">
        <is>
          <t>No</t>
        </is>
      </c>
      <c r="J239" t="inlineStr">
        <is>
          <t>0</t>
        </is>
      </c>
      <c r="L239" t="inlineStr">
        <is>
          <t>New York : Garland Pub., 1994.</t>
        </is>
      </c>
      <c r="M239" t="inlineStr">
        <is>
          <t>1994</t>
        </is>
      </c>
      <c r="O239" t="inlineStr">
        <is>
          <t>eng</t>
        </is>
      </c>
      <c r="P239" t="inlineStr">
        <is>
          <t>nyu</t>
        </is>
      </c>
      <c r="Q239" t="inlineStr">
        <is>
          <t>Arab-Israeli relations ; v. 6</t>
        </is>
      </c>
      <c r="R239" t="inlineStr">
        <is>
          <t xml:space="preserve">DS </t>
        </is>
      </c>
      <c r="S239" t="n">
        <v>3</v>
      </c>
      <c r="T239" t="n">
        <v>3</v>
      </c>
      <c r="U239" t="inlineStr">
        <is>
          <t>2010-04-20</t>
        </is>
      </c>
      <c r="V239" t="inlineStr">
        <is>
          <t>2010-04-20</t>
        </is>
      </c>
      <c r="W239" t="inlineStr">
        <is>
          <t>1995-06-07</t>
        </is>
      </c>
      <c r="X239" t="inlineStr">
        <is>
          <t>1995-06-07</t>
        </is>
      </c>
      <c r="Y239" t="n">
        <v>141</v>
      </c>
      <c r="Z239" t="n">
        <v>109</v>
      </c>
      <c r="AA239" t="n">
        <v>109</v>
      </c>
      <c r="AB239" t="n">
        <v>1</v>
      </c>
      <c r="AC239" t="n">
        <v>1</v>
      </c>
      <c r="AD239" t="n">
        <v>6</v>
      </c>
      <c r="AE239" t="n">
        <v>6</v>
      </c>
      <c r="AF239" t="n">
        <v>2</v>
      </c>
      <c r="AG239" t="n">
        <v>2</v>
      </c>
      <c r="AH239" t="n">
        <v>3</v>
      </c>
      <c r="AI239" t="n">
        <v>3</v>
      </c>
      <c r="AJ239" t="n">
        <v>4</v>
      </c>
      <c r="AK239" t="n">
        <v>4</v>
      </c>
      <c r="AL239" t="n">
        <v>0</v>
      </c>
      <c r="AM239" t="n">
        <v>0</v>
      </c>
      <c r="AN239" t="n">
        <v>0</v>
      </c>
      <c r="AO239" t="n">
        <v>0</v>
      </c>
      <c r="AP239" t="inlineStr">
        <is>
          <t>No</t>
        </is>
      </c>
      <c r="AQ239" t="inlineStr">
        <is>
          <t>No</t>
        </is>
      </c>
      <c r="AS239">
        <f>HYPERLINK("https://creighton-primo.hosted.exlibrisgroup.com/primo-explore/search?tab=default_tab&amp;search_scope=EVERYTHING&amp;vid=01CRU&amp;lang=en_US&amp;offset=0&amp;query=any,contains,991002285409702656","Catalog Record")</f>
        <v/>
      </c>
      <c r="AT239">
        <f>HYPERLINK("http://www.worldcat.org/oclc/29635226","WorldCat Record")</f>
        <v/>
      </c>
      <c r="AU239" t="inlineStr">
        <is>
          <t>354489709:eng</t>
        </is>
      </c>
      <c r="AV239" t="inlineStr">
        <is>
          <t>29635226</t>
        </is>
      </c>
      <c r="AW239" t="inlineStr">
        <is>
          <t>991002285409702656</t>
        </is>
      </c>
      <c r="AX239" t="inlineStr">
        <is>
          <t>991002285409702656</t>
        </is>
      </c>
      <c r="AY239" t="inlineStr">
        <is>
          <t>2256503710002656</t>
        </is>
      </c>
      <c r="AZ239" t="inlineStr">
        <is>
          <t>BOOK</t>
        </is>
      </c>
      <c r="BB239" t="inlineStr">
        <is>
          <t>9780815315865</t>
        </is>
      </c>
      <c r="BC239" t="inlineStr">
        <is>
          <t>32285002050846</t>
        </is>
      </c>
      <c r="BD239" t="inlineStr">
        <is>
          <t>893785959</t>
        </is>
      </c>
    </row>
    <row r="240">
      <c r="A240" t="inlineStr">
        <is>
          <t>No</t>
        </is>
      </c>
      <c r="B240" t="inlineStr">
        <is>
          <t>DS119.7 .A67266 v.7</t>
        </is>
      </c>
      <c r="C240" t="inlineStr">
        <is>
          <t>0                      DS 0119700A  67266                                                   v.7</t>
        </is>
      </c>
      <c r="D240" t="inlineStr">
        <is>
          <t>The Conflict with the Arabs in Israeli politics and society / edited with introductions by Ian S. Lustick.</t>
        </is>
      </c>
      <c r="E240" t="inlineStr">
        <is>
          <t>V.7</t>
        </is>
      </c>
      <c r="F240" t="inlineStr">
        <is>
          <t>No</t>
        </is>
      </c>
      <c r="G240" t="inlineStr">
        <is>
          <t>1</t>
        </is>
      </c>
      <c r="H240" t="inlineStr">
        <is>
          <t>No</t>
        </is>
      </c>
      <c r="I240" t="inlineStr">
        <is>
          <t>No</t>
        </is>
      </c>
      <c r="J240" t="inlineStr">
        <is>
          <t>0</t>
        </is>
      </c>
      <c r="L240" t="inlineStr">
        <is>
          <t>New York : Garland, 1994.</t>
        </is>
      </c>
      <c r="M240" t="inlineStr">
        <is>
          <t>1994</t>
        </is>
      </c>
      <c r="O240" t="inlineStr">
        <is>
          <t>eng</t>
        </is>
      </c>
      <c r="P240" t="inlineStr">
        <is>
          <t>nyu</t>
        </is>
      </c>
      <c r="Q240" t="inlineStr">
        <is>
          <t>Arab-Israeli relations ; v. 7</t>
        </is>
      </c>
      <c r="R240" t="inlineStr">
        <is>
          <t xml:space="preserve">DS </t>
        </is>
      </c>
      <c r="S240" t="n">
        <v>3</v>
      </c>
      <c r="T240" t="n">
        <v>3</v>
      </c>
      <c r="U240" t="inlineStr">
        <is>
          <t>2005-06-28</t>
        </is>
      </c>
      <c r="V240" t="inlineStr">
        <is>
          <t>2005-06-28</t>
        </is>
      </c>
      <c r="W240" t="inlineStr">
        <is>
          <t>1995-06-07</t>
        </is>
      </c>
      <c r="X240" t="inlineStr">
        <is>
          <t>1995-06-07</t>
        </is>
      </c>
      <c r="Y240" t="n">
        <v>139</v>
      </c>
      <c r="Z240" t="n">
        <v>104</v>
      </c>
      <c r="AA240" t="n">
        <v>104</v>
      </c>
      <c r="AB240" t="n">
        <v>1</v>
      </c>
      <c r="AC240" t="n">
        <v>1</v>
      </c>
      <c r="AD240" t="n">
        <v>6</v>
      </c>
      <c r="AE240" t="n">
        <v>6</v>
      </c>
      <c r="AF240" t="n">
        <v>2</v>
      </c>
      <c r="AG240" t="n">
        <v>2</v>
      </c>
      <c r="AH240" t="n">
        <v>3</v>
      </c>
      <c r="AI240" t="n">
        <v>3</v>
      </c>
      <c r="AJ240" t="n">
        <v>4</v>
      </c>
      <c r="AK240" t="n">
        <v>4</v>
      </c>
      <c r="AL240" t="n">
        <v>0</v>
      </c>
      <c r="AM240" t="n">
        <v>0</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HYPERLINK("https://creighton-primo.hosted.exlibrisgroup.com/primo-explore/search?tab=default_tab&amp;search_scope=EVERYTHING&amp;vid=01CRU&amp;lang=en_US&amp;offset=0&amp;query=any,contains,991002291649702656","Catalog Record")</f>
        <v/>
      </c>
      <c r="AT240">
        <f>HYPERLINK("http://www.worldcat.org/oclc/29703018","WorldCat Record")</f>
        <v/>
      </c>
      <c r="AU240" t="inlineStr">
        <is>
          <t>3856846900:eng</t>
        </is>
      </c>
      <c r="AV240" t="inlineStr">
        <is>
          <t>29703018</t>
        </is>
      </c>
      <c r="AW240" t="inlineStr">
        <is>
          <t>991002291649702656</t>
        </is>
      </c>
      <c r="AX240" t="inlineStr">
        <is>
          <t>991002291649702656</t>
        </is>
      </c>
      <c r="AY240" t="inlineStr">
        <is>
          <t>2261658030002656</t>
        </is>
      </c>
      <c r="AZ240" t="inlineStr">
        <is>
          <t>BOOK</t>
        </is>
      </c>
      <c r="BB240" t="inlineStr">
        <is>
          <t>9780815315872</t>
        </is>
      </c>
      <c r="BC240" t="inlineStr">
        <is>
          <t>32285002050838</t>
        </is>
      </c>
      <c r="BD240" t="inlineStr">
        <is>
          <t>893517117</t>
        </is>
      </c>
    </row>
    <row r="241">
      <c r="A241" t="inlineStr">
        <is>
          <t>No</t>
        </is>
      </c>
      <c r="B241" t="inlineStr">
        <is>
          <t>DS119.7 .A68 1997</t>
        </is>
      </c>
      <c r="C241" t="inlineStr">
        <is>
          <t>0                      DS 0119700A  68          1997</t>
        </is>
      </c>
      <c r="D241" t="inlineStr">
        <is>
          <t>Refugees into citizens : Palestinians and the end of the Arab-Israeli conflict / Donna E. Arzt.</t>
        </is>
      </c>
      <c r="F241" t="inlineStr">
        <is>
          <t>No</t>
        </is>
      </c>
      <c r="G241" t="inlineStr">
        <is>
          <t>1</t>
        </is>
      </c>
      <c r="H241" t="inlineStr">
        <is>
          <t>Yes</t>
        </is>
      </c>
      <c r="I241" t="inlineStr">
        <is>
          <t>No</t>
        </is>
      </c>
      <c r="J241" t="inlineStr">
        <is>
          <t>0</t>
        </is>
      </c>
      <c r="K241" t="inlineStr">
        <is>
          <t>Arzt, Donna E.</t>
        </is>
      </c>
      <c r="L241" t="inlineStr">
        <is>
          <t>New York : Council on Foreign Relations Press, c1997.</t>
        </is>
      </c>
      <c r="M241" t="inlineStr">
        <is>
          <t>1997</t>
        </is>
      </c>
      <c r="O241" t="inlineStr">
        <is>
          <t>eng</t>
        </is>
      </c>
      <c r="P241" t="inlineStr">
        <is>
          <t>nyu</t>
        </is>
      </c>
      <c r="R241" t="inlineStr">
        <is>
          <t xml:space="preserve">DS </t>
        </is>
      </c>
      <c r="S241" t="n">
        <v>3</v>
      </c>
      <c r="T241" t="n">
        <v>3</v>
      </c>
      <c r="U241" t="inlineStr">
        <is>
          <t>2007-11-26</t>
        </is>
      </c>
      <c r="V241" t="inlineStr">
        <is>
          <t>2007-11-26</t>
        </is>
      </c>
      <c r="W241" t="inlineStr">
        <is>
          <t>1997-04-07</t>
        </is>
      </c>
      <c r="X241" t="inlineStr">
        <is>
          <t>1997-04-07</t>
        </is>
      </c>
      <c r="Y241" t="n">
        <v>348</v>
      </c>
      <c r="Z241" t="n">
        <v>285</v>
      </c>
      <c r="AA241" t="n">
        <v>303</v>
      </c>
      <c r="AB241" t="n">
        <v>4</v>
      </c>
      <c r="AC241" t="n">
        <v>4</v>
      </c>
      <c r="AD241" t="n">
        <v>15</v>
      </c>
      <c r="AE241" t="n">
        <v>18</v>
      </c>
      <c r="AF241" t="n">
        <v>2</v>
      </c>
      <c r="AG241" t="n">
        <v>3</v>
      </c>
      <c r="AH241" t="n">
        <v>3</v>
      </c>
      <c r="AI241" t="n">
        <v>3</v>
      </c>
      <c r="AJ241" t="n">
        <v>8</v>
      </c>
      <c r="AK241" t="n">
        <v>8</v>
      </c>
      <c r="AL241" t="n">
        <v>2</v>
      </c>
      <c r="AM241" t="n">
        <v>2</v>
      </c>
      <c r="AN241" t="n">
        <v>4</v>
      </c>
      <c r="AO241" t="n">
        <v>6</v>
      </c>
      <c r="AP241" t="inlineStr">
        <is>
          <t>No</t>
        </is>
      </c>
      <c r="AQ241" t="inlineStr">
        <is>
          <t>Yes</t>
        </is>
      </c>
      <c r="AR241">
        <f>HYPERLINK("http://catalog.hathitrust.org/Record/003120814","HathiTrust Record")</f>
        <v/>
      </c>
      <c r="AS241">
        <f>HYPERLINK("https://creighton-primo.hosted.exlibrisgroup.com/primo-explore/search?tab=default_tab&amp;search_scope=EVERYTHING&amp;vid=01CRU&amp;lang=en_US&amp;offset=0&amp;query=any,contains,991001673179702656","Catalog Record")</f>
        <v/>
      </c>
      <c r="AT241">
        <f>HYPERLINK("http://www.worldcat.org/oclc/35280864","WorldCat Record")</f>
        <v/>
      </c>
      <c r="AU241" t="inlineStr">
        <is>
          <t>889853145:eng</t>
        </is>
      </c>
      <c r="AV241" t="inlineStr">
        <is>
          <t>35280864</t>
        </is>
      </c>
      <c r="AW241" t="inlineStr">
        <is>
          <t>991001673179702656</t>
        </is>
      </c>
      <c r="AX241" t="inlineStr">
        <is>
          <t>991001673179702656</t>
        </is>
      </c>
      <c r="AY241" t="inlineStr">
        <is>
          <t>2254846570002656</t>
        </is>
      </c>
      <c r="AZ241" t="inlineStr">
        <is>
          <t>BOOK</t>
        </is>
      </c>
      <c r="BB241" t="inlineStr">
        <is>
          <t>9780876091944</t>
        </is>
      </c>
      <c r="BC241" t="inlineStr">
        <is>
          <t>32285002479672</t>
        </is>
      </c>
      <c r="BD241" t="inlineStr">
        <is>
          <t>893690774</t>
        </is>
      </c>
    </row>
    <row r="242">
      <c r="A242" t="inlineStr">
        <is>
          <t>No</t>
        </is>
      </c>
      <c r="B242" t="inlineStr">
        <is>
          <t>DS119.7 .A7 1983</t>
        </is>
      </c>
      <c r="C242" t="inlineStr">
        <is>
          <t>0                      DS 0119700A  7           1983</t>
        </is>
      </c>
      <c r="D242" t="inlineStr">
        <is>
          <t>Occupation : Israel over Palestine / edited by Naseer H. Aruri.</t>
        </is>
      </c>
      <c r="F242" t="inlineStr">
        <is>
          <t>No</t>
        </is>
      </c>
      <c r="G242" t="inlineStr">
        <is>
          <t>1</t>
        </is>
      </c>
      <c r="H242" t="inlineStr">
        <is>
          <t>No</t>
        </is>
      </c>
      <c r="I242" t="inlineStr">
        <is>
          <t>No</t>
        </is>
      </c>
      <c r="J242" t="inlineStr">
        <is>
          <t>0</t>
        </is>
      </c>
      <c r="K242" t="inlineStr">
        <is>
          <t>Aruri, Naseer Hasan, 1934-2015.</t>
        </is>
      </c>
      <c r="L242" t="inlineStr">
        <is>
          <t>Belmont, Mass. : Association of Arab-American University Graduates, 1983.</t>
        </is>
      </c>
      <c r="M242" t="inlineStr">
        <is>
          <t>1983</t>
        </is>
      </c>
      <c r="O242" t="inlineStr">
        <is>
          <t>eng</t>
        </is>
      </c>
      <c r="P242" t="inlineStr">
        <is>
          <t>mau</t>
        </is>
      </c>
      <c r="Q242" t="inlineStr">
        <is>
          <t>AAUG monograph, No. 18</t>
        </is>
      </c>
      <c r="R242" t="inlineStr">
        <is>
          <t xml:space="preserve">DS </t>
        </is>
      </c>
      <c r="S242" t="n">
        <v>6</v>
      </c>
      <c r="T242" t="n">
        <v>6</v>
      </c>
      <c r="U242" t="inlineStr">
        <is>
          <t>2010-04-20</t>
        </is>
      </c>
      <c r="V242" t="inlineStr">
        <is>
          <t>2010-04-20</t>
        </is>
      </c>
      <c r="W242" t="inlineStr">
        <is>
          <t>1990-04-02</t>
        </is>
      </c>
      <c r="X242" t="inlineStr">
        <is>
          <t>1990-04-02</t>
        </is>
      </c>
      <c r="Y242" t="n">
        <v>396</v>
      </c>
      <c r="Z242" t="n">
        <v>358</v>
      </c>
      <c r="AA242" t="n">
        <v>439</v>
      </c>
      <c r="AB242" t="n">
        <v>4</v>
      </c>
      <c r="AC242" t="n">
        <v>4</v>
      </c>
      <c r="AD242" t="n">
        <v>15</v>
      </c>
      <c r="AE242" t="n">
        <v>20</v>
      </c>
      <c r="AF242" t="n">
        <v>4</v>
      </c>
      <c r="AG242" t="n">
        <v>8</v>
      </c>
      <c r="AH242" t="n">
        <v>6</v>
      </c>
      <c r="AI242" t="n">
        <v>7</v>
      </c>
      <c r="AJ242" t="n">
        <v>4</v>
      </c>
      <c r="AK242" t="n">
        <v>7</v>
      </c>
      <c r="AL242" t="n">
        <v>3</v>
      </c>
      <c r="AM242" t="n">
        <v>3</v>
      </c>
      <c r="AN242" t="n">
        <v>0</v>
      </c>
      <c r="AO242" t="n">
        <v>0</v>
      </c>
      <c r="AP242" t="inlineStr">
        <is>
          <t>No</t>
        </is>
      </c>
      <c r="AQ242" t="inlineStr">
        <is>
          <t>Yes</t>
        </is>
      </c>
      <c r="AR242">
        <f>HYPERLINK("http://catalog.hathitrust.org/Record/000578755","HathiTrust Record")</f>
        <v/>
      </c>
      <c r="AS242">
        <f>HYPERLINK("https://creighton-primo.hosted.exlibrisgroup.com/primo-explore/search?tab=default_tab&amp;search_scope=EVERYTHING&amp;vid=01CRU&amp;lang=en_US&amp;offset=0&amp;query=any,contains,991000404439702656","Catalog Record")</f>
        <v/>
      </c>
      <c r="AT242">
        <f>HYPERLINK("http://www.worldcat.org/oclc/12235105","WorldCat Record")</f>
        <v/>
      </c>
      <c r="AU242" t="inlineStr">
        <is>
          <t>5162659:eng</t>
        </is>
      </c>
      <c r="AV242" t="inlineStr">
        <is>
          <t>12235105</t>
        </is>
      </c>
      <c r="AW242" t="inlineStr">
        <is>
          <t>991000404439702656</t>
        </is>
      </c>
      <c r="AX242" t="inlineStr">
        <is>
          <t>991000404439702656</t>
        </is>
      </c>
      <c r="AY242" t="inlineStr">
        <is>
          <t>2269707960002656</t>
        </is>
      </c>
      <c r="AZ242" t="inlineStr">
        <is>
          <t>BOOK</t>
        </is>
      </c>
      <c r="BB242" t="inlineStr">
        <is>
          <t>9780937694640</t>
        </is>
      </c>
      <c r="BC242" t="inlineStr">
        <is>
          <t>32285000107861</t>
        </is>
      </c>
      <c r="BD242" t="inlineStr">
        <is>
          <t>893502449</t>
        </is>
      </c>
    </row>
    <row r="243">
      <c r="A243" t="inlineStr">
        <is>
          <t>No</t>
        </is>
      </c>
      <c r="B243" t="inlineStr">
        <is>
          <t>DS119.7 .A87</t>
        </is>
      </c>
      <c r="C243" t="inlineStr">
        <is>
          <t>0                      DS 0119700A  87</t>
        </is>
      </c>
      <c r="D243" t="inlineStr">
        <is>
          <t>Israel and the Palestinians / edited and with an introd. by Shlomo Avineri.</t>
        </is>
      </c>
      <c r="F243" t="inlineStr">
        <is>
          <t>No</t>
        </is>
      </c>
      <c r="G243" t="inlineStr">
        <is>
          <t>1</t>
        </is>
      </c>
      <c r="H243" t="inlineStr">
        <is>
          <t>No</t>
        </is>
      </c>
      <c r="I243" t="inlineStr">
        <is>
          <t>No</t>
        </is>
      </c>
      <c r="J243" t="inlineStr">
        <is>
          <t>0</t>
        </is>
      </c>
      <c r="K243" t="inlineStr">
        <is>
          <t>Avineri, Shlomo compiler.</t>
        </is>
      </c>
      <c r="L243" t="inlineStr">
        <is>
          <t>New York : St. Martin's Press, [1971]</t>
        </is>
      </c>
      <c r="M243" t="inlineStr">
        <is>
          <t>1971</t>
        </is>
      </c>
      <c r="O243" t="inlineStr">
        <is>
          <t>eng</t>
        </is>
      </c>
      <c r="P243" t="inlineStr">
        <is>
          <t>nyu</t>
        </is>
      </c>
      <c r="R243" t="inlineStr">
        <is>
          <t xml:space="preserve">DS </t>
        </is>
      </c>
      <c r="S243" t="n">
        <v>2</v>
      </c>
      <c r="T243" t="n">
        <v>2</v>
      </c>
      <c r="U243" t="inlineStr">
        <is>
          <t>2004-03-28</t>
        </is>
      </c>
      <c r="V243" t="inlineStr">
        <is>
          <t>2004-03-28</t>
        </is>
      </c>
      <c r="W243" t="inlineStr">
        <is>
          <t>1992-12-04</t>
        </is>
      </c>
      <c r="X243" t="inlineStr">
        <is>
          <t>1992-12-04</t>
        </is>
      </c>
      <c r="Y243" t="n">
        <v>720</v>
      </c>
      <c r="Z243" t="n">
        <v>627</v>
      </c>
      <c r="AA243" t="n">
        <v>630</v>
      </c>
      <c r="AB243" t="n">
        <v>9</v>
      </c>
      <c r="AC243" t="n">
        <v>9</v>
      </c>
      <c r="AD243" t="n">
        <v>27</v>
      </c>
      <c r="AE243" t="n">
        <v>27</v>
      </c>
      <c r="AF243" t="n">
        <v>8</v>
      </c>
      <c r="AG243" t="n">
        <v>8</v>
      </c>
      <c r="AH243" t="n">
        <v>5</v>
      </c>
      <c r="AI243" t="n">
        <v>5</v>
      </c>
      <c r="AJ243" t="n">
        <v>12</v>
      </c>
      <c r="AK243" t="n">
        <v>12</v>
      </c>
      <c r="AL243" t="n">
        <v>7</v>
      </c>
      <c r="AM243" t="n">
        <v>7</v>
      </c>
      <c r="AN243" t="n">
        <v>1</v>
      </c>
      <c r="AO243" t="n">
        <v>1</v>
      </c>
      <c r="AP243" t="inlineStr">
        <is>
          <t>No</t>
        </is>
      </c>
      <c r="AQ243" t="inlineStr">
        <is>
          <t>Yes</t>
        </is>
      </c>
      <c r="AR243">
        <f>HYPERLINK("http://catalog.hathitrust.org/Record/001242792","HathiTrust Record")</f>
        <v/>
      </c>
      <c r="AS243">
        <f>HYPERLINK("https://creighton-primo.hosted.exlibrisgroup.com/primo-explore/search?tab=default_tab&amp;search_scope=EVERYTHING&amp;vid=01CRU&amp;lang=en_US&amp;offset=0&amp;query=any,contains,991000934999702656","Catalog Record")</f>
        <v/>
      </c>
      <c r="AT243">
        <f>HYPERLINK("http://www.worldcat.org/oclc/164157","WorldCat Record")</f>
        <v/>
      </c>
      <c r="AU243" t="inlineStr">
        <is>
          <t>1277943:eng</t>
        </is>
      </c>
      <c r="AV243" t="inlineStr">
        <is>
          <t>164157</t>
        </is>
      </c>
      <c r="AW243" t="inlineStr">
        <is>
          <t>991000934999702656</t>
        </is>
      </c>
      <c r="AX243" t="inlineStr">
        <is>
          <t>991000934999702656</t>
        </is>
      </c>
      <c r="AY243" t="inlineStr">
        <is>
          <t>2271910110002656</t>
        </is>
      </c>
      <c r="AZ243" t="inlineStr">
        <is>
          <t>BOOK</t>
        </is>
      </c>
      <c r="BC243" t="inlineStr">
        <is>
          <t>32285001413029</t>
        </is>
      </c>
      <c r="BD243" t="inlineStr">
        <is>
          <t>893528513</t>
        </is>
      </c>
    </row>
    <row r="244">
      <c r="A244" t="inlineStr">
        <is>
          <t>No</t>
        </is>
      </c>
      <c r="B244" t="inlineStr">
        <is>
          <t>DS119.7 .B2845 2007</t>
        </is>
      </c>
      <c r="C244" t="inlineStr">
        <is>
          <t>0                      DS 0119700B  2845        2007</t>
        </is>
      </c>
      <c r="D244" t="inlineStr">
        <is>
          <t>Tasting the sky : a Palestinian childhood / Ibtisam Barakat</t>
        </is>
      </c>
      <c r="F244" t="inlineStr">
        <is>
          <t>No</t>
        </is>
      </c>
      <c r="G244" t="inlineStr">
        <is>
          <t>1</t>
        </is>
      </c>
      <c r="H244" t="inlineStr">
        <is>
          <t>No</t>
        </is>
      </c>
      <c r="I244" t="inlineStr">
        <is>
          <t>No</t>
        </is>
      </c>
      <c r="J244" t="inlineStr">
        <is>
          <t>0</t>
        </is>
      </c>
      <c r="K244" t="inlineStr">
        <is>
          <t>Barakat, Ibtisam.</t>
        </is>
      </c>
      <c r="L244" t="inlineStr">
        <is>
          <t>New York : Farrar, Straus and Giroux, 2007.</t>
        </is>
      </c>
      <c r="M244" t="inlineStr">
        <is>
          <t>2007</t>
        </is>
      </c>
      <c r="N244" t="inlineStr">
        <is>
          <t>1st ed.</t>
        </is>
      </c>
      <c r="O244" t="inlineStr">
        <is>
          <t>eng</t>
        </is>
      </c>
      <c r="P244" t="inlineStr">
        <is>
          <t>nyu</t>
        </is>
      </c>
      <c r="R244" t="inlineStr">
        <is>
          <t xml:space="preserve">DS </t>
        </is>
      </c>
      <c r="S244" t="n">
        <v>2</v>
      </c>
      <c r="T244" t="n">
        <v>2</v>
      </c>
      <c r="U244" t="inlineStr">
        <is>
          <t>2009-12-15</t>
        </is>
      </c>
      <c r="V244" t="inlineStr">
        <is>
          <t>2009-12-15</t>
        </is>
      </c>
      <c r="W244" t="inlineStr">
        <is>
          <t>2008-07-14</t>
        </is>
      </c>
      <c r="X244" t="inlineStr">
        <is>
          <t>2008-07-14</t>
        </is>
      </c>
      <c r="Y244" t="n">
        <v>1296</v>
      </c>
      <c r="Z244" t="n">
        <v>1226</v>
      </c>
      <c r="AA244" t="n">
        <v>1281</v>
      </c>
      <c r="AB244" t="n">
        <v>12</v>
      </c>
      <c r="AC244" t="n">
        <v>13</v>
      </c>
      <c r="AD244" t="n">
        <v>20</v>
      </c>
      <c r="AE244" t="n">
        <v>22</v>
      </c>
      <c r="AF244" t="n">
        <v>10</v>
      </c>
      <c r="AG244" t="n">
        <v>10</v>
      </c>
      <c r="AH244" t="n">
        <v>3</v>
      </c>
      <c r="AI244" t="n">
        <v>4</v>
      </c>
      <c r="AJ244" t="n">
        <v>7</v>
      </c>
      <c r="AK244" t="n">
        <v>9</v>
      </c>
      <c r="AL244" t="n">
        <v>4</v>
      </c>
      <c r="AM244" t="n">
        <v>4</v>
      </c>
      <c r="AN244" t="n">
        <v>0</v>
      </c>
      <c r="AO244" t="n">
        <v>0</v>
      </c>
      <c r="AP244" t="inlineStr">
        <is>
          <t>No</t>
        </is>
      </c>
      <c r="AQ244" t="inlineStr">
        <is>
          <t>No</t>
        </is>
      </c>
      <c r="AS244">
        <f>HYPERLINK("https://creighton-primo.hosted.exlibrisgroup.com/primo-explore/search?tab=default_tab&amp;search_scope=EVERYTHING&amp;vid=01CRU&amp;lang=en_US&amp;offset=0&amp;query=any,contains,991005250049702656","Catalog Record")</f>
        <v/>
      </c>
      <c r="AT244">
        <f>HYPERLINK("http://www.worldcat.org/oclc/68786813","WorldCat Record")</f>
        <v/>
      </c>
      <c r="AU244" t="inlineStr">
        <is>
          <t>196142415:eng</t>
        </is>
      </c>
      <c r="AV244" t="inlineStr">
        <is>
          <t>68786813</t>
        </is>
      </c>
      <c r="AW244" t="inlineStr">
        <is>
          <t>991005250049702656</t>
        </is>
      </c>
      <c r="AX244" t="inlineStr">
        <is>
          <t>991005250049702656</t>
        </is>
      </c>
      <c r="AY244" t="inlineStr">
        <is>
          <t>2262285020002656</t>
        </is>
      </c>
      <c r="AZ244" t="inlineStr">
        <is>
          <t>BOOK</t>
        </is>
      </c>
      <c r="BB244" t="inlineStr">
        <is>
          <t>9780374357337</t>
        </is>
      </c>
      <c r="BC244" t="inlineStr">
        <is>
          <t>32285005448153</t>
        </is>
      </c>
      <c r="BD244" t="inlineStr">
        <is>
          <t>893221441</t>
        </is>
      </c>
    </row>
    <row r="245">
      <c r="A245" t="inlineStr">
        <is>
          <t>No</t>
        </is>
      </c>
      <c r="B245" t="inlineStr">
        <is>
          <t>DS119.7 .B382 1977</t>
        </is>
      </c>
      <c r="C245" t="inlineStr">
        <is>
          <t>0                      DS 0119700B  382         1977</t>
        </is>
      </c>
      <c r="D245" t="inlineStr">
        <is>
          <t>Terror out of Zion : Irgun Zvai Leumi, LEHI, and the Palestine underground, 1929-1949 / J. Bowyer Bell.</t>
        </is>
      </c>
      <c r="F245" t="inlineStr">
        <is>
          <t>No</t>
        </is>
      </c>
      <c r="G245" t="inlineStr">
        <is>
          <t>1</t>
        </is>
      </c>
      <c r="H245" t="inlineStr">
        <is>
          <t>No</t>
        </is>
      </c>
      <c r="I245" t="inlineStr">
        <is>
          <t>No</t>
        </is>
      </c>
      <c r="J245" t="inlineStr">
        <is>
          <t>0</t>
        </is>
      </c>
      <c r="K245" t="inlineStr">
        <is>
          <t>Bell, J. Bowyer, 1931-</t>
        </is>
      </c>
      <c r="L245" t="inlineStr">
        <is>
          <t>New York : St. Martin's Press, c1977.</t>
        </is>
      </c>
      <c r="M245" t="inlineStr">
        <is>
          <t>1977</t>
        </is>
      </c>
      <c r="O245" t="inlineStr">
        <is>
          <t>eng</t>
        </is>
      </c>
      <c r="P245" t="inlineStr">
        <is>
          <t>nyu</t>
        </is>
      </c>
      <c r="R245" t="inlineStr">
        <is>
          <t xml:space="preserve">DS </t>
        </is>
      </c>
      <c r="S245" t="n">
        <v>5</v>
      </c>
      <c r="T245" t="n">
        <v>5</v>
      </c>
      <c r="U245" t="inlineStr">
        <is>
          <t>2008-04-07</t>
        </is>
      </c>
      <c r="V245" t="inlineStr">
        <is>
          <t>2008-04-07</t>
        </is>
      </c>
      <c r="W245" t="inlineStr">
        <is>
          <t>1997-02-25</t>
        </is>
      </c>
      <c r="X245" t="inlineStr">
        <is>
          <t>1997-02-25</t>
        </is>
      </c>
      <c r="Y245" t="n">
        <v>656</v>
      </c>
      <c r="Z245" t="n">
        <v>566</v>
      </c>
      <c r="AA245" t="n">
        <v>647</v>
      </c>
      <c r="AB245" t="n">
        <v>4</v>
      </c>
      <c r="AC245" t="n">
        <v>4</v>
      </c>
      <c r="AD245" t="n">
        <v>27</v>
      </c>
      <c r="AE245" t="n">
        <v>31</v>
      </c>
      <c r="AF245" t="n">
        <v>11</v>
      </c>
      <c r="AG245" t="n">
        <v>11</v>
      </c>
      <c r="AH245" t="n">
        <v>7</v>
      </c>
      <c r="AI245" t="n">
        <v>7</v>
      </c>
      <c r="AJ245" t="n">
        <v>12</v>
      </c>
      <c r="AK245" t="n">
        <v>15</v>
      </c>
      <c r="AL245" t="n">
        <v>3</v>
      </c>
      <c r="AM245" t="n">
        <v>3</v>
      </c>
      <c r="AN245" t="n">
        <v>1</v>
      </c>
      <c r="AO245" t="n">
        <v>2</v>
      </c>
      <c r="AP245" t="inlineStr">
        <is>
          <t>No</t>
        </is>
      </c>
      <c r="AQ245" t="inlineStr">
        <is>
          <t>Yes</t>
        </is>
      </c>
      <c r="AR245">
        <f>HYPERLINK("http://catalog.hathitrust.org/Record/000127604","HathiTrust Record")</f>
        <v/>
      </c>
      <c r="AS245">
        <f>HYPERLINK("https://creighton-primo.hosted.exlibrisgroup.com/primo-explore/search?tab=default_tab&amp;search_scope=EVERYTHING&amp;vid=01CRU&amp;lang=en_US&amp;offset=0&amp;query=any,contains,991004185439702656","Catalog Record")</f>
        <v/>
      </c>
      <c r="AT245">
        <f>HYPERLINK("http://www.worldcat.org/oclc/2614797","WorldCat Record")</f>
        <v/>
      </c>
      <c r="AU245" t="inlineStr">
        <is>
          <t>867265328:eng</t>
        </is>
      </c>
      <c r="AV245" t="inlineStr">
        <is>
          <t>2614797</t>
        </is>
      </c>
      <c r="AW245" t="inlineStr">
        <is>
          <t>991004185439702656</t>
        </is>
      </c>
      <c r="AX245" t="inlineStr">
        <is>
          <t>991004185439702656</t>
        </is>
      </c>
      <c r="AY245" t="inlineStr">
        <is>
          <t>2265658650002656</t>
        </is>
      </c>
      <c r="AZ245" t="inlineStr">
        <is>
          <t>BOOK</t>
        </is>
      </c>
      <c r="BB245" t="inlineStr">
        <is>
          <t>9780312792053</t>
        </is>
      </c>
      <c r="BC245" t="inlineStr">
        <is>
          <t>32285002461712</t>
        </is>
      </c>
      <c r="BD245" t="inlineStr">
        <is>
          <t>893423486</t>
        </is>
      </c>
    </row>
    <row r="246">
      <c r="A246" t="inlineStr">
        <is>
          <t>No</t>
        </is>
      </c>
      <c r="B246" t="inlineStr">
        <is>
          <t>DS119.7 .B38343 1987</t>
        </is>
      </c>
      <c r="C246" t="inlineStr">
        <is>
          <t>0                      DS 0119700B  38343       1987</t>
        </is>
      </c>
      <c r="D246" t="inlineStr">
        <is>
          <t>Israel-Palestine : a guerrilla conflict in international politics / Eliezer Ben-Rafael.</t>
        </is>
      </c>
      <c r="F246" t="inlineStr">
        <is>
          <t>No</t>
        </is>
      </c>
      <c r="G246" t="inlineStr">
        <is>
          <t>1</t>
        </is>
      </c>
      <c r="H246" t="inlineStr">
        <is>
          <t>No</t>
        </is>
      </c>
      <c r="I246" t="inlineStr">
        <is>
          <t>No</t>
        </is>
      </c>
      <c r="J246" t="inlineStr">
        <is>
          <t>0</t>
        </is>
      </c>
      <c r="K246" t="inlineStr">
        <is>
          <t>Ben Rafael, Eliezer.</t>
        </is>
      </c>
      <c r="L246" t="inlineStr">
        <is>
          <t>New York : Greenwood Press, 1987.</t>
        </is>
      </c>
      <c r="M246" t="inlineStr">
        <is>
          <t>1987</t>
        </is>
      </c>
      <c r="O246" t="inlineStr">
        <is>
          <t>eng</t>
        </is>
      </c>
      <c r="P246" t="inlineStr">
        <is>
          <t>nyu</t>
        </is>
      </c>
      <c r="Q246" t="inlineStr">
        <is>
          <t>Contributions in political science, 0147-1066 ; no. 161</t>
        </is>
      </c>
      <c r="R246" t="inlineStr">
        <is>
          <t xml:space="preserve">DS </t>
        </is>
      </c>
      <c r="S246" t="n">
        <v>8</v>
      </c>
      <c r="T246" t="n">
        <v>8</v>
      </c>
      <c r="U246" t="inlineStr">
        <is>
          <t>2004-04-08</t>
        </is>
      </c>
      <c r="V246" t="inlineStr">
        <is>
          <t>2004-04-08</t>
        </is>
      </c>
      <c r="W246" t="inlineStr">
        <is>
          <t>1990-05-01</t>
        </is>
      </c>
      <c r="X246" t="inlineStr">
        <is>
          <t>1990-05-01</t>
        </is>
      </c>
      <c r="Y246" t="n">
        <v>310</v>
      </c>
      <c r="Z246" t="n">
        <v>238</v>
      </c>
      <c r="AA246" t="n">
        <v>567</v>
      </c>
      <c r="AB246" t="n">
        <v>4</v>
      </c>
      <c r="AC246" t="n">
        <v>5</v>
      </c>
      <c r="AD246" t="n">
        <v>9</v>
      </c>
      <c r="AE246" t="n">
        <v>14</v>
      </c>
      <c r="AF246" t="n">
        <v>0</v>
      </c>
      <c r="AG246" t="n">
        <v>3</v>
      </c>
      <c r="AH246" t="n">
        <v>3</v>
      </c>
      <c r="AI246" t="n">
        <v>4</v>
      </c>
      <c r="AJ246" t="n">
        <v>4</v>
      </c>
      <c r="AK246" t="n">
        <v>6</v>
      </c>
      <c r="AL246" t="n">
        <v>3</v>
      </c>
      <c r="AM246" t="n">
        <v>4</v>
      </c>
      <c r="AN246" t="n">
        <v>0</v>
      </c>
      <c r="AO246" t="n">
        <v>0</v>
      </c>
      <c r="AP246" t="inlineStr">
        <is>
          <t>No</t>
        </is>
      </c>
      <c r="AQ246" t="inlineStr">
        <is>
          <t>Yes</t>
        </is>
      </c>
      <c r="AR246">
        <f>HYPERLINK("http://catalog.hathitrust.org/Record/000816104","HathiTrust Record")</f>
        <v/>
      </c>
      <c r="AS246">
        <f>HYPERLINK("https://creighton-primo.hosted.exlibrisgroup.com/primo-explore/search?tab=default_tab&amp;search_scope=EVERYTHING&amp;vid=01CRU&amp;lang=en_US&amp;offset=0&amp;query=any,contains,991000858279702656","Catalog Record")</f>
        <v/>
      </c>
      <c r="AT246">
        <f>HYPERLINK("http://www.worldcat.org/oclc/13667666","WorldCat Record")</f>
        <v/>
      </c>
      <c r="AU246" t="inlineStr">
        <is>
          <t>2613309:eng</t>
        </is>
      </c>
      <c r="AV246" t="inlineStr">
        <is>
          <t>13667666</t>
        </is>
      </c>
      <c r="AW246" t="inlineStr">
        <is>
          <t>991000858279702656</t>
        </is>
      </c>
      <c r="AX246" t="inlineStr">
        <is>
          <t>991000858279702656</t>
        </is>
      </c>
      <c r="AY246" t="inlineStr">
        <is>
          <t>2272046630002656</t>
        </is>
      </c>
      <c r="AZ246" t="inlineStr">
        <is>
          <t>BOOK</t>
        </is>
      </c>
      <c r="BB246" t="inlineStr">
        <is>
          <t>9780313255533</t>
        </is>
      </c>
      <c r="BC246" t="inlineStr">
        <is>
          <t>32285000129980</t>
        </is>
      </c>
      <c r="BD246" t="inlineStr">
        <is>
          <t>893249748</t>
        </is>
      </c>
    </row>
    <row r="247">
      <c r="A247" t="inlineStr">
        <is>
          <t>No</t>
        </is>
      </c>
      <c r="B247" t="inlineStr">
        <is>
          <t>DS119.7 .B3857 1989</t>
        </is>
      </c>
      <c r="C247" t="inlineStr">
        <is>
          <t>0                      DS 0119700B  3857        1989</t>
        </is>
      </c>
      <c r="D247" t="inlineStr">
        <is>
          <t>Conflicts and contradictions / Meron Benvenisti.</t>
        </is>
      </c>
      <c r="F247" t="inlineStr">
        <is>
          <t>No</t>
        </is>
      </c>
      <c r="G247" t="inlineStr">
        <is>
          <t>1</t>
        </is>
      </c>
      <c r="H247" t="inlineStr">
        <is>
          <t>No</t>
        </is>
      </c>
      <c r="I247" t="inlineStr">
        <is>
          <t>No</t>
        </is>
      </c>
      <c r="J247" t="inlineStr">
        <is>
          <t>0</t>
        </is>
      </c>
      <c r="K247" t="inlineStr">
        <is>
          <t>Benvenisti, Meron, 1934-</t>
        </is>
      </c>
      <c r="L247" t="inlineStr">
        <is>
          <t>Silver Spring, MD : Eshel Books, 1989.</t>
        </is>
      </c>
      <c r="M247" t="inlineStr">
        <is>
          <t>1989</t>
        </is>
      </c>
      <c r="O247" t="inlineStr">
        <is>
          <t>eng</t>
        </is>
      </c>
      <c r="P247" t="inlineStr">
        <is>
          <t>mdu</t>
        </is>
      </c>
      <c r="R247" t="inlineStr">
        <is>
          <t xml:space="preserve">DS </t>
        </is>
      </c>
      <c r="S247" t="n">
        <v>5</v>
      </c>
      <c r="T247" t="n">
        <v>5</v>
      </c>
      <c r="U247" t="inlineStr">
        <is>
          <t>1997-04-02</t>
        </is>
      </c>
      <c r="V247" t="inlineStr">
        <is>
          <t>1997-04-02</t>
        </is>
      </c>
      <c r="W247" t="inlineStr">
        <is>
          <t>1992-05-22</t>
        </is>
      </c>
      <c r="X247" t="inlineStr">
        <is>
          <t>1992-05-22</t>
        </is>
      </c>
      <c r="Y247" t="n">
        <v>51</v>
      </c>
      <c r="Z247" t="n">
        <v>45</v>
      </c>
      <c r="AA247" t="n">
        <v>486</v>
      </c>
      <c r="AB247" t="n">
        <v>1</v>
      </c>
      <c r="AC247" t="n">
        <v>2</v>
      </c>
      <c r="AD247" t="n">
        <v>0</v>
      </c>
      <c r="AE247" t="n">
        <v>15</v>
      </c>
      <c r="AF247" t="n">
        <v>0</v>
      </c>
      <c r="AG247" t="n">
        <v>7</v>
      </c>
      <c r="AH247" t="n">
        <v>0</v>
      </c>
      <c r="AI247" t="n">
        <v>5</v>
      </c>
      <c r="AJ247" t="n">
        <v>0</v>
      </c>
      <c r="AK247" t="n">
        <v>7</v>
      </c>
      <c r="AL247" t="n">
        <v>0</v>
      </c>
      <c r="AM247" t="n">
        <v>1</v>
      </c>
      <c r="AN247" t="n">
        <v>0</v>
      </c>
      <c r="AO247" t="n">
        <v>0</v>
      </c>
      <c r="AP247" t="inlineStr">
        <is>
          <t>No</t>
        </is>
      </c>
      <c r="AQ247" t="inlineStr">
        <is>
          <t>No</t>
        </is>
      </c>
      <c r="AS247">
        <f>HYPERLINK("https://creighton-primo.hosted.exlibrisgroup.com/primo-explore/search?tab=default_tab&amp;search_scope=EVERYTHING&amp;vid=01CRU&amp;lang=en_US&amp;offset=0&amp;query=any,contains,991001393849702656","Catalog Record")</f>
        <v/>
      </c>
      <c r="AT247">
        <f>HYPERLINK("http://www.worldcat.org/oclc/18779950","WorldCat Record")</f>
        <v/>
      </c>
      <c r="AU247" t="inlineStr">
        <is>
          <t>5770635:eng</t>
        </is>
      </c>
      <c r="AV247" t="inlineStr">
        <is>
          <t>18779950</t>
        </is>
      </c>
      <c r="AW247" t="inlineStr">
        <is>
          <t>991001393849702656</t>
        </is>
      </c>
      <c r="AX247" t="inlineStr">
        <is>
          <t>991001393849702656</t>
        </is>
      </c>
      <c r="AY247" t="inlineStr">
        <is>
          <t>2256833800002656</t>
        </is>
      </c>
      <c r="AZ247" t="inlineStr">
        <is>
          <t>BOOK</t>
        </is>
      </c>
      <c r="BB247" t="inlineStr">
        <is>
          <t>9780935437270</t>
        </is>
      </c>
      <c r="BC247" t="inlineStr">
        <is>
          <t>32285001118735</t>
        </is>
      </c>
      <c r="BD247" t="inlineStr">
        <is>
          <t>893602570</t>
        </is>
      </c>
    </row>
    <row r="248">
      <c r="A248" t="inlineStr">
        <is>
          <t>No</t>
        </is>
      </c>
      <c r="B248" t="inlineStr">
        <is>
          <t>DS119.7 .B783 1976b</t>
        </is>
      </c>
      <c r="C248" t="inlineStr">
        <is>
          <t>0                      DS 0119700B  783         1976b</t>
        </is>
      </c>
      <c r="D248" t="inlineStr">
        <is>
          <t>War and peace in the Middle East : the experiences and views of a UN observer / by Odd Bull.</t>
        </is>
      </c>
      <c r="F248" t="inlineStr">
        <is>
          <t>No</t>
        </is>
      </c>
      <c r="G248" t="inlineStr">
        <is>
          <t>1</t>
        </is>
      </c>
      <c r="H248" t="inlineStr">
        <is>
          <t>No</t>
        </is>
      </c>
      <c r="I248" t="inlineStr">
        <is>
          <t>No</t>
        </is>
      </c>
      <c r="J248" t="inlineStr">
        <is>
          <t>0</t>
        </is>
      </c>
      <c r="K248" t="inlineStr">
        <is>
          <t>Bull, Odd, 1907-</t>
        </is>
      </c>
      <c r="L248" t="inlineStr">
        <is>
          <t>London : Cooper, 1976.</t>
        </is>
      </c>
      <c r="M248" t="inlineStr">
        <is>
          <t>1976</t>
        </is>
      </c>
      <c r="O248" t="inlineStr">
        <is>
          <t>eng</t>
        </is>
      </c>
      <c r="P248" t="inlineStr">
        <is>
          <t>enk</t>
        </is>
      </c>
      <c r="R248" t="inlineStr">
        <is>
          <t xml:space="preserve">DS </t>
        </is>
      </c>
      <c r="S248" t="n">
        <v>4</v>
      </c>
      <c r="T248" t="n">
        <v>4</v>
      </c>
      <c r="U248" t="inlineStr">
        <is>
          <t>2007-11-26</t>
        </is>
      </c>
      <c r="V248" t="inlineStr">
        <is>
          <t>2007-11-26</t>
        </is>
      </c>
      <c r="W248" t="inlineStr">
        <is>
          <t>1997-02-25</t>
        </is>
      </c>
      <c r="X248" t="inlineStr">
        <is>
          <t>1997-02-25</t>
        </is>
      </c>
      <c r="Y248" t="n">
        <v>354</v>
      </c>
      <c r="Z248" t="n">
        <v>266</v>
      </c>
      <c r="AA248" t="n">
        <v>337</v>
      </c>
      <c r="AB248" t="n">
        <v>3</v>
      </c>
      <c r="AC248" t="n">
        <v>3</v>
      </c>
      <c r="AD248" t="n">
        <v>9</v>
      </c>
      <c r="AE248" t="n">
        <v>12</v>
      </c>
      <c r="AF248" t="n">
        <v>2</v>
      </c>
      <c r="AG248" t="n">
        <v>4</v>
      </c>
      <c r="AH248" t="n">
        <v>2</v>
      </c>
      <c r="AI248" t="n">
        <v>3</v>
      </c>
      <c r="AJ248" t="n">
        <v>5</v>
      </c>
      <c r="AK248" t="n">
        <v>5</v>
      </c>
      <c r="AL248" t="n">
        <v>2</v>
      </c>
      <c r="AM248" t="n">
        <v>2</v>
      </c>
      <c r="AN248" t="n">
        <v>0</v>
      </c>
      <c r="AO248" t="n">
        <v>0</v>
      </c>
      <c r="AP248" t="inlineStr">
        <is>
          <t>No</t>
        </is>
      </c>
      <c r="AQ248" t="inlineStr">
        <is>
          <t>Yes</t>
        </is>
      </c>
      <c r="AR248">
        <f>HYPERLINK("http://catalog.hathitrust.org/Record/000213743","HathiTrust Record")</f>
        <v/>
      </c>
      <c r="AS248">
        <f>HYPERLINK("https://creighton-primo.hosted.exlibrisgroup.com/primo-explore/search?tab=default_tab&amp;search_scope=EVERYTHING&amp;vid=01CRU&amp;lang=en_US&amp;offset=0&amp;query=any,contains,991004297129702656","Catalog Record")</f>
        <v/>
      </c>
      <c r="AT248">
        <f>HYPERLINK("http://www.worldcat.org/oclc/2965846","WorldCat Record")</f>
        <v/>
      </c>
      <c r="AU248" t="inlineStr">
        <is>
          <t>502933373:eng</t>
        </is>
      </c>
      <c r="AV248" t="inlineStr">
        <is>
          <t>2965846</t>
        </is>
      </c>
      <c r="AW248" t="inlineStr">
        <is>
          <t>991004297129702656</t>
        </is>
      </c>
      <c r="AX248" t="inlineStr">
        <is>
          <t>991004297129702656</t>
        </is>
      </c>
      <c r="AY248" t="inlineStr">
        <is>
          <t>2270353430002656</t>
        </is>
      </c>
      <c r="AZ248" t="inlineStr">
        <is>
          <t>BOOK</t>
        </is>
      </c>
      <c r="BB248" t="inlineStr">
        <is>
          <t>9780850522266</t>
        </is>
      </c>
      <c r="BC248" t="inlineStr">
        <is>
          <t>32285002461720</t>
        </is>
      </c>
      <c r="BD248" t="inlineStr">
        <is>
          <t>893442453</t>
        </is>
      </c>
    </row>
    <row r="249">
      <c r="A249" t="inlineStr">
        <is>
          <t>No</t>
        </is>
      </c>
      <c r="B249" t="inlineStr">
        <is>
          <t>DS119.7 .C43 2001</t>
        </is>
      </c>
      <c r="C249" t="inlineStr">
        <is>
          <t>0                      DS 0119700C  43          2001</t>
        </is>
      </c>
      <c r="D249" t="inlineStr">
        <is>
          <t>The Charney report : confronting the Israeli-Arab conflict / Leon H. Charney.</t>
        </is>
      </c>
      <c r="F249" t="inlineStr">
        <is>
          <t>No</t>
        </is>
      </c>
      <c r="G249" t="inlineStr">
        <is>
          <t>1</t>
        </is>
      </c>
      <c r="H249" t="inlineStr">
        <is>
          <t>No</t>
        </is>
      </c>
      <c r="I249" t="inlineStr">
        <is>
          <t>No</t>
        </is>
      </c>
      <c r="J249" t="inlineStr">
        <is>
          <t>0</t>
        </is>
      </c>
      <c r="K249" t="inlineStr">
        <is>
          <t>Charney, Leon H.</t>
        </is>
      </c>
      <c r="L249" t="inlineStr">
        <is>
          <t>Fort Lee, NJ : Barricade Books, c2001.</t>
        </is>
      </c>
      <c r="M249" t="inlineStr">
        <is>
          <t>2001</t>
        </is>
      </c>
      <c r="O249" t="inlineStr">
        <is>
          <t>eng</t>
        </is>
      </c>
      <c r="P249" t="inlineStr">
        <is>
          <t>nju</t>
        </is>
      </c>
      <c r="R249" t="inlineStr">
        <is>
          <t xml:space="preserve">DS </t>
        </is>
      </c>
      <c r="S249" t="n">
        <v>3</v>
      </c>
      <c r="T249" t="n">
        <v>3</v>
      </c>
      <c r="U249" t="inlineStr">
        <is>
          <t>2003-03-20</t>
        </is>
      </c>
      <c r="V249" t="inlineStr">
        <is>
          <t>2003-03-20</t>
        </is>
      </c>
      <c r="W249" t="inlineStr">
        <is>
          <t>2002-08-15</t>
        </is>
      </c>
      <c r="X249" t="inlineStr">
        <is>
          <t>2002-08-15</t>
        </is>
      </c>
      <c r="Y249" t="n">
        <v>120</v>
      </c>
      <c r="Z249" t="n">
        <v>115</v>
      </c>
      <c r="AA249" t="n">
        <v>115</v>
      </c>
      <c r="AB249" t="n">
        <v>1</v>
      </c>
      <c r="AC249" t="n">
        <v>1</v>
      </c>
      <c r="AD249" t="n">
        <v>6</v>
      </c>
      <c r="AE249" t="n">
        <v>6</v>
      </c>
      <c r="AF249" t="n">
        <v>3</v>
      </c>
      <c r="AG249" t="n">
        <v>3</v>
      </c>
      <c r="AH249" t="n">
        <v>2</v>
      </c>
      <c r="AI249" t="n">
        <v>2</v>
      </c>
      <c r="AJ249" t="n">
        <v>2</v>
      </c>
      <c r="AK249" t="n">
        <v>2</v>
      </c>
      <c r="AL249" t="n">
        <v>0</v>
      </c>
      <c r="AM249" t="n">
        <v>0</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HYPERLINK("https://creighton-primo.hosted.exlibrisgroup.com/primo-explore/search?tab=default_tab&amp;search_scope=EVERYTHING&amp;vid=01CRU&amp;lang=en_US&amp;offset=0&amp;query=any,contains,991003849199702656","Catalog Record")</f>
        <v/>
      </c>
      <c r="AT249">
        <f>HYPERLINK("http://www.worldcat.org/oclc/49264478","WorldCat Record")</f>
        <v/>
      </c>
      <c r="AU249" t="inlineStr">
        <is>
          <t>351716239:eng</t>
        </is>
      </c>
      <c r="AV249" t="inlineStr">
        <is>
          <t>49264478</t>
        </is>
      </c>
      <c r="AW249" t="inlineStr">
        <is>
          <t>991003849199702656</t>
        </is>
      </c>
      <c r="AX249" t="inlineStr">
        <is>
          <t>991003849199702656</t>
        </is>
      </c>
      <c r="AY249" t="inlineStr">
        <is>
          <t>2271239200002656</t>
        </is>
      </c>
      <c r="AZ249" t="inlineStr">
        <is>
          <t>BOOK</t>
        </is>
      </c>
      <c r="BB249" t="inlineStr">
        <is>
          <t>9781569802045</t>
        </is>
      </c>
      <c r="BC249" t="inlineStr">
        <is>
          <t>32285004643333</t>
        </is>
      </c>
      <c r="BD249" t="inlineStr">
        <is>
          <t>893423048</t>
        </is>
      </c>
    </row>
    <row r="250">
      <c r="A250" t="inlineStr">
        <is>
          <t>No</t>
        </is>
      </c>
      <c r="B250" t="inlineStr">
        <is>
          <t>DS119.7 .C58 1984</t>
        </is>
      </c>
      <c r="C250" t="inlineStr">
        <is>
          <t>0                      DS 0119700C  58          1984</t>
        </is>
      </c>
      <c r="D250" t="inlineStr">
        <is>
          <t>The Palestinian Liberation Organisation : people, power, and politics / Helena Cobban.</t>
        </is>
      </c>
      <c r="F250" t="inlineStr">
        <is>
          <t>No</t>
        </is>
      </c>
      <c r="G250" t="inlineStr">
        <is>
          <t>1</t>
        </is>
      </c>
      <c r="H250" t="inlineStr">
        <is>
          <t>No</t>
        </is>
      </c>
      <c r="I250" t="inlineStr">
        <is>
          <t>No</t>
        </is>
      </c>
      <c r="J250" t="inlineStr">
        <is>
          <t>0</t>
        </is>
      </c>
      <c r="K250" t="inlineStr">
        <is>
          <t>Cobban, Helena.</t>
        </is>
      </c>
      <c r="L250" t="inlineStr">
        <is>
          <t>Cambridge [Cambridgeshire] ; New York : Cambridge University Press, 1984.</t>
        </is>
      </c>
      <c r="M250" t="inlineStr">
        <is>
          <t>1984</t>
        </is>
      </c>
      <c r="O250" t="inlineStr">
        <is>
          <t>eng</t>
        </is>
      </c>
      <c r="P250" t="inlineStr">
        <is>
          <t>enk</t>
        </is>
      </c>
      <c r="Q250" t="inlineStr">
        <is>
          <t>Cambridge Middle East library</t>
        </is>
      </c>
      <c r="R250" t="inlineStr">
        <is>
          <t xml:space="preserve">DS </t>
        </is>
      </c>
      <c r="S250" t="n">
        <v>12</v>
      </c>
      <c r="T250" t="n">
        <v>12</v>
      </c>
      <c r="U250" t="inlineStr">
        <is>
          <t>2004-04-05</t>
        </is>
      </c>
      <c r="V250" t="inlineStr">
        <is>
          <t>2004-04-05</t>
        </is>
      </c>
      <c r="W250" t="inlineStr">
        <is>
          <t>1990-04-25</t>
        </is>
      </c>
      <c r="X250" t="inlineStr">
        <is>
          <t>1990-04-25</t>
        </is>
      </c>
      <c r="Y250" t="n">
        <v>1186</v>
      </c>
      <c r="Z250" t="n">
        <v>944</v>
      </c>
      <c r="AA250" t="n">
        <v>948</v>
      </c>
      <c r="AB250" t="n">
        <v>6</v>
      </c>
      <c r="AC250" t="n">
        <v>6</v>
      </c>
      <c r="AD250" t="n">
        <v>38</v>
      </c>
      <c r="AE250" t="n">
        <v>38</v>
      </c>
      <c r="AF250" t="n">
        <v>16</v>
      </c>
      <c r="AG250" t="n">
        <v>16</v>
      </c>
      <c r="AH250" t="n">
        <v>8</v>
      </c>
      <c r="AI250" t="n">
        <v>8</v>
      </c>
      <c r="AJ250" t="n">
        <v>18</v>
      </c>
      <c r="AK250" t="n">
        <v>18</v>
      </c>
      <c r="AL250" t="n">
        <v>5</v>
      </c>
      <c r="AM250" t="n">
        <v>5</v>
      </c>
      <c r="AN250" t="n">
        <v>1</v>
      </c>
      <c r="AO250" t="n">
        <v>1</v>
      </c>
      <c r="AP250" t="inlineStr">
        <is>
          <t>No</t>
        </is>
      </c>
      <c r="AQ250" t="inlineStr">
        <is>
          <t>No</t>
        </is>
      </c>
      <c r="AS250">
        <f>HYPERLINK("https://creighton-primo.hosted.exlibrisgroup.com/primo-explore/search?tab=default_tab&amp;search_scope=EVERYTHING&amp;vid=01CRU&amp;lang=en_US&amp;offset=0&amp;query=any,contains,991000282739702656","Catalog Record")</f>
        <v/>
      </c>
      <c r="AT250">
        <f>HYPERLINK("http://www.worldcat.org/oclc/9919629","WorldCat Record")</f>
        <v/>
      </c>
      <c r="AU250" t="inlineStr">
        <is>
          <t>795315812:eng</t>
        </is>
      </c>
      <c r="AV250" t="inlineStr">
        <is>
          <t>9919629</t>
        </is>
      </c>
      <c r="AW250" t="inlineStr">
        <is>
          <t>991000282739702656</t>
        </is>
      </c>
      <c r="AX250" t="inlineStr">
        <is>
          <t>991000282739702656</t>
        </is>
      </c>
      <c r="AY250" t="inlineStr">
        <is>
          <t>2268164370002656</t>
        </is>
      </c>
      <c r="AZ250" t="inlineStr">
        <is>
          <t>BOOK</t>
        </is>
      </c>
      <c r="BB250" t="inlineStr">
        <is>
          <t>9780521272162</t>
        </is>
      </c>
      <c r="BC250" t="inlineStr">
        <is>
          <t>32285000131812</t>
        </is>
      </c>
      <c r="BD250" t="inlineStr">
        <is>
          <t>893620352</t>
        </is>
      </c>
    </row>
    <row r="251">
      <c r="A251" t="inlineStr">
        <is>
          <t>No</t>
        </is>
      </c>
      <c r="B251" t="inlineStr">
        <is>
          <t>DS119.7 .C6213 1970b</t>
        </is>
      </c>
      <c r="C251" t="inlineStr">
        <is>
          <t>0                      DS 0119700C  6213        1970b</t>
        </is>
      </c>
      <c r="D251" t="inlineStr">
        <is>
          <t>Israel and the Arab world. [Translated from the Hebrew by Aubrey Hodes, Naomi Handelman and Miriam Shimeoni]</t>
        </is>
      </c>
      <c r="F251" t="inlineStr">
        <is>
          <t>No</t>
        </is>
      </c>
      <c r="G251" t="inlineStr">
        <is>
          <t>1</t>
        </is>
      </c>
      <c r="H251" t="inlineStr">
        <is>
          <t>No</t>
        </is>
      </c>
      <c r="I251" t="inlineStr">
        <is>
          <t>No</t>
        </is>
      </c>
      <c r="J251" t="inlineStr">
        <is>
          <t>0</t>
        </is>
      </c>
      <c r="K251" t="inlineStr">
        <is>
          <t>Cohen, Aharon, 1910-1980.</t>
        </is>
      </c>
      <c r="L251" t="inlineStr">
        <is>
          <t>New York, Funk &amp; Wagnalls [1970]</t>
        </is>
      </c>
      <c r="M251" t="inlineStr">
        <is>
          <t>1970</t>
        </is>
      </c>
      <c r="O251" t="inlineStr">
        <is>
          <t>eng</t>
        </is>
      </c>
      <c r="P251" t="inlineStr">
        <is>
          <t>nyu</t>
        </is>
      </c>
      <c r="R251" t="inlineStr">
        <is>
          <t xml:space="preserve">DS </t>
        </is>
      </c>
      <c r="S251" t="n">
        <v>2</v>
      </c>
      <c r="T251" t="n">
        <v>2</v>
      </c>
      <c r="U251" t="inlineStr">
        <is>
          <t>1992-11-08</t>
        </is>
      </c>
      <c r="V251" t="inlineStr">
        <is>
          <t>1992-11-08</t>
        </is>
      </c>
      <c r="W251" t="inlineStr">
        <is>
          <t>1991-12-12</t>
        </is>
      </c>
      <c r="X251" t="inlineStr">
        <is>
          <t>1991-12-12</t>
        </is>
      </c>
      <c r="Y251" t="n">
        <v>419</v>
      </c>
      <c r="Z251" t="n">
        <v>375</v>
      </c>
      <c r="AA251" t="n">
        <v>528</v>
      </c>
      <c r="AB251" t="n">
        <v>3</v>
      </c>
      <c r="AC251" t="n">
        <v>4</v>
      </c>
      <c r="AD251" t="n">
        <v>12</v>
      </c>
      <c r="AE251" t="n">
        <v>19</v>
      </c>
      <c r="AF251" t="n">
        <v>4</v>
      </c>
      <c r="AG251" t="n">
        <v>9</v>
      </c>
      <c r="AH251" t="n">
        <v>4</v>
      </c>
      <c r="AI251" t="n">
        <v>5</v>
      </c>
      <c r="AJ251" t="n">
        <v>4</v>
      </c>
      <c r="AK251" t="n">
        <v>7</v>
      </c>
      <c r="AL251" t="n">
        <v>2</v>
      </c>
      <c r="AM251" t="n">
        <v>3</v>
      </c>
      <c r="AN251" t="n">
        <v>0</v>
      </c>
      <c r="AO251" t="n">
        <v>0</v>
      </c>
      <c r="AP251" t="inlineStr">
        <is>
          <t>No</t>
        </is>
      </c>
      <c r="AQ251" t="inlineStr">
        <is>
          <t>Yes</t>
        </is>
      </c>
      <c r="AR251">
        <f>HYPERLINK("http://catalog.hathitrust.org/Record/004409396","HathiTrust Record")</f>
        <v/>
      </c>
      <c r="AS251">
        <f>HYPERLINK("https://creighton-primo.hosted.exlibrisgroup.com/primo-explore/search?tab=default_tab&amp;search_scope=EVERYTHING&amp;vid=01CRU&amp;lang=en_US&amp;offset=0&amp;query=any,contains,991000674109702656","Catalog Record")</f>
        <v/>
      </c>
      <c r="AT251">
        <f>HYPERLINK("http://www.worldcat.org/oclc/119997","WorldCat Record")</f>
        <v/>
      </c>
      <c r="AU251" t="inlineStr">
        <is>
          <t>1221905:eng</t>
        </is>
      </c>
      <c r="AV251" t="inlineStr">
        <is>
          <t>119997</t>
        </is>
      </c>
      <c r="AW251" t="inlineStr">
        <is>
          <t>991000674109702656</t>
        </is>
      </c>
      <c r="AX251" t="inlineStr">
        <is>
          <t>991000674109702656</t>
        </is>
      </c>
      <c r="AY251" t="inlineStr">
        <is>
          <t>2261843710002656</t>
        </is>
      </c>
      <c r="AZ251" t="inlineStr">
        <is>
          <t>BOOK</t>
        </is>
      </c>
      <c r="BC251" t="inlineStr">
        <is>
          <t>32285000878529</t>
        </is>
      </c>
      <c r="BD251" t="inlineStr">
        <is>
          <t>893784434</t>
        </is>
      </c>
    </row>
    <row r="252">
      <c r="A252" t="inlineStr">
        <is>
          <t>No</t>
        </is>
      </c>
      <c r="B252" t="inlineStr">
        <is>
          <t>DS119.7 .C6523 1994</t>
        </is>
      </c>
      <c r="C252" t="inlineStr">
        <is>
          <t>0                      DS 0119700C  6523        1994</t>
        </is>
      </c>
      <c r="D252" t="inlineStr">
        <is>
          <t>Confidence building measures in the Middle East / edited by Gabriel Ben-Dor and David B. Dewitt.</t>
        </is>
      </c>
      <c r="F252" t="inlineStr">
        <is>
          <t>No</t>
        </is>
      </c>
      <c r="G252" t="inlineStr">
        <is>
          <t>1</t>
        </is>
      </c>
      <c r="H252" t="inlineStr">
        <is>
          <t>No</t>
        </is>
      </c>
      <c r="I252" t="inlineStr">
        <is>
          <t>No</t>
        </is>
      </c>
      <c r="J252" t="inlineStr">
        <is>
          <t>0</t>
        </is>
      </c>
      <c r="L252" t="inlineStr">
        <is>
          <t>Boulder : Westview Press, 1994.</t>
        </is>
      </c>
      <c r="M252" t="inlineStr">
        <is>
          <t>1994</t>
        </is>
      </c>
      <c r="O252" t="inlineStr">
        <is>
          <t>eng</t>
        </is>
      </c>
      <c r="P252" t="inlineStr">
        <is>
          <t>cou</t>
        </is>
      </c>
      <c r="R252" t="inlineStr">
        <is>
          <t xml:space="preserve">DS </t>
        </is>
      </c>
      <c r="S252" t="n">
        <v>2</v>
      </c>
      <c r="T252" t="n">
        <v>2</v>
      </c>
      <c r="U252" t="inlineStr">
        <is>
          <t>2000-11-01</t>
        </is>
      </c>
      <c r="V252" t="inlineStr">
        <is>
          <t>2000-11-01</t>
        </is>
      </c>
      <c r="W252" t="inlineStr">
        <is>
          <t>1996-06-11</t>
        </is>
      </c>
      <c r="X252" t="inlineStr">
        <is>
          <t>1996-06-11</t>
        </is>
      </c>
      <c r="Y252" t="n">
        <v>220</v>
      </c>
      <c r="Z252" t="n">
        <v>171</v>
      </c>
      <c r="AA252" t="n">
        <v>183</v>
      </c>
      <c r="AB252" t="n">
        <v>2</v>
      </c>
      <c r="AC252" t="n">
        <v>2</v>
      </c>
      <c r="AD252" t="n">
        <v>11</v>
      </c>
      <c r="AE252" t="n">
        <v>11</v>
      </c>
      <c r="AF252" t="n">
        <v>2</v>
      </c>
      <c r="AG252" t="n">
        <v>2</v>
      </c>
      <c r="AH252" t="n">
        <v>3</v>
      </c>
      <c r="AI252" t="n">
        <v>3</v>
      </c>
      <c r="AJ252" t="n">
        <v>7</v>
      </c>
      <c r="AK252" t="n">
        <v>7</v>
      </c>
      <c r="AL252" t="n">
        <v>1</v>
      </c>
      <c r="AM252" t="n">
        <v>1</v>
      </c>
      <c r="AN252" t="n">
        <v>0</v>
      </c>
      <c r="AO252" t="n">
        <v>0</v>
      </c>
      <c r="AP252" t="inlineStr">
        <is>
          <t>No</t>
        </is>
      </c>
      <c r="AQ252" t="inlineStr">
        <is>
          <t>Yes</t>
        </is>
      </c>
      <c r="AR252">
        <f>HYPERLINK("http://catalog.hathitrust.org/Record/002892286","HathiTrust Record")</f>
        <v/>
      </c>
      <c r="AS252">
        <f>HYPERLINK("https://creighton-primo.hosted.exlibrisgroup.com/primo-explore/search?tab=default_tab&amp;search_scope=EVERYTHING&amp;vid=01CRU&amp;lang=en_US&amp;offset=0&amp;query=any,contains,991002370039702656","Catalog Record")</f>
        <v/>
      </c>
      <c r="AT252">
        <f>HYPERLINK("http://www.worldcat.org/oclc/30810136","WorldCat Record")</f>
        <v/>
      </c>
      <c r="AU252" t="inlineStr">
        <is>
          <t>32687138:eng</t>
        </is>
      </c>
      <c r="AV252" t="inlineStr">
        <is>
          <t>30810136</t>
        </is>
      </c>
      <c r="AW252" t="inlineStr">
        <is>
          <t>991002370039702656</t>
        </is>
      </c>
      <c r="AX252" t="inlineStr">
        <is>
          <t>991002370039702656</t>
        </is>
      </c>
      <c r="AY252" t="inlineStr">
        <is>
          <t>2269536550002656</t>
        </is>
      </c>
      <c r="AZ252" t="inlineStr">
        <is>
          <t>BOOK</t>
        </is>
      </c>
      <c r="BB252" t="inlineStr">
        <is>
          <t>9780813322933</t>
        </is>
      </c>
      <c r="BC252" t="inlineStr">
        <is>
          <t>32285002190634</t>
        </is>
      </c>
      <c r="BD252" t="inlineStr">
        <is>
          <t>893603507</t>
        </is>
      </c>
    </row>
    <row r="253">
      <c r="A253" t="inlineStr">
        <is>
          <t>No</t>
        </is>
      </c>
      <c r="B253" t="inlineStr">
        <is>
          <t>DS119.7 .D4634 2008</t>
        </is>
      </c>
      <c r="C253" t="inlineStr">
        <is>
          <t>0                      DS 0119700D  4634        2008</t>
        </is>
      </c>
      <c r="D253" t="inlineStr">
        <is>
          <t>The case against Israel's enemies : exposing Jimmy Carter and others who stand in the way of peace / Alan Dershowitz.</t>
        </is>
      </c>
      <c r="F253" t="inlineStr">
        <is>
          <t>No</t>
        </is>
      </c>
      <c r="G253" t="inlineStr">
        <is>
          <t>1</t>
        </is>
      </c>
      <c r="H253" t="inlineStr">
        <is>
          <t>No</t>
        </is>
      </c>
      <c r="I253" t="inlineStr">
        <is>
          <t>No</t>
        </is>
      </c>
      <c r="J253" t="inlineStr">
        <is>
          <t>0</t>
        </is>
      </c>
      <c r="K253" t="inlineStr">
        <is>
          <t>Dershowitz, Alan M.</t>
        </is>
      </c>
      <c r="L253" t="inlineStr">
        <is>
          <t>Hoboken, N.J. : John Wiley &amp; Sons, c2008.</t>
        </is>
      </c>
      <c r="M253" t="inlineStr">
        <is>
          <t>2008</t>
        </is>
      </c>
      <c r="O253" t="inlineStr">
        <is>
          <t>eng</t>
        </is>
      </c>
      <c r="P253" t="inlineStr">
        <is>
          <t>nju</t>
        </is>
      </c>
      <c r="R253" t="inlineStr">
        <is>
          <t xml:space="preserve">DS </t>
        </is>
      </c>
      <c r="S253" t="n">
        <v>1</v>
      </c>
      <c r="T253" t="n">
        <v>1</v>
      </c>
      <c r="U253" t="inlineStr">
        <is>
          <t>2010-05-03</t>
        </is>
      </c>
      <c r="V253" t="inlineStr">
        <is>
          <t>2010-05-03</t>
        </is>
      </c>
      <c r="W253" t="inlineStr">
        <is>
          <t>2010-05-03</t>
        </is>
      </c>
      <c r="X253" t="inlineStr">
        <is>
          <t>2010-05-03</t>
        </is>
      </c>
      <c r="Y253" t="n">
        <v>509</v>
      </c>
      <c r="Z253" t="n">
        <v>430</v>
      </c>
      <c r="AA253" t="n">
        <v>454</v>
      </c>
      <c r="AB253" t="n">
        <v>2</v>
      </c>
      <c r="AC253" t="n">
        <v>2</v>
      </c>
      <c r="AD253" t="n">
        <v>9</v>
      </c>
      <c r="AE253" t="n">
        <v>9</v>
      </c>
      <c r="AF253" t="n">
        <v>3</v>
      </c>
      <c r="AG253" t="n">
        <v>3</v>
      </c>
      <c r="AH253" t="n">
        <v>3</v>
      </c>
      <c r="AI253" t="n">
        <v>3</v>
      </c>
      <c r="AJ253" t="n">
        <v>6</v>
      </c>
      <c r="AK253" t="n">
        <v>6</v>
      </c>
      <c r="AL253" t="n">
        <v>1</v>
      </c>
      <c r="AM253" t="n">
        <v>1</v>
      </c>
      <c r="AN253" t="n">
        <v>0</v>
      </c>
      <c r="AO253" t="n">
        <v>0</v>
      </c>
      <c r="AP253" t="inlineStr">
        <is>
          <t>No</t>
        </is>
      </c>
      <c r="AQ253" t="inlineStr">
        <is>
          <t>Yes</t>
        </is>
      </c>
      <c r="AR253">
        <f>HYPERLINK("http://catalog.hathitrust.org/Record/005878532","HathiTrust Record")</f>
        <v/>
      </c>
      <c r="AS253">
        <f>HYPERLINK("https://creighton-primo.hosted.exlibrisgroup.com/primo-explore/search?tab=default_tab&amp;search_scope=EVERYTHING&amp;vid=01CRU&amp;lang=en_US&amp;offset=0&amp;query=any,contains,991005390969702656","Catalog Record")</f>
        <v/>
      </c>
      <c r="AT253">
        <f>HYPERLINK("http://www.worldcat.org/oclc/226356091","WorldCat Record")</f>
        <v/>
      </c>
      <c r="AU253" t="inlineStr">
        <is>
          <t>802872233:eng</t>
        </is>
      </c>
      <c r="AV253" t="inlineStr">
        <is>
          <t>226356091</t>
        </is>
      </c>
      <c r="AW253" t="inlineStr">
        <is>
          <t>991005390969702656</t>
        </is>
      </c>
      <c r="AX253" t="inlineStr">
        <is>
          <t>991005390969702656</t>
        </is>
      </c>
      <c r="AY253" t="inlineStr">
        <is>
          <t>2255632150002656</t>
        </is>
      </c>
      <c r="AZ253" t="inlineStr">
        <is>
          <t>BOOK</t>
        </is>
      </c>
      <c r="BB253" t="inlineStr">
        <is>
          <t>9780470379929</t>
        </is>
      </c>
      <c r="BC253" t="inlineStr">
        <is>
          <t>32285005568968</t>
        </is>
      </c>
      <c r="BD253" t="inlineStr">
        <is>
          <t>893808391</t>
        </is>
      </c>
    </row>
    <row r="254">
      <c r="A254" t="inlineStr">
        <is>
          <t>No</t>
        </is>
      </c>
      <c r="B254" t="inlineStr">
        <is>
          <t>DS119.7 .D616 1991</t>
        </is>
      </c>
      <c r="C254" t="inlineStr">
        <is>
          <t>0                      DS 0119700D  616         1991</t>
        </is>
      </c>
      <c r="D254" t="inlineStr">
        <is>
          <t>A Documentary history of the Arab-Israeli conflict / edited with historical introductions by Charles L. Geddes.</t>
        </is>
      </c>
      <c r="F254" t="inlineStr">
        <is>
          <t>No</t>
        </is>
      </c>
      <c r="G254" t="inlineStr">
        <is>
          <t>1</t>
        </is>
      </c>
      <c r="H254" t="inlineStr">
        <is>
          <t>No</t>
        </is>
      </c>
      <c r="I254" t="inlineStr">
        <is>
          <t>No</t>
        </is>
      </c>
      <c r="J254" t="inlineStr">
        <is>
          <t>0</t>
        </is>
      </c>
      <c r="L254" t="inlineStr">
        <is>
          <t>New York : Praeger, 1991.</t>
        </is>
      </c>
      <c r="M254" t="inlineStr">
        <is>
          <t>1991</t>
        </is>
      </c>
      <c r="O254" t="inlineStr">
        <is>
          <t>eng</t>
        </is>
      </c>
      <c r="P254" t="inlineStr">
        <is>
          <t>nyu</t>
        </is>
      </c>
      <c r="R254" t="inlineStr">
        <is>
          <t xml:space="preserve">DS </t>
        </is>
      </c>
      <c r="S254" t="n">
        <v>10</v>
      </c>
      <c r="T254" t="n">
        <v>10</v>
      </c>
      <c r="U254" t="inlineStr">
        <is>
          <t>2004-04-05</t>
        </is>
      </c>
      <c r="V254" t="inlineStr">
        <is>
          <t>2004-04-05</t>
        </is>
      </c>
      <c r="W254" t="inlineStr">
        <is>
          <t>1992-05-05</t>
        </is>
      </c>
      <c r="X254" t="inlineStr">
        <is>
          <t>1992-05-05</t>
        </is>
      </c>
      <c r="Y254" t="n">
        <v>289</v>
      </c>
      <c r="Z254" t="n">
        <v>228</v>
      </c>
      <c r="AA254" t="n">
        <v>855</v>
      </c>
      <c r="AB254" t="n">
        <v>1</v>
      </c>
      <c r="AC254" t="n">
        <v>30</v>
      </c>
      <c r="AD254" t="n">
        <v>7</v>
      </c>
      <c r="AE254" t="n">
        <v>24</v>
      </c>
      <c r="AF254" t="n">
        <v>1</v>
      </c>
      <c r="AG254" t="n">
        <v>6</v>
      </c>
      <c r="AH254" t="n">
        <v>3</v>
      </c>
      <c r="AI254" t="n">
        <v>3</v>
      </c>
      <c r="AJ254" t="n">
        <v>6</v>
      </c>
      <c r="AK254" t="n">
        <v>8</v>
      </c>
      <c r="AL254" t="n">
        <v>0</v>
      </c>
      <c r="AM254" t="n">
        <v>11</v>
      </c>
      <c r="AN254" t="n">
        <v>0</v>
      </c>
      <c r="AO254" t="n">
        <v>0</v>
      </c>
      <c r="AP254" t="inlineStr">
        <is>
          <t>No</t>
        </is>
      </c>
      <c r="AQ254" t="inlineStr">
        <is>
          <t>Yes</t>
        </is>
      </c>
      <c r="AR254">
        <f>HYPERLINK("http://catalog.hathitrust.org/Record/002499038","HathiTrust Record")</f>
        <v/>
      </c>
      <c r="AS254">
        <f>HYPERLINK("https://creighton-primo.hosted.exlibrisgroup.com/primo-explore/search?tab=default_tab&amp;search_scope=EVERYTHING&amp;vid=01CRU&amp;lang=en_US&amp;offset=0&amp;query=any,contains,991001822009702656","Catalog Record")</f>
        <v/>
      </c>
      <c r="AT254">
        <f>HYPERLINK("http://www.worldcat.org/oclc/22892671","WorldCat Record")</f>
        <v/>
      </c>
      <c r="AU254" t="inlineStr">
        <is>
          <t>351101387:eng</t>
        </is>
      </c>
      <c r="AV254" t="inlineStr">
        <is>
          <t>22892671</t>
        </is>
      </c>
      <c r="AW254" t="inlineStr">
        <is>
          <t>991001822009702656</t>
        </is>
      </c>
      <c r="AX254" t="inlineStr">
        <is>
          <t>991001822009702656</t>
        </is>
      </c>
      <c r="AY254" t="inlineStr">
        <is>
          <t>2267027860002656</t>
        </is>
      </c>
      <c r="AZ254" t="inlineStr">
        <is>
          <t>BOOK</t>
        </is>
      </c>
      <c r="BB254" t="inlineStr">
        <is>
          <t>9780275938581</t>
        </is>
      </c>
      <c r="BC254" t="inlineStr">
        <is>
          <t>32285001038347</t>
        </is>
      </c>
      <c r="BD254" t="inlineStr">
        <is>
          <t>893250534</t>
        </is>
      </c>
    </row>
    <row r="255">
      <c r="A255" t="inlineStr">
        <is>
          <t>No</t>
        </is>
      </c>
      <c r="B255" t="inlineStr">
        <is>
          <t>DS119.7 .F49 1991</t>
        </is>
      </c>
      <c r="C255" t="inlineStr">
        <is>
          <t>0                      DS 0119700F  49          1991</t>
        </is>
      </c>
      <c r="D255" t="inlineStr">
        <is>
          <t>Plans for peace : negotiation and the Arab-Israeli conflict / Karen A. Feste.</t>
        </is>
      </c>
      <c r="F255" t="inlineStr">
        <is>
          <t>No</t>
        </is>
      </c>
      <c r="G255" t="inlineStr">
        <is>
          <t>1</t>
        </is>
      </c>
      <c r="H255" t="inlineStr">
        <is>
          <t>No</t>
        </is>
      </c>
      <c r="I255" t="inlineStr">
        <is>
          <t>No</t>
        </is>
      </c>
      <c r="J255" t="inlineStr">
        <is>
          <t>0</t>
        </is>
      </c>
      <c r="K255" t="inlineStr">
        <is>
          <t>Feste, Karen A.</t>
        </is>
      </c>
      <c r="L255" t="inlineStr">
        <is>
          <t>New York : Greenwood Press, 1991.</t>
        </is>
      </c>
      <c r="M255" t="inlineStr">
        <is>
          <t>1991</t>
        </is>
      </c>
      <c r="O255" t="inlineStr">
        <is>
          <t>eng</t>
        </is>
      </c>
      <c r="P255" t="inlineStr">
        <is>
          <t>nyu</t>
        </is>
      </c>
      <c r="Q255" t="inlineStr">
        <is>
          <t>Contributions in political science, 0147-1066 ; no. 284</t>
        </is>
      </c>
      <c r="R255" t="inlineStr">
        <is>
          <t xml:space="preserve">DS </t>
        </is>
      </c>
      <c r="S255" t="n">
        <v>4</v>
      </c>
      <c r="T255" t="n">
        <v>4</v>
      </c>
      <c r="U255" t="inlineStr">
        <is>
          <t>2004-04-23</t>
        </is>
      </c>
      <c r="V255" t="inlineStr">
        <is>
          <t>2004-04-23</t>
        </is>
      </c>
      <c r="W255" t="inlineStr">
        <is>
          <t>1992-06-10</t>
        </is>
      </c>
      <c r="X255" t="inlineStr">
        <is>
          <t>1992-06-10</t>
        </is>
      </c>
      <c r="Y255" t="n">
        <v>190</v>
      </c>
      <c r="Z255" t="n">
        <v>151</v>
      </c>
      <c r="AA255" t="n">
        <v>563</v>
      </c>
      <c r="AB255" t="n">
        <v>2</v>
      </c>
      <c r="AC255" t="n">
        <v>5</v>
      </c>
      <c r="AD255" t="n">
        <v>11</v>
      </c>
      <c r="AE255" t="n">
        <v>21</v>
      </c>
      <c r="AF255" t="n">
        <v>3</v>
      </c>
      <c r="AG255" t="n">
        <v>8</v>
      </c>
      <c r="AH255" t="n">
        <v>4</v>
      </c>
      <c r="AI255" t="n">
        <v>5</v>
      </c>
      <c r="AJ255" t="n">
        <v>7</v>
      </c>
      <c r="AK255" t="n">
        <v>10</v>
      </c>
      <c r="AL255" t="n">
        <v>1</v>
      </c>
      <c r="AM255" t="n">
        <v>4</v>
      </c>
      <c r="AN255" t="n">
        <v>0</v>
      </c>
      <c r="AO255" t="n">
        <v>0</v>
      </c>
      <c r="AP255" t="inlineStr">
        <is>
          <t>No</t>
        </is>
      </c>
      <c r="AQ255" t="inlineStr">
        <is>
          <t>Yes</t>
        </is>
      </c>
      <c r="AR255">
        <f>HYPERLINK("http://catalog.hathitrust.org/Record/002543285","HathiTrust Record")</f>
        <v/>
      </c>
      <c r="AS255">
        <f>HYPERLINK("https://creighton-primo.hosted.exlibrisgroup.com/primo-explore/search?tab=default_tab&amp;search_scope=EVERYTHING&amp;vid=01CRU&amp;lang=en_US&amp;offset=0&amp;query=any,contains,991001887729702656","Catalog Record")</f>
        <v/>
      </c>
      <c r="AT255">
        <f>HYPERLINK("http://www.worldcat.org/oclc/23769134","WorldCat Record")</f>
        <v/>
      </c>
      <c r="AU255" t="inlineStr">
        <is>
          <t>2570941:eng</t>
        </is>
      </c>
      <c r="AV255" t="inlineStr">
        <is>
          <t>23769134</t>
        </is>
      </c>
      <c r="AW255" t="inlineStr">
        <is>
          <t>991001887729702656</t>
        </is>
      </c>
      <c r="AX255" t="inlineStr">
        <is>
          <t>991001887729702656</t>
        </is>
      </c>
      <c r="AY255" t="inlineStr">
        <is>
          <t>2271838900002656</t>
        </is>
      </c>
      <c r="AZ255" t="inlineStr">
        <is>
          <t>BOOK</t>
        </is>
      </c>
      <c r="BB255" t="inlineStr">
        <is>
          <t>9780313263613</t>
        </is>
      </c>
      <c r="BC255" t="inlineStr">
        <is>
          <t>32285001127454</t>
        </is>
      </c>
      <c r="BD255" t="inlineStr">
        <is>
          <t>893256596</t>
        </is>
      </c>
    </row>
    <row r="256">
      <c r="A256" t="inlineStr">
        <is>
          <t>No</t>
        </is>
      </c>
      <c r="B256" t="inlineStr">
        <is>
          <t>DS119.7 .F757 1994</t>
        </is>
      </c>
      <c r="C256" t="inlineStr">
        <is>
          <t>0                      DS 0119700F  757         1994</t>
        </is>
      </c>
      <c r="D256" t="inlineStr">
        <is>
          <t>From war to peace : Arab-Israeli relations, 1973-1993 / edited by Barry Rubin, Joseph Ginat, Moshe Ma'oz ; with an introductory chapter by Ezer Weizman.</t>
        </is>
      </c>
      <c r="F256" t="inlineStr">
        <is>
          <t>No</t>
        </is>
      </c>
      <c r="G256" t="inlineStr">
        <is>
          <t>1</t>
        </is>
      </c>
      <c r="H256" t="inlineStr">
        <is>
          <t>No</t>
        </is>
      </c>
      <c r="I256" t="inlineStr">
        <is>
          <t>No</t>
        </is>
      </c>
      <c r="J256" t="inlineStr">
        <is>
          <t>0</t>
        </is>
      </c>
      <c r="L256" t="inlineStr">
        <is>
          <t>Washington Square, N.Y. : New York University Press, 1994.</t>
        </is>
      </c>
      <c r="M256" t="inlineStr">
        <is>
          <t>1994</t>
        </is>
      </c>
      <c r="O256" t="inlineStr">
        <is>
          <t>eng</t>
        </is>
      </c>
      <c r="P256" t="inlineStr">
        <is>
          <t>nyu</t>
        </is>
      </c>
      <c r="R256" t="inlineStr">
        <is>
          <t xml:space="preserve">DS </t>
        </is>
      </c>
      <c r="S256" t="n">
        <v>3</v>
      </c>
      <c r="T256" t="n">
        <v>3</v>
      </c>
      <c r="U256" t="inlineStr">
        <is>
          <t>2007-11-03</t>
        </is>
      </c>
      <c r="V256" t="inlineStr">
        <is>
          <t>2007-11-03</t>
        </is>
      </c>
      <c r="W256" t="inlineStr">
        <is>
          <t>1995-03-29</t>
        </is>
      </c>
      <c r="X256" t="inlineStr">
        <is>
          <t>1995-03-29</t>
        </is>
      </c>
      <c r="Y256" t="n">
        <v>213</v>
      </c>
      <c r="Z256" t="n">
        <v>177</v>
      </c>
      <c r="AA256" t="n">
        <v>191</v>
      </c>
      <c r="AB256" t="n">
        <v>3</v>
      </c>
      <c r="AC256" t="n">
        <v>3</v>
      </c>
      <c r="AD256" t="n">
        <v>9</v>
      </c>
      <c r="AE256" t="n">
        <v>10</v>
      </c>
      <c r="AF256" t="n">
        <v>2</v>
      </c>
      <c r="AG256" t="n">
        <v>2</v>
      </c>
      <c r="AH256" t="n">
        <v>1</v>
      </c>
      <c r="AI256" t="n">
        <v>2</v>
      </c>
      <c r="AJ256" t="n">
        <v>4</v>
      </c>
      <c r="AK256" t="n">
        <v>5</v>
      </c>
      <c r="AL256" t="n">
        <v>2</v>
      </c>
      <c r="AM256" t="n">
        <v>2</v>
      </c>
      <c r="AN256" t="n">
        <v>1</v>
      </c>
      <c r="AO256" t="n">
        <v>1</v>
      </c>
      <c r="AP256" t="inlineStr">
        <is>
          <t>No</t>
        </is>
      </c>
      <c r="AQ256" t="inlineStr">
        <is>
          <t>No</t>
        </is>
      </c>
      <c r="AS256">
        <f>HYPERLINK("https://creighton-primo.hosted.exlibrisgroup.com/primo-explore/search?tab=default_tab&amp;search_scope=EVERYTHING&amp;vid=01CRU&amp;lang=en_US&amp;offset=0&amp;query=any,contains,991002402709702656","Catalog Record")</f>
        <v/>
      </c>
      <c r="AT256">
        <f>HYPERLINK("http://www.worldcat.org/oclc/31240551","WorldCat Record")</f>
        <v/>
      </c>
      <c r="AU256" t="inlineStr">
        <is>
          <t>836909635:eng</t>
        </is>
      </c>
      <c r="AV256" t="inlineStr">
        <is>
          <t>31240551</t>
        </is>
      </c>
      <c r="AW256" t="inlineStr">
        <is>
          <t>991002402709702656</t>
        </is>
      </c>
      <c r="AX256" t="inlineStr">
        <is>
          <t>991002402709702656</t>
        </is>
      </c>
      <c r="AY256" t="inlineStr">
        <is>
          <t>2256356650002656</t>
        </is>
      </c>
      <c r="AZ256" t="inlineStr">
        <is>
          <t>BOOK</t>
        </is>
      </c>
      <c r="BB256" t="inlineStr">
        <is>
          <t>9780814774625</t>
        </is>
      </c>
      <c r="BC256" t="inlineStr">
        <is>
          <t>32285002015393</t>
        </is>
      </c>
      <c r="BD256" t="inlineStr">
        <is>
          <t>893867169</t>
        </is>
      </c>
    </row>
    <row r="257">
      <c r="A257" t="inlineStr">
        <is>
          <t>No</t>
        </is>
      </c>
      <c r="B257" t="inlineStr">
        <is>
          <t>DS119.7 .G4313 1987</t>
        </is>
      </c>
      <c r="C257" t="inlineStr">
        <is>
          <t>0                      DS 0119700G  4313        1987</t>
        </is>
      </c>
      <c r="D257" t="inlineStr">
        <is>
          <t>Zionism and the Arabs, 1882-1948 : a study of ideology / Yosef Gorny ; [English translation by Chaya Galai].</t>
        </is>
      </c>
      <c r="F257" t="inlineStr">
        <is>
          <t>No</t>
        </is>
      </c>
      <c r="G257" t="inlineStr">
        <is>
          <t>1</t>
        </is>
      </c>
      <c r="H257" t="inlineStr">
        <is>
          <t>No</t>
        </is>
      </c>
      <c r="I257" t="inlineStr">
        <is>
          <t>No</t>
        </is>
      </c>
      <c r="J257" t="inlineStr">
        <is>
          <t>0</t>
        </is>
      </c>
      <c r="K257" t="inlineStr">
        <is>
          <t>Gorni, Yosef.</t>
        </is>
      </c>
      <c r="L257" t="inlineStr">
        <is>
          <t>Oxford [Oxfordshire] : Clarendon Press ; New York : Oxford University Press, 1987.</t>
        </is>
      </c>
      <c r="M257" t="inlineStr">
        <is>
          <t>1987</t>
        </is>
      </c>
      <c r="O257" t="inlineStr">
        <is>
          <t>eng</t>
        </is>
      </c>
      <c r="P257" t="inlineStr">
        <is>
          <t>enk</t>
        </is>
      </c>
      <c r="R257" t="inlineStr">
        <is>
          <t xml:space="preserve">DS </t>
        </is>
      </c>
      <c r="S257" t="n">
        <v>9</v>
      </c>
      <c r="T257" t="n">
        <v>9</v>
      </c>
      <c r="U257" t="inlineStr">
        <is>
          <t>2007-10-15</t>
        </is>
      </c>
      <c r="V257" t="inlineStr">
        <is>
          <t>2007-10-15</t>
        </is>
      </c>
      <c r="W257" t="inlineStr">
        <is>
          <t>1990-10-01</t>
        </is>
      </c>
      <c r="X257" t="inlineStr">
        <is>
          <t>1990-10-01</t>
        </is>
      </c>
      <c r="Y257" t="n">
        <v>424</v>
      </c>
      <c r="Z257" t="n">
        <v>297</v>
      </c>
      <c r="AA257" t="n">
        <v>303</v>
      </c>
      <c r="AB257" t="n">
        <v>3</v>
      </c>
      <c r="AC257" t="n">
        <v>3</v>
      </c>
      <c r="AD257" t="n">
        <v>17</v>
      </c>
      <c r="AE257" t="n">
        <v>17</v>
      </c>
      <c r="AF257" t="n">
        <v>4</v>
      </c>
      <c r="AG257" t="n">
        <v>4</v>
      </c>
      <c r="AH257" t="n">
        <v>6</v>
      </c>
      <c r="AI257" t="n">
        <v>6</v>
      </c>
      <c r="AJ257" t="n">
        <v>10</v>
      </c>
      <c r="AK257" t="n">
        <v>10</v>
      </c>
      <c r="AL257" t="n">
        <v>2</v>
      </c>
      <c r="AM257" t="n">
        <v>2</v>
      </c>
      <c r="AN257" t="n">
        <v>0</v>
      </c>
      <c r="AO257" t="n">
        <v>0</v>
      </c>
      <c r="AP257" t="inlineStr">
        <is>
          <t>No</t>
        </is>
      </c>
      <c r="AQ257" t="inlineStr">
        <is>
          <t>Yes</t>
        </is>
      </c>
      <c r="AR257">
        <f>HYPERLINK("http://catalog.hathitrust.org/Record/000851783","HathiTrust Record")</f>
        <v/>
      </c>
      <c r="AS257">
        <f>HYPERLINK("https://creighton-primo.hosted.exlibrisgroup.com/primo-explore/search?tab=default_tab&amp;search_scope=EVERYTHING&amp;vid=01CRU&amp;lang=en_US&amp;offset=0&amp;query=any,contains,991000962139702656","Catalog Record")</f>
        <v/>
      </c>
      <c r="AT257">
        <f>HYPERLINK("http://www.worldcat.org/oclc/14819296","WorldCat Record")</f>
        <v/>
      </c>
      <c r="AU257" t="inlineStr">
        <is>
          <t>8557324:eng</t>
        </is>
      </c>
      <c r="AV257" t="inlineStr">
        <is>
          <t>14819296</t>
        </is>
      </c>
      <c r="AW257" t="inlineStr">
        <is>
          <t>991000962139702656</t>
        </is>
      </c>
      <c r="AX257" t="inlineStr">
        <is>
          <t>991000962139702656</t>
        </is>
      </c>
      <c r="AY257" t="inlineStr">
        <is>
          <t>2260025670002656</t>
        </is>
      </c>
      <c r="AZ257" t="inlineStr">
        <is>
          <t>BOOK</t>
        </is>
      </c>
      <c r="BB257" t="inlineStr">
        <is>
          <t>9780198227212</t>
        </is>
      </c>
      <c r="BC257" t="inlineStr">
        <is>
          <t>32285000293505</t>
        </is>
      </c>
      <c r="BD257" t="inlineStr">
        <is>
          <t>893891183</t>
        </is>
      </c>
    </row>
    <row r="258">
      <c r="A258" t="inlineStr">
        <is>
          <t>No</t>
        </is>
      </c>
      <c r="B258" t="inlineStr">
        <is>
          <t>DS119.7 .G6595 1995</t>
        </is>
      </c>
      <c r="C258" t="inlineStr">
        <is>
          <t>0                      DS 0119700G  6595        1995</t>
        </is>
      </c>
      <c r="D258" t="inlineStr">
        <is>
          <t>Genealogies of conflict : class, identity, and state in Palestine/Israel and South Africa / Ran Greenstein.</t>
        </is>
      </c>
      <c r="F258" t="inlineStr">
        <is>
          <t>No</t>
        </is>
      </c>
      <c r="G258" t="inlineStr">
        <is>
          <t>1</t>
        </is>
      </c>
      <c r="H258" t="inlineStr">
        <is>
          <t>No</t>
        </is>
      </c>
      <c r="I258" t="inlineStr">
        <is>
          <t>No</t>
        </is>
      </c>
      <c r="J258" t="inlineStr">
        <is>
          <t>0</t>
        </is>
      </c>
      <c r="K258" t="inlineStr">
        <is>
          <t>Greenstein, Ran.</t>
        </is>
      </c>
      <c r="L258" t="inlineStr">
        <is>
          <t>Hanover, NH : Published by University Press of New England [for] Wesleyan University Press, c1995.</t>
        </is>
      </c>
      <c r="M258" t="inlineStr">
        <is>
          <t>1995</t>
        </is>
      </c>
      <c r="O258" t="inlineStr">
        <is>
          <t>eng</t>
        </is>
      </c>
      <c r="P258" t="inlineStr">
        <is>
          <t>nhu</t>
        </is>
      </c>
      <c r="R258" t="inlineStr">
        <is>
          <t xml:space="preserve">DS </t>
        </is>
      </c>
      <c r="S258" t="n">
        <v>11</v>
      </c>
      <c r="T258" t="n">
        <v>11</v>
      </c>
      <c r="U258" t="inlineStr">
        <is>
          <t>2010-04-20</t>
        </is>
      </c>
      <c r="V258" t="inlineStr">
        <is>
          <t>2010-04-20</t>
        </is>
      </c>
      <c r="W258" t="inlineStr">
        <is>
          <t>1996-05-22</t>
        </is>
      </c>
      <c r="X258" t="inlineStr">
        <is>
          <t>1996-05-22</t>
        </is>
      </c>
      <c r="Y258" t="n">
        <v>316</v>
      </c>
      <c r="Z258" t="n">
        <v>254</v>
      </c>
      <c r="AA258" t="n">
        <v>254</v>
      </c>
      <c r="AB258" t="n">
        <v>3</v>
      </c>
      <c r="AC258" t="n">
        <v>3</v>
      </c>
      <c r="AD258" t="n">
        <v>17</v>
      </c>
      <c r="AE258" t="n">
        <v>17</v>
      </c>
      <c r="AF258" t="n">
        <v>4</v>
      </c>
      <c r="AG258" t="n">
        <v>4</v>
      </c>
      <c r="AH258" t="n">
        <v>5</v>
      </c>
      <c r="AI258" t="n">
        <v>5</v>
      </c>
      <c r="AJ258" t="n">
        <v>11</v>
      </c>
      <c r="AK258" t="n">
        <v>11</v>
      </c>
      <c r="AL258" t="n">
        <v>2</v>
      </c>
      <c r="AM258" t="n">
        <v>2</v>
      </c>
      <c r="AN258" t="n">
        <v>0</v>
      </c>
      <c r="AO258" t="n">
        <v>0</v>
      </c>
      <c r="AP258" t="inlineStr">
        <is>
          <t>No</t>
        </is>
      </c>
      <c r="AQ258" t="inlineStr">
        <is>
          <t>No</t>
        </is>
      </c>
      <c r="AS258">
        <f>HYPERLINK("https://creighton-primo.hosted.exlibrisgroup.com/primo-explore/search?tab=default_tab&amp;search_scope=EVERYTHING&amp;vid=01CRU&amp;lang=en_US&amp;offset=0&amp;query=any,contains,991005420839702656","Catalog Record")</f>
        <v/>
      </c>
      <c r="AT258">
        <f>HYPERLINK("http://www.worldcat.org/oclc/32275068","WorldCat Record")</f>
        <v/>
      </c>
      <c r="AU258" t="inlineStr">
        <is>
          <t>2796354:eng</t>
        </is>
      </c>
      <c r="AV258" t="inlineStr">
        <is>
          <t>32275068</t>
        </is>
      </c>
      <c r="AW258" t="inlineStr">
        <is>
          <t>991005420839702656</t>
        </is>
      </c>
      <c r="AX258" t="inlineStr">
        <is>
          <t>991005420839702656</t>
        </is>
      </c>
      <c r="AY258" t="inlineStr">
        <is>
          <t>2259703310002656</t>
        </is>
      </c>
      <c r="AZ258" t="inlineStr">
        <is>
          <t>BOOK</t>
        </is>
      </c>
      <c r="BB258" t="inlineStr">
        <is>
          <t>9780819552884</t>
        </is>
      </c>
      <c r="BC258" t="inlineStr">
        <is>
          <t>32285002177144</t>
        </is>
      </c>
      <c r="BD258" t="inlineStr">
        <is>
          <t>893521174</t>
        </is>
      </c>
    </row>
    <row r="259">
      <c r="A259" t="inlineStr">
        <is>
          <t>No</t>
        </is>
      </c>
      <c r="B259" t="inlineStr">
        <is>
          <t>DS119.7 .H358 1995</t>
        </is>
      </c>
      <c r="C259" t="inlineStr">
        <is>
          <t>0                      DS 0119700H  358         1995</t>
        </is>
      </c>
      <c r="D259" t="inlineStr">
        <is>
          <t>The struggle for the Holy Land : Arabs, Jews, and the emergence of Israel / William Hare.</t>
        </is>
      </c>
      <c r="F259" t="inlineStr">
        <is>
          <t>No</t>
        </is>
      </c>
      <c r="G259" t="inlineStr">
        <is>
          <t>1</t>
        </is>
      </c>
      <c r="H259" t="inlineStr">
        <is>
          <t>No</t>
        </is>
      </c>
      <c r="I259" t="inlineStr">
        <is>
          <t>No</t>
        </is>
      </c>
      <c r="J259" t="inlineStr">
        <is>
          <t>0</t>
        </is>
      </c>
      <c r="K259" t="inlineStr">
        <is>
          <t>Hare, William, 1942-</t>
        </is>
      </c>
      <c r="L259" t="inlineStr">
        <is>
          <t>Lanham, Md. : Madison Books, c1995.</t>
        </is>
      </c>
      <c r="M259" t="inlineStr">
        <is>
          <t>1995</t>
        </is>
      </c>
      <c r="O259" t="inlineStr">
        <is>
          <t>eng</t>
        </is>
      </c>
      <c r="P259" t="inlineStr">
        <is>
          <t>mdu</t>
        </is>
      </c>
      <c r="R259" t="inlineStr">
        <is>
          <t xml:space="preserve">DS </t>
        </is>
      </c>
      <c r="S259" t="n">
        <v>4</v>
      </c>
      <c r="T259" t="n">
        <v>4</v>
      </c>
      <c r="U259" t="inlineStr">
        <is>
          <t>1999-03-28</t>
        </is>
      </c>
      <c r="V259" t="inlineStr">
        <is>
          <t>1999-03-28</t>
        </is>
      </c>
      <c r="W259" t="inlineStr">
        <is>
          <t>1995-07-29</t>
        </is>
      </c>
      <c r="X259" t="inlineStr">
        <is>
          <t>1995-07-29</t>
        </is>
      </c>
      <c r="Y259" t="n">
        <v>327</v>
      </c>
      <c r="Z259" t="n">
        <v>288</v>
      </c>
      <c r="AA259" t="n">
        <v>289</v>
      </c>
      <c r="AB259" t="n">
        <v>3</v>
      </c>
      <c r="AC259" t="n">
        <v>3</v>
      </c>
      <c r="AD259" t="n">
        <v>15</v>
      </c>
      <c r="AE259" t="n">
        <v>15</v>
      </c>
      <c r="AF259" t="n">
        <v>5</v>
      </c>
      <c r="AG259" t="n">
        <v>5</v>
      </c>
      <c r="AH259" t="n">
        <v>4</v>
      </c>
      <c r="AI259" t="n">
        <v>4</v>
      </c>
      <c r="AJ259" t="n">
        <v>10</v>
      </c>
      <c r="AK259" t="n">
        <v>10</v>
      </c>
      <c r="AL259" t="n">
        <v>2</v>
      </c>
      <c r="AM259" t="n">
        <v>2</v>
      </c>
      <c r="AN259" t="n">
        <v>0</v>
      </c>
      <c r="AO259" t="n">
        <v>0</v>
      </c>
      <c r="AP259" t="inlineStr">
        <is>
          <t>No</t>
        </is>
      </c>
      <c r="AQ259" t="inlineStr">
        <is>
          <t>Yes</t>
        </is>
      </c>
      <c r="AR259">
        <f>HYPERLINK("http://catalog.hathitrust.org/Record/002989290","HathiTrust Record")</f>
        <v/>
      </c>
      <c r="AS259">
        <f>HYPERLINK("https://creighton-primo.hosted.exlibrisgroup.com/primo-explore/search?tab=default_tab&amp;search_scope=EVERYTHING&amp;vid=01CRU&amp;lang=en_US&amp;offset=0&amp;query=any,contains,991002449739702656","Catalog Record")</f>
        <v/>
      </c>
      <c r="AT259">
        <f>HYPERLINK("http://www.worldcat.org/oclc/31938228","WorldCat Record")</f>
        <v/>
      </c>
      <c r="AU259" t="inlineStr">
        <is>
          <t>375072961:eng</t>
        </is>
      </c>
      <c r="AV259" t="inlineStr">
        <is>
          <t>31938228</t>
        </is>
      </c>
      <c r="AW259" t="inlineStr">
        <is>
          <t>991002449739702656</t>
        </is>
      </c>
      <c r="AX259" t="inlineStr">
        <is>
          <t>991002449739702656</t>
        </is>
      </c>
      <c r="AY259" t="inlineStr">
        <is>
          <t>2259302150002656</t>
        </is>
      </c>
      <c r="AZ259" t="inlineStr">
        <is>
          <t>BOOK</t>
        </is>
      </c>
      <c r="BB259" t="inlineStr">
        <is>
          <t>9781568330402</t>
        </is>
      </c>
      <c r="BC259" t="inlineStr">
        <is>
          <t>32285002076122</t>
        </is>
      </c>
      <c r="BD259" t="inlineStr">
        <is>
          <t>893716470</t>
        </is>
      </c>
    </row>
    <row r="260">
      <c r="A260" t="inlineStr">
        <is>
          <t>No</t>
        </is>
      </c>
      <c r="B260" t="inlineStr">
        <is>
          <t>DS119.7 .H37213 1972</t>
        </is>
      </c>
      <c r="C260" t="inlineStr">
        <is>
          <t>0                      DS 0119700H  37213       1972</t>
        </is>
      </c>
      <c r="D260" t="inlineStr">
        <is>
          <t>Arab attitudes to Israel / [by] Y. Harkabi. Translated by Misha Louvish.</t>
        </is>
      </c>
      <c r="F260" t="inlineStr">
        <is>
          <t>No</t>
        </is>
      </c>
      <c r="G260" t="inlineStr">
        <is>
          <t>1</t>
        </is>
      </c>
      <c r="H260" t="inlineStr">
        <is>
          <t>No</t>
        </is>
      </c>
      <c r="I260" t="inlineStr">
        <is>
          <t>No</t>
        </is>
      </c>
      <c r="J260" t="inlineStr">
        <is>
          <t>0</t>
        </is>
      </c>
      <c r="K260" t="inlineStr">
        <is>
          <t>Harkabi, Yehoshafat, 1921-1994.</t>
        </is>
      </c>
      <c r="L260" t="inlineStr">
        <is>
          <t>New York : Hart Pub. Co., [1972, c1971]</t>
        </is>
      </c>
      <c r="M260" t="inlineStr">
        <is>
          <t>1972</t>
        </is>
      </c>
      <c r="O260" t="inlineStr">
        <is>
          <t>eng</t>
        </is>
      </c>
      <c r="P260" t="inlineStr">
        <is>
          <t>nyu</t>
        </is>
      </c>
      <c r="R260" t="inlineStr">
        <is>
          <t xml:space="preserve">DS </t>
        </is>
      </c>
      <c r="S260" t="n">
        <v>6</v>
      </c>
      <c r="T260" t="n">
        <v>6</v>
      </c>
      <c r="U260" t="inlineStr">
        <is>
          <t>2004-04-26</t>
        </is>
      </c>
      <c r="V260" t="inlineStr">
        <is>
          <t>2004-04-26</t>
        </is>
      </c>
      <c r="W260" t="inlineStr">
        <is>
          <t>1993-03-25</t>
        </is>
      </c>
      <c r="X260" t="inlineStr">
        <is>
          <t>1993-03-25</t>
        </is>
      </c>
      <c r="Y260" t="n">
        <v>373</v>
      </c>
      <c r="Z260" t="n">
        <v>347</v>
      </c>
      <c r="AA260" t="n">
        <v>903</v>
      </c>
      <c r="AB260" t="n">
        <v>4</v>
      </c>
      <c r="AC260" t="n">
        <v>6</v>
      </c>
      <c r="AD260" t="n">
        <v>15</v>
      </c>
      <c r="AE260" t="n">
        <v>47</v>
      </c>
      <c r="AF260" t="n">
        <v>3</v>
      </c>
      <c r="AG260" t="n">
        <v>22</v>
      </c>
      <c r="AH260" t="n">
        <v>5</v>
      </c>
      <c r="AI260" t="n">
        <v>9</v>
      </c>
      <c r="AJ260" t="n">
        <v>5</v>
      </c>
      <c r="AK260" t="n">
        <v>21</v>
      </c>
      <c r="AL260" t="n">
        <v>3</v>
      </c>
      <c r="AM260" t="n">
        <v>5</v>
      </c>
      <c r="AN260" t="n">
        <v>0</v>
      </c>
      <c r="AO260" t="n">
        <v>0</v>
      </c>
      <c r="AP260" t="inlineStr">
        <is>
          <t>No</t>
        </is>
      </c>
      <c r="AQ260" t="inlineStr">
        <is>
          <t>Yes</t>
        </is>
      </c>
      <c r="AR260">
        <f>HYPERLINK("http://catalog.hathitrust.org/Record/001242845","HathiTrust Record")</f>
        <v/>
      </c>
      <c r="AS260">
        <f>HYPERLINK("https://creighton-primo.hosted.exlibrisgroup.com/primo-explore/search?tab=default_tab&amp;search_scope=EVERYTHING&amp;vid=01CRU&amp;lang=en_US&amp;offset=0&amp;query=any,contains,991002201799702656","Catalog Record")</f>
        <v/>
      </c>
      <c r="AT260">
        <f>HYPERLINK("http://www.worldcat.org/oclc/284566","WorldCat Record")</f>
        <v/>
      </c>
      <c r="AU260" t="inlineStr">
        <is>
          <t>149284887:eng</t>
        </is>
      </c>
      <c r="AV260" t="inlineStr">
        <is>
          <t>284566</t>
        </is>
      </c>
      <c r="AW260" t="inlineStr">
        <is>
          <t>991002201799702656</t>
        </is>
      </c>
      <c r="AX260" t="inlineStr">
        <is>
          <t>991002201799702656</t>
        </is>
      </c>
      <c r="AY260" t="inlineStr">
        <is>
          <t>2262573900002656</t>
        </is>
      </c>
      <c r="AZ260" t="inlineStr">
        <is>
          <t>BOOK</t>
        </is>
      </c>
      <c r="BB260" t="inlineStr">
        <is>
          <t>9780805510270</t>
        </is>
      </c>
      <c r="BC260" t="inlineStr">
        <is>
          <t>32285001591394</t>
        </is>
      </c>
      <c r="BD260" t="inlineStr">
        <is>
          <t>893328799</t>
        </is>
      </c>
    </row>
    <row r="261">
      <c r="A261" t="inlineStr">
        <is>
          <t>No</t>
        </is>
      </c>
      <c r="B261" t="inlineStr">
        <is>
          <t>DS119.7 .H3854 1991</t>
        </is>
      </c>
      <c r="C261" t="inlineStr">
        <is>
          <t>0                      DS 0119700H  3854        1991</t>
        </is>
      </c>
      <c r="D261" t="inlineStr">
        <is>
          <t>No trumpets, no drums : a two-state settlement of the Israeli-Palestinian conflict / Mark A. Heller, Sari Nusseibeh.</t>
        </is>
      </c>
      <c r="F261" t="inlineStr">
        <is>
          <t>No</t>
        </is>
      </c>
      <c r="G261" t="inlineStr">
        <is>
          <t>1</t>
        </is>
      </c>
      <c r="H261" t="inlineStr">
        <is>
          <t>No</t>
        </is>
      </c>
      <c r="I261" t="inlineStr">
        <is>
          <t>No</t>
        </is>
      </c>
      <c r="J261" t="inlineStr">
        <is>
          <t>0</t>
        </is>
      </c>
      <c r="K261" t="inlineStr">
        <is>
          <t>Heller, Mark.</t>
        </is>
      </c>
      <c r="L261" t="inlineStr">
        <is>
          <t>New York : Hill and Wang, 1991.</t>
        </is>
      </c>
      <c r="M261" t="inlineStr">
        <is>
          <t>1991</t>
        </is>
      </c>
      <c r="N261" t="inlineStr">
        <is>
          <t>1st ed.</t>
        </is>
      </c>
      <c r="O261" t="inlineStr">
        <is>
          <t>eng</t>
        </is>
      </c>
      <c r="P261" t="inlineStr">
        <is>
          <t>nyu</t>
        </is>
      </c>
      <c r="R261" t="inlineStr">
        <is>
          <t xml:space="preserve">DS </t>
        </is>
      </c>
      <c r="S261" t="n">
        <v>3</v>
      </c>
      <c r="T261" t="n">
        <v>3</v>
      </c>
      <c r="U261" t="inlineStr">
        <is>
          <t>1997-12-10</t>
        </is>
      </c>
      <c r="V261" t="inlineStr">
        <is>
          <t>1997-12-10</t>
        </is>
      </c>
      <c r="W261" t="inlineStr">
        <is>
          <t>1992-02-21</t>
        </is>
      </c>
      <c r="X261" t="inlineStr">
        <is>
          <t>1992-02-21</t>
        </is>
      </c>
      <c r="Y261" t="n">
        <v>597</v>
      </c>
      <c r="Z261" t="n">
        <v>540</v>
      </c>
      <c r="AA261" t="n">
        <v>555</v>
      </c>
      <c r="AB261" t="n">
        <v>5</v>
      </c>
      <c r="AC261" t="n">
        <v>5</v>
      </c>
      <c r="AD261" t="n">
        <v>19</v>
      </c>
      <c r="AE261" t="n">
        <v>19</v>
      </c>
      <c r="AF261" t="n">
        <v>5</v>
      </c>
      <c r="AG261" t="n">
        <v>5</v>
      </c>
      <c r="AH261" t="n">
        <v>6</v>
      </c>
      <c r="AI261" t="n">
        <v>6</v>
      </c>
      <c r="AJ261" t="n">
        <v>9</v>
      </c>
      <c r="AK261" t="n">
        <v>9</v>
      </c>
      <c r="AL261" t="n">
        <v>3</v>
      </c>
      <c r="AM261" t="n">
        <v>3</v>
      </c>
      <c r="AN261" t="n">
        <v>0</v>
      </c>
      <c r="AO261" t="n">
        <v>0</v>
      </c>
      <c r="AP261" t="inlineStr">
        <is>
          <t>No</t>
        </is>
      </c>
      <c r="AQ261" t="inlineStr">
        <is>
          <t>No</t>
        </is>
      </c>
      <c r="AS261">
        <f>HYPERLINK("https://creighton-primo.hosted.exlibrisgroup.com/primo-explore/search?tab=default_tab&amp;search_scope=EVERYTHING&amp;vid=01CRU&amp;lang=en_US&amp;offset=0&amp;query=any,contains,991001874489702656","Catalog Record")</f>
        <v/>
      </c>
      <c r="AT261">
        <f>HYPERLINK("http://www.worldcat.org/oclc/23654765","WorldCat Record")</f>
        <v/>
      </c>
      <c r="AU261" t="inlineStr">
        <is>
          <t>24099530:eng</t>
        </is>
      </c>
      <c r="AV261" t="inlineStr">
        <is>
          <t>23654765</t>
        </is>
      </c>
      <c r="AW261" t="inlineStr">
        <is>
          <t>991001874489702656</t>
        </is>
      </c>
      <c r="AX261" t="inlineStr">
        <is>
          <t>991001874489702656</t>
        </is>
      </c>
      <c r="AY261" t="inlineStr">
        <is>
          <t>2264591930002656</t>
        </is>
      </c>
      <c r="AZ261" t="inlineStr">
        <is>
          <t>BOOK</t>
        </is>
      </c>
      <c r="BB261" t="inlineStr">
        <is>
          <t>9780809073931</t>
        </is>
      </c>
      <c r="BC261" t="inlineStr">
        <is>
          <t>32285000935725</t>
        </is>
      </c>
      <c r="BD261" t="inlineStr">
        <is>
          <t>893891900</t>
        </is>
      </c>
    </row>
    <row r="262">
      <c r="A262" t="inlineStr">
        <is>
          <t>No</t>
        </is>
      </c>
      <c r="B262" t="inlineStr">
        <is>
          <t>DS119.7 .H67 1994</t>
        </is>
      </c>
      <c r="C262" t="inlineStr">
        <is>
          <t>0                      DS 0119700H  67          1994</t>
        </is>
      </c>
      <c r="D262" t="inlineStr">
        <is>
          <t>Homeland : oral histories of Palestine and Palestinians / edited by Staughton Lynd, Sam Bahour and Alice Lynd.</t>
        </is>
      </c>
      <c r="F262" t="inlineStr">
        <is>
          <t>No</t>
        </is>
      </c>
      <c r="G262" t="inlineStr">
        <is>
          <t>1</t>
        </is>
      </c>
      <c r="H262" t="inlineStr">
        <is>
          <t>No</t>
        </is>
      </c>
      <c r="I262" t="inlineStr">
        <is>
          <t>No</t>
        </is>
      </c>
      <c r="J262" t="inlineStr">
        <is>
          <t>0</t>
        </is>
      </c>
      <c r="L262" t="inlineStr">
        <is>
          <t>New York : Olive Branch Press, 1994.</t>
        </is>
      </c>
      <c r="M262" t="inlineStr">
        <is>
          <t>1994</t>
        </is>
      </c>
      <c r="O262" t="inlineStr">
        <is>
          <t>eng</t>
        </is>
      </c>
      <c r="P262" t="inlineStr">
        <is>
          <t>nyu</t>
        </is>
      </c>
      <c r="R262" t="inlineStr">
        <is>
          <t xml:space="preserve">DS </t>
        </is>
      </c>
      <c r="S262" t="n">
        <v>5</v>
      </c>
      <c r="T262" t="n">
        <v>5</v>
      </c>
      <c r="U262" t="inlineStr">
        <is>
          <t>2008-04-09</t>
        </is>
      </c>
      <c r="V262" t="inlineStr">
        <is>
          <t>2008-04-09</t>
        </is>
      </c>
      <c r="W262" t="inlineStr">
        <is>
          <t>2003-03-03</t>
        </is>
      </c>
      <c r="X262" t="inlineStr">
        <is>
          <t>2003-03-03</t>
        </is>
      </c>
      <c r="Y262" t="n">
        <v>451</v>
      </c>
      <c r="Z262" t="n">
        <v>409</v>
      </c>
      <c r="AA262" t="n">
        <v>423</v>
      </c>
      <c r="AB262" t="n">
        <v>5</v>
      </c>
      <c r="AC262" t="n">
        <v>5</v>
      </c>
      <c r="AD262" t="n">
        <v>13</v>
      </c>
      <c r="AE262" t="n">
        <v>13</v>
      </c>
      <c r="AF262" t="n">
        <v>3</v>
      </c>
      <c r="AG262" t="n">
        <v>3</v>
      </c>
      <c r="AH262" t="n">
        <v>5</v>
      </c>
      <c r="AI262" t="n">
        <v>5</v>
      </c>
      <c r="AJ262" t="n">
        <v>5</v>
      </c>
      <c r="AK262" t="n">
        <v>5</v>
      </c>
      <c r="AL262" t="n">
        <v>3</v>
      </c>
      <c r="AM262" t="n">
        <v>3</v>
      </c>
      <c r="AN262" t="n">
        <v>0</v>
      </c>
      <c r="AO262" t="n">
        <v>0</v>
      </c>
      <c r="AP262" t="inlineStr">
        <is>
          <t>No</t>
        </is>
      </c>
      <c r="AQ262" t="inlineStr">
        <is>
          <t>No</t>
        </is>
      </c>
      <c r="AS262">
        <f>HYPERLINK("https://creighton-primo.hosted.exlibrisgroup.com/primo-explore/search?tab=default_tab&amp;search_scope=EVERYTHING&amp;vid=01CRU&amp;lang=en_US&amp;offset=0&amp;query=any,contains,991003981269702656","Catalog Record")</f>
        <v/>
      </c>
      <c r="AT262">
        <f>HYPERLINK("http://www.worldcat.org/oclc/28020404","WorldCat Record")</f>
        <v/>
      </c>
      <c r="AU262" t="inlineStr">
        <is>
          <t>365875841:eng</t>
        </is>
      </c>
      <c r="AV262" t="inlineStr">
        <is>
          <t>28020404</t>
        </is>
      </c>
      <c r="AW262" t="inlineStr">
        <is>
          <t>991003981269702656</t>
        </is>
      </c>
      <c r="AX262" t="inlineStr">
        <is>
          <t>991003981269702656</t>
        </is>
      </c>
      <c r="AY262" t="inlineStr">
        <is>
          <t>2269354020002656</t>
        </is>
      </c>
      <c r="AZ262" t="inlineStr">
        <is>
          <t>BOOK</t>
        </is>
      </c>
      <c r="BB262" t="inlineStr">
        <is>
          <t>9781566561327</t>
        </is>
      </c>
      <c r="BC262" t="inlineStr">
        <is>
          <t>32285004682117</t>
        </is>
      </c>
      <c r="BD262" t="inlineStr">
        <is>
          <t>893781718</t>
        </is>
      </c>
    </row>
    <row r="263">
      <c r="A263" t="inlineStr">
        <is>
          <t>No</t>
        </is>
      </c>
      <c r="B263" t="inlineStr">
        <is>
          <t>DS119.7 .H895</t>
        </is>
      </c>
      <c r="C263" t="inlineStr">
        <is>
          <t>0                      DS 0119700H  895</t>
        </is>
      </c>
      <c r="D263" t="inlineStr">
        <is>
          <t>The Palestine liberation organisation : a study in ideology, strategy and tactics / Mehmood Hussain.</t>
        </is>
      </c>
      <c r="F263" t="inlineStr">
        <is>
          <t>No</t>
        </is>
      </c>
      <c r="G263" t="inlineStr">
        <is>
          <t>1</t>
        </is>
      </c>
      <c r="H263" t="inlineStr">
        <is>
          <t>No</t>
        </is>
      </c>
      <c r="I263" t="inlineStr">
        <is>
          <t>No</t>
        </is>
      </c>
      <c r="J263" t="inlineStr">
        <is>
          <t>0</t>
        </is>
      </c>
      <c r="K263" t="inlineStr">
        <is>
          <t>Hussein, Mahmoud.</t>
        </is>
      </c>
      <c r="L263" t="inlineStr">
        <is>
          <t>Delhi : University Pub., c1975.</t>
        </is>
      </c>
      <c r="M263" t="inlineStr">
        <is>
          <t>1975</t>
        </is>
      </c>
      <c r="O263" t="inlineStr">
        <is>
          <t>eng</t>
        </is>
      </c>
      <c r="P263" t="inlineStr">
        <is>
          <t xml:space="preserve">ii </t>
        </is>
      </c>
      <c r="R263" t="inlineStr">
        <is>
          <t xml:space="preserve">DS </t>
        </is>
      </c>
      <c r="S263" t="n">
        <v>1</v>
      </c>
      <c r="T263" t="n">
        <v>1</v>
      </c>
      <c r="U263" t="inlineStr">
        <is>
          <t>2003-10-05</t>
        </is>
      </c>
      <c r="V263" t="inlineStr">
        <is>
          <t>2003-10-05</t>
        </is>
      </c>
      <c r="W263" t="inlineStr">
        <is>
          <t>1997-02-25</t>
        </is>
      </c>
      <c r="X263" t="inlineStr">
        <is>
          <t>1997-02-25</t>
        </is>
      </c>
      <c r="Y263" t="n">
        <v>217</v>
      </c>
      <c r="Z263" t="n">
        <v>164</v>
      </c>
      <c r="AA263" t="n">
        <v>168</v>
      </c>
      <c r="AB263" t="n">
        <v>2</v>
      </c>
      <c r="AC263" t="n">
        <v>2</v>
      </c>
      <c r="AD263" t="n">
        <v>3</v>
      </c>
      <c r="AE263" t="n">
        <v>3</v>
      </c>
      <c r="AF263" t="n">
        <v>0</v>
      </c>
      <c r="AG263" t="n">
        <v>0</v>
      </c>
      <c r="AH263" t="n">
        <v>1</v>
      </c>
      <c r="AI263" t="n">
        <v>1</v>
      </c>
      <c r="AJ263" t="n">
        <v>2</v>
      </c>
      <c r="AK263" t="n">
        <v>2</v>
      </c>
      <c r="AL263" t="n">
        <v>1</v>
      </c>
      <c r="AM263" t="n">
        <v>1</v>
      </c>
      <c r="AN263" t="n">
        <v>0</v>
      </c>
      <c r="AO263" t="n">
        <v>0</v>
      </c>
      <c r="AP263" t="inlineStr">
        <is>
          <t>No</t>
        </is>
      </c>
      <c r="AQ263" t="inlineStr">
        <is>
          <t>Yes</t>
        </is>
      </c>
      <c r="AR263">
        <f>HYPERLINK("http://catalog.hathitrust.org/Record/000035533","HathiTrust Record")</f>
        <v/>
      </c>
      <c r="AS263">
        <f>HYPERLINK("https://creighton-primo.hosted.exlibrisgroup.com/primo-explore/search?tab=default_tab&amp;search_scope=EVERYTHING&amp;vid=01CRU&amp;lang=en_US&amp;offset=0&amp;query=any,contains,991003830579702656","Catalog Record")</f>
        <v/>
      </c>
      <c r="AT263">
        <f>HYPERLINK("http://www.worldcat.org/oclc/1584562","WorldCat Record")</f>
        <v/>
      </c>
      <c r="AU263" t="inlineStr">
        <is>
          <t>230622983:eng</t>
        </is>
      </c>
      <c r="AV263" t="inlineStr">
        <is>
          <t>1584562</t>
        </is>
      </c>
      <c r="AW263" t="inlineStr">
        <is>
          <t>991003830579702656</t>
        </is>
      </c>
      <c r="AX263" t="inlineStr">
        <is>
          <t>991003830579702656</t>
        </is>
      </c>
      <c r="AY263" t="inlineStr">
        <is>
          <t>2267736910002656</t>
        </is>
      </c>
      <c r="AZ263" t="inlineStr">
        <is>
          <t>BOOK</t>
        </is>
      </c>
      <c r="BC263" t="inlineStr">
        <is>
          <t>32285002461811</t>
        </is>
      </c>
      <c r="BD263" t="inlineStr">
        <is>
          <t>893441807</t>
        </is>
      </c>
    </row>
    <row r="264">
      <c r="A264" t="inlineStr">
        <is>
          <t>No</t>
        </is>
      </c>
      <c r="B264" t="inlineStr">
        <is>
          <t>DS119.7 .H9313</t>
        </is>
      </c>
      <c r="C264" t="inlineStr">
        <is>
          <t>0                      DS 0119700H  9313</t>
        </is>
      </c>
      <c r="D264" t="inlineStr">
        <is>
          <t>Arabs &amp; Israelis : a dialogue / Saul Friedländer, Mahmoud Hussein ; moderated by Jean Lacouture ; translated by Paul Auster and Lydia Davis.</t>
        </is>
      </c>
      <c r="F264" t="inlineStr">
        <is>
          <t>No</t>
        </is>
      </c>
      <c r="G264" t="inlineStr">
        <is>
          <t>1</t>
        </is>
      </c>
      <c r="H264" t="inlineStr">
        <is>
          <t>No</t>
        </is>
      </c>
      <c r="I264" t="inlineStr">
        <is>
          <t>No</t>
        </is>
      </c>
      <c r="J264" t="inlineStr">
        <is>
          <t>0</t>
        </is>
      </c>
      <c r="K264" t="inlineStr">
        <is>
          <t>Hussein, Mahmoud.</t>
        </is>
      </c>
      <c r="L264" t="inlineStr">
        <is>
          <t>New York : Holmes &amp; Meier Publishers, 1975.</t>
        </is>
      </c>
      <c r="M264" t="inlineStr">
        <is>
          <t>1975</t>
        </is>
      </c>
      <c r="O264" t="inlineStr">
        <is>
          <t>eng</t>
        </is>
      </c>
      <c r="P264" t="inlineStr">
        <is>
          <t>nyu</t>
        </is>
      </c>
      <c r="R264" t="inlineStr">
        <is>
          <t xml:space="preserve">DS </t>
        </is>
      </c>
      <c r="S264" t="n">
        <v>3</v>
      </c>
      <c r="T264" t="n">
        <v>3</v>
      </c>
      <c r="U264" t="inlineStr">
        <is>
          <t>1997-02-04</t>
        </is>
      </c>
      <c r="V264" t="inlineStr">
        <is>
          <t>1997-02-04</t>
        </is>
      </c>
      <c r="W264" t="inlineStr">
        <is>
          <t>1993-04-22</t>
        </is>
      </c>
      <c r="X264" t="inlineStr">
        <is>
          <t>1993-04-22</t>
        </is>
      </c>
      <c r="Y264" t="n">
        <v>639</v>
      </c>
      <c r="Z264" t="n">
        <v>547</v>
      </c>
      <c r="AA264" t="n">
        <v>554</v>
      </c>
      <c r="AB264" t="n">
        <v>5</v>
      </c>
      <c r="AC264" t="n">
        <v>5</v>
      </c>
      <c r="AD264" t="n">
        <v>21</v>
      </c>
      <c r="AE264" t="n">
        <v>21</v>
      </c>
      <c r="AF264" t="n">
        <v>6</v>
      </c>
      <c r="AG264" t="n">
        <v>6</v>
      </c>
      <c r="AH264" t="n">
        <v>5</v>
      </c>
      <c r="AI264" t="n">
        <v>5</v>
      </c>
      <c r="AJ264" t="n">
        <v>12</v>
      </c>
      <c r="AK264" t="n">
        <v>12</v>
      </c>
      <c r="AL264" t="n">
        <v>4</v>
      </c>
      <c r="AM264" t="n">
        <v>4</v>
      </c>
      <c r="AN264" t="n">
        <v>0</v>
      </c>
      <c r="AO264" t="n">
        <v>0</v>
      </c>
      <c r="AP264" t="inlineStr">
        <is>
          <t>No</t>
        </is>
      </c>
      <c r="AQ264" t="inlineStr">
        <is>
          <t>Yes</t>
        </is>
      </c>
      <c r="AR264">
        <f>HYPERLINK("http://catalog.hathitrust.org/Record/000023334","HathiTrust Record")</f>
        <v/>
      </c>
      <c r="AS264">
        <f>HYPERLINK("https://creighton-primo.hosted.exlibrisgroup.com/primo-explore/search?tab=default_tab&amp;search_scope=EVERYTHING&amp;vid=01CRU&amp;lang=en_US&amp;offset=0&amp;query=any,contains,991003746459702656","Catalog Record")</f>
        <v/>
      </c>
      <c r="AT264">
        <f>HYPERLINK("http://www.worldcat.org/oclc/1418708","WorldCat Record")</f>
        <v/>
      </c>
      <c r="AU264" t="inlineStr">
        <is>
          <t>4451777171:eng</t>
        </is>
      </c>
      <c r="AV264" t="inlineStr">
        <is>
          <t>1418708</t>
        </is>
      </c>
      <c r="AW264" t="inlineStr">
        <is>
          <t>991003746459702656</t>
        </is>
      </c>
      <c r="AX264" t="inlineStr">
        <is>
          <t>991003746459702656</t>
        </is>
      </c>
      <c r="AY264" t="inlineStr">
        <is>
          <t>2261166530002656</t>
        </is>
      </c>
      <c r="AZ264" t="inlineStr">
        <is>
          <t>BOOK</t>
        </is>
      </c>
      <c r="BB264" t="inlineStr">
        <is>
          <t>9780841902084</t>
        </is>
      </c>
      <c r="BC264" t="inlineStr">
        <is>
          <t>32285001622751</t>
        </is>
      </c>
      <c r="BD264" t="inlineStr">
        <is>
          <t>893611389</t>
        </is>
      </c>
    </row>
    <row r="265">
      <c r="A265" t="inlineStr">
        <is>
          <t>No</t>
        </is>
      </c>
      <c r="B265" t="inlineStr">
        <is>
          <t>DS119.7 .I8254</t>
        </is>
      </c>
      <c r="C265" t="inlineStr">
        <is>
          <t>0                      DS 0119700I  8254</t>
        </is>
      </c>
      <c r="D265" t="inlineStr">
        <is>
          <t>Israel &amp; the Palestinians / edited by Uri Davis, Andrew Mack, Nira Yuval-Davis.</t>
        </is>
      </c>
      <c r="F265" t="inlineStr">
        <is>
          <t>No</t>
        </is>
      </c>
      <c r="G265" t="inlineStr">
        <is>
          <t>1</t>
        </is>
      </c>
      <c r="H265" t="inlineStr">
        <is>
          <t>No</t>
        </is>
      </c>
      <c r="I265" t="inlineStr">
        <is>
          <t>No</t>
        </is>
      </c>
      <c r="J265" t="inlineStr">
        <is>
          <t>0</t>
        </is>
      </c>
      <c r="L265" t="inlineStr">
        <is>
          <t>London : Ithaca Press for the Richardson Institute and the Issues Programme at the University of Bradford, 1975.</t>
        </is>
      </c>
      <c r="M265" t="inlineStr">
        <is>
          <t>1975</t>
        </is>
      </c>
      <c r="O265" t="inlineStr">
        <is>
          <t>eng</t>
        </is>
      </c>
      <c r="P265" t="inlineStr">
        <is>
          <t>enk</t>
        </is>
      </c>
      <c r="R265" t="inlineStr">
        <is>
          <t xml:space="preserve">DS </t>
        </is>
      </c>
      <c r="S265" t="n">
        <v>6</v>
      </c>
      <c r="T265" t="n">
        <v>6</v>
      </c>
      <c r="U265" t="inlineStr">
        <is>
          <t>2003-01-03</t>
        </is>
      </c>
      <c r="V265" t="inlineStr">
        <is>
          <t>2003-01-03</t>
        </is>
      </c>
      <c r="W265" t="inlineStr">
        <is>
          <t>1997-02-26</t>
        </is>
      </c>
      <c r="X265" t="inlineStr">
        <is>
          <t>1997-02-26</t>
        </is>
      </c>
      <c r="Y265" t="n">
        <v>106</v>
      </c>
      <c r="Z265" t="n">
        <v>53</v>
      </c>
      <c r="AA265" t="n">
        <v>83</v>
      </c>
      <c r="AB265" t="n">
        <v>2</v>
      </c>
      <c r="AC265" t="n">
        <v>3</v>
      </c>
      <c r="AD265" t="n">
        <v>2</v>
      </c>
      <c r="AE265" t="n">
        <v>6</v>
      </c>
      <c r="AF265" t="n">
        <v>1</v>
      </c>
      <c r="AG265" t="n">
        <v>2</v>
      </c>
      <c r="AH265" t="n">
        <v>0</v>
      </c>
      <c r="AI265" t="n">
        <v>1</v>
      </c>
      <c r="AJ265" t="n">
        <v>1</v>
      </c>
      <c r="AK265" t="n">
        <v>4</v>
      </c>
      <c r="AL265" t="n">
        <v>1</v>
      </c>
      <c r="AM265" t="n">
        <v>2</v>
      </c>
      <c r="AN265" t="n">
        <v>0</v>
      </c>
      <c r="AO265" t="n">
        <v>0</v>
      </c>
      <c r="AP265" t="inlineStr">
        <is>
          <t>No</t>
        </is>
      </c>
      <c r="AQ265" t="inlineStr">
        <is>
          <t>Yes</t>
        </is>
      </c>
      <c r="AR265">
        <f>HYPERLINK("http://catalog.hathitrust.org/Record/007116390","HathiTrust Record")</f>
        <v/>
      </c>
      <c r="AS265">
        <f>HYPERLINK("https://creighton-primo.hosted.exlibrisgroup.com/primo-explore/search?tab=default_tab&amp;search_scope=EVERYTHING&amp;vid=01CRU&amp;lang=en_US&amp;offset=0&amp;query=any,contains,991004282379702656","Catalog Record")</f>
        <v/>
      </c>
      <c r="AT265">
        <f>HYPERLINK("http://www.worldcat.org/oclc/2912847","WorldCat Record")</f>
        <v/>
      </c>
      <c r="AU265" t="inlineStr">
        <is>
          <t>375707326:eng</t>
        </is>
      </c>
      <c r="AV265" t="inlineStr">
        <is>
          <t>2912847</t>
        </is>
      </c>
      <c r="AW265" t="inlineStr">
        <is>
          <t>991004282379702656</t>
        </is>
      </c>
      <c r="AX265" t="inlineStr">
        <is>
          <t>991004282379702656</t>
        </is>
      </c>
      <c r="AY265" t="inlineStr">
        <is>
          <t>2267956810002656</t>
        </is>
      </c>
      <c r="AZ265" t="inlineStr">
        <is>
          <t>BOOK</t>
        </is>
      </c>
      <c r="BB265" t="inlineStr">
        <is>
          <t>9780903729123</t>
        </is>
      </c>
      <c r="BC265" t="inlineStr">
        <is>
          <t>32285002461894</t>
        </is>
      </c>
      <c r="BD265" t="inlineStr">
        <is>
          <t>893788513</t>
        </is>
      </c>
    </row>
    <row r="266">
      <c r="A266" t="inlineStr">
        <is>
          <t>No</t>
        </is>
      </c>
      <c r="B266" t="inlineStr">
        <is>
          <t>DS119.7 .I8267 1991</t>
        </is>
      </c>
      <c r="C266" t="inlineStr">
        <is>
          <t>0                      DS 0119700I  8267        1991</t>
        </is>
      </c>
      <c r="D266" t="inlineStr">
        <is>
          <t>Palestinians between Israel and Jordan : squaring the triangle / Raphael Israeli.</t>
        </is>
      </c>
      <c r="F266" t="inlineStr">
        <is>
          <t>No</t>
        </is>
      </c>
      <c r="G266" t="inlineStr">
        <is>
          <t>1</t>
        </is>
      </c>
      <c r="H266" t="inlineStr">
        <is>
          <t>No</t>
        </is>
      </c>
      <c r="I266" t="inlineStr">
        <is>
          <t>No</t>
        </is>
      </c>
      <c r="J266" t="inlineStr">
        <is>
          <t>0</t>
        </is>
      </c>
      <c r="K266" t="inlineStr">
        <is>
          <t>Israeli, Raphael.</t>
        </is>
      </c>
      <c r="L266" t="inlineStr">
        <is>
          <t>New York : Praeger, 1991.</t>
        </is>
      </c>
      <c r="M266" t="inlineStr">
        <is>
          <t>1991</t>
        </is>
      </c>
      <c r="O266" t="inlineStr">
        <is>
          <t>eng</t>
        </is>
      </c>
      <c r="P266" t="inlineStr">
        <is>
          <t>nyu</t>
        </is>
      </c>
      <c r="R266" t="inlineStr">
        <is>
          <t xml:space="preserve">DS </t>
        </is>
      </c>
      <c r="S266" t="n">
        <v>5</v>
      </c>
      <c r="T266" t="n">
        <v>5</v>
      </c>
      <c r="U266" t="inlineStr">
        <is>
          <t>2009-12-07</t>
        </is>
      </c>
      <c r="V266" t="inlineStr">
        <is>
          <t>2009-12-07</t>
        </is>
      </c>
      <c r="W266" t="inlineStr">
        <is>
          <t>1992-04-02</t>
        </is>
      </c>
      <c r="X266" t="inlineStr">
        <is>
          <t>1992-04-02</t>
        </is>
      </c>
      <c r="Y266" t="n">
        <v>268</v>
      </c>
      <c r="Z266" t="n">
        <v>208</v>
      </c>
      <c r="AA266" t="n">
        <v>209</v>
      </c>
      <c r="AB266" t="n">
        <v>2</v>
      </c>
      <c r="AC266" t="n">
        <v>2</v>
      </c>
      <c r="AD266" t="n">
        <v>13</v>
      </c>
      <c r="AE266" t="n">
        <v>13</v>
      </c>
      <c r="AF266" t="n">
        <v>4</v>
      </c>
      <c r="AG266" t="n">
        <v>4</v>
      </c>
      <c r="AH266" t="n">
        <v>3</v>
      </c>
      <c r="AI266" t="n">
        <v>3</v>
      </c>
      <c r="AJ266" t="n">
        <v>8</v>
      </c>
      <c r="AK266" t="n">
        <v>8</v>
      </c>
      <c r="AL266" t="n">
        <v>1</v>
      </c>
      <c r="AM266" t="n">
        <v>1</v>
      </c>
      <c r="AN266" t="n">
        <v>1</v>
      </c>
      <c r="AO266" t="n">
        <v>1</v>
      </c>
      <c r="AP266" t="inlineStr">
        <is>
          <t>No</t>
        </is>
      </c>
      <c r="AQ266" t="inlineStr">
        <is>
          <t>Yes</t>
        </is>
      </c>
      <c r="AR266">
        <f>HYPERLINK("http://catalog.hathitrust.org/Record/002461402","HathiTrust Record")</f>
        <v/>
      </c>
      <c r="AS266">
        <f>HYPERLINK("https://creighton-primo.hosted.exlibrisgroup.com/primo-explore/search?tab=default_tab&amp;search_scope=EVERYTHING&amp;vid=01CRU&amp;lang=en_US&amp;offset=0&amp;query=any,contains,991001813879702656","Catalog Record")</f>
        <v/>
      </c>
      <c r="AT266">
        <f>HYPERLINK("http://www.worldcat.org/oclc/22767320","WorldCat Record")</f>
        <v/>
      </c>
      <c r="AU266" t="inlineStr">
        <is>
          <t>2569510:eng</t>
        </is>
      </c>
      <c r="AV266" t="inlineStr">
        <is>
          <t>22767320</t>
        </is>
      </c>
      <c r="AW266" t="inlineStr">
        <is>
          <t>991001813879702656</t>
        </is>
      </c>
      <c r="AX266" t="inlineStr">
        <is>
          <t>991001813879702656</t>
        </is>
      </c>
      <c r="AY266" t="inlineStr">
        <is>
          <t>2261523980002656</t>
        </is>
      </c>
      <c r="AZ266" t="inlineStr">
        <is>
          <t>BOOK</t>
        </is>
      </c>
      <c r="BB266" t="inlineStr">
        <is>
          <t>9780275939380</t>
        </is>
      </c>
      <c r="BC266" t="inlineStr">
        <is>
          <t>32285001008167</t>
        </is>
      </c>
      <c r="BD266" t="inlineStr">
        <is>
          <t>893684673</t>
        </is>
      </c>
    </row>
    <row r="267">
      <c r="A267" t="inlineStr">
        <is>
          <t>No</t>
        </is>
      </c>
      <c r="B267" t="inlineStr">
        <is>
          <t>DS119.7 .J33 1997</t>
        </is>
      </c>
      <c r="C267" t="inlineStr">
        <is>
          <t>0                      DS 0119700J  33          1997</t>
        </is>
      </c>
      <c r="D267" t="inlineStr">
        <is>
          <t>Hezbollah : born with a vengeance / Hala Jaber.</t>
        </is>
      </c>
      <c r="F267" t="inlineStr">
        <is>
          <t>No</t>
        </is>
      </c>
      <c r="G267" t="inlineStr">
        <is>
          <t>1</t>
        </is>
      </c>
      <c r="H267" t="inlineStr">
        <is>
          <t>No</t>
        </is>
      </c>
      <c r="I267" t="inlineStr">
        <is>
          <t>No</t>
        </is>
      </c>
      <c r="J267" t="inlineStr">
        <is>
          <t>0</t>
        </is>
      </c>
      <c r="K267" t="inlineStr">
        <is>
          <t>Jaber, Hala.</t>
        </is>
      </c>
      <c r="L267" t="inlineStr">
        <is>
          <t>New York : Columbia University Press, c1997.</t>
        </is>
      </c>
      <c r="M267" t="inlineStr">
        <is>
          <t>1997</t>
        </is>
      </c>
      <c r="O267" t="inlineStr">
        <is>
          <t>eng</t>
        </is>
      </c>
      <c r="P267" t="inlineStr">
        <is>
          <t>nyu</t>
        </is>
      </c>
      <c r="R267" t="inlineStr">
        <is>
          <t xml:space="preserve">DS </t>
        </is>
      </c>
      <c r="S267" t="n">
        <v>10</v>
      </c>
      <c r="T267" t="n">
        <v>10</v>
      </c>
      <c r="U267" t="inlineStr">
        <is>
          <t>2008-04-08</t>
        </is>
      </c>
      <c r="V267" t="inlineStr">
        <is>
          <t>2008-04-08</t>
        </is>
      </c>
      <c r="W267" t="inlineStr">
        <is>
          <t>1997-07-29</t>
        </is>
      </c>
      <c r="X267" t="inlineStr">
        <is>
          <t>1997-07-29</t>
        </is>
      </c>
      <c r="Y267" t="n">
        <v>754</v>
      </c>
      <c r="Z267" t="n">
        <v>650</v>
      </c>
      <c r="AA267" t="n">
        <v>656</v>
      </c>
      <c r="AB267" t="n">
        <v>8</v>
      </c>
      <c r="AC267" t="n">
        <v>8</v>
      </c>
      <c r="AD267" t="n">
        <v>33</v>
      </c>
      <c r="AE267" t="n">
        <v>33</v>
      </c>
      <c r="AF267" t="n">
        <v>12</v>
      </c>
      <c r="AG267" t="n">
        <v>12</v>
      </c>
      <c r="AH267" t="n">
        <v>7</v>
      </c>
      <c r="AI267" t="n">
        <v>7</v>
      </c>
      <c r="AJ267" t="n">
        <v>16</v>
      </c>
      <c r="AK267" t="n">
        <v>16</v>
      </c>
      <c r="AL267" t="n">
        <v>6</v>
      </c>
      <c r="AM267" t="n">
        <v>6</v>
      </c>
      <c r="AN267" t="n">
        <v>1</v>
      </c>
      <c r="AO267" t="n">
        <v>1</v>
      </c>
      <c r="AP267" t="inlineStr">
        <is>
          <t>No</t>
        </is>
      </c>
      <c r="AQ267" t="inlineStr">
        <is>
          <t>No</t>
        </is>
      </c>
      <c r="AS267">
        <f>HYPERLINK("https://creighton-primo.hosted.exlibrisgroup.com/primo-explore/search?tab=default_tab&amp;search_scope=EVERYTHING&amp;vid=01CRU&amp;lang=en_US&amp;offset=0&amp;query=any,contains,991002776109702656","Catalog Record")</f>
        <v/>
      </c>
      <c r="AT267">
        <f>HYPERLINK("http://www.worldcat.org/oclc/36458021","WorldCat Record")</f>
        <v/>
      </c>
      <c r="AU267" t="inlineStr">
        <is>
          <t>602365:eng</t>
        </is>
      </c>
      <c r="AV267" t="inlineStr">
        <is>
          <t>36458021</t>
        </is>
      </c>
      <c r="AW267" t="inlineStr">
        <is>
          <t>991002776109702656</t>
        </is>
      </c>
      <c r="AX267" t="inlineStr">
        <is>
          <t>991002776109702656</t>
        </is>
      </c>
      <c r="AY267" t="inlineStr">
        <is>
          <t>2267404070002656</t>
        </is>
      </c>
      <c r="AZ267" t="inlineStr">
        <is>
          <t>BOOK</t>
        </is>
      </c>
      <c r="BB267" t="inlineStr">
        <is>
          <t>9780231108348</t>
        </is>
      </c>
      <c r="BC267" t="inlineStr">
        <is>
          <t>32285002884277</t>
        </is>
      </c>
      <c r="BD267" t="inlineStr">
        <is>
          <t>893239478</t>
        </is>
      </c>
    </row>
    <row r="268">
      <c r="A268" t="inlineStr">
        <is>
          <t>No</t>
        </is>
      </c>
      <c r="B268" t="inlineStr">
        <is>
          <t>DS119.7 .J66 1999</t>
        </is>
      </c>
      <c r="C268" t="inlineStr">
        <is>
          <t>0                      DS 0119700J  66          1999</t>
        </is>
      </c>
      <c r="D268" t="inlineStr">
        <is>
          <t>Cosmopolitan mediation? : conflict resolution and the Oslo Accords / Deiniol Jones.</t>
        </is>
      </c>
      <c r="F268" t="inlineStr">
        <is>
          <t>No</t>
        </is>
      </c>
      <c r="G268" t="inlineStr">
        <is>
          <t>1</t>
        </is>
      </c>
      <c r="H268" t="inlineStr">
        <is>
          <t>No</t>
        </is>
      </c>
      <c r="I268" t="inlineStr">
        <is>
          <t>No</t>
        </is>
      </c>
      <c r="J268" t="inlineStr">
        <is>
          <t>0</t>
        </is>
      </c>
      <c r="K268" t="inlineStr">
        <is>
          <t>Jones, Deiniol.</t>
        </is>
      </c>
      <c r="L268" t="inlineStr">
        <is>
          <t>Manchester ; New York : Manchester University Press ; New York : Distributed exclusively in the USA by St. Martin's Press, 1999.</t>
        </is>
      </c>
      <c r="M268" t="inlineStr">
        <is>
          <t>1999</t>
        </is>
      </c>
      <c r="O268" t="inlineStr">
        <is>
          <t>eng</t>
        </is>
      </c>
      <c r="P268" t="inlineStr">
        <is>
          <t>enk</t>
        </is>
      </c>
      <c r="Q268" t="inlineStr">
        <is>
          <t>New approaches to conflict analysis</t>
        </is>
      </c>
      <c r="R268" t="inlineStr">
        <is>
          <t xml:space="preserve">DS </t>
        </is>
      </c>
      <c r="S268" t="n">
        <v>2</v>
      </c>
      <c r="T268" t="n">
        <v>2</v>
      </c>
      <c r="U268" t="inlineStr">
        <is>
          <t>2008-09-19</t>
        </is>
      </c>
      <c r="V268" t="inlineStr">
        <is>
          <t>2008-09-19</t>
        </is>
      </c>
      <c r="W268" t="inlineStr">
        <is>
          <t>2000-07-18</t>
        </is>
      </c>
      <c r="X268" t="inlineStr">
        <is>
          <t>2000-07-18</t>
        </is>
      </c>
      <c r="Y268" t="n">
        <v>235</v>
      </c>
      <c r="Z268" t="n">
        <v>171</v>
      </c>
      <c r="AA268" t="n">
        <v>171</v>
      </c>
      <c r="AB268" t="n">
        <v>1</v>
      </c>
      <c r="AC268" t="n">
        <v>1</v>
      </c>
      <c r="AD268" t="n">
        <v>11</v>
      </c>
      <c r="AE268" t="n">
        <v>11</v>
      </c>
      <c r="AF268" t="n">
        <v>2</v>
      </c>
      <c r="AG268" t="n">
        <v>2</v>
      </c>
      <c r="AH268" t="n">
        <v>4</v>
      </c>
      <c r="AI268" t="n">
        <v>4</v>
      </c>
      <c r="AJ268" t="n">
        <v>4</v>
      </c>
      <c r="AK268" t="n">
        <v>4</v>
      </c>
      <c r="AL268" t="n">
        <v>0</v>
      </c>
      <c r="AM268" t="n">
        <v>0</v>
      </c>
      <c r="AN268" t="n">
        <v>5</v>
      </c>
      <c r="AO268" t="n">
        <v>5</v>
      </c>
      <c r="AP268" t="inlineStr">
        <is>
          <t>No</t>
        </is>
      </c>
      <c r="AQ268" t="inlineStr">
        <is>
          <t>No</t>
        </is>
      </c>
      <c r="AS268">
        <f>HYPERLINK("https://creighton-primo.hosted.exlibrisgroup.com/primo-explore/search?tab=default_tab&amp;search_scope=EVERYTHING&amp;vid=01CRU&amp;lang=en_US&amp;offset=0&amp;query=any,contains,991003204899702656","Catalog Record")</f>
        <v/>
      </c>
      <c r="AT268">
        <f>HYPERLINK("http://www.worldcat.org/oclc/40609042","WorldCat Record")</f>
        <v/>
      </c>
      <c r="AU268" t="inlineStr">
        <is>
          <t>793024192:eng</t>
        </is>
      </c>
      <c r="AV268" t="inlineStr">
        <is>
          <t>40609042</t>
        </is>
      </c>
      <c r="AW268" t="inlineStr">
        <is>
          <t>991003204899702656</t>
        </is>
      </c>
      <c r="AX268" t="inlineStr">
        <is>
          <t>991003204899702656</t>
        </is>
      </c>
      <c r="AY268" t="inlineStr">
        <is>
          <t>2269812300002656</t>
        </is>
      </c>
      <c r="AZ268" t="inlineStr">
        <is>
          <t>BOOK</t>
        </is>
      </c>
      <c r="BB268" t="inlineStr">
        <is>
          <t>9780719055188</t>
        </is>
      </c>
      <c r="BC268" t="inlineStr">
        <is>
          <t>32285003740254</t>
        </is>
      </c>
      <c r="BD268" t="inlineStr">
        <is>
          <t>893711134</t>
        </is>
      </c>
    </row>
    <row r="269">
      <c r="A269" t="inlineStr">
        <is>
          <t>No</t>
        </is>
      </c>
      <c r="B269" t="inlineStr">
        <is>
          <t>DS119.7 .K33</t>
        </is>
      </c>
      <c r="C269" t="inlineStr">
        <is>
          <t>0                      DS 0119700K  33</t>
        </is>
      </c>
      <c r="D269" t="inlineStr">
        <is>
          <t>Battleground: fact and fantasy in Palestine, Samuel Katz.</t>
        </is>
      </c>
      <c r="F269" t="inlineStr">
        <is>
          <t>No</t>
        </is>
      </c>
      <c r="G269" t="inlineStr">
        <is>
          <t>1</t>
        </is>
      </c>
      <c r="H269" t="inlineStr">
        <is>
          <t>No</t>
        </is>
      </c>
      <c r="I269" t="inlineStr">
        <is>
          <t>No</t>
        </is>
      </c>
      <c r="J269" t="inlineStr">
        <is>
          <t>0</t>
        </is>
      </c>
      <c r="K269" t="inlineStr">
        <is>
          <t>Katz, Shmuel, 1914-2008.</t>
        </is>
      </c>
      <c r="L269" t="inlineStr">
        <is>
          <t>Toronto, New York, Bantam Books [1973]</t>
        </is>
      </c>
      <c r="M269" t="inlineStr">
        <is>
          <t>1973</t>
        </is>
      </c>
      <c r="O269" t="inlineStr">
        <is>
          <t>eng</t>
        </is>
      </c>
      <c r="P269" t="inlineStr">
        <is>
          <t>onc</t>
        </is>
      </c>
      <c r="R269" t="inlineStr">
        <is>
          <t xml:space="preserve">DS </t>
        </is>
      </c>
      <c r="S269" t="n">
        <v>2</v>
      </c>
      <c r="T269" t="n">
        <v>2</v>
      </c>
      <c r="U269" t="inlineStr">
        <is>
          <t>2000-09-07</t>
        </is>
      </c>
      <c r="V269" t="inlineStr">
        <is>
          <t>2000-09-07</t>
        </is>
      </c>
      <c r="W269" t="inlineStr">
        <is>
          <t>1992-10-06</t>
        </is>
      </c>
      <c r="X269" t="inlineStr">
        <is>
          <t>1992-10-06</t>
        </is>
      </c>
      <c r="Y269" t="n">
        <v>390</v>
      </c>
      <c r="Z269" t="n">
        <v>326</v>
      </c>
      <c r="AA269" t="n">
        <v>465</v>
      </c>
      <c r="AB269" t="n">
        <v>2</v>
      </c>
      <c r="AC269" t="n">
        <v>2</v>
      </c>
      <c r="AD269" t="n">
        <v>14</v>
      </c>
      <c r="AE269" t="n">
        <v>19</v>
      </c>
      <c r="AF269" t="n">
        <v>6</v>
      </c>
      <c r="AG269" t="n">
        <v>7</v>
      </c>
      <c r="AH269" t="n">
        <v>3</v>
      </c>
      <c r="AI269" t="n">
        <v>3</v>
      </c>
      <c r="AJ269" t="n">
        <v>6</v>
      </c>
      <c r="AK269" t="n">
        <v>9</v>
      </c>
      <c r="AL269" t="n">
        <v>1</v>
      </c>
      <c r="AM269" t="n">
        <v>1</v>
      </c>
      <c r="AN269" t="n">
        <v>2</v>
      </c>
      <c r="AO269" t="n">
        <v>3</v>
      </c>
      <c r="AP269" t="inlineStr">
        <is>
          <t>No</t>
        </is>
      </c>
      <c r="AQ269" t="inlineStr">
        <is>
          <t>Yes</t>
        </is>
      </c>
      <c r="AR269">
        <f>HYPERLINK("http://catalog.hathitrust.org/Record/009381668","HathiTrust Record")</f>
        <v/>
      </c>
      <c r="AS269">
        <f>HYPERLINK("https://creighton-primo.hosted.exlibrisgroup.com/primo-explore/search?tab=default_tab&amp;search_scope=EVERYTHING&amp;vid=01CRU&amp;lang=en_US&amp;offset=0&amp;query=any,contains,991002885309702656","Catalog Record")</f>
        <v/>
      </c>
      <c r="AT269">
        <f>HYPERLINK("http://www.worldcat.org/oclc/508033","WorldCat Record")</f>
        <v/>
      </c>
      <c r="AU269" t="inlineStr">
        <is>
          <t>137843078:eng</t>
        </is>
      </c>
      <c r="AV269" t="inlineStr">
        <is>
          <t>508033</t>
        </is>
      </c>
      <c r="AW269" t="inlineStr">
        <is>
          <t>991002885309702656</t>
        </is>
      </c>
      <c r="AX269" t="inlineStr">
        <is>
          <t>991002885309702656</t>
        </is>
      </c>
      <c r="AY269" t="inlineStr">
        <is>
          <t>2261082510002656</t>
        </is>
      </c>
      <c r="AZ269" t="inlineStr">
        <is>
          <t>BOOK</t>
        </is>
      </c>
      <c r="BC269" t="inlineStr">
        <is>
          <t>32285001366524</t>
        </is>
      </c>
      <c r="BD269" t="inlineStr">
        <is>
          <t>893517876</t>
        </is>
      </c>
    </row>
    <row r="270">
      <c r="A270" t="inlineStr">
        <is>
          <t>No</t>
        </is>
      </c>
      <c r="B270" t="inlineStr">
        <is>
          <t>DS119.7 .K48 1985</t>
        </is>
      </c>
      <c r="C270" t="inlineStr">
        <is>
          <t>0                      DS 0119700K  48          1985</t>
        </is>
      </c>
      <c r="D270" t="inlineStr">
        <is>
          <t>The Arab-Israeli dilemma / Fred J. Khouri.</t>
        </is>
      </c>
      <c r="F270" t="inlineStr">
        <is>
          <t>No</t>
        </is>
      </c>
      <c r="G270" t="inlineStr">
        <is>
          <t>1</t>
        </is>
      </c>
      <c r="H270" t="inlineStr">
        <is>
          <t>No</t>
        </is>
      </c>
      <c r="I270" t="inlineStr">
        <is>
          <t>No</t>
        </is>
      </c>
      <c r="J270" t="inlineStr">
        <is>
          <t>0</t>
        </is>
      </c>
      <c r="K270" t="inlineStr">
        <is>
          <t>Khouri, Fred J. (Fred John)</t>
        </is>
      </c>
      <c r="L270" t="inlineStr">
        <is>
          <t>Syracuse, N.Y. : Syracuse University Press, 1985.</t>
        </is>
      </c>
      <c r="M270" t="inlineStr">
        <is>
          <t>1985</t>
        </is>
      </c>
      <c r="N270" t="inlineStr">
        <is>
          <t>3rd ed.</t>
        </is>
      </c>
      <c r="O270" t="inlineStr">
        <is>
          <t>eng</t>
        </is>
      </c>
      <c r="P270" t="inlineStr">
        <is>
          <t>nyu</t>
        </is>
      </c>
      <c r="Q270" t="inlineStr">
        <is>
          <t>Contemporary issues in the Middle East</t>
        </is>
      </c>
      <c r="R270" t="inlineStr">
        <is>
          <t xml:space="preserve">DS </t>
        </is>
      </c>
      <c r="S270" t="n">
        <v>6</v>
      </c>
      <c r="T270" t="n">
        <v>6</v>
      </c>
      <c r="U270" t="inlineStr">
        <is>
          <t>2004-11-14</t>
        </is>
      </c>
      <c r="V270" t="inlineStr">
        <is>
          <t>2004-11-14</t>
        </is>
      </c>
      <c r="W270" t="inlineStr">
        <is>
          <t>1990-02-14</t>
        </is>
      </c>
      <c r="X270" t="inlineStr">
        <is>
          <t>1990-02-14</t>
        </is>
      </c>
      <c r="Y270" t="n">
        <v>625</v>
      </c>
      <c r="Z270" t="n">
        <v>544</v>
      </c>
      <c r="AA270" t="n">
        <v>1467</v>
      </c>
      <c r="AB270" t="n">
        <v>5</v>
      </c>
      <c r="AC270" t="n">
        <v>17</v>
      </c>
      <c r="AD270" t="n">
        <v>22</v>
      </c>
      <c r="AE270" t="n">
        <v>58</v>
      </c>
      <c r="AF270" t="n">
        <v>7</v>
      </c>
      <c r="AG270" t="n">
        <v>22</v>
      </c>
      <c r="AH270" t="n">
        <v>4</v>
      </c>
      <c r="AI270" t="n">
        <v>8</v>
      </c>
      <c r="AJ270" t="n">
        <v>12</v>
      </c>
      <c r="AK270" t="n">
        <v>23</v>
      </c>
      <c r="AL270" t="n">
        <v>4</v>
      </c>
      <c r="AM270" t="n">
        <v>13</v>
      </c>
      <c r="AN270" t="n">
        <v>1</v>
      </c>
      <c r="AO270" t="n">
        <v>3</v>
      </c>
      <c r="AP270" t="inlineStr">
        <is>
          <t>No</t>
        </is>
      </c>
      <c r="AQ270" t="inlineStr">
        <is>
          <t>No</t>
        </is>
      </c>
      <c r="AS270">
        <f>HYPERLINK("https://creighton-primo.hosted.exlibrisgroup.com/primo-explore/search?tab=default_tab&amp;search_scope=EVERYTHING&amp;vid=01CRU&amp;lang=en_US&amp;offset=0&amp;query=any,contains,991000723439702656","Catalog Record")</f>
        <v/>
      </c>
      <c r="AT270">
        <f>HYPERLINK("http://www.worldcat.org/oclc/12673355","WorldCat Record")</f>
        <v/>
      </c>
      <c r="AU270" t="inlineStr">
        <is>
          <t>1546367:eng</t>
        </is>
      </c>
      <c r="AV270" t="inlineStr">
        <is>
          <t>12673355</t>
        </is>
      </c>
      <c r="AW270" t="inlineStr">
        <is>
          <t>991000723439702656</t>
        </is>
      </c>
      <c r="AX270" t="inlineStr">
        <is>
          <t>991000723439702656</t>
        </is>
      </c>
      <c r="AY270" t="inlineStr">
        <is>
          <t>2272402270002656</t>
        </is>
      </c>
      <c r="AZ270" t="inlineStr">
        <is>
          <t>BOOK</t>
        </is>
      </c>
      <c r="BB270" t="inlineStr">
        <is>
          <t>9780815623403</t>
        </is>
      </c>
      <c r="BC270" t="inlineStr">
        <is>
          <t>32285000052968</t>
        </is>
      </c>
      <c r="BD270" t="inlineStr">
        <is>
          <t>893528332</t>
        </is>
      </c>
    </row>
    <row r="271">
      <c r="A271" t="inlineStr">
        <is>
          <t>No</t>
        </is>
      </c>
      <c r="B271" t="inlineStr">
        <is>
          <t>DS119.7 .K49256 1991</t>
        </is>
      </c>
      <c r="C271" t="inlineStr">
        <is>
          <t>0                      DS 0119700K  49256       1991</t>
        </is>
      </c>
      <c r="D271" t="inlineStr">
        <is>
          <t>The last option : after Nasser, Arafat, &amp; Saddam Hussein : the quest for peace in the Middle East / David Kimche.</t>
        </is>
      </c>
      <c r="F271" t="inlineStr">
        <is>
          <t>No</t>
        </is>
      </c>
      <c r="G271" t="inlineStr">
        <is>
          <t>1</t>
        </is>
      </c>
      <c r="H271" t="inlineStr">
        <is>
          <t>No</t>
        </is>
      </c>
      <c r="I271" t="inlineStr">
        <is>
          <t>No</t>
        </is>
      </c>
      <c r="J271" t="inlineStr">
        <is>
          <t>0</t>
        </is>
      </c>
      <c r="K271" t="inlineStr">
        <is>
          <t>Kimche, David.</t>
        </is>
      </c>
      <c r="L271" t="inlineStr">
        <is>
          <t>New York : Charles Scribner's Sons ; Maxwell Macmillan International, c1991.</t>
        </is>
      </c>
      <c r="M271" t="inlineStr">
        <is>
          <t>1991</t>
        </is>
      </c>
      <c r="O271" t="inlineStr">
        <is>
          <t>eng</t>
        </is>
      </c>
      <c r="P271" t="inlineStr">
        <is>
          <t>nyu</t>
        </is>
      </c>
      <c r="R271" t="inlineStr">
        <is>
          <t xml:space="preserve">DS </t>
        </is>
      </c>
      <c r="S271" t="n">
        <v>4</v>
      </c>
      <c r="T271" t="n">
        <v>4</v>
      </c>
      <c r="U271" t="inlineStr">
        <is>
          <t>1998-04-19</t>
        </is>
      </c>
      <c r="V271" t="inlineStr">
        <is>
          <t>1998-04-19</t>
        </is>
      </c>
      <c r="W271" t="inlineStr">
        <is>
          <t>1992-08-26</t>
        </is>
      </c>
      <c r="X271" t="inlineStr">
        <is>
          <t>1992-08-26</t>
        </is>
      </c>
      <c r="Y271" t="n">
        <v>411</v>
      </c>
      <c r="Z271" t="n">
        <v>374</v>
      </c>
      <c r="AA271" t="n">
        <v>420</v>
      </c>
      <c r="AB271" t="n">
        <v>2</v>
      </c>
      <c r="AC271" t="n">
        <v>2</v>
      </c>
      <c r="AD271" t="n">
        <v>13</v>
      </c>
      <c r="AE271" t="n">
        <v>14</v>
      </c>
      <c r="AF271" t="n">
        <v>7</v>
      </c>
      <c r="AG271" t="n">
        <v>7</v>
      </c>
      <c r="AH271" t="n">
        <v>5</v>
      </c>
      <c r="AI271" t="n">
        <v>5</v>
      </c>
      <c r="AJ271" t="n">
        <v>5</v>
      </c>
      <c r="AK271" t="n">
        <v>6</v>
      </c>
      <c r="AL271" t="n">
        <v>1</v>
      </c>
      <c r="AM271" t="n">
        <v>1</v>
      </c>
      <c r="AN271" t="n">
        <v>1</v>
      </c>
      <c r="AO271" t="n">
        <v>1</v>
      </c>
      <c r="AP271" t="inlineStr">
        <is>
          <t>No</t>
        </is>
      </c>
      <c r="AQ271" t="inlineStr">
        <is>
          <t>Yes</t>
        </is>
      </c>
      <c r="AR271">
        <f>HYPERLINK("http://catalog.hathitrust.org/Record/002553056","HathiTrust Record")</f>
        <v/>
      </c>
      <c r="AS271">
        <f>HYPERLINK("https://creighton-primo.hosted.exlibrisgroup.com/primo-explore/search?tab=default_tab&amp;search_scope=EVERYTHING&amp;vid=01CRU&amp;lang=en_US&amp;offset=0&amp;query=any,contains,991001947569702656","Catalog Record")</f>
        <v/>
      </c>
      <c r="AT271">
        <f>HYPERLINK("http://www.worldcat.org/oclc/24627293","WorldCat Record")</f>
        <v/>
      </c>
      <c r="AU271" t="inlineStr">
        <is>
          <t>20572743:eng</t>
        </is>
      </c>
      <c r="AV271" t="inlineStr">
        <is>
          <t>24627293</t>
        </is>
      </c>
      <c r="AW271" t="inlineStr">
        <is>
          <t>991001947569702656</t>
        </is>
      </c>
      <c r="AX271" t="inlineStr">
        <is>
          <t>991001947569702656</t>
        </is>
      </c>
      <c r="AY271" t="inlineStr">
        <is>
          <t>2259936760002656</t>
        </is>
      </c>
      <c r="AZ271" t="inlineStr">
        <is>
          <t>BOOK</t>
        </is>
      </c>
      <c r="BB271" t="inlineStr">
        <is>
          <t>9780684194226</t>
        </is>
      </c>
      <c r="BC271" t="inlineStr">
        <is>
          <t>32285001199008</t>
        </is>
      </c>
      <c r="BD271" t="inlineStr">
        <is>
          <t>893529368</t>
        </is>
      </c>
    </row>
    <row r="272">
      <c r="A272" t="inlineStr">
        <is>
          <t>No</t>
        </is>
      </c>
      <c r="B272" t="inlineStr">
        <is>
          <t>DS119.7 .K4943 1993</t>
        </is>
      </c>
      <c r="C272" t="inlineStr">
        <is>
          <t>0                      DS 0119700K  4943        1993</t>
        </is>
      </c>
      <c r="D272" t="inlineStr">
        <is>
          <t>Palestinians : the making of a people / Baruch Kimmerling, Joel S. Migdal.</t>
        </is>
      </c>
      <c r="F272" t="inlineStr">
        <is>
          <t>No</t>
        </is>
      </c>
      <c r="G272" t="inlineStr">
        <is>
          <t>1</t>
        </is>
      </c>
      <c r="H272" t="inlineStr">
        <is>
          <t>No</t>
        </is>
      </c>
      <c r="I272" t="inlineStr">
        <is>
          <t>No</t>
        </is>
      </c>
      <c r="J272" t="inlineStr">
        <is>
          <t>0</t>
        </is>
      </c>
      <c r="K272" t="inlineStr">
        <is>
          <t>Kimmerling, Baruch.</t>
        </is>
      </c>
      <c r="L272" t="inlineStr">
        <is>
          <t>New York : Free Press, c1993.</t>
        </is>
      </c>
      <c r="M272" t="inlineStr">
        <is>
          <t>1993</t>
        </is>
      </c>
      <c r="O272" t="inlineStr">
        <is>
          <t>eng</t>
        </is>
      </c>
      <c r="P272" t="inlineStr">
        <is>
          <t>nyu</t>
        </is>
      </c>
      <c r="R272" t="inlineStr">
        <is>
          <t xml:space="preserve">DS </t>
        </is>
      </c>
      <c r="S272" t="n">
        <v>4</v>
      </c>
      <c r="T272" t="n">
        <v>4</v>
      </c>
      <c r="U272" t="inlineStr">
        <is>
          <t>2000-07-18</t>
        </is>
      </c>
      <c r="V272" t="inlineStr">
        <is>
          <t>2000-07-18</t>
        </is>
      </c>
      <c r="W272" t="inlineStr">
        <is>
          <t>1993-10-16</t>
        </is>
      </c>
      <c r="X272" t="inlineStr">
        <is>
          <t>1993-10-16</t>
        </is>
      </c>
      <c r="Y272" t="n">
        <v>1075</v>
      </c>
      <c r="Z272" t="n">
        <v>952</v>
      </c>
      <c r="AA272" t="n">
        <v>1036</v>
      </c>
      <c r="AB272" t="n">
        <v>9</v>
      </c>
      <c r="AC272" t="n">
        <v>9</v>
      </c>
      <c r="AD272" t="n">
        <v>30</v>
      </c>
      <c r="AE272" t="n">
        <v>32</v>
      </c>
      <c r="AF272" t="n">
        <v>13</v>
      </c>
      <c r="AG272" t="n">
        <v>13</v>
      </c>
      <c r="AH272" t="n">
        <v>7</v>
      </c>
      <c r="AI272" t="n">
        <v>8</v>
      </c>
      <c r="AJ272" t="n">
        <v>14</v>
      </c>
      <c r="AK272" t="n">
        <v>16</v>
      </c>
      <c r="AL272" t="n">
        <v>3</v>
      </c>
      <c r="AM272" t="n">
        <v>3</v>
      </c>
      <c r="AN272" t="n">
        <v>0</v>
      </c>
      <c r="AO272" t="n">
        <v>0</v>
      </c>
      <c r="AP272" t="inlineStr">
        <is>
          <t>No</t>
        </is>
      </c>
      <c r="AQ272" t="inlineStr">
        <is>
          <t>Yes</t>
        </is>
      </c>
      <c r="AR272">
        <f>HYPERLINK("http://catalog.hathitrust.org/Record/002600771","HathiTrust Record")</f>
        <v/>
      </c>
      <c r="AS272">
        <f>HYPERLINK("https://creighton-primo.hosted.exlibrisgroup.com/primo-explore/search?tab=default_tab&amp;search_scope=EVERYTHING&amp;vid=01CRU&amp;lang=en_US&amp;offset=0&amp;query=any,contains,991002050739702656","Catalog Record")</f>
        <v/>
      </c>
      <c r="AT272">
        <f>HYPERLINK("http://www.worldcat.org/oclc/26161730","WorldCat Record")</f>
        <v/>
      </c>
      <c r="AU272" t="inlineStr">
        <is>
          <t>26676756:eng</t>
        </is>
      </c>
      <c r="AV272" t="inlineStr">
        <is>
          <t>26161730</t>
        </is>
      </c>
      <c r="AW272" t="inlineStr">
        <is>
          <t>991002050739702656</t>
        </is>
      </c>
      <c r="AX272" t="inlineStr">
        <is>
          <t>991002050739702656</t>
        </is>
      </c>
      <c r="AY272" t="inlineStr">
        <is>
          <t>2269951480002656</t>
        </is>
      </c>
      <c r="AZ272" t="inlineStr">
        <is>
          <t>BOOK</t>
        </is>
      </c>
      <c r="BB272" t="inlineStr">
        <is>
          <t>9780029173213</t>
        </is>
      </c>
      <c r="BC272" t="inlineStr">
        <is>
          <t>32285001786572</t>
        </is>
      </c>
      <c r="BD272" t="inlineStr">
        <is>
          <t>893510232</t>
        </is>
      </c>
    </row>
    <row r="273">
      <c r="A273" t="inlineStr">
        <is>
          <t>No</t>
        </is>
      </c>
      <c r="B273" t="inlineStr">
        <is>
          <t>DS119.7 .K4945 1986</t>
        </is>
      </c>
      <c r="C273" t="inlineStr">
        <is>
          <t>0                      DS 0119700K  4945        1986</t>
        </is>
      </c>
      <c r="D273" t="inlineStr">
        <is>
          <t>The PLO and world politics : a study of the mobilization of support for the Palestinian cause / Kemal Kirisci.</t>
        </is>
      </c>
      <c r="F273" t="inlineStr">
        <is>
          <t>No</t>
        </is>
      </c>
      <c r="G273" t="inlineStr">
        <is>
          <t>1</t>
        </is>
      </c>
      <c r="H273" t="inlineStr">
        <is>
          <t>No</t>
        </is>
      </c>
      <c r="I273" t="inlineStr">
        <is>
          <t>No</t>
        </is>
      </c>
      <c r="J273" t="inlineStr">
        <is>
          <t>0</t>
        </is>
      </c>
      <c r="K273" t="inlineStr">
        <is>
          <t>Kirişci, Kemal, 1954-</t>
        </is>
      </c>
      <c r="L273" t="inlineStr">
        <is>
          <t>New York : St. Martin's Press, 1986.</t>
        </is>
      </c>
      <c r="M273" t="inlineStr">
        <is>
          <t>1986</t>
        </is>
      </c>
      <c r="O273" t="inlineStr">
        <is>
          <t>eng</t>
        </is>
      </c>
      <c r="P273" t="inlineStr">
        <is>
          <t>nyu</t>
        </is>
      </c>
      <c r="R273" t="inlineStr">
        <is>
          <t xml:space="preserve">DS </t>
        </is>
      </c>
      <c r="S273" t="n">
        <v>1</v>
      </c>
      <c r="T273" t="n">
        <v>1</v>
      </c>
      <c r="U273" t="inlineStr">
        <is>
          <t>1992-09-16</t>
        </is>
      </c>
      <c r="V273" t="inlineStr">
        <is>
          <t>1992-09-16</t>
        </is>
      </c>
      <c r="W273" t="inlineStr">
        <is>
          <t>1990-04-17</t>
        </is>
      </c>
      <c r="X273" t="inlineStr">
        <is>
          <t>1990-04-17</t>
        </is>
      </c>
      <c r="Y273" t="n">
        <v>281</v>
      </c>
      <c r="Z273" t="n">
        <v>248</v>
      </c>
      <c r="AA273" t="n">
        <v>313</v>
      </c>
      <c r="AB273" t="n">
        <v>1</v>
      </c>
      <c r="AC273" t="n">
        <v>3</v>
      </c>
      <c r="AD273" t="n">
        <v>15</v>
      </c>
      <c r="AE273" t="n">
        <v>18</v>
      </c>
      <c r="AF273" t="n">
        <v>5</v>
      </c>
      <c r="AG273" t="n">
        <v>5</v>
      </c>
      <c r="AH273" t="n">
        <v>3</v>
      </c>
      <c r="AI273" t="n">
        <v>4</v>
      </c>
      <c r="AJ273" t="n">
        <v>8</v>
      </c>
      <c r="AK273" t="n">
        <v>9</v>
      </c>
      <c r="AL273" t="n">
        <v>0</v>
      </c>
      <c r="AM273" t="n">
        <v>2</v>
      </c>
      <c r="AN273" t="n">
        <v>0</v>
      </c>
      <c r="AO273" t="n">
        <v>0</v>
      </c>
      <c r="AP273" t="inlineStr">
        <is>
          <t>No</t>
        </is>
      </c>
      <c r="AQ273" t="inlineStr">
        <is>
          <t>No</t>
        </is>
      </c>
      <c r="AS273">
        <f>HYPERLINK("https://creighton-primo.hosted.exlibrisgroup.com/primo-explore/search?tab=default_tab&amp;search_scope=EVERYTHING&amp;vid=01CRU&amp;lang=en_US&amp;offset=0&amp;query=any,contains,991000925839702656","Catalog Record")</f>
        <v/>
      </c>
      <c r="AT273">
        <f>HYPERLINK("http://www.worldcat.org/oclc/14240124","WorldCat Record")</f>
        <v/>
      </c>
      <c r="AU273" t="inlineStr">
        <is>
          <t>8997041:eng</t>
        </is>
      </c>
      <c r="AV273" t="inlineStr">
        <is>
          <t>14240124</t>
        </is>
      </c>
      <c r="AW273" t="inlineStr">
        <is>
          <t>991000925839702656</t>
        </is>
      </c>
      <c r="AX273" t="inlineStr">
        <is>
          <t>991000925839702656</t>
        </is>
      </c>
      <c r="AY273" t="inlineStr">
        <is>
          <t>2258764180002656</t>
        </is>
      </c>
      <c r="AZ273" t="inlineStr">
        <is>
          <t>BOOK</t>
        </is>
      </c>
      <c r="BB273" t="inlineStr">
        <is>
          <t>9780312003821</t>
        </is>
      </c>
      <c r="BC273" t="inlineStr">
        <is>
          <t>32285000122324</t>
        </is>
      </c>
      <c r="BD273" t="inlineStr">
        <is>
          <t>893596036</t>
        </is>
      </c>
    </row>
    <row r="274">
      <c r="A274" t="inlineStr">
        <is>
          <t>No</t>
        </is>
      </c>
      <c r="B274" t="inlineStr">
        <is>
          <t>DS119.7 .M263</t>
        </is>
      </c>
      <c r="C274" t="inlineStr">
        <is>
          <t>0                      DS 0119700M  263</t>
        </is>
      </c>
      <c r="D274" t="inlineStr">
        <is>
          <t>The Arabs and Zionism before World War I / by Neville J. Mandel.</t>
        </is>
      </c>
      <c r="F274" t="inlineStr">
        <is>
          <t>No</t>
        </is>
      </c>
      <c r="G274" t="inlineStr">
        <is>
          <t>1</t>
        </is>
      </c>
      <c r="H274" t="inlineStr">
        <is>
          <t>No</t>
        </is>
      </c>
      <c r="I274" t="inlineStr">
        <is>
          <t>No</t>
        </is>
      </c>
      <c r="J274" t="inlineStr">
        <is>
          <t>0</t>
        </is>
      </c>
      <c r="K274" t="inlineStr">
        <is>
          <t>Mandel, Neville J.</t>
        </is>
      </c>
      <c r="L274" t="inlineStr">
        <is>
          <t>Berkeley : University of California Press, c1976.</t>
        </is>
      </c>
      <c r="M274" t="inlineStr">
        <is>
          <t>1976</t>
        </is>
      </c>
      <c r="O274" t="inlineStr">
        <is>
          <t>eng</t>
        </is>
      </c>
      <c r="P274" t="inlineStr">
        <is>
          <t>cau</t>
        </is>
      </c>
      <c r="R274" t="inlineStr">
        <is>
          <t xml:space="preserve">DS </t>
        </is>
      </c>
      <c r="S274" t="n">
        <v>2</v>
      </c>
      <c r="T274" t="n">
        <v>2</v>
      </c>
      <c r="U274" t="inlineStr">
        <is>
          <t>1999-04-02</t>
        </is>
      </c>
      <c r="V274" t="inlineStr">
        <is>
          <t>1999-04-02</t>
        </is>
      </c>
      <c r="W274" t="inlineStr">
        <is>
          <t>1997-02-26</t>
        </is>
      </c>
      <c r="X274" t="inlineStr">
        <is>
          <t>1997-02-26</t>
        </is>
      </c>
      <c r="Y274" t="n">
        <v>722</v>
      </c>
      <c r="Z274" t="n">
        <v>579</v>
      </c>
      <c r="AA274" t="n">
        <v>649</v>
      </c>
      <c r="AB274" t="n">
        <v>3</v>
      </c>
      <c r="AC274" t="n">
        <v>4</v>
      </c>
      <c r="AD274" t="n">
        <v>23</v>
      </c>
      <c r="AE274" t="n">
        <v>29</v>
      </c>
      <c r="AF274" t="n">
        <v>10</v>
      </c>
      <c r="AG274" t="n">
        <v>12</v>
      </c>
      <c r="AH274" t="n">
        <v>7</v>
      </c>
      <c r="AI274" t="n">
        <v>7</v>
      </c>
      <c r="AJ274" t="n">
        <v>11</v>
      </c>
      <c r="AK274" t="n">
        <v>15</v>
      </c>
      <c r="AL274" t="n">
        <v>2</v>
      </c>
      <c r="AM274" t="n">
        <v>3</v>
      </c>
      <c r="AN274" t="n">
        <v>0</v>
      </c>
      <c r="AO274" t="n">
        <v>0</v>
      </c>
      <c r="AP274" t="inlineStr">
        <is>
          <t>No</t>
        </is>
      </c>
      <c r="AQ274" t="inlineStr">
        <is>
          <t>Yes</t>
        </is>
      </c>
      <c r="AR274">
        <f>HYPERLINK("http://catalog.hathitrust.org/Record/000172187","HathiTrust Record")</f>
        <v/>
      </c>
      <c r="AS274">
        <f>HYPERLINK("https://creighton-primo.hosted.exlibrisgroup.com/primo-explore/search?tab=default_tab&amp;search_scope=EVERYTHING&amp;vid=01CRU&amp;lang=en_US&amp;offset=0&amp;query=any,contains,991004233049702656","Catalog Record")</f>
        <v/>
      </c>
      <c r="AT274">
        <f>HYPERLINK("http://www.worldcat.org/oclc/2755209","WorldCat Record")</f>
        <v/>
      </c>
      <c r="AU274" t="inlineStr">
        <is>
          <t>5828431:eng</t>
        </is>
      </c>
      <c r="AV274" t="inlineStr">
        <is>
          <t>2755209</t>
        </is>
      </c>
      <c r="AW274" t="inlineStr">
        <is>
          <t>991004233049702656</t>
        </is>
      </c>
      <c r="AX274" t="inlineStr">
        <is>
          <t>991004233049702656</t>
        </is>
      </c>
      <c r="AY274" t="inlineStr">
        <is>
          <t>2260136520002656</t>
        </is>
      </c>
      <c r="AZ274" t="inlineStr">
        <is>
          <t>BOOK</t>
        </is>
      </c>
      <c r="BB274" t="inlineStr">
        <is>
          <t>9780520024663</t>
        </is>
      </c>
      <c r="BC274" t="inlineStr">
        <is>
          <t>32285002461944</t>
        </is>
      </c>
      <c r="BD274" t="inlineStr">
        <is>
          <t>893423543</t>
        </is>
      </c>
    </row>
    <row r="275">
      <c r="A275" t="inlineStr">
        <is>
          <t>No</t>
        </is>
      </c>
      <c r="B275" t="inlineStr">
        <is>
          <t>DS119.7 .M35 1989</t>
        </is>
      </c>
      <c r="C275" t="inlineStr">
        <is>
          <t>0                      DS 0119700M  35          1989</t>
        </is>
      </c>
      <c r="D275" t="inlineStr">
        <is>
          <t>Palestine and Israel : the uprising and beyond / David McDowall.</t>
        </is>
      </c>
      <c r="F275" t="inlineStr">
        <is>
          <t>No</t>
        </is>
      </c>
      <c r="G275" t="inlineStr">
        <is>
          <t>1</t>
        </is>
      </c>
      <c r="H275" t="inlineStr">
        <is>
          <t>No</t>
        </is>
      </c>
      <c r="I275" t="inlineStr">
        <is>
          <t>No</t>
        </is>
      </c>
      <c r="J275" t="inlineStr">
        <is>
          <t>0</t>
        </is>
      </c>
      <c r="K275" t="inlineStr">
        <is>
          <t>McDowall, David, 1949-</t>
        </is>
      </c>
      <c r="L275" t="inlineStr">
        <is>
          <t>Berkeley : University of California Press, c1989.</t>
        </is>
      </c>
      <c r="M275" t="inlineStr">
        <is>
          <t>1989</t>
        </is>
      </c>
      <c r="O275" t="inlineStr">
        <is>
          <t>eng</t>
        </is>
      </c>
      <c r="P275" t="inlineStr">
        <is>
          <t>cau</t>
        </is>
      </c>
      <c r="R275" t="inlineStr">
        <is>
          <t xml:space="preserve">DS </t>
        </is>
      </c>
      <c r="S275" t="n">
        <v>15</v>
      </c>
      <c r="T275" t="n">
        <v>15</v>
      </c>
      <c r="U275" t="inlineStr">
        <is>
          <t>2000-11-16</t>
        </is>
      </c>
      <c r="V275" t="inlineStr">
        <is>
          <t>2000-11-16</t>
        </is>
      </c>
      <c r="W275" t="inlineStr">
        <is>
          <t>1990-03-27</t>
        </is>
      </c>
      <c r="X275" t="inlineStr">
        <is>
          <t>1990-03-27</t>
        </is>
      </c>
      <c r="Y275" t="n">
        <v>544</v>
      </c>
      <c r="Z275" t="n">
        <v>488</v>
      </c>
      <c r="AA275" t="n">
        <v>545</v>
      </c>
      <c r="AB275" t="n">
        <v>2</v>
      </c>
      <c r="AC275" t="n">
        <v>4</v>
      </c>
      <c r="AD275" t="n">
        <v>16</v>
      </c>
      <c r="AE275" t="n">
        <v>20</v>
      </c>
      <c r="AF275" t="n">
        <v>4</v>
      </c>
      <c r="AG275" t="n">
        <v>4</v>
      </c>
      <c r="AH275" t="n">
        <v>5</v>
      </c>
      <c r="AI275" t="n">
        <v>6</v>
      </c>
      <c r="AJ275" t="n">
        <v>7</v>
      </c>
      <c r="AK275" t="n">
        <v>9</v>
      </c>
      <c r="AL275" t="n">
        <v>1</v>
      </c>
      <c r="AM275" t="n">
        <v>3</v>
      </c>
      <c r="AN275" t="n">
        <v>1</v>
      </c>
      <c r="AO275" t="n">
        <v>1</v>
      </c>
      <c r="AP275" t="inlineStr">
        <is>
          <t>No</t>
        </is>
      </c>
      <c r="AQ275" t="inlineStr">
        <is>
          <t>No</t>
        </is>
      </c>
      <c r="AS275">
        <f>HYPERLINK("https://creighton-primo.hosted.exlibrisgroup.com/primo-explore/search?tab=default_tab&amp;search_scope=EVERYTHING&amp;vid=01CRU&amp;lang=en_US&amp;offset=0&amp;query=any,contains,991001662019702656","Catalog Record")</f>
        <v/>
      </c>
      <c r="AT275">
        <f>HYPERLINK("http://www.worldcat.org/oclc/21187363","WorldCat Record")</f>
        <v/>
      </c>
      <c r="AU275" t="inlineStr">
        <is>
          <t>802879699:eng</t>
        </is>
      </c>
      <c r="AV275" t="inlineStr">
        <is>
          <t>21187363</t>
        </is>
      </c>
      <c r="AW275" t="inlineStr">
        <is>
          <t>991001662019702656</t>
        </is>
      </c>
      <c r="AX275" t="inlineStr">
        <is>
          <t>991001662019702656</t>
        </is>
      </c>
      <c r="AY275" t="inlineStr">
        <is>
          <t>2264575650002656</t>
        </is>
      </c>
      <c r="AZ275" t="inlineStr">
        <is>
          <t>BOOK</t>
        </is>
      </c>
      <c r="BB275" t="inlineStr">
        <is>
          <t>9780520069022</t>
        </is>
      </c>
      <c r="BC275" t="inlineStr">
        <is>
          <t>32285000041078</t>
        </is>
      </c>
      <c r="BD275" t="inlineStr">
        <is>
          <t>893420492</t>
        </is>
      </c>
    </row>
    <row r="276">
      <c r="A276" t="inlineStr">
        <is>
          <t>No</t>
        </is>
      </c>
      <c r="B276" t="inlineStr">
        <is>
          <t>DS119.7 .M443 1989</t>
        </is>
      </c>
      <c r="C276" t="inlineStr">
        <is>
          <t>0                      DS 0119700M  443         1989</t>
        </is>
      </c>
      <c r="D276" t="inlineStr">
        <is>
          <t>A compassionate peace : a future for Israel, Palestine, and the Middle East / Everett Mendelsohn.</t>
        </is>
      </c>
      <c r="F276" t="inlineStr">
        <is>
          <t>No</t>
        </is>
      </c>
      <c r="G276" t="inlineStr">
        <is>
          <t>1</t>
        </is>
      </c>
      <c r="H276" t="inlineStr">
        <is>
          <t>No</t>
        </is>
      </c>
      <c r="I276" t="inlineStr">
        <is>
          <t>Yes</t>
        </is>
      </c>
      <c r="J276" t="inlineStr">
        <is>
          <t>0</t>
        </is>
      </c>
      <c r="K276" t="inlineStr">
        <is>
          <t>Mendelsohn, Everett.</t>
        </is>
      </c>
      <c r="L276" t="inlineStr">
        <is>
          <t>New York : Hill and Wang, c1989.</t>
        </is>
      </c>
      <c r="M276" t="inlineStr">
        <is>
          <t>1989</t>
        </is>
      </c>
      <c r="N276" t="inlineStr">
        <is>
          <t>Rev. ed.</t>
        </is>
      </c>
      <c r="O276" t="inlineStr">
        <is>
          <t>eng</t>
        </is>
      </c>
      <c r="P276" t="inlineStr">
        <is>
          <t>nyu</t>
        </is>
      </c>
      <c r="R276" t="inlineStr">
        <is>
          <t xml:space="preserve">DS </t>
        </is>
      </c>
      <c r="S276" t="n">
        <v>1</v>
      </c>
      <c r="T276" t="n">
        <v>1</v>
      </c>
      <c r="U276" t="inlineStr">
        <is>
          <t>1993-02-10</t>
        </is>
      </c>
      <c r="V276" t="inlineStr">
        <is>
          <t>1993-02-10</t>
        </is>
      </c>
      <c r="W276" t="inlineStr">
        <is>
          <t>1991-03-11</t>
        </is>
      </c>
      <c r="X276" t="inlineStr">
        <is>
          <t>1991-03-11</t>
        </is>
      </c>
      <c r="Y276" t="n">
        <v>354</v>
      </c>
      <c r="Z276" t="n">
        <v>324</v>
      </c>
      <c r="AA276" t="n">
        <v>868</v>
      </c>
      <c r="AB276" t="n">
        <v>4</v>
      </c>
      <c r="AC276" t="n">
        <v>4</v>
      </c>
      <c r="AD276" t="n">
        <v>12</v>
      </c>
      <c r="AE276" t="n">
        <v>29</v>
      </c>
      <c r="AF276" t="n">
        <v>1</v>
      </c>
      <c r="AG276" t="n">
        <v>10</v>
      </c>
      <c r="AH276" t="n">
        <v>3</v>
      </c>
      <c r="AI276" t="n">
        <v>7</v>
      </c>
      <c r="AJ276" t="n">
        <v>6</v>
      </c>
      <c r="AK276" t="n">
        <v>15</v>
      </c>
      <c r="AL276" t="n">
        <v>3</v>
      </c>
      <c r="AM276" t="n">
        <v>3</v>
      </c>
      <c r="AN276" t="n">
        <v>1</v>
      </c>
      <c r="AO276" t="n">
        <v>1</v>
      </c>
      <c r="AP276" t="inlineStr">
        <is>
          <t>No</t>
        </is>
      </c>
      <c r="AQ276" t="inlineStr">
        <is>
          <t>No</t>
        </is>
      </c>
      <c r="AS276">
        <f>HYPERLINK("https://creighton-primo.hosted.exlibrisgroup.com/primo-explore/search?tab=default_tab&amp;search_scope=EVERYTHING&amp;vid=01CRU&amp;lang=en_US&amp;offset=0&amp;query=any,contains,991001468459702656","Catalog Record")</f>
        <v/>
      </c>
      <c r="AT276">
        <f>HYPERLINK("http://www.worldcat.org/oclc/19517274","WorldCat Record")</f>
        <v/>
      </c>
      <c r="AU276" t="inlineStr">
        <is>
          <t>2564801357:eng</t>
        </is>
      </c>
      <c r="AV276" t="inlineStr">
        <is>
          <t>19517274</t>
        </is>
      </c>
      <c r="AW276" t="inlineStr">
        <is>
          <t>991001468459702656</t>
        </is>
      </c>
      <c r="AX276" t="inlineStr">
        <is>
          <t>991001468459702656</t>
        </is>
      </c>
      <c r="AY276" t="inlineStr">
        <is>
          <t>2262182720002656</t>
        </is>
      </c>
      <c r="AZ276" t="inlineStr">
        <is>
          <t>BOOK</t>
        </is>
      </c>
      <c r="BB276" t="inlineStr">
        <is>
          <t>9780809035762</t>
        </is>
      </c>
      <c r="BC276" t="inlineStr">
        <is>
          <t>32285000494145</t>
        </is>
      </c>
      <c r="BD276" t="inlineStr">
        <is>
          <t>893778824</t>
        </is>
      </c>
    </row>
    <row r="277">
      <c r="A277" t="inlineStr">
        <is>
          <t>No</t>
        </is>
      </c>
      <c r="B277" t="inlineStr">
        <is>
          <t>DS119.7 .M4717</t>
        </is>
      </c>
      <c r="C277" t="inlineStr">
        <is>
          <t>0                      DS 0119700M  4717</t>
        </is>
      </c>
      <c r="D277" t="inlineStr">
        <is>
          <t>The Middle East, 1914-1979 / [compiled by] T. G. Fraser.</t>
        </is>
      </c>
      <c r="F277" t="inlineStr">
        <is>
          <t>No</t>
        </is>
      </c>
      <c r="G277" t="inlineStr">
        <is>
          <t>1</t>
        </is>
      </c>
      <c r="H277" t="inlineStr">
        <is>
          <t>No</t>
        </is>
      </c>
      <c r="I277" t="inlineStr">
        <is>
          <t>No</t>
        </is>
      </c>
      <c r="J277" t="inlineStr">
        <is>
          <t>0</t>
        </is>
      </c>
      <c r="L277" t="inlineStr">
        <is>
          <t>New York : St. Martin's Press, 1980.</t>
        </is>
      </c>
      <c r="M277" t="inlineStr">
        <is>
          <t>1980</t>
        </is>
      </c>
      <c r="O277" t="inlineStr">
        <is>
          <t>eng</t>
        </is>
      </c>
      <c r="P277" t="inlineStr">
        <is>
          <t>nyu</t>
        </is>
      </c>
      <c r="R277" t="inlineStr">
        <is>
          <t xml:space="preserve">DS </t>
        </is>
      </c>
      <c r="S277" t="n">
        <v>6</v>
      </c>
      <c r="T277" t="n">
        <v>6</v>
      </c>
      <c r="U277" t="inlineStr">
        <is>
          <t>2003-05-02</t>
        </is>
      </c>
      <c r="V277" t="inlineStr">
        <is>
          <t>2003-05-02</t>
        </is>
      </c>
      <c r="W277" t="inlineStr">
        <is>
          <t>1990-06-18</t>
        </is>
      </c>
      <c r="X277" t="inlineStr">
        <is>
          <t>1990-06-18</t>
        </is>
      </c>
      <c r="Y277" t="n">
        <v>432</v>
      </c>
      <c r="Z277" t="n">
        <v>392</v>
      </c>
      <c r="AA277" t="n">
        <v>431</v>
      </c>
      <c r="AB277" t="n">
        <v>4</v>
      </c>
      <c r="AC277" t="n">
        <v>4</v>
      </c>
      <c r="AD277" t="n">
        <v>17</v>
      </c>
      <c r="AE277" t="n">
        <v>20</v>
      </c>
      <c r="AF277" t="n">
        <v>7</v>
      </c>
      <c r="AG277" t="n">
        <v>8</v>
      </c>
      <c r="AH277" t="n">
        <v>5</v>
      </c>
      <c r="AI277" t="n">
        <v>5</v>
      </c>
      <c r="AJ277" t="n">
        <v>6</v>
      </c>
      <c r="AK277" t="n">
        <v>9</v>
      </c>
      <c r="AL277" t="n">
        <v>3</v>
      </c>
      <c r="AM277" t="n">
        <v>3</v>
      </c>
      <c r="AN277" t="n">
        <v>0</v>
      </c>
      <c r="AO277" t="n">
        <v>0</v>
      </c>
      <c r="AP277" t="inlineStr">
        <is>
          <t>No</t>
        </is>
      </c>
      <c r="AQ277" t="inlineStr">
        <is>
          <t>No</t>
        </is>
      </c>
      <c r="AS277">
        <f>HYPERLINK("https://creighton-primo.hosted.exlibrisgroup.com/primo-explore/search?tab=default_tab&amp;search_scope=EVERYTHING&amp;vid=01CRU&amp;lang=en_US&amp;offset=0&amp;query=any,contains,991005020199702656","Catalog Record")</f>
        <v/>
      </c>
      <c r="AT277">
        <f>HYPERLINK("http://www.worldcat.org/oclc/6648923","WorldCat Record")</f>
        <v/>
      </c>
      <c r="AU277" t="inlineStr">
        <is>
          <t>54400210:eng</t>
        </is>
      </c>
      <c r="AV277" t="inlineStr">
        <is>
          <t>6648923</t>
        </is>
      </c>
      <c r="AW277" t="inlineStr">
        <is>
          <t>991005020199702656</t>
        </is>
      </c>
      <c r="AX277" t="inlineStr">
        <is>
          <t>991005020199702656</t>
        </is>
      </c>
      <c r="AY277" t="inlineStr">
        <is>
          <t>2268399430002656</t>
        </is>
      </c>
      <c r="AZ277" t="inlineStr">
        <is>
          <t>BOOK</t>
        </is>
      </c>
      <c r="BB277" t="inlineStr">
        <is>
          <t>9780312531812</t>
        </is>
      </c>
      <c r="BC277" t="inlineStr">
        <is>
          <t>32285000198274</t>
        </is>
      </c>
      <c r="BD277" t="inlineStr">
        <is>
          <t>893319897</t>
        </is>
      </c>
    </row>
    <row r="278">
      <c r="A278" t="inlineStr">
        <is>
          <t>No</t>
        </is>
      </c>
      <c r="B278" t="inlineStr">
        <is>
          <t>DS119.7 .M47178 1986</t>
        </is>
      </c>
      <c r="C278" t="inlineStr">
        <is>
          <t>0                      DS 0119700M  47178       1986</t>
        </is>
      </c>
      <c r="D278" t="inlineStr">
        <is>
          <t>Middle East peace plans / edited by Willard A. Beling.</t>
        </is>
      </c>
      <c r="F278" t="inlineStr">
        <is>
          <t>No</t>
        </is>
      </c>
      <c r="G278" t="inlineStr">
        <is>
          <t>1</t>
        </is>
      </c>
      <c r="H278" t="inlineStr">
        <is>
          <t>No</t>
        </is>
      </c>
      <c r="I278" t="inlineStr">
        <is>
          <t>No</t>
        </is>
      </c>
      <c r="J278" t="inlineStr">
        <is>
          <t>0</t>
        </is>
      </c>
      <c r="L278" t="inlineStr">
        <is>
          <t>New York, NY : St. Martin's Press, 1986.</t>
        </is>
      </c>
      <c r="M278" t="inlineStr">
        <is>
          <t>1986</t>
        </is>
      </c>
      <c r="O278" t="inlineStr">
        <is>
          <t>eng</t>
        </is>
      </c>
      <c r="P278" t="inlineStr">
        <is>
          <t>nyu</t>
        </is>
      </c>
      <c r="R278" t="inlineStr">
        <is>
          <t xml:space="preserve">DS </t>
        </is>
      </c>
      <c r="S278" t="n">
        <v>4</v>
      </c>
      <c r="T278" t="n">
        <v>4</v>
      </c>
      <c r="U278" t="inlineStr">
        <is>
          <t>2004-06-23</t>
        </is>
      </c>
      <c r="V278" t="inlineStr">
        <is>
          <t>2004-06-23</t>
        </is>
      </c>
      <c r="W278" t="inlineStr">
        <is>
          <t>1990-05-01</t>
        </is>
      </c>
      <c r="X278" t="inlineStr">
        <is>
          <t>1990-05-01</t>
        </is>
      </c>
      <c r="Y278" t="n">
        <v>346</v>
      </c>
      <c r="Z278" t="n">
        <v>322</v>
      </c>
      <c r="AA278" t="n">
        <v>390</v>
      </c>
      <c r="AB278" t="n">
        <v>4</v>
      </c>
      <c r="AC278" t="n">
        <v>4</v>
      </c>
      <c r="AD278" t="n">
        <v>19</v>
      </c>
      <c r="AE278" t="n">
        <v>19</v>
      </c>
      <c r="AF278" t="n">
        <v>7</v>
      </c>
      <c r="AG278" t="n">
        <v>7</v>
      </c>
      <c r="AH278" t="n">
        <v>6</v>
      </c>
      <c r="AI278" t="n">
        <v>6</v>
      </c>
      <c r="AJ278" t="n">
        <v>9</v>
      </c>
      <c r="AK278" t="n">
        <v>9</v>
      </c>
      <c r="AL278" t="n">
        <v>3</v>
      </c>
      <c r="AM278" t="n">
        <v>3</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HYPERLINK("https://creighton-primo.hosted.exlibrisgroup.com/primo-explore/search?tab=default_tab&amp;search_scope=EVERYTHING&amp;vid=01CRU&amp;lang=en_US&amp;offset=0&amp;query=any,contains,991000770629702656","Catalog Record")</f>
        <v/>
      </c>
      <c r="AT278">
        <f>HYPERLINK("http://www.worldcat.org/oclc/13010901","WorldCat Record")</f>
        <v/>
      </c>
      <c r="AU278" t="inlineStr">
        <is>
          <t>54781953:eng</t>
        </is>
      </c>
      <c r="AV278" t="inlineStr">
        <is>
          <t>13010901</t>
        </is>
      </c>
      <c r="AW278" t="inlineStr">
        <is>
          <t>991000770629702656</t>
        </is>
      </c>
      <c r="AX278" t="inlineStr">
        <is>
          <t>991000770629702656</t>
        </is>
      </c>
      <c r="AY278" t="inlineStr">
        <is>
          <t>2258231840002656</t>
        </is>
      </c>
      <c r="AZ278" t="inlineStr">
        <is>
          <t>BOOK</t>
        </is>
      </c>
      <c r="BB278" t="inlineStr">
        <is>
          <t>9780312531935</t>
        </is>
      </c>
      <c r="BC278" t="inlineStr">
        <is>
          <t>32285000129998</t>
        </is>
      </c>
      <c r="BD278" t="inlineStr">
        <is>
          <t>893620773</t>
        </is>
      </c>
    </row>
    <row r="279">
      <c r="A279" t="inlineStr">
        <is>
          <t>No</t>
        </is>
      </c>
      <c r="B279" t="inlineStr">
        <is>
          <t>DS119.7 .M473 1988</t>
        </is>
      </c>
      <c r="C279" t="inlineStr">
        <is>
          <t>0                      DS 0119700M  473         1988</t>
        </is>
      </c>
      <c r="D279" t="inlineStr">
        <is>
          <t>The Middle East : ten years after Camp David / William B. Quandt, editor.</t>
        </is>
      </c>
      <c r="F279" t="inlineStr">
        <is>
          <t>No</t>
        </is>
      </c>
      <c r="G279" t="inlineStr">
        <is>
          <t>1</t>
        </is>
      </c>
      <c r="H279" t="inlineStr">
        <is>
          <t>No</t>
        </is>
      </c>
      <c r="I279" t="inlineStr">
        <is>
          <t>No</t>
        </is>
      </c>
      <c r="J279" t="inlineStr">
        <is>
          <t>0</t>
        </is>
      </c>
      <c r="L279" t="inlineStr">
        <is>
          <t>Washington, D.C. : Brookings Institution, c1988.</t>
        </is>
      </c>
      <c r="M279" t="inlineStr">
        <is>
          <t>1988</t>
        </is>
      </c>
      <c r="O279" t="inlineStr">
        <is>
          <t>eng</t>
        </is>
      </c>
      <c r="P279" t="inlineStr">
        <is>
          <t>dcu</t>
        </is>
      </c>
      <c r="R279" t="inlineStr">
        <is>
          <t xml:space="preserve">DS </t>
        </is>
      </c>
      <c r="S279" t="n">
        <v>1</v>
      </c>
      <c r="T279" t="n">
        <v>1</v>
      </c>
      <c r="U279" t="inlineStr">
        <is>
          <t>1993-04-05</t>
        </is>
      </c>
      <c r="V279" t="inlineStr">
        <is>
          <t>1993-04-05</t>
        </is>
      </c>
      <c r="W279" t="inlineStr">
        <is>
          <t>1990-05-17</t>
        </is>
      </c>
      <c r="X279" t="inlineStr">
        <is>
          <t>1990-05-17</t>
        </is>
      </c>
      <c r="Y279" t="n">
        <v>785</v>
      </c>
      <c r="Z279" t="n">
        <v>650</v>
      </c>
      <c r="AA279" t="n">
        <v>651</v>
      </c>
      <c r="AB279" t="n">
        <v>4</v>
      </c>
      <c r="AC279" t="n">
        <v>4</v>
      </c>
      <c r="AD279" t="n">
        <v>27</v>
      </c>
      <c r="AE279" t="n">
        <v>27</v>
      </c>
      <c r="AF279" t="n">
        <v>9</v>
      </c>
      <c r="AG279" t="n">
        <v>9</v>
      </c>
      <c r="AH279" t="n">
        <v>7</v>
      </c>
      <c r="AI279" t="n">
        <v>7</v>
      </c>
      <c r="AJ279" t="n">
        <v>13</v>
      </c>
      <c r="AK279" t="n">
        <v>13</v>
      </c>
      <c r="AL279" t="n">
        <v>3</v>
      </c>
      <c r="AM279" t="n">
        <v>3</v>
      </c>
      <c r="AN279" t="n">
        <v>2</v>
      </c>
      <c r="AO279" t="n">
        <v>2</v>
      </c>
      <c r="AP279" t="inlineStr">
        <is>
          <t>No</t>
        </is>
      </c>
      <c r="AQ279" t="inlineStr">
        <is>
          <t>Yes</t>
        </is>
      </c>
      <c r="AR279">
        <f>HYPERLINK("http://catalog.hathitrust.org/Record/002512462","HathiTrust Record")</f>
        <v/>
      </c>
      <c r="AS279">
        <f>HYPERLINK("https://creighton-primo.hosted.exlibrisgroup.com/primo-explore/search?tab=default_tab&amp;search_scope=EVERYTHING&amp;vid=01CRU&amp;lang=en_US&amp;offset=0&amp;query=any,contains,991001338889702656","Catalog Record")</f>
        <v/>
      </c>
      <c r="AT279">
        <f>HYPERLINK("http://www.worldcat.org/oclc/18379326","WorldCat Record")</f>
        <v/>
      </c>
      <c r="AU279" t="inlineStr">
        <is>
          <t>890489578:eng</t>
        </is>
      </c>
      <c r="AV279" t="inlineStr">
        <is>
          <t>18379326</t>
        </is>
      </c>
      <c r="AW279" t="inlineStr">
        <is>
          <t>991001338889702656</t>
        </is>
      </c>
      <c r="AX279" t="inlineStr">
        <is>
          <t>991001338889702656</t>
        </is>
      </c>
      <c r="AY279" t="inlineStr">
        <is>
          <t>2269708740002656</t>
        </is>
      </c>
      <c r="AZ279" t="inlineStr">
        <is>
          <t>BOOK</t>
        </is>
      </c>
      <c r="BB279" t="inlineStr">
        <is>
          <t>9780815772934</t>
        </is>
      </c>
      <c r="BC279" t="inlineStr">
        <is>
          <t>32285000152438</t>
        </is>
      </c>
      <c r="BD279" t="inlineStr">
        <is>
          <t>893797498</t>
        </is>
      </c>
    </row>
    <row r="280">
      <c r="A280" t="inlineStr">
        <is>
          <t>No</t>
        </is>
      </c>
      <c r="B280" t="inlineStr">
        <is>
          <t>DS119.7 .M494 1986</t>
        </is>
      </c>
      <c r="C280" t="inlineStr">
        <is>
          <t>0                      DS 0119700M  494         1986</t>
        </is>
      </c>
      <c r="D280" t="inlineStr">
        <is>
          <t>The Arab states and the Palestine question : between ideology and self-interest / Aaron David Miller ; foreword by Alfred A. Atherton.</t>
        </is>
      </c>
      <c r="F280" t="inlineStr">
        <is>
          <t>No</t>
        </is>
      </c>
      <c r="G280" t="inlineStr">
        <is>
          <t>1</t>
        </is>
      </c>
      <c r="H280" t="inlineStr">
        <is>
          <t>No</t>
        </is>
      </c>
      <c r="I280" t="inlineStr">
        <is>
          <t>No</t>
        </is>
      </c>
      <c r="J280" t="inlineStr">
        <is>
          <t>0</t>
        </is>
      </c>
      <c r="K280" t="inlineStr">
        <is>
          <t>Miller, Aaron David.</t>
        </is>
      </c>
      <c r="L280" t="inlineStr">
        <is>
          <t>New York : Praeger Published with the Center for Strategic and International Studies, Georgetown University, Washington, D.C., c1986.</t>
        </is>
      </c>
      <c r="M280" t="inlineStr">
        <is>
          <t>1986</t>
        </is>
      </c>
      <c r="O280" t="inlineStr">
        <is>
          <t>eng</t>
        </is>
      </c>
      <c r="P280" t="inlineStr">
        <is>
          <t>nyu</t>
        </is>
      </c>
      <c r="Q280" t="inlineStr">
        <is>
          <t>The Washington papers ; 120</t>
        </is>
      </c>
      <c r="R280" t="inlineStr">
        <is>
          <t xml:space="preserve">DS </t>
        </is>
      </c>
      <c r="S280" t="n">
        <v>4</v>
      </c>
      <c r="T280" t="n">
        <v>4</v>
      </c>
      <c r="U280" t="inlineStr">
        <is>
          <t>1992-11-29</t>
        </is>
      </c>
      <c r="V280" t="inlineStr">
        <is>
          <t>1992-11-29</t>
        </is>
      </c>
      <c r="W280" t="inlineStr">
        <is>
          <t>1990-05-24</t>
        </is>
      </c>
      <c r="X280" t="inlineStr">
        <is>
          <t>1990-05-24</t>
        </is>
      </c>
      <c r="Y280" t="n">
        <v>445</v>
      </c>
      <c r="Z280" t="n">
        <v>352</v>
      </c>
      <c r="AA280" t="n">
        <v>354</v>
      </c>
      <c r="AB280" t="n">
        <v>4</v>
      </c>
      <c r="AC280" t="n">
        <v>4</v>
      </c>
      <c r="AD280" t="n">
        <v>20</v>
      </c>
      <c r="AE280" t="n">
        <v>20</v>
      </c>
      <c r="AF280" t="n">
        <v>6</v>
      </c>
      <c r="AG280" t="n">
        <v>6</v>
      </c>
      <c r="AH280" t="n">
        <v>6</v>
      </c>
      <c r="AI280" t="n">
        <v>6</v>
      </c>
      <c r="AJ280" t="n">
        <v>8</v>
      </c>
      <c r="AK280" t="n">
        <v>8</v>
      </c>
      <c r="AL280" t="n">
        <v>3</v>
      </c>
      <c r="AM280" t="n">
        <v>3</v>
      </c>
      <c r="AN280" t="n">
        <v>1</v>
      </c>
      <c r="AO280" t="n">
        <v>1</v>
      </c>
      <c r="AP280" t="inlineStr">
        <is>
          <t>No</t>
        </is>
      </c>
      <c r="AQ280" t="inlineStr">
        <is>
          <t>Yes</t>
        </is>
      </c>
      <c r="AR280">
        <f>HYPERLINK("http://catalog.hathitrust.org/Record/000828487","HathiTrust Record")</f>
        <v/>
      </c>
      <c r="AS280">
        <f>HYPERLINK("https://creighton-primo.hosted.exlibrisgroup.com/primo-explore/search?tab=default_tab&amp;search_scope=EVERYTHING&amp;vid=01CRU&amp;lang=en_US&amp;offset=0&amp;query=any,contains,991000774649702656","Catalog Record")</f>
        <v/>
      </c>
      <c r="AT280">
        <f>HYPERLINK("http://www.worldcat.org/oclc/13063006","WorldCat Record")</f>
        <v/>
      </c>
      <c r="AU280" t="inlineStr">
        <is>
          <t>890310954:eng</t>
        </is>
      </c>
      <c r="AV280" t="inlineStr">
        <is>
          <t>13063006</t>
        </is>
      </c>
      <c r="AW280" t="inlineStr">
        <is>
          <t>991000774649702656</t>
        </is>
      </c>
      <c r="AX280" t="inlineStr">
        <is>
          <t>991000774649702656</t>
        </is>
      </c>
      <c r="AY280" t="inlineStr">
        <is>
          <t>2257169660002656</t>
        </is>
      </c>
      <c r="AZ280" t="inlineStr">
        <is>
          <t>BOOK</t>
        </is>
      </c>
      <c r="BB280" t="inlineStr">
        <is>
          <t>9780030091049</t>
        </is>
      </c>
      <c r="BC280" t="inlineStr">
        <is>
          <t>32285000165729</t>
        </is>
      </c>
      <c r="BD280" t="inlineStr">
        <is>
          <t>893778221</t>
        </is>
      </c>
    </row>
    <row r="281">
      <c r="A281" t="inlineStr">
        <is>
          <t>No</t>
        </is>
      </c>
      <c r="B281" t="inlineStr">
        <is>
          <t>DS119.7 .N2928 1991</t>
        </is>
      </c>
      <c r="C281" t="inlineStr">
        <is>
          <t>0                      DS 0119700N  2928        1991</t>
        </is>
      </c>
      <c r="D281" t="inlineStr">
        <is>
          <t>Encyclopedia of the Palestine problem / Issa Nakhleh.</t>
        </is>
      </c>
      <c r="E281" t="inlineStr">
        <is>
          <t>V.1</t>
        </is>
      </c>
      <c r="F281" t="inlineStr">
        <is>
          <t>Yes</t>
        </is>
      </c>
      <c r="G281" t="inlineStr">
        <is>
          <t>1</t>
        </is>
      </c>
      <c r="H281" t="inlineStr">
        <is>
          <t>No</t>
        </is>
      </c>
      <c r="I281" t="inlineStr">
        <is>
          <t>No</t>
        </is>
      </c>
      <c r="J281" t="inlineStr">
        <is>
          <t>0</t>
        </is>
      </c>
      <c r="K281" t="inlineStr">
        <is>
          <t>Nakhleh, Issa.</t>
        </is>
      </c>
      <c r="L281" t="inlineStr">
        <is>
          <t>New York, N.Y. : Intercontinental Books, c1991.</t>
        </is>
      </c>
      <c r="M281" t="inlineStr">
        <is>
          <t>1991</t>
        </is>
      </c>
      <c r="O281" t="inlineStr">
        <is>
          <t>eng</t>
        </is>
      </c>
      <c r="P281" t="inlineStr">
        <is>
          <t>nyu</t>
        </is>
      </c>
      <c r="R281" t="inlineStr">
        <is>
          <t xml:space="preserve">DS </t>
        </is>
      </c>
      <c r="S281" t="n">
        <v>11</v>
      </c>
      <c r="T281" t="n">
        <v>21</v>
      </c>
      <c r="U281" t="inlineStr">
        <is>
          <t>2002-09-03</t>
        </is>
      </c>
      <c r="V281" t="inlineStr">
        <is>
          <t>2002-09-03</t>
        </is>
      </c>
      <c r="W281" t="inlineStr">
        <is>
          <t>1993-05-19</t>
        </is>
      </c>
      <c r="X281" t="inlineStr">
        <is>
          <t>1993-05-19</t>
        </is>
      </c>
      <c r="Y281" t="n">
        <v>664</v>
      </c>
      <c r="Z281" t="n">
        <v>611</v>
      </c>
      <c r="AA281" t="n">
        <v>617</v>
      </c>
      <c r="AB281" t="n">
        <v>10</v>
      </c>
      <c r="AC281" t="n">
        <v>10</v>
      </c>
      <c r="AD281" t="n">
        <v>32</v>
      </c>
      <c r="AE281" t="n">
        <v>33</v>
      </c>
      <c r="AF281" t="n">
        <v>11</v>
      </c>
      <c r="AG281" t="n">
        <v>12</v>
      </c>
      <c r="AH281" t="n">
        <v>6</v>
      </c>
      <c r="AI281" t="n">
        <v>6</v>
      </c>
      <c r="AJ281" t="n">
        <v>12</v>
      </c>
      <c r="AK281" t="n">
        <v>13</v>
      </c>
      <c r="AL281" t="n">
        <v>7</v>
      </c>
      <c r="AM281" t="n">
        <v>7</v>
      </c>
      <c r="AN281" t="n">
        <v>1</v>
      </c>
      <c r="AO281" t="n">
        <v>1</v>
      </c>
      <c r="AP281" t="inlineStr">
        <is>
          <t>No</t>
        </is>
      </c>
      <c r="AQ281" t="inlineStr">
        <is>
          <t>No</t>
        </is>
      </c>
      <c r="AS281">
        <f>HYPERLINK("https://creighton-primo.hosted.exlibrisgroup.com/primo-explore/search?tab=default_tab&amp;search_scope=EVERYTHING&amp;vid=01CRU&amp;lang=en_US&amp;offset=0&amp;query=any,contains,991001927519702656","Catalog Record")</f>
        <v/>
      </c>
      <c r="AT281">
        <f>HYPERLINK("http://www.worldcat.org/oclc/24333443","WorldCat Record")</f>
        <v/>
      </c>
      <c r="AU281" t="inlineStr">
        <is>
          <t>26947197:eng</t>
        </is>
      </c>
      <c r="AV281" t="inlineStr">
        <is>
          <t>24333443</t>
        </is>
      </c>
      <c r="AW281" t="inlineStr">
        <is>
          <t>991001927519702656</t>
        </is>
      </c>
      <c r="AX281" t="inlineStr">
        <is>
          <t>991001927519702656</t>
        </is>
      </c>
      <c r="AY281" t="inlineStr">
        <is>
          <t>2271631430002656</t>
        </is>
      </c>
      <c r="AZ281" t="inlineStr">
        <is>
          <t>BOOK</t>
        </is>
      </c>
      <c r="BC281" t="inlineStr">
        <is>
          <t>32285001582286</t>
        </is>
      </c>
      <c r="BD281" t="inlineStr">
        <is>
          <t>893898192</t>
        </is>
      </c>
    </row>
    <row r="282">
      <c r="A282" t="inlineStr">
        <is>
          <t>No</t>
        </is>
      </c>
      <c r="B282" t="inlineStr">
        <is>
          <t>DS119.7 .N2928 1991</t>
        </is>
      </c>
      <c r="C282" t="inlineStr">
        <is>
          <t>0                      DS 0119700N  2928        1991</t>
        </is>
      </c>
      <c r="D282" t="inlineStr">
        <is>
          <t>Encyclopedia of the Palestine problem / Issa Nakhleh.</t>
        </is>
      </c>
      <c r="E282" t="inlineStr">
        <is>
          <t>V.2</t>
        </is>
      </c>
      <c r="F282" t="inlineStr">
        <is>
          <t>Yes</t>
        </is>
      </c>
      <c r="G282" t="inlineStr">
        <is>
          <t>1</t>
        </is>
      </c>
      <c r="H282" t="inlineStr">
        <is>
          <t>No</t>
        </is>
      </c>
      <c r="I282" t="inlineStr">
        <is>
          <t>No</t>
        </is>
      </c>
      <c r="J282" t="inlineStr">
        <is>
          <t>0</t>
        </is>
      </c>
      <c r="K282" t="inlineStr">
        <is>
          <t>Nakhleh, Issa.</t>
        </is>
      </c>
      <c r="L282" t="inlineStr">
        <is>
          <t>New York, N.Y. : Intercontinental Books, c1991.</t>
        </is>
      </c>
      <c r="M282" t="inlineStr">
        <is>
          <t>1991</t>
        </is>
      </c>
      <c r="O282" t="inlineStr">
        <is>
          <t>eng</t>
        </is>
      </c>
      <c r="P282" t="inlineStr">
        <is>
          <t>nyu</t>
        </is>
      </c>
      <c r="R282" t="inlineStr">
        <is>
          <t xml:space="preserve">DS </t>
        </is>
      </c>
      <c r="S282" t="n">
        <v>10</v>
      </c>
      <c r="T282" t="n">
        <v>21</v>
      </c>
      <c r="U282" t="inlineStr">
        <is>
          <t>2002-09-03</t>
        </is>
      </c>
      <c r="V282" t="inlineStr">
        <is>
          <t>2002-09-03</t>
        </is>
      </c>
      <c r="W282" t="inlineStr">
        <is>
          <t>1993-05-19</t>
        </is>
      </c>
      <c r="X282" t="inlineStr">
        <is>
          <t>1993-05-19</t>
        </is>
      </c>
      <c r="Y282" t="n">
        <v>664</v>
      </c>
      <c r="Z282" t="n">
        <v>611</v>
      </c>
      <c r="AA282" t="n">
        <v>617</v>
      </c>
      <c r="AB282" t="n">
        <v>10</v>
      </c>
      <c r="AC282" t="n">
        <v>10</v>
      </c>
      <c r="AD282" t="n">
        <v>32</v>
      </c>
      <c r="AE282" t="n">
        <v>33</v>
      </c>
      <c r="AF282" t="n">
        <v>11</v>
      </c>
      <c r="AG282" t="n">
        <v>12</v>
      </c>
      <c r="AH282" t="n">
        <v>6</v>
      </c>
      <c r="AI282" t="n">
        <v>6</v>
      </c>
      <c r="AJ282" t="n">
        <v>12</v>
      </c>
      <c r="AK282" t="n">
        <v>13</v>
      </c>
      <c r="AL282" t="n">
        <v>7</v>
      </c>
      <c r="AM282" t="n">
        <v>7</v>
      </c>
      <c r="AN282" t="n">
        <v>1</v>
      </c>
      <c r="AO282" t="n">
        <v>1</v>
      </c>
      <c r="AP282" t="inlineStr">
        <is>
          <t>No</t>
        </is>
      </c>
      <c r="AQ282" t="inlineStr">
        <is>
          <t>No</t>
        </is>
      </c>
      <c r="AS282">
        <f>HYPERLINK("https://creighton-primo.hosted.exlibrisgroup.com/primo-explore/search?tab=default_tab&amp;search_scope=EVERYTHING&amp;vid=01CRU&amp;lang=en_US&amp;offset=0&amp;query=any,contains,991001927519702656","Catalog Record")</f>
        <v/>
      </c>
      <c r="AT282">
        <f>HYPERLINK("http://www.worldcat.org/oclc/24333443","WorldCat Record")</f>
        <v/>
      </c>
      <c r="AU282" t="inlineStr">
        <is>
          <t>26947197:eng</t>
        </is>
      </c>
      <c r="AV282" t="inlineStr">
        <is>
          <t>24333443</t>
        </is>
      </c>
      <c r="AW282" t="inlineStr">
        <is>
          <t>991001927519702656</t>
        </is>
      </c>
      <c r="AX282" t="inlineStr">
        <is>
          <t>991001927519702656</t>
        </is>
      </c>
      <c r="AY282" t="inlineStr">
        <is>
          <t>2271631430002656</t>
        </is>
      </c>
      <c r="AZ282" t="inlineStr">
        <is>
          <t>BOOK</t>
        </is>
      </c>
      <c r="BC282" t="inlineStr">
        <is>
          <t>32285001582294</t>
        </is>
      </c>
      <c r="BD282" t="inlineStr">
        <is>
          <t>893885647</t>
        </is>
      </c>
    </row>
    <row r="283">
      <c r="A283" t="inlineStr">
        <is>
          <t>No</t>
        </is>
      </c>
      <c r="B283" t="inlineStr">
        <is>
          <t>DS119.7 .N346 1997</t>
        </is>
      </c>
      <c r="C283" t="inlineStr">
        <is>
          <t>0                      DS 0119700N  346         1997</t>
        </is>
      </c>
      <c r="D283" t="inlineStr">
        <is>
          <t>Arab and Israeli terrorism : the causes and effects of political violence, 1936-1993 / Kameel B. Nasr.</t>
        </is>
      </c>
      <c r="F283" t="inlineStr">
        <is>
          <t>No</t>
        </is>
      </c>
      <c r="G283" t="inlineStr">
        <is>
          <t>1</t>
        </is>
      </c>
      <c r="H283" t="inlineStr">
        <is>
          <t>No</t>
        </is>
      </c>
      <c r="I283" t="inlineStr">
        <is>
          <t>No</t>
        </is>
      </c>
      <c r="J283" t="inlineStr">
        <is>
          <t>0</t>
        </is>
      </c>
      <c r="K283" t="inlineStr">
        <is>
          <t>Nasr, Kameel B., 1949-</t>
        </is>
      </c>
      <c r="L283" t="inlineStr">
        <is>
          <t>Jefferson, N.C. : McFarland &amp; Co., c1997.</t>
        </is>
      </c>
      <c r="M283" t="inlineStr">
        <is>
          <t>1997</t>
        </is>
      </c>
      <c r="O283" t="inlineStr">
        <is>
          <t>eng</t>
        </is>
      </c>
      <c r="P283" t="inlineStr">
        <is>
          <t>ncu</t>
        </is>
      </c>
      <c r="R283" t="inlineStr">
        <is>
          <t xml:space="preserve">DS </t>
        </is>
      </c>
      <c r="S283" t="n">
        <v>12</v>
      </c>
      <c r="T283" t="n">
        <v>12</v>
      </c>
      <c r="U283" t="inlineStr">
        <is>
          <t>2008-03-28</t>
        </is>
      </c>
      <c r="V283" t="inlineStr">
        <is>
          <t>2008-03-28</t>
        </is>
      </c>
      <c r="W283" t="inlineStr">
        <is>
          <t>1997-03-04</t>
        </is>
      </c>
      <c r="X283" t="inlineStr">
        <is>
          <t>1997-03-04</t>
        </is>
      </c>
      <c r="Y283" t="n">
        <v>288</v>
      </c>
      <c r="Z283" t="n">
        <v>229</v>
      </c>
      <c r="AA283" t="n">
        <v>233</v>
      </c>
      <c r="AB283" t="n">
        <v>2</v>
      </c>
      <c r="AC283" t="n">
        <v>2</v>
      </c>
      <c r="AD283" t="n">
        <v>12</v>
      </c>
      <c r="AE283" t="n">
        <v>12</v>
      </c>
      <c r="AF283" t="n">
        <v>3</v>
      </c>
      <c r="AG283" t="n">
        <v>3</v>
      </c>
      <c r="AH283" t="n">
        <v>4</v>
      </c>
      <c r="AI283" t="n">
        <v>4</v>
      </c>
      <c r="AJ283" t="n">
        <v>7</v>
      </c>
      <c r="AK283" t="n">
        <v>7</v>
      </c>
      <c r="AL283" t="n">
        <v>1</v>
      </c>
      <c r="AM283" t="n">
        <v>1</v>
      </c>
      <c r="AN283" t="n">
        <v>1</v>
      </c>
      <c r="AO283" t="n">
        <v>1</v>
      </c>
      <c r="AP283" t="inlineStr">
        <is>
          <t>No</t>
        </is>
      </c>
      <c r="AQ283" t="inlineStr">
        <is>
          <t>Yes</t>
        </is>
      </c>
      <c r="AR283">
        <f>HYPERLINK("http://catalog.hathitrust.org/Record/003115982","HathiTrust Record")</f>
        <v/>
      </c>
      <c r="AS283">
        <f>HYPERLINK("https://creighton-primo.hosted.exlibrisgroup.com/primo-explore/search?tab=default_tab&amp;search_scope=EVERYTHING&amp;vid=01CRU&amp;lang=en_US&amp;offset=0&amp;query=any,contains,991002702779702656","Catalog Record")</f>
        <v/>
      </c>
      <c r="AT283">
        <f>HYPERLINK("http://www.worldcat.org/oclc/35285450","WorldCat Record")</f>
        <v/>
      </c>
      <c r="AU283" t="inlineStr">
        <is>
          <t>152199111:eng</t>
        </is>
      </c>
      <c r="AV283" t="inlineStr">
        <is>
          <t>35285450</t>
        </is>
      </c>
      <c r="AW283" t="inlineStr">
        <is>
          <t>991002702779702656</t>
        </is>
      </c>
      <c r="AX283" t="inlineStr">
        <is>
          <t>991002702779702656</t>
        </is>
      </c>
      <c r="AY283" t="inlineStr">
        <is>
          <t>2259299550002656</t>
        </is>
      </c>
      <c r="AZ283" t="inlineStr">
        <is>
          <t>BOOK</t>
        </is>
      </c>
      <c r="BB283" t="inlineStr">
        <is>
          <t>9780786402809</t>
        </is>
      </c>
      <c r="BC283" t="inlineStr">
        <is>
          <t>32285002434362</t>
        </is>
      </c>
      <c r="BD283" t="inlineStr">
        <is>
          <t>893873887</t>
        </is>
      </c>
    </row>
    <row r="284">
      <c r="A284" t="inlineStr">
        <is>
          <t>No</t>
        </is>
      </c>
      <c r="B284" t="inlineStr">
        <is>
          <t>DS119.7 .O88 1980</t>
        </is>
      </c>
      <c r="C284" t="inlineStr">
        <is>
          <t>0                      DS 0119700O  88          1980</t>
        </is>
      </c>
      <c r="D284" t="inlineStr">
        <is>
          <t>Palestine in perspective : politics, human rights &amp; the West Bank / David H. Ott.</t>
        </is>
      </c>
      <c r="F284" t="inlineStr">
        <is>
          <t>No</t>
        </is>
      </c>
      <c r="G284" t="inlineStr">
        <is>
          <t>1</t>
        </is>
      </c>
      <c r="H284" t="inlineStr">
        <is>
          <t>No</t>
        </is>
      </c>
      <c r="I284" t="inlineStr">
        <is>
          <t>No</t>
        </is>
      </c>
      <c r="J284" t="inlineStr">
        <is>
          <t>0</t>
        </is>
      </c>
      <c r="K284" t="inlineStr">
        <is>
          <t>Ott, David H.</t>
        </is>
      </c>
      <c r="L284" t="inlineStr">
        <is>
          <t>London ; New York : Quartet Books, c1980.</t>
        </is>
      </c>
      <c r="M284" t="inlineStr">
        <is>
          <t>1981</t>
        </is>
      </c>
      <c r="O284" t="inlineStr">
        <is>
          <t>eng</t>
        </is>
      </c>
      <c r="P284" t="inlineStr">
        <is>
          <t>enk</t>
        </is>
      </c>
      <c r="R284" t="inlineStr">
        <is>
          <t xml:space="preserve">DS </t>
        </is>
      </c>
      <c r="S284" t="n">
        <v>1</v>
      </c>
      <c r="T284" t="n">
        <v>1</v>
      </c>
      <c r="U284" t="inlineStr">
        <is>
          <t>2010-04-20</t>
        </is>
      </c>
      <c r="V284" t="inlineStr">
        <is>
          <t>2010-04-20</t>
        </is>
      </c>
      <c r="W284" t="inlineStr">
        <is>
          <t>1990-10-01</t>
        </is>
      </c>
      <c r="X284" t="inlineStr">
        <is>
          <t>1990-10-01</t>
        </is>
      </c>
      <c r="Y284" t="n">
        <v>296</v>
      </c>
      <c r="Z284" t="n">
        <v>206</v>
      </c>
      <c r="AA284" t="n">
        <v>215</v>
      </c>
      <c r="AB284" t="n">
        <v>3</v>
      </c>
      <c r="AC284" t="n">
        <v>3</v>
      </c>
      <c r="AD284" t="n">
        <v>9</v>
      </c>
      <c r="AE284" t="n">
        <v>11</v>
      </c>
      <c r="AF284" t="n">
        <v>2</v>
      </c>
      <c r="AG284" t="n">
        <v>3</v>
      </c>
      <c r="AH284" t="n">
        <v>3</v>
      </c>
      <c r="AI284" t="n">
        <v>4</v>
      </c>
      <c r="AJ284" t="n">
        <v>3</v>
      </c>
      <c r="AK284" t="n">
        <v>5</v>
      </c>
      <c r="AL284" t="n">
        <v>2</v>
      </c>
      <c r="AM284" t="n">
        <v>2</v>
      </c>
      <c r="AN284" t="n">
        <v>0</v>
      </c>
      <c r="AO284" t="n">
        <v>0</v>
      </c>
      <c r="AP284" t="inlineStr">
        <is>
          <t>No</t>
        </is>
      </c>
      <c r="AQ284" t="inlineStr">
        <is>
          <t>Yes</t>
        </is>
      </c>
      <c r="AR284">
        <f>HYPERLINK("http://catalog.hathitrust.org/Record/000765946","HathiTrust Record")</f>
        <v/>
      </c>
      <c r="AS284">
        <f>HYPERLINK("https://creighton-primo.hosted.exlibrisgroup.com/primo-explore/search?tab=default_tab&amp;search_scope=EVERYTHING&amp;vid=01CRU&amp;lang=en_US&amp;offset=0&amp;query=any,contains,991005172469702656","Catalog Record")</f>
        <v/>
      </c>
      <c r="AT284">
        <f>HYPERLINK("http://www.worldcat.org/oclc/7305744","WorldCat Record")</f>
        <v/>
      </c>
      <c r="AU284" t="inlineStr">
        <is>
          <t>198355979:eng</t>
        </is>
      </c>
      <c r="AV284" t="inlineStr">
        <is>
          <t>7305744</t>
        </is>
      </c>
      <c r="AW284" t="inlineStr">
        <is>
          <t>991005172469702656</t>
        </is>
      </c>
      <c r="AX284" t="inlineStr">
        <is>
          <t>991005172469702656</t>
        </is>
      </c>
      <c r="AY284" t="inlineStr">
        <is>
          <t>2267905330002656</t>
        </is>
      </c>
      <c r="AZ284" t="inlineStr">
        <is>
          <t>BOOK</t>
        </is>
      </c>
      <c r="BB284" t="inlineStr">
        <is>
          <t>9780704322639</t>
        </is>
      </c>
      <c r="BC284" t="inlineStr">
        <is>
          <t>32285000293570</t>
        </is>
      </c>
      <c r="BD284" t="inlineStr">
        <is>
          <t>893332523</t>
        </is>
      </c>
    </row>
    <row r="285">
      <c r="A285" t="inlineStr">
        <is>
          <t>No</t>
        </is>
      </c>
      <c r="B285" t="inlineStr">
        <is>
          <t>DS119.7 .P352 1987</t>
        </is>
      </c>
      <c r="C285" t="inlineStr">
        <is>
          <t>0                      DS 0119700P  352         1987</t>
        </is>
      </c>
      <c r="D285" t="inlineStr">
        <is>
          <t>The Palestinians : a special report from American-Arab Affairs.</t>
        </is>
      </c>
      <c r="F285" t="inlineStr">
        <is>
          <t>No</t>
        </is>
      </c>
      <c r="G285" t="inlineStr">
        <is>
          <t>1</t>
        </is>
      </c>
      <c r="H285" t="inlineStr">
        <is>
          <t>No</t>
        </is>
      </c>
      <c r="I285" t="inlineStr">
        <is>
          <t>No</t>
        </is>
      </c>
      <c r="J285" t="inlineStr">
        <is>
          <t>0</t>
        </is>
      </c>
      <c r="L285" t="inlineStr">
        <is>
          <t>Washington, D.C. : The American-Arab Affairs Council, 1987.</t>
        </is>
      </c>
      <c r="M285" t="inlineStr">
        <is>
          <t>1987</t>
        </is>
      </c>
      <c r="O285" t="inlineStr">
        <is>
          <t>eng</t>
        </is>
      </c>
      <c r="P285" t="inlineStr">
        <is>
          <t>dcu</t>
        </is>
      </c>
      <c r="R285" t="inlineStr">
        <is>
          <t xml:space="preserve">DS </t>
        </is>
      </c>
      <c r="S285" t="n">
        <v>3</v>
      </c>
      <c r="T285" t="n">
        <v>3</v>
      </c>
      <c r="U285" t="inlineStr">
        <is>
          <t>2004-03-31</t>
        </is>
      </c>
      <c r="V285" t="inlineStr">
        <is>
          <t>2004-03-31</t>
        </is>
      </c>
      <c r="W285" t="inlineStr">
        <is>
          <t>1990-10-01</t>
        </is>
      </c>
      <c r="X285" t="inlineStr">
        <is>
          <t>1990-10-01</t>
        </is>
      </c>
      <c r="Y285" t="n">
        <v>29</v>
      </c>
      <c r="Z285" t="n">
        <v>27</v>
      </c>
      <c r="AA285" t="n">
        <v>35</v>
      </c>
      <c r="AB285" t="n">
        <v>1</v>
      </c>
      <c r="AC285" t="n">
        <v>1</v>
      </c>
      <c r="AD285" t="n">
        <v>3</v>
      </c>
      <c r="AE285" t="n">
        <v>4</v>
      </c>
      <c r="AF285" t="n">
        <v>0</v>
      </c>
      <c r="AG285" t="n">
        <v>0</v>
      </c>
      <c r="AH285" t="n">
        <v>2</v>
      </c>
      <c r="AI285" t="n">
        <v>2</v>
      </c>
      <c r="AJ285" t="n">
        <v>2</v>
      </c>
      <c r="AK285" t="n">
        <v>3</v>
      </c>
      <c r="AL285" t="n">
        <v>0</v>
      </c>
      <c r="AM285" t="n">
        <v>0</v>
      </c>
      <c r="AN285" t="n">
        <v>0</v>
      </c>
      <c r="AO285" t="n">
        <v>0</v>
      </c>
      <c r="AP285" t="inlineStr">
        <is>
          <t>No</t>
        </is>
      </c>
      <c r="AQ285" t="inlineStr">
        <is>
          <t>No</t>
        </is>
      </c>
      <c r="AS285">
        <f>HYPERLINK("https://creighton-primo.hosted.exlibrisgroup.com/primo-explore/search?tab=default_tab&amp;search_scope=EVERYTHING&amp;vid=01CRU&amp;lang=en_US&amp;offset=0&amp;query=any,contains,991001216049702656","Catalog Record")</f>
        <v/>
      </c>
      <c r="AT285">
        <f>HYPERLINK("http://www.worldcat.org/oclc/17423901","WorldCat Record")</f>
        <v/>
      </c>
      <c r="AU285" t="inlineStr">
        <is>
          <t>55061475:eng</t>
        </is>
      </c>
      <c r="AV285" t="inlineStr">
        <is>
          <t>17423901</t>
        </is>
      </c>
      <c r="AW285" t="inlineStr">
        <is>
          <t>991001216049702656</t>
        </is>
      </c>
      <c r="AX285" t="inlineStr">
        <is>
          <t>991001216049702656</t>
        </is>
      </c>
      <c r="AY285" t="inlineStr">
        <is>
          <t>2268420840002656</t>
        </is>
      </c>
      <c r="AZ285" t="inlineStr">
        <is>
          <t>BOOK</t>
        </is>
      </c>
      <c r="BB285" t="inlineStr">
        <is>
          <t>9780943182056</t>
        </is>
      </c>
      <c r="BC285" t="inlineStr">
        <is>
          <t>32285000293588</t>
        </is>
      </c>
      <c r="BD285" t="inlineStr">
        <is>
          <t>893243957</t>
        </is>
      </c>
    </row>
    <row r="286">
      <c r="A286" t="inlineStr">
        <is>
          <t>No</t>
        </is>
      </c>
      <c r="B286" t="inlineStr">
        <is>
          <t>DS119.7 .P38 1985</t>
        </is>
      </c>
      <c r="C286" t="inlineStr">
        <is>
          <t>0                      DS 0119700P  38          1985</t>
        </is>
      </c>
      <c r="D286" t="inlineStr">
        <is>
          <t>Peace-making in the Middle East : problems and prospects / edited by Paul Marantz &amp; Janice Gross Stein.</t>
        </is>
      </c>
      <c r="F286" t="inlineStr">
        <is>
          <t>No</t>
        </is>
      </c>
      <c r="G286" t="inlineStr">
        <is>
          <t>1</t>
        </is>
      </c>
      <c r="H286" t="inlineStr">
        <is>
          <t>No</t>
        </is>
      </c>
      <c r="I286" t="inlineStr">
        <is>
          <t>No</t>
        </is>
      </c>
      <c r="J286" t="inlineStr">
        <is>
          <t>0</t>
        </is>
      </c>
      <c r="L286" t="inlineStr">
        <is>
          <t>Totowa, N.J. : Barnes &amp; Noble Books, 1985.</t>
        </is>
      </c>
      <c r="M286" t="inlineStr">
        <is>
          <t>1985</t>
        </is>
      </c>
      <c r="O286" t="inlineStr">
        <is>
          <t>eng</t>
        </is>
      </c>
      <c r="P286" t="inlineStr">
        <is>
          <t>nju</t>
        </is>
      </c>
      <c r="R286" t="inlineStr">
        <is>
          <t xml:space="preserve">DS </t>
        </is>
      </c>
      <c r="S286" t="n">
        <v>4</v>
      </c>
      <c r="T286" t="n">
        <v>4</v>
      </c>
      <c r="U286" t="inlineStr">
        <is>
          <t>2004-03-31</t>
        </is>
      </c>
      <c r="V286" t="inlineStr">
        <is>
          <t>2004-03-31</t>
        </is>
      </c>
      <c r="W286" t="inlineStr">
        <is>
          <t>1990-05-01</t>
        </is>
      </c>
      <c r="X286" t="inlineStr">
        <is>
          <t>1990-05-01</t>
        </is>
      </c>
      <c r="Y286" t="n">
        <v>380</v>
      </c>
      <c r="Z286" t="n">
        <v>358</v>
      </c>
      <c r="AA286" t="n">
        <v>475</v>
      </c>
      <c r="AB286" t="n">
        <v>4</v>
      </c>
      <c r="AC286" t="n">
        <v>5</v>
      </c>
      <c r="AD286" t="n">
        <v>17</v>
      </c>
      <c r="AE286" t="n">
        <v>22</v>
      </c>
      <c r="AF286" t="n">
        <v>6</v>
      </c>
      <c r="AG286" t="n">
        <v>8</v>
      </c>
      <c r="AH286" t="n">
        <v>4</v>
      </c>
      <c r="AI286" t="n">
        <v>4</v>
      </c>
      <c r="AJ286" t="n">
        <v>9</v>
      </c>
      <c r="AK286" t="n">
        <v>12</v>
      </c>
      <c r="AL286" t="n">
        <v>3</v>
      </c>
      <c r="AM286" t="n">
        <v>4</v>
      </c>
      <c r="AN286" t="n">
        <v>0</v>
      </c>
      <c r="AO286" t="n">
        <v>0</v>
      </c>
      <c r="AP286" t="inlineStr">
        <is>
          <t>No</t>
        </is>
      </c>
      <c r="AQ286" t="inlineStr">
        <is>
          <t>Yes</t>
        </is>
      </c>
      <c r="AR286">
        <f>HYPERLINK("http://catalog.hathitrust.org/Record/004409437","HathiTrust Record")</f>
        <v/>
      </c>
      <c r="AS286">
        <f>HYPERLINK("https://creighton-primo.hosted.exlibrisgroup.com/primo-explore/search?tab=default_tab&amp;search_scope=EVERYTHING&amp;vid=01CRU&amp;lang=en_US&amp;offset=0&amp;query=any,contains,991000516659702656","Catalog Record")</f>
        <v/>
      </c>
      <c r="AT286">
        <f>HYPERLINK("http://www.worldcat.org/oclc/11290801","WorldCat Record")</f>
        <v/>
      </c>
      <c r="AU286" t="inlineStr">
        <is>
          <t>836705974:eng</t>
        </is>
      </c>
      <c r="AV286" t="inlineStr">
        <is>
          <t>11290801</t>
        </is>
      </c>
      <c r="AW286" t="inlineStr">
        <is>
          <t>991000516659702656</t>
        </is>
      </c>
      <c r="AX286" t="inlineStr">
        <is>
          <t>991000516659702656</t>
        </is>
      </c>
      <c r="AY286" t="inlineStr">
        <is>
          <t>2264205030002656</t>
        </is>
      </c>
      <c r="AZ286" t="inlineStr">
        <is>
          <t>BOOK</t>
        </is>
      </c>
      <c r="BB286" t="inlineStr">
        <is>
          <t>9780389205432</t>
        </is>
      </c>
      <c r="BC286" t="inlineStr">
        <is>
          <t>32285000130004</t>
        </is>
      </c>
      <c r="BD286" t="inlineStr">
        <is>
          <t>893714657</t>
        </is>
      </c>
    </row>
    <row r="287">
      <c r="A287" t="inlineStr">
        <is>
          <t>No</t>
        </is>
      </c>
      <c r="B287" t="inlineStr">
        <is>
          <t>DS119.7 .P447 1993</t>
        </is>
      </c>
      <c r="C287" t="inlineStr">
        <is>
          <t>0                      DS 0119700P  447         1993</t>
        </is>
      </c>
      <c r="D287" t="inlineStr">
        <is>
          <t>The New Middle East / Shimon Peres with Arye Naor.</t>
        </is>
      </c>
      <c r="F287" t="inlineStr">
        <is>
          <t>No</t>
        </is>
      </c>
      <c r="G287" t="inlineStr">
        <is>
          <t>1</t>
        </is>
      </c>
      <c r="H287" t="inlineStr">
        <is>
          <t>No</t>
        </is>
      </c>
      <c r="I287" t="inlineStr">
        <is>
          <t>No</t>
        </is>
      </c>
      <c r="J287" t="inlineStr">
        <is>
          <t>0</t>
        </is>
      </c>
      <c r="K287" t="inlineStr">
        <is>
          <t>Peres, Shimon, 1923-</t>
        </is>
      </c>
      <c r="L287" t="inlineStr">
        <is>
          <t>New York : Henry Holt, 1993.</t>
        </is>
      </c>
      <c r="M287" t="inlineStr">
        <is>
          <t>1993</t>
        </is>
      </c>
      <c r="N287" t="inlineStr">
        <is>
          <t>1st ed.</t>
        </is>
      </c>
      <c r="O287" t="inlineStr">
        <is>
          <t>eng</t>
        </is>
      </c>
      <c r="P287" t="inlineStr">
        <is>
          <t>nyu</t>
        </is>
      </c>
      <c r="R287" t="inlineStr">
        <is>
          <t xml:space="preserve">DS </t>
        </is>
      </c>
      <c r="S287" t="n">
        <v>3</v>
      </c>
      <c r="T287" t="n">
        <v>3</v>
      </c>
      <c r="U287" t="inlineStr">
        <is>
          <t>2002-04-18</t>
        </is>
      </c>
      <c r="V287" t="inlineStr">
        <is>
          <t>2002-04-18</t>
        </is>
      </c>
      <c r="W287" t="inlineStr">
        <is>
          <t>1994-05-11</t>
        </is>
      </c>
      <c r="X287" t="inlineStr">
        <is>
          <t>1994-05-11</t>
        </is>
      </c>
      <c r="Y287" t="n">
        <v>1122</v>
      </c>
      <c r="Z287" t="n">
        <v>1040</v>
      </c>
      <c r="AA287" t="n">
        <v>1048</v>
      </c>
      <c r="AB287" t="n">
        <v>8</v>
      </c>
      <c r="AC287" t="n">
        <v>8</v>
      </c>
      <c r="AD287" t="n">
        <v>33</v>
      </c>
      <c r="AE287" t="n">
        <v>34</v>
      </c>
      <c r="AF287" t="n">
        <v>10</v>
      </c>
      <c r="AG287" t="n">
        <v>11</v>
      </c>
      <c r="AH287" t="n">
        <v>8</v>
      </c>
      <c r="AI287" t="n">
        <v>8</v>
      </c>
      <c r="AJ287" t="n">
        <v>14</v>
      </c>
      <c r="AK287" t="n">
        <v>15</v>
      </c>
      <c r="AL287" t="n">
        <v>6</v>
      </c>
      <c r="AM287" t="n">
        <v>6</v>
      </c>
      <c r="AN287" t="n">
        <v>1</v>
      </c>
      <c r="AO287" t="n">
        <v>1</v>
      </c>
      <c r="AP287" t="inlineStr">
        <is>
          <t>No</t>
        </is>
      </c>
      <c r="AQ287" t="inlineStr">
        <is>
          <t>No</t>
        </is>
      </c>
      <c r="AS287">
        <f>HYPERLINK("https://creighton-primo.hosted.exlibrisgroup.com/primo-explore/search?tab=default_tab&amp;search_scope=EVERYTHING&amp;vid=01CRU&amp;lang=en_US&amp;offset=0&amp;query=any,contains,991002257909702656","Catalog Record")</f>
        <v/>
      </c>
      <c r="AT287">
        <f>HYPERLINK("http://www.worldcat.org/oclc/29256687","WorldCat Record")</f>
        <v/>
      </c>
      <c r="AU287" t="inlineStr">
        <is>
          <t>9349247066:eng</t>
        </is>
      </c>
      <c r="AV287" t="inlineStr">
        <is>
          <t>29256687</t>
        </is>
      </c>
      <c r="AW287" t="inlineStr">
        <is>
          <t>991002257909702656</t>
        </is>
      </c>
      <c r="AX287" t="inlineStr">
        <is>
          <t>991002257909702656</t>
        </is>
      </c>
      <c r="AY287" t="inlineStr">
        <is>
          <t>2264780990002656</t>
        </is>
      </c>
      <c r="AZ287" t="inlineStr">
        <is>
          <t>BOOK</t>
        </is>
      </c>
      <c r="BB287" t="inlineStr">
        <is>
          <t>9780805033236</t>
        </is>
      </c>
      <c r="BC287" t="inlineStr">
        <is>
          <t>32285001895290</t>
        </is>
      </c>
      <c r="BD287" t="inlineStr">
        <is>
          <t>893517073</t>
        </is>
      </c>
    </row>
    <row r="288">
      <c r="A288" t="inlineStr">
        <is>
          <t>No</t>
        </is>
      </c>
      <c r="B288" t="inlineStr">
        <is>
          <t>DS119.7 .P456 1977</t>
        </is>
      </c>
      <c r="C288" t="inlineStr">
        <is>
          <t>0                      DS 0119700P  456         1977</t>
        </is>
      </c>
      <c r="D288" t="inlineStr">
        <is>
          <t>Perspectives on Palestinian Arabs and Israeli Jews / edited by James J. Zogby ; with a foreword by Ibrahim Abu-Lughod.</t>
        </is>
      </c>
      <c r="F288" t="inlineStr">
        <is>
          <t>No</t>
        </is>
      </c>
      <c r="G288" t="inlineStr">
        <is>
          <t>1</t>
        </is>
      </c>
      <c r="H288" t="inlineStr">
        <is>
          <t>No</t>
        </is>
      </c>
      <c r="I288" t="inlineStr">
        <is>
          <t>No</t>
        </is>
      </c>
      <c r="J288" t="inlineStr">
        <is>
          <t>0</t>
        </is>
      </c>
      <c r="L288" t="inlineStr">
        <is>
          <t>Wilmette, IL. : Medina Press, 1977.</t>
        </is>
      </c>
      <c r="M288" t="inlineStr">
        <is>
          <t>1977</t>
        </is>
      </c>
      <c r="O288" t="inlineStr">
        <is>
          <t>eng</t>
        </is>
      </c>
      <c r="P288" t="inlineStr">
        <is>
          <t>ilu</t>
        </is>
      </c>
      <c r="Q288" t="inlineStr">
        <is>
          <t>AAUG monograph series ; no. 7</t>
        </is>
      </c>
      <c r="R288" t="inlineStr">
        <is>
          <t xml:space="preserve">DS </t>
        </is>
      </c>
      <c r="S288" t="n">
        <v>4</v>
      </c>
      <c r="T288" t="n">
        <v>4</v>
      </c>
      <c r="U288" t="inlineStr">
        <is>
          <t>1999-04-11</t>
        </is>
      </c>
      <c r="V288" t="inlineStr">
        <is>
          <t>1999-04-11</t>
        </is>
      </c>
      <c r="W288" t="inlineStr">
        <is>
          <t>1992-12-04</t>
        </is>
      </c>
      <c r="X288" t="inlineStr">
        <is>
          <t>1992-12-04</t>
        </is>
      </c>
      <c r="Y288" t="n">
        <v>173</v>
      </c>
      <c r="Z288" t="n">
        <v>147</v>
      </c>
      <c r="AA288" t="n">
        <v>148</v>
      </c>
      <c r="AB288" t="n">
        <v>1</v>
      </c>
      <c r="AC288" t="n">
        <v>1</v>
      </c>
      <c r="AD288" t="n">
        <v>5</v>
      </c>
      <c r="AE288" t="n">
        <v>5</v>
      </c>
      <c r="AF288" t="n">
        <v>2</v>
      </c>
      <c r="AG288" t="n">
        <v>2</v>
      </c>
      <c r="AH288" t="n">
        <v>1</v>
      </c>
      <c r="AI288" t="n">
        <v>1</v>
      </c>
      <c r="AJ288" t="n">
        <v>3</v>
      </c>
      <c r="AK288" t="n">
        <v>3</v>
      </c>
      <c r="AL288" t="n">
        <v>0</v>
      </c>
      <c r="AM288" t="n">
        <v>0</v>
      </c>
      <c r="AN288" t="n">
        <v>0</v>
      </c>
      <c r="AO288" t="n">
        <v>0</v>
      </c>
      <c r="AP288" t="inlineStr">
        <is>
          <t>No</t>
        </is>
      </c>
      <c r="AQ288" t="inlineStr">
        <is>
          <t>Yes</t>
        </is>
      </c>
      <c r="AR288">
        <f>HYPERLINK("http://catalog.hathitrust.org/Record/000454454","HathiTrust Record")</f>
        <v/>
      </c>
      <c r="AS288">
        <f>HYPERLINK("https://creighton-primo.hosted.exlibrisgroup.com/primo-explore/search?tab=default_tab&amp;search_scope=EVERYTHING&amp;vid=01CRU&amp;lang=en_US&amp;offset=0&amp;query=any,contains,991004415239702656","Catalog Record")</f>
        <v/>
      </c>
      <c r="AT288">
        <f>HYPERLINK("http://www.worldcat.org/oclc/3361039","WorldCat Record")</f>
        <v/>
      </c>
      <c r="AU288" t="inlineStr">
        <is>
          <t>9493207:eng</t>
        </is>
      </c>
      <c r="AV288" t="inlineStr">
        <is>
          <t>3361039</t>
        </is>
      </c>
      <c r="AW288" t="inlineStr">
        <is>
          <t>991004415239702656</t>
        </is>
      </c>
      <c r="AX288" t="inlineStr">
        <is>
          <t>991004415239702656</t>
        </is>
      </c>
      <c r="AY288" t="inlineStr">
        <is>
          <t>2255818150002656</t>
        </is>
      </c>
      <c r="AZ288" t="inlineStr">
        <is>
          <t>BOOK</t>
        </is>
      </c>
      <c r="BB288" t="inlineStr">
        <is>
          <t>9780914456162</t>
        </is>
      </c>
      <c r="BC288" t="inlineStr">
        <is>
          <t>32285001413003</t>
        </is>
      </c>
      <c r="BD288" t="inlineStr">
        <is>
          <t>893593664</t>
        </is>
      </c>
    </row>
    <row r="289">
      <c r="A289" t="inlineStr">
        <is>
          <t>No</t>
        </is>
      </c>
      <c r="B289" t="inlineStr">
        <is>
          <t>DS119.7 .P457 1979</t>
        </is>
      </c>
      <c r="C289" t="inlineStr">
        <is>
          <t>0                      DS 0119700P  457         1979</t>
        </is>
      </c>
      <c r="D289" t="inlineStr">
        <is>
          <t>Perspectives on the State of Israel : selected readings / by Cathy Mellett.</t>
        </is>
      </c>
      <c r="F289" t="inlineStr">
        <is>
          <t>No</t>
        </is>
      </c>
      <c r="G289" t="inlineStr">
        <is>
          <t>1</t>
        </is>
      </c>
      <c r="H289" t="inlineStr">
        <is>
          <t>No</t>
        </is>
      </c>
      <c r="I289" t="inlineStr">
        <is>
          <t>No</t>
        </is>
      </c>
      <c r="J289" t="inlineStr">
        <is>
          <t>0</t>
        </is>
      </c>
      <c r="L289" t="inlineStr">
        <is>
          <t>McGrew, Neb. : High Butte Books, 1979.</t>
        </is>
      </c>
      <c r="M289" t="inlineStr">
        <is>
          <t>1979</t>
        </is>
      </c>
      <c r="O289" t="inlineStr">
        <is>
          <t>eng</t>
        </is>
      </c>
      <c r="P289" t="inlineStr">
        <is>
          <t>nbu</t>
        </is>
      </c>
      <c r="Q289" t="inlineStr">
        <is>
          <t>Perspectives in history ; 1</t>
        </is>
      </c>
      <c r="R289" t="inlineStr">
        <is>
          <t xml:space="preserve">DS </t>
        </is>
      </c>
      <c r="S289" t="n">
        <v>5</v>
      </c>
      <c r="T289" t="n">
        <v>5</v>
      </c>
      <c r="U289" t="inlineStr">
        <is>
          <t>2009-09-11</t>
        </is>
      </c>
      <c r="V289" t="inlineStr">
        <is>
          <t>2009-09-11</t>
        </is>
      </c>
      <c r="W289" t="inlineStr">
        <is>
          <t>1997-07-22</t>
        </is>
      </c>
      <c r="X289" t="inlineStr">
        <is>
          <t>1997-07-22</t>
        </is>
      </c>
      <c r="Y289" t="n">
        <v>60</v>
      </c>
      <c r="Z289" t="n">
        <v>55</v>
      </c>
      <c r="AA289" t="n">
        <v>55</v>
      </c>
      <c r="AB289" t="n">
        <v>10</v>
      </c>
      <c r="AC289" t="n">
        <v>10</v>
      </c>
      <c r="AD289" t="n">
        <v>9</v>
      </c>
      <c r="AE289" t="n">
        <v>9</v>
      </c>
      <c r="AF289" t="n">
        <v>0</v>
      </c>
      <c r="AG289" t="n">
        <v>0</v>
      </c>
      <c r="AH289" t="n">
        <v>0</v>
      </c>
      <c r="AI289" t="n">
        <v>0</v>
      </c>
      <c r="AJ289" t="n">
        <v>0</v>
      </c>
      <c r="AK289" t="n">
        <v>0</v>
      </c>
      <c r="AL289" t="n">
        <v>9</v>
      </c>
      <c r="AM289" t="n">
        <v>9</v>
      </c>
      <c r="AN289" t="n">
        <v>0</v>
      </c>
      <c r="AO289" t="n">
        <v>0</v>
      </c>
      <c r="AP289" t="inlineStr">
        <is>
          <t>No</t>
        </is>
      </c>
      <c r="AQ289" t="inlineStr">
        <is>
          <t>No</t>
        </is>
      </c>
      <c r="AS289">
        <f>HYPERLINK("https://creighton-primo.hosted.exlibrisgroup.com/primo-explore/search?tab=default_tab&amp;search_scope=EVERYTHING&amp;vid=01CRU&amp;lang=en_US&amp;offset=0&amp;query=any,contains,991004805489702656","Catalog Record")</f>
        <v/>
      </c>
      <c r="AT289">
        <f>HYPERLINK("http://www.worldcat.org/oclc/5241533","WorldCat Record")</f>
        <v/>
      </c>
      <c r="AU289" t="inlineStr">
        <is>
          <t>196692870:eng</t>
        </is>
      </c>
      <c r="AV289" t="inlineStr">
        <is>
          <t>5241533</t>
        </is>
      </c>
      <c r="AW289" t="inlineStr">
        <is>
          <t>991004805489702656</t>
        </is>
      </c>
      <c r="AX289" t="inlineStr">
        <is>
          <t>991004805489702656</t>
        </is>
      </c>
      <c r="AY289" t="inlineStr">
        <is>
          <t>2263852990002656</t>
        </is>
      </c>
      <c r="AZ289" t="inlineStr">
        <is>
          <t>BOOK</t>
        </is>
      </c>
      <c r="BB289" t="inlineStr">
        <is>
          <t>9780932626004</t>
        </is>
      </c>
      <c r="BC289" t="inlineStr">
        <is>
          <t>32285002883501</t>
        </is>
      </c>
      <c r="BD289" t="inlineStr">
        <is>
          <t>893319664</t>
        </is>
      </c>
    </row>
    <row r="290">
      <c r="A290" t="inlineStr">
        <is>
          <t>No</t>
        </is>
      </c>
      <c r="B290" t="inlineStr">
        <is>
          <t>DS119.7 .P5534 1997</t>
        </is>
      </c>
      <c r="C290" t="inlineStr">
        <is>
          <t>0                      DS 0119700P  5534        1997</t>
        </is>
      </c>
      <c r="D290" t="inlineStr">
        <is>
          <t>The PLO and Israel : from armed conflict to political solution, 1964-1994 / edited by Avraham Sela and Moshe Ma'oz.</t>
        </is>
      </c>
      <c r="F290" t="inlineStr">
        <is>
          <t>No</t>
        </is>
      </c>
      <c r="G290" t="inlineStr">
        <is>
          <t>1</t>
        </is>
      </c>
      <c r="H290" t="inlineStr">
        <is>
          <t>No</t>
        </is>
      </c>
      <c r="I290" t="inlineStr">
        <is>
          <t>No</t>
        </is>
      </c>
      <c r="J290" t="inlineStr">
        <is>
          <t>0</t>
        </is>
      </c>
      <c r="L290" t="inlineStr">
        <is>
          <t>New York : St. Martin's Press, 1997.</t>
        </is>
      </c>
      <c r="M290" t="inlineStr">
        <is>
          <t>1997</t>
        </is>
      </c>
      <c r="N290" t="inlineStr">
        <is>
          <t>1st St. Martin's Press ed.</t>
        </is>
      </c>
      <c r="O290" t="inlineStr">
        <is>
          <t>eng</t>
        </is>
      </c>
      <c r="P290" t="inlineStr">
        <is>
          <t>nyu</t>
        </is>
      </c>
      <c r="R290" t="inlineStr">
        <is>
          <t xml:space="preserve">DS </t>
        </is>
      </c>
      <c r="S290" t="n">
        <v>12</v>
      </c>
      <c r="T290" t="n">
        <v>12</v>
      </c>
      <c r="U290" t="inlineStr">
        <is>
          <t>2008-09-26</t>
        </is>
      </c>
      <c r="V290" t="inlineStr">
        <is>
          <t>2008-09-26</t>
        </is>
      </c>
      <c r="W290" t="inlineStr">
        <is>
          <t>1999-09-13</t>
        </is>
      </c>
      <c r="X290" t="inlineStr">
        <is>
          <t>1999-09-13</t>
        </is>
      </c>
      <c r="Y290" t="n">
        <v>348</v>
      </c>
      <c r="Z290" t="n">
        <v>286</v>
      </c>
      <c r="AA290" t="n">
        <v>287</v>
      </c>
      <c r="AB290" t="n">
        <v>2</v>
      </c>
      <c r="AC290" t="n">
        <v>2</v>
      </c>
      <c r="AD290" t="n">
        <v>12</v>
      </c>
      <c r="AE290" t="n">
        <v>12</v>
      </c>
      <c r="AF290" t="n">
        <v>4</v>
      </c>
      <c r="AG290" t="n">
        <v>4</v>
      </c>
      <c r="AH290" t="n">
        <v>3</v>
      </c>
      <c r="AI290" t="n">
        <v>3</v>
      </c>
      <c r="AJ290" t="n">
        <v>8</v>
      </c>
      <c r="AK290" t="n">
        <v>8</v>
      </c>
      <c r="AL290" t="n">
        <v>1</v>
      </c>
      <c r="AM290" t="n">
        <v>1</v>
      </c>
      <c r="AN290" t="n">
        <v>0</v>
      </c>
      <c r="AO290" t="n">
        <v>0</v>
      </c>
      <c r="AP290" t="inlineStr">
        <is>
          <t>No</t>
        </is>
      </c>
      <c r="AQ290" t="inlineStr">
        <is>
          <t>No</t>
        </is>
      </c>
      <c r="AS290">
        <f>HYPERLINK("https://creighton-primo.hosted.exlibrisgroup.com/primo-explore/search?tab=default_tab&amp;search_scope=EVERYTHING&amp;vid=01CRU&amp;lang=en_US&amp;offset=0&amp;query=any,contains,991002781119702656","Catalog Record")</f>
        <v/>
      </c>
      <c r="AT290">
        <f>HYPERLINK("http://www.worldcat.org/oclc/36509864","WorldCat Record")</f>
        <v/>
      </c>
      <c r="AU290" t="inlineStr">
        <is>
          <t>807121494:eng</t>
        </is>
      </c>
      <c r="AV290" t="inlineStr">
        <is>
          <t>36509864</t>
        </is>
      </c>
      <c r="AW290" t="inlineStr">
        <is>
          <t>991002781119702656</t>
        </is>
      </c>
      <c r="AX290" t="inlineStr">
        <is>
          <t>991002781119702656</t>
        </is>
      </c>
      <c r="AY290" t="inlineStr">
        <is>
          <t>2260714980002656</t>
        </is>
      </c>
      <c r="AZ290" t="inlineStr">
        <is>
          <t>BOOK</t>
        </is>
      </c>
      <c r="BB290" t="inlineStr">
        <is>
          <t>9780312129064</t>
        </is>
      </c>
      <c r="BC290" t="inlineStr">
        <is>
          <t>32285003588307</t>
        </is>
      </c>
      <c r="BD290" t="inlineStr">
        <is>
          <t>893874002</t>
        </is>
      </c>
    </row>
    <row r="291">
      <c r="A291" t="inlineStr">
        <is>
          <t>No</t>
        </is>
      </c>
      <c r="B291" t="inlineStr">
        <is>
          <t>DS119.7 .Q69 1993</t>
        </is>
      </c>
      <c r="C291" t="inlineStr">
        <is>
          <t>0                      DS 0119700Q  69          1993</t>
        </is>
      </c>
      <c r="D291" t="inlineStr">
        <is>
          <t>Peace process : American diplomacy and the Arab-Israeli conflict since 1967 / William B. Quandt.</t>
        </is>
      </c>
      <c r="F291" t="inlineStr">
        <is>
          <t>No</t>
        </is>
      </c>
      <c r="G291" t="inlineStr">
        <is>
          <t>1</t>
        </is>
      </c>
      <c r="H291" t="inlineStr">
        <is>
          <t>No</t>
        </is>
      </c>
      <c r="I291" t="inlineStr">
        <is>
          <t>Yes</t>
        </is>
      </c>
      <c r="J291" t="inlineStr">
        <is>
          <t>0</t>
        </is>
      </c>
      <c r="K291" t="inlineStr">
        <is>
          <t>Quandt, William B.</t>
        </is>
      </c>
      <c r="L291" t="inlineStr">
        <is>
          <t>Washington : Brookings Institution, c1993.</t>
        </is>
      </c>
      <c r="M291" t="inlineStr">
        <is>
          <t>1993</t>
        </is>
      </c>
      <c r="O291" t="inlineStr">
        <is>
          <t>eng</t>
        </is>
      </c>
      <c r="P291" t="inlineStr">
        <is>
          <t>dcu</t>
        </is>
      </c>
      <c r="R291" t="inlineStr">
        <is>
          <t xml:space="preserve">DS </t>
        </is>
      </c>
      <c r="S291" t="n">
        <v>1</v>
      </c>
      <c r="T291" t="n">
        <v>1</v>
      </c>
      <c r="U291" t="inlineStr">
        <is>
          <t>1993-06-25</t>
        </is>
      </c>
      <c r="V291" t="inlineStr">
        <is>
          <t>1993-06-25</t>
        </is>
      </c>
      <c r="W291" t="inlineStr">
        <is>
          <t>1993-06-02</t>
        </is>
      </c>
      <c r="X291" t="inlineStr">
        <is>
          <t>1993-06-02</t>
        </is>
      </c>
      <c r="Y291" t="n">
        <v>822</v>
      </c>
      <c r="Z291" t="n">
        <v>688</v>
      </c>
      <c r="AA291" t="n">
        <v>1721</v>
      </c>
      <c r="AB291" t="n">
        <v>3</v>
      </c>
      <c r="AC291" t="n">
        <v>33</v>
      </c>
      <c r="AD291" t="n">
        <v>30</v>
      </c>
      <c r="AE291" t="n">
        <v>66</v>
      </c>
      <c r="AF291" t="n">
        <v>11</v>
      </c>
      <c r="AG291" t="n">
        <v>26</v>
      </c>
      <c r="AH291" t="n">
        <v>8</v>
      </c>
      <c r="AI291" t="n">
        <v>11</v>
      </c>
      <c r="AJ291" t="n">
        <v>15</v>
      </c>
      <c r="AK291" t="n">
        <v>24</v>
      </c>
      <c r="AL291" t="n">
        <v>2</v>
      </c>
      <c r="AM291" t="n">
        <v>14</v>
      </c>
      <c r="AN291" t="n">
        <v>3</v>
      </c>
      <c r="AO291" t="n">
        <v>5</v>
      </c>
      <c r="AP291" t="inlineStr">
        <is>
          <t>No</t>
        </is>
      </c>
      <c r="AQ291" t="inlineStr">
        <is>
          <t>No</t>
        </is>
      </c>
      <c r="AS291">
        <f>HYPERLINK("https://creighton-primo.hosted.exlibrisgroup.com/primo-explore/search?tab=default_tab&amp;search_scope=EVERYTHING&amp;vid=01CRU&amp;lang=en_US&amp;offset=0&amp;query=any,contains,991002157769702656","Catalog Record")</f>
        <v/>
      </c>
      <c r="AT291">
        <f>HYPERLINK("http://www.worldcat.org/oclc/27810746","WorldCat Record")</f>
        <v/>
      </c>
      <c r="AU291" t="inlineStr">
        <is>
          <t>181849849:eng</t>
        </is>
      </c>
      <c r="AV291" t="inlineStr">
        <is>
          <t>27810746</t>
        </is>
      </c>
      <c r="AW291" t="inlineStr">
        <is>
          <t>991002157769702656</t>
        </is>
      </c>
      <c r="AX291" t="inlineStr">
        <is>
          <t>991002157769702656</t>
        </is>
      </c>
      <c r="AY291" t="inlineStr">
        <is>
          <t>2259204040002656</t>
        </is>
      </c>
      <c r="AZ291" t="inlineStr">
        <is>
          <t>BOOK</t>
        </is>
      </c>
      <c r="BB291" t="inlineStr">
        <is>
          <t>9780520083882</t>
        </is>
      </c>
      <c r="BC291" t="inlineStr">
        <is>
          <t>32285001706174</t>
        </is>
      </c>
      <c r="BD291" t="inlineStr">
        <is>
          <t>893510371</t>
        </is>
      </c>
    </row>
    <row r="292">
      <c r="A292" t="inlineStr">
        <is>
          <t>No</t>
        </is>
      </c>
      <c r="B292" t="inlineStr">
        <is>
          <t>DS119.7 .Q69 2005</t>
        </is>
      </c>
      <c r="C292" t="inlineStr">
        <is>
          <t>0                      DS 0119700Q  69          2005</t>
        </is>
      </c>
      <c r="D292" t="inlineStr">
        <is>
          <t>Peace process : American diplomacy and the Arab-Israeli conflict since 1967 / William B. Quandt.</t>
        </is>
      </c>
      <c r="F292" t="inlineStr">
        <is>
          <t>No</t>
        </is>
      </c>
      <c r="G292" t="inlineStr">
        <is>
          <t>1</t>
        </is>
      </c>
      <c r="H292" t="inlineStr">
        <is>
          <t>No</t>
        </is>
      </c>
      <c r="I292" t="inlineStr">
        <is>
          <t>Yes</t>
        </is>
      </c>
      <c r="J292" t="inlineStr">
        <is>
          <t>0</t>
        </is>
      </c>
      <c r="K292" t="inlineStr">
        <is>
          <t>Quandt, William B.</t>
        </is>
      </c>
      <c r="L292" t="inlineStr">
        <is>
          <t>Washington, D.C. : Brookings Institution Press ; Berkeley : University of California Press, c2005.</t>
        </is>
      </c>
      <c r="M292" t="inlineStr">
        <is>
          <t>2005</t>
        </is>
      </c>
      <c r="N292" t="inlineStr">
        <is>
          <t>3rd ed.</t>
        </is>
      </c>
      <c r="O292" t="inlineStr">
        <is>
          <t>eng</t>
        </is>
      </c>
      <c r="P292" t="inlineStr">
        <is>
          <t>dcu</t>
        </is>
      </c>
      <c r="R292" t="inlineStr">
        <is>
          <t xml:space="preserve">DS </t>
        </is>
      </c>
      <c r="S292" t="n">
        <v>2</v>
      </c>
      <c r="T292" t="n">
        <v>2</v>
      </c>
      <c r="U292" t="inlineStr">
        <is>
          <t>2005-07-23</t>
        </is>
      </c>
      <c r="V292" t="inlineStr">
        <is>
          <t>2005-07-23</t>
        </is>
      </c>
      <c r="W292" t="inlineStr">
        <is>
          <t>2005-06-21</t>
        </is>
      </c>
      <c r="X292" t="inlineStr">
        <is>
          <t>2005-06-21</t>
        </is>
      </c>
      <c r="Y292" t="n">
        <v>485</v>
      </c>
      <c r="Z292" t="n">
        <v>379</v>
      </c>
      <c r="AA292" t="n">
        <v>1721</v>
      </c>
      <c r="AB292" t="n">
        <v>3</v>
      </c>
      <c r="AC292" t="n">
        <v>33</v>
      </c>
      <c r="AD292" t="n">
        <v>20</v>
      </c>
      <c r="AE292" t="n">
        <v>66</v>
      </c>
      <c r="AF292" t="n">
        <v>7</v>
      </c>
      <c r="AG292" t="n">
        <v>26</v>
      </c>
      <c r="AH292" t="n">
        <v>5</v>
      </c>
      <c r="AI292" t="n">
        <v>11</v>
      </c>
      <c r="AJ292" t="n">
        <v>11</v>
      </c>
      <c r="AK292" t="n">
        <v>24</v>
      </c>
      <c r="AL292" t="n">
        <v>2</v>
      </c>
      <c r="AM292" t="n">
        <v>14</v>
      </c>
      <c r="AN292" t="n">
        <v>0</v>
      </c>
      <c r="AO292" t="n">
        <v>5</v>
      </c>
      <c r="AP292" t="inlineStr">
        <is>
          <t>No</t>
        </is>
      </c>
      <c r="AQ292" t="inlineStr">
        <is>
          <t>No</t>
        </is>
      </c>
      <c r="AS292">
        <f>HYPERLINK("https://creighton-primo.hosted.exlibrisgroup.com/primo-explore/search?tab=default_tab&amp;search_scope=EVERYTHING&amp;vid=01CRU&amp;lang=en_US&amp;offset=0&amp;query=any,contains,991004586669702656","Catalog Record")</f>
        <v/>
      </c>
      <c r="AT292">
        <f>HYPERLINK("http://www.worldcat.org/oclc/58653786","WorldCat Record")</f>
        <v/>
      </c>
      <c r="AU292" t="inlineStr">
        <is>
          <t>181849849:eng</t>
        </is>
      </c>
      <c r="AV292" t="inlineStr">
        <is>
          <t>58653786</t>
        </is>
      </c>
      <c r="AW292" t="inlineStr">
        <is>
          <t>991004586669702656</t>
        </is>
      </c>
      <c r="AX292" t="inlineStr">
        <is>
          <t>991004586669702656</t>
        </is>
      </c>
      <c r="AY292" t="inlineStr">
        <is>
          <t>2256025310002656</t>
        </is>
      </c>
      <c r="AZ292" t="inlineStr">
        <is>
          <t>BOOK</t>
        </is>
      </c>
      <c r="BB292" t="inlineStr">
        <is>
          <t>9780520246317</t>
        </is>
      </c>
      <c r="BC292" t="inlineStr">
        <is>
          <t>32285005093587</t>
        </is>
      </c>
      <c r="BD292" t="inlineStr">
        <is>
          <t>893700424</t>
        </is>
      </c>
    </row>
    <row r="293">
      <c r="A293" t="inlineStr">
        <is>
          <t>No</t>
        </is>
      </c>
      <c r="B293" t="inlineStr">
        <is>
          <t>DS119.7 .Q7 1973</t>
        </is>
      </c>
      <c r="C293" t="inlineStr">
        <is>
          <t>0                      DS 0119700Q  7           1973</t>
        </is>
      </c>
      <c r="D293" t="inlineStr">
        <is>
          <t>The politics of Palestinian nationalism / [by] William B. Quandt, Fuad Jabber [and] Ann Mosely Lesch.</t>
        </is>
      </c>
      <c r="F293" t="inlineStr">
        <is>
          <t>No</t>
        </is>
      </c>
      <c r="G293" t="inlineStr">
        <is>
          <t>1</t>
        </is>
      </c>
      <c r="H293" t="inlineStr">
        <is>
          <t>No</t>
        </is>
      </c>
      <c r="I293" t="inlineStr">
        <is>
          <t>No</t>
        </is>
      </c>
      <c r="J293" t="inlineStr">
        <is>
          <t>0</t>
        </is>
      </c>
      <c r="K293" t="inlineStr">
        <is>
          <t>Quandt, William B.</t>
        </is>
      </c>
      <c r="L293" t="inlineStr">
        <is>
          <t>Berkeley : University of California Press, [1973]</t>
        </is>
      </c>
      <c r="M293" t="inlineStr">
        <is>
          <t>1973</t>
        </is>
      </c>
      <c r="O293" t="inlineStr">
        <is>
          <t>eng</t>
        </is>
      </c>
      <c r="P293" t="inlineStr">
        <is>
          <t>cau</t>
        </is>
      </c>
      <c r="Q293" t="inlineStr">
        <is>
          <t>A Rand Corporation research study</t>
        </is>
      </c>
      <c r="R293" t="inlineStr">
        <is>
          <t xml:space="preserve">DS </t>
        </is>
      </c>
      <c r="S293" t="n">
        <v>1</v>
      </c>
      <c r="T293" t="n">
        <v>1</v>
      </c>
      <c r="U293" t="inlineStr">
        <is>
          <t>1992-04-28</t>
        </is>
      </c>
      <c r="V293" t="inlineStr">
        <is>
          <t>1992-04-28</t>
        </is>
      </c>
      <c r="W293" t="inlineStr">
        <is>
          <t>1991-10-25</t>
        </is>
      </c>
      <c r="X293" t="inlineStr">
        <is>
          <t>1991-10-25</t>
        </is>
      </c>
      <c r="Y293" t="n">
        <v>1041</v>
      </c>
      <c r="Z293" t="n">
        <v>858</v>
      </c>
      <c r="AA293" t="n">
        <v>861</v>
      </c>
      <c r="AB293" t="n">
        <v>5</v>
      </c>
      <c r="AC293" t="n">
        <v>5</v>
      </c>
      <c r="AD293" t="n">
        <v>39</v>
      </c>
      <c r="AE293" t="n">
        <v>39</v>
      </c>
      <c r="AF293" t="n">
        <v>18</v>
      </c>
      <c r="AG293" t="n">
        <v>18</v>
      </c>
      <c r="AH293" t="n">
        <v>8</v>
      </c>
      <c r="AI293" t="n">
        <v>8</v>
      </c>
      <c r="AJ293" t="n">
        <v>20</v>
      </c>
      <c r="AK293" t="n">
        <v>20</v>
      </c>
      <c r="AL293" t="n">
        <v>3</v>
      </c>
      <c r="AM293" t="n">
        <v>3</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HYPERLINK("https://creighton-primo.hosted.exlibrisgroup.com/primo-explore/search?tab=default_tab&amp;search_scope=EVERYTHING&amp;vid=01CRU&amp;lang=en_US&amp;offset=0&amp;query=any,contains,991003118449702656","Catalog Record")</f>
        <v/>
      </c>
      <c r="AT293">
        <f>HYPERLINK("http://www.worldcat.org/oclc/664268","WorldCat Record")</f>
        <v/>
      </c>
      <c r="AU293" t="inlineStr">
        <is>
          <t>500747:eng</t>
        </is>
      </c>
      <c r="AV293" t="inlineStr">
        <is>
          <t>664268</t>
        </is>
      </c>
      <c r="AW293" t="inlineStr">
        <is>
          <t>991003118449702656</t>
        </is>
      </c>
      <c r="AX293" t="inlineStr">
        <is>
          <t>991003118449702656</t>
        </is>
      </c>
      <c r="AY293" t="inlineStr">
        <is>
          <t>2272147290002656</t>
        </is>
      </c>
      <c r="AZ293" t="inlineStr">
        <is>
          <t>BOOK</t>
        </is>
      </c>
      <c r="BB293" t="inlineStr">
        <is>
          <t>9780520023369</t>
        </is>
      </c>
      <c r="BC293" t="inlineStr">
        <is>
          <t>32285000800028</t>
        </is>
      </c>
      <c r="BD293" t="inlineStr">
        <is>
          <t>893317664</t>
        </is>
      </c>
    </row>
    <row r="294">
      <c r="A294" t="inlineStr">
        <is>
          <t>No</t>
        </is>
      </c>
      <c r="B294" t="inlineStr">
        <is>
          <t>DS119.7 .R6729 1992</t>
        </is>
      </c>
      <c r="C294" t="inlineStr">
        <is>
          <t>0                      DS 0119700R  6729        1992</t>
        </is>
      </c>
      <c r="D294" t="inlineStr">
        <is>
          <t>From confrontation to cooperation : resolving ethnic and regional conflict / Jay Rothman.</t>
        </is>
      </c>
      <c r="F294" t="inlineStr">
        <is>
          <t>No</t>
        </is>
      </c>
      <c r="G294" t="inlineStr">
        <is>
          <t>1</t>
        </is>
      </c>
      <c r="H294" t="inlineStr">
        <is>
          <t>Yes</t>
        </is>
      </c>
      <c r="I294" t="inlineStr">
        <is>
          <t>No</t>
        </is>
      </c>
      <c r="J294" t="inlineStr">
        <is>
          <t>0</t>
        </is>
      </c>
      <c r="K294" t="inlineStr">
        <is>
          <t>Rothman, Jay.</t>
        </is>
      </c>
      <c r="L294" t="inlineStr">
        <is>
          <t>Newbury Park, Calif. : Sage, c1992.</t>
        </is>
      </c>
      <c r="M294" t="inlineStr">
        <is>
          <t>1992</t>
        </is>
      </c>
      <c r="O294" t="inlineStr">
        <is>
          <t>eng</t>
        </is>
      </c>
      <c r="P294" t="inlineStr">
        <is>
          <t>cau</t>
        </is>
      </c>
      <c r="Q294" t="inlineStr">
        <is>
          <t>Violence, cooperation, peace</t>
        </is>
      </c>
      <c r="R294" t="inlineStr">
        <is>
          <t xml:space="preserve">DS </t>
        </is>
      </c>
      <c r="S294" t="n">
        <v>2</v>
      </c>
      <c r="T294" t="n">
        <v>3</v>
      </c>
      <c r="U294" t="inlineStr">
        <is>
          <t>2009-04-21</t>
        </is>
      </c>
      <c r="V294" t="inlineStr">
        <is>
          <t>2009-04-21</t>
        </is>
      </c>
      <c r="W294" t="inlineStr">
        <is>
          <t>1992-11-30</t>
        </is>
      </c>
      <c r="X294" t="inlineStr">
        <is>
          <t>1995-04-18</t>
        </is>
      </c>
      <c r="Y294" t="n">
        <v>336</v>
      </c>
      <c r="Z294" t="n">
        <v>250</v>
      </c>
      <c r="AA294" t="n">
        <v>256</v>
      </c>
      <c r="AB294" t="n">
        <v>4</v>
      </c>
      <c r="AC294" t="n">
        <v>4</v>
      </c>
      <c r="AD294" t="n">
        <v>18</v>
      </c>
      <c r="AE294" t="n">
        <v>18</v>
      </c>
      <c r="AF294" t="n">
        <v>3</v>
      </c>
      <c r="AG294" t="n">
        <v>3</v>
      </c>
      <c r="AH294" t="n">
        <v>6</v>
      </c>
      <c r="AI294" t="n">
        <v>6</v>
      </c>
      <c r="AJ294" t="n">
        <v>9</v>
      </c>
      <c r="AK294" t="n">
        <v>9</v>
      </c>
      <c r="AL294" t="n">
        <v>2</v>
      </c>
      <c r="AM294" t="n">
        <v>2</v>
      </c>
      <c r="AN294" t="n">
        <v>2</v>
      </c>
      <c r="AO294" t="n">
        <v>2</v>
      </c>
      <c r="AP294" t="inlineStr">
        <is>
          <t>No</t>
        </is>
      </c>
      <c r="AQ294" t="inlineStr">
        <is>
          <t>Yes</t>
        </is>
      </c>
      <c r="AR294">
        <f>HYPERLINK("http://catalog.hathitrust.org/Record/002578041","HathiTrust Record")</f>
        <v/>
      </c>
      <c r="AS294">
        <f>HYPERLINK("https://creighton-primo.hosted.exlibrisgroup.com/primo-explore/search?tab=default_tab&amp;search_scope=EVERYTHING&amp;vid=01CRU&amp;lang=en_US&amp;offset=0&amp;query=any,contains,991001653079702656","Catalog Record")</f>
        <v/>
      </c>
      <c r="AT294">
        <f>HYPERLINK("http://www.worldcat.org/oclc/25871721","WorldCat Record")</f>
        <v/>
      </c>
      <c r="AU294" t="inlineStr">
        <is>
          <t>836903284:eng</t>
        </is>
      </c>
      <c r="AV294" t="inlineStr">
        <is>
          <t>25871721</t>
        </is>
      </c>
      <c r="AW294" t="inlineStr">
        <is>
          <t>991001653079702656</t>
        </is>
      </c>
      <c r="AX294" t="inlineStr">
        <is>
          <t>991001653079702656</t>
        </is>
      </c>
      <c r="AY294" t="inlineStr">
        <is>
          <t>2270198710002656</t>
        </is>
      </c>
      <c r="AZ294" t="inlineStr">
        <is>
          <t>BOOK</t>
        </is>
      </c>
      <c r="BB294" t="inlineStr">
        <is>
          <t>9780803946934</t>
        </is>
      </c>
      <c r="BC294" t="inlineStr">
        <is>
          <t>32285001400596</t>
        </is>
      </c>
      <c r="BD294" t="inlineStr">
        <is>
          <t>893534627</t>
        </is>
      </c>
    </row>
    <row r="295">
      <c r="A295" t="inlineStr">
        <is>
          <t>No</t>
        </is>
      </c>
      <c r="B295" t="inlineStr">
        <is>
          <t>DS119.7 .R75</t>
        </is>
      </c>
      <c r="C295" t="inlineStr">
        <is>
          <t>0                      DS 0119700R  75</t>
        </is>
      </c>
      <c r="D295" t="inlineStr">
        <is>
          <t>The Arab states and the Palestine conflict / Barry Rubin.</t>
        </is>
      </c>
      <c r="F295" t="inlineStr">
        <is>
          <t>No</t>
        </is>
      </c>
      <c r="G295" t="inlineStr">
        <is>
          <t>1</t>
        </is>
      </c>
      <c r="H295" t="inlineStr">
        <is>
          <t>No</t>
        </is>
      </c>
      <c r="I295" t="inlineStr">
        <is>
          <t>No</t>
        </is>
      </c>
      <c r="J295" t="inlineStr">
        <is>
          <t>0</t>
        </is>
      </c>
      <c r="K295" t="inlineStr">
        <is>
          <t>Rubin, Barry M.</t>
        </is>
      </c>
      <c r="L295" t="inlineStr">
        <is>
          <t>Syracuse, N.Y. : Syracuse University Press, 1981.</t>
        </is>
      </c>
      <c r="M295" t="inlineStr">
        <is>
          <t>1981</t>
        </is>
      </c>
      <c r="N295" t="inlineStr">
        <is>
          <t>1st ed.</t>
        </is>
      </c>
      <c r="O295" t="inlineStr">
        <is>
          <t>eng</t>
        </is>
      </c>
      <c r="P295" t="inlineStr">
        <is>
          <t>nyu</t>
        </is>
      </c>
      <c r="Q295" t="inlineStr">
        <is>
          <t>Contemporary issues in the Middle East</t>
        </is>
      </c>
      <c r="R295" t="inlineStr">
        <is>
          <t xml:space="preserve">DS </t>
        </is>
      </c>
      <c r="S295" t="n">
        <v>6</v>
      </c>
      <c r="T295" t="n">
        <v>6</v>
      </c>
      <c r="U295" t="inlineStr">
        <is>
          <t>1997-04-11</t>
        </is>
      </c>
      <c r="V295" t="inlineStr">
        <is>
          <t>1997-04-11</t>
        </is>
      </c>
      <c r="W295" t="inlineStr">
        <is>
          <t>1990-08-16</t>
        </is>
      </c>
      <c r="X295" t="inlineStr">
        <is>
          <t>1990-08-16</t>
        </is>
      </c>
      <c r="Y295" t="n">
        <v>755</v>
      </c>
      <c r="Z295" t="n">
        <v>633</v>
      </c>
      <c r="AA295" t="n">
        <v>634</v>
      </c>
      <c r="AB295" t="n">
        <v>2</v>
      </c>
      <c r="AC295" t="n">
        <v>2</v>
      </c>
      <c r="AD295" t="n">
        <v>15</v>
      </c>
      <c r="AE295" t="n">
        <v>15</v>
      </c>
      <c r="AF295" t="n">
        <v>5</v>
      </c>
      <c r="AG295" t="n">
        <v>5</v>
      </c>
      <c r="AH295" t="n">
        <v>5</v>
      </c>
      <c r="AI295" t="n">
        <v>5</v>
      </c>
      <c r="AJ295" t="n">
        <v>9</v>
      </c>
      <c r="AK295" t="n">
        <v>9</v>
      </c>
      <c r="AL295" t="n">
        <v>1</v>
      </c>
      <c r="AM295" t="n">
        <v>1</v>
      </c>
      <c r="AN295" t="n">
        <v>0</v>
      </c>
      <c r="AO295" t="n">
        <v>0</v>
      </c>
      <c r="AP295" t="inlineStr">
        <is>
          <t>No</t>
        </is>
      </c>
      <c r="AQ295" t="inlineStr">
        <is>
          <t>Yes</t>
        </is>
      </c>
      <c r="AR295">
        <f>HYPERLINK("http://catalog.hathitrust.org/Record/000137661","HathiTrust Record")</f>
        <v/>
      </c>
      <c r="AS295">
        <f>HYPERLINK("https://creighton-primo.hosted.exlibrisgroup.com/primo-explore/search?tab=default_tab&amp;search_scope=EVERYTHING&amp;vid=01CRU&amp;lang=en_US&amp;offset=0&amp;query=any,contains,991005123769702656","Catalog Record")</f>
        <v/>
      </c>
      <c r="AT295">
        <f>HYPERLINK("http://www.worldcat.org/oclc/7551421","WorldCat Record")</f>
        <v/>
      </c>
      <c r="AU295" t="inlineStr">
        <is>
          <t>477593:eng</t>
        </is>
      </c>
      <c r="AV295" t="inlineStr">
        <is>
          <t>7551421</t>
        </is>
      </c>
      <c r="AW295" t="inlineStr">
        <is>
          <t>991005123769702656</t>
        </is>
      </c>
      <c r="AX295" t="inlineStr">
        <is>
          <t>991005123769702656</t>
        </is>
      </c>
      <c r="AY295" t="inlineStr">
        <is>
          <t>2266098410002656</t>
        </is>
      </c>
      <c r="AZ295" t="inlineStr">
        <is>
          <t>BOOK</t>
        </is>
      </c>
      <c r="BB295" t="inlineStr">
        <is>
          <t>9780815601708</t>
        </is>
      </c>
      <c r="BC295" t="inlineStr">
        <is>
          <t>32285000274984</t>
        </is>
      </c>
      <c r="BD295" t="inlineStr">
        <is>
          <t>893520468</t>
        </is>
      </c>
    </row>
    <row r="296">
      <c r="A296" t="inlineStr">
        <is>
          <t>No</t>
        </is>
      </c>
      <c r="B296" t="inlineStr">
        <is>
          <t>DS119.7 .R754 1994</t>
        </is>
      </c>
      <c r="C296" t="inlineStr">
        <is>
          <t>0                      DS 0119700R  754         1994</t>
        </is>
      </c>
      <c r="D296" t="inlineStr">
        <is>
          <t>Revolution until victory? : the politics and history of the PLO / Barry Rubin.</t>
        </is>
      </c>
      <c r="F296" t="inlineStr">
        <is>
          <t>No</t>
        </is>
      </c>
      <c r="G296" t="inlineStr">
        <is>
          <t>1</t>
        </is>
      </c>
      <c r="H296" t="inlineStr">
        <is>
          <t>No</t>
        </is>
      </c>
      <c r="I296" t="inlineStr">
        <is>
          <t>No</t>
        </is>
      </c>
      <c r="J296" t="inlineStr">
        <is>
          <t>0</t>
        </is>
      </c>
      <c r="K296" t="inlineStr">
        <is>
          <t>Rubin, Barry M.</t>
        </is>
      </c>
      <c r="L296" t="inlineStr">
        <is>
          <t>Cambridge, Mass. : Harvard University Press, 1994.</t>
        </is>
      </c>
      <c r="M296" t="inlineStr">
        <is>
          <t>1994</t>
        </is>
      </c>
      <c r="O296" t="inlineStr">
        <is>
          <t>eng</t>
        </is>
      </c>
      <c r="P296" t="inlineStr">
        <is>
          <t>mau</t>
        </is>
      </c>
      <c r="R296" t="inlineStr">
        <is>
          <t xml:space="preserve">DS </t>
        </is>
      </c>
      <c r="S296" t="n">
        <v>7</v>
      </c>
      <c r="T296" t="n">
        <v>7</v>
      </c>
      <c r="U296" t="inlineStr">
        <is>
          <t>2008-04-09</t>
        </is>
      </c>
      <c r="V296" t="inlineStr">
        <is>
          <t>2008-04-09</t>
        </is>
      </c>
      <c r="W296" t="inlineStr">
        <is>
          <t>1994-05-24</t>
        </is>
      </c>
      <c r="X296" t="inlineStr">
        <is>
          <t>1994-05-24</t>
        </is>
      </c>
      <c r="Y296" t="n">
        <v>1106</v>
      </c>
      <c r="Z296" t="n">
        <v>928</v>
      </c>
      <c r="AA296" t="n">
        <v>940</v>
      </c>
      <c r="AB296" t="n">
        <v>6</v>
      </c>
      <c r="AC296" t="n">
        <v>6</v>
      </c>
      <c r="AD296" t="n">
        <v>40</v>
      </c>
      <c r="AE296" t="n">
        <v>40</v>
      </c>
      <c r="AF296" t="n">
        <v>18</v>
      </c>
      <c r="AG296" t="n">
        <v>18</v>
      </c>
      <c r="AH296" t="n">
        <v>8</v>
      </c>
      <c r="AI296" t="n">
        <v>8</v>
      </c>
      <c r="AJ296" t="n">
        <v>19</v>
      </c>
      <c r="AK296" t="n">
        <v>19</v>
      </c>
      <c r="AL296" t="n">
        <v>5</v>
      </c>
      <c r="AM296" t="n">
        <v>5</v>
      </c>
      <c r="AN296" t="n">
        <v>0</v>
      </c>
      <c r="AO296" t="n">
        <v>0</v>
      </c>
      <c r="AP296" t="inlineStr">
        <is>
          <t>No</t>
        </is>
      </c>
      <c r="AQ296" t="inlineStr">
        <is>
          <t>Yes</t>
        </is>
      </c>
      <c r="AR296">
        <f>HYPERLINK("http://catalog.hathitrust.org/Record/002798097","HathiTrust Record")</f>
        <v/>
      </c>
      <c r="AS296">
        <f>HYPERLINK("https://creighton-primo.hosted.exlibrisgroup.com/primo-explore/search?tab=default_tab&amp;search_scope=EVERYTHING&amp;vid=01CRU&amp;lang=en_US&amp;offset=0&amp;query=any,contains,991002234359702656","Catalog Record")</f>
        <v/>
      </c>
      <c r="AT296">
        <f>HYPERLINK("http://www.worldcat.org/oclc/28799849","WorldCat Record")</f>
        <v/>
      </c>
      <c r="AU296" t="inlineStr">
        <is>
          <t>836898954:eng</t>
        </is>
      </c>
      <c r="AV296" t="inlineStr">
        <is>
          <t>28799849</t>
        </is>
      </c>
      <c r="AW296" t="inlineStr">
        <is>
          <t>991002234359702656</t>
        </is>
      </c>
      <c r="AX296" t="inlineStr">
        <is>
          <t>991002234359702656</t>
        </is>
      </c>
      <c r="AY296" t="inlineStr">
        <is>
          <t>2266435660002656</t>
        </is>
      </c>
      <c r="AZ296" t="inlineStr">
        <is>
          <t>BOOK</t>
        </is>
      </c>
      <c r="BB296" t="inlineStr">
        <is>
          <t>9780674768031</t>
        </is>
      </c>
      <c r="BC296" t="inlineStr">
        <is>
          <t>32285001898518</t>
        </is>
      </c>
      <c r="BD296" t="inlineStr">
        <is>
          <t>893615870</t>
        </is>
      </c>
    </row>
    <row r="297">
      <c r="A297" t="inlineStr">
        <is>
          <t>No</t>
        </is>
      </c>
      <c r="B297" t="inlineStr">
        <is>
          <t>DS119.7 .S32</t>
        </is>
      </c>
      <c r="C297" t="inlineStr">
        <is>
          <t>0                      DS 0119700S  32</t>
        </is>
      </c>
      <c r="D297" t="inlineStr">
        <is>
          <t>From war to war : the Arab-Israeli confrontation, 1948-1967 : a study of the conflict from the perspective of coercion in the context of inter-Arab and big power relations.</t>
        </is>
      </c>
      <c r="F297" t="inlineStr">
        <is>
          <t>No</t>
        </is>
      </c>
      <c r="G297" t="inlineStr">
        <is>
          <t>1</t>
        </is>
      </c>
      <c r="H297" t="inlineStr">
        <is>
          <t>No</t>
        </is>
      </c>
      <c r="I297" t="inlineStr">
        <is>
          <t>No</t>
        </is>
      </c>
      <c r="J297" t="inlineStr">
        <is>
          <t>0</t>
        </is>
      </c>
      <c r="K297" t="inlineStr">
        <is>
          <t>Safran, Nadav.</t>
        </is>
      </c>
      <c r="L297" t="inlineStr">
        <is>
          <t>New York : Pegasus, [1969]</t>
        </is>
      </c>
      <c r="M297" t="inlineStr">
        <is>
          <t>1969</t>
        </is>
      </c>
      <c r="O297" t="inlineStr">
        <is>
          <t>eng</t>
        </is>
      </c>
      <c r="P297" t="inlineStr">
        <is>
          <t>nyu</t>
        </is>
      </c>
      <c r="R297" t="inlineStr">
        <is>
          <t xml:space="preserve">DS </t>
        </is>
      </c>
      <c r="S297" t="n">
        <v>2</v>
      </c>
      <c r="T297" t="n">
        <v>2</v>
      </c>
      <c r="U297" t="inlineStr">
        <is>
          <t>2007-11-03</t>
        </is>
      </c>
      <c r="V297" t="inlineStr">
        <is>
          <t>2007-11-03</t>
        </is>
      </c>
      <c r="W297" t="inlineStr">
        <is>
          <t>1993-01-05</t>
        </is>
      </c>
      <c r="X297" t="inlineStr">
        <is>
          <t>1993-01-05</t>
        </is>
      </c>
      <c r="Y297" t="n">
        <v>974</v>
      </c>
      <c r="Z297" t="n">
        <v>843</v>
      </c>
      <c r="AA297" t="n">
        <v>851</v>
      </c>
      <c r="AB297" t="n">
        <v>8</v>
      </c>
      <c r="AC297" t="n">
        <v>8</v>
      </c>
      <c r="AD297" t="n">
        <v>42</v>
      </c>
      <c r="AE297" t="n">
        <v>42</v>
      </c>
      <c r="AF297" t="n">
        <v>18</v>
      </c>
      <c r="AG297" t="n">
        <v>18</v>
      </c>
      <c r="AH297" t="n">
        <v>10</v>
      </c>
      <c r="AI297" t="n">
        <v>10</v>
      </c>
      <c r="AJ297" t="n">
        <v>19</v>
      </c>
      <c r="AK297" t="n">
        <v>19</v>
      </c>
      <c r="AL297" t="n">
        <v>5</v>
      </c>
      <c r="AM297" t="n">
        <v>5</v>
      </c>
      <c r="AN297" t="n">
        <v>0</v>
      </c>
      <c r="AO297" t="n">
        <v>0</v>
      </c>
      <c r="AP297" t="inlineStr">
        <is>
          <t>No</t>
        </is>
      </c>
      <c r="AQ297" t="inlineStr">
        <is>
          <t>Yes</t>
        </is>
      </c>
      <c r="AR297">
        <f>HYPERLINK("http://catalog.hathitrust.org/Record/001246953","HathiTrust Record")</f>
        <v/>
      </c>
      <c r="AS297">
        <f>HYPERLINK("https://creighton-primo.hosted.exlibrisgroup.com/primo-explore/search?tab=default_tab&amp;search_scope=EVERYTHING&amp;vid=01CRU&amp;lang=en_US&amp;offset=0&amp;query=any,contains,991000001749702656","Catalog Record")</f>
        <v/>
      </c>
      <c r="AT297">
        <f>HYPERLINK("http://www.worldcat.org/oclc/10670","WorldCat Record")</f>
        <v/>
      </c>
      <c r="AU297" t="inlineStr">
        <is>
          <t>887962060:eng</t>
        </is>
      </c>
      <c r="AV297" t="inlineStr">
        <is>
          <t>10670</t>
        </is>
      </c>
      <c r="AW297" t="inlineStr">
        <is>
          <t>991000001749702656</t>
        </is>
      </c>
      <c r="AX297" t="inlineStr">
        <is>
          <t>991000001749702656</t>
        </is>
      </c>
      <c r="AY297" t="inlineStr">
        <is>
          <t>2268000960002656</t>
        </is>
      </c>
      <c r="AZ297" t="inlineStr">
        <is>
          <t>BOOK</t>
        </is>
      </c>
      <c r="BC297" t="inlineStr">
        <is>
          <t>32285001472389</t>
        </is>
      </c>
      <c r="BD297" t="inlineStr">
        <is>
          <t>893708002</t>
        </is>
      </c>
    </row>
    <row r="298">
      <c r="A298" t="inlineStr">
        <is>
          <t>No</t>
        </is>
      </c>
      <c r="B298" t="inlineStr">
        <is>
          <t>DS119.7 .S37413</t>
        </is>
      </c>
      <c r="C298" t="inlineStr">
        <is>
          <t>0                      DS 0119700S  37413</t>
        </is>
      </c>
      <c r="D298" t="inlineStr">
        <is>
          <t>After the guns fall silent : peace or Armageddon in the Middle East / Mohamed Sid-Ahmed ; foreword by Lord Caradon.</t>
        </is>
      </c>
      <c r="F298" t="inlineStr">
        <is>
          <t>No</t>
        </is>
      </c>
      <c r="G298" t="inlineStr">
        <is>
          <t>1</t>
        </is>
      </c>
      <c r="H298" t="inlineStr">
        <is>
          <t>No</t>
        </is>
      </c>
      <c r="I298" t="inlineStr">
        <is>
          <t>No</t>
        </is>
      </c>
      <c r="J298" t="inlineStr">
        <is>
          <t>0</t>
        </is>
      </c>
      <c r="K298" t="inlineStr">
        <is>
          <t>Sayyid Aḥmad, Muḥammad, 1928-</t>
        </is>
      </c>
      <c r="L298" t="inlineStr">
        <is>
          <t>London : Croom Helm, 1976.</t>
        </is>
      </c>
      <c r="M298" t="inlineStr">
        <is>
          <t>1976</t>
        </is>
      </c>
      <c r="O298" t="inlineStr">
        <is>
          <t>eng</t>
        </is>
      </c>
      <c r="P298" t="inlineStr">
        <is>
          <t>enk</t>
        </is>
      </c>
      <c r="R298" t="inlineStr">
        <is>
          <t xml:space="preserve">DS </t>
        </is>
      </c>
      <c r="S298" t="n">
        <v>3</v>
      </c>
      <c r="T298" t="n">
        <v>3</v>
      </c>
      <c r="U298" t="inlineStr">
        <is>
          <t>1995-11-12</t>
        </is>
      </c>
      <c r="V298" t="inlineStr">
        <is>
          <t>1995-11-12</t>
        </is>
      </c>
      <c r="W298" t="inlineStr">
        <is>
          <t>1990-10-01</t>
        </is>
      </c>
      <c r="X298" t="inlineStr">
        <is>
          <t>1990-10-01</t>
        </is>
      </c>
      <c r="Y298" t="n">
        <v>269</v>
      </c>
      <c r="Z298" t="n">
        <v>168</v>
      </c>
      <c r="AA298" t="n">
        <v>376</v>
      </c>
      <c r="AB298" t="n">
        <v>2</v>
      </c>
      <c r="AC298" t="n">
        <v>2</v>
      </c>
      <c r="AD298" t="n">
        <v>11</v>
      </c>
      <c r="AE298" t="n">
        <v>15</v>
      </c>
      <c r="AF298" t="n">
        <v>7</v>
      </c>
      <c r="AG298" t="n">
        <v>9</v>
      </c>
      <c r="AH298" t="n">
        <v>2</v>
      </c>
      <c r="AI298" t="n">
        <v>4</v>
      </c>
      <c r="AJ298" t="n">
        <v>4</v>
      </c>
      <c r="AK298" t="n">
        <v>4</v>
      </c>
      <c r="AL298" t="n">
        <v>1</v>
      </c>
      <c r="AM298" t="n">
        <v>1</v>
      </c>
      <c r="AN298" t="n">
        <v>0</v>
      </c>
      <c r="AO298" t="n">
        <v>0</v>
      </c>
      <c r="AP298" t="inlineStr">
        <is>
          <t>No</t>
        </is>
      </c>
      <c r="AQ298" t="inlineStr">
        <is>
          <t>No</t>
        </is>
      </c>
      <c r="AS298">
        <f>HYPERLINK("https://creighton-primo.hosted.exlibrisgroup.com/primo-explore/search?tab=default_tab&amp;search_scope=EVERYTHING&amp;vid=01CRU&amp;lang=en_US&amp;offset=0&amp;query=any,contains,991004276589702656","Catalog Record")</f>
        <v/>
      </c>
      <c r="AT298">
        <f>HYPERLINK("http://www.worldcat.org/oclc/2895239","WorldCat Record")</f>
        <v/>
      </c>
      <c r="AU298" t="inlineStr">
        <is>
          <t>2452792124:eng</t>
        </is>
      </c>
      <c r="AV298" t="inlineStr">
        <is>
          <t>2895239</t>
        </is>
      </c>
      <c r="AW298" t="inlineStr">
        <is>
          <t>991004276589702656</t>
        </is>
      </c>
      <c r="AX298" t="inlineStr">
        <is>
          <t>991004276589702656</t>
        </is>
      </c>
      <c r="AY298" t="inlineStr">
        <is>
          <t>2269003060002656</t>
        </is>
      </c>
      <c r="AZ298" t="inlineStr">
        <is>
          <t>BOOK</t>
        </is>
      </c>
      <c r="BB298" t="inlineStr">
        <is>
          <t>9780856641848</t>
        </is>
      </c>
      <c r="BC298" t="inlineStr">
        <is>
          <t>32285000293612</t>
        </is>
      </c>
      <c r="BD298" t="inlineStr">
        <is>
          <t>893628072</t>
        </is>
      </c>
    </row>
    <row r="299">
      <c r="A299" t="inlineStr">
        <is>
          <t>No</t>
        </is>
      </c>
      <c r="B299" t="inlineStr">
        <is>
          <t>DS119.7 .S37933 1999</t>
        </is>
      </c>
      <c r="C299" t="inlineStr">
        <is>
          <t>0                      DS 0119700S  37933       1999</t>
        </is>
      </c>
      <c r="D299" t="inlineStr">
        <is>
          <t>The reconstruction of Palestinian nationalism : between revolution and statehood / Helena Lindholm Schulz.</t>
        </is>
      </c>
      <c r="F299" t="inlineStr">
        <is>
          <t>No</t>
        </is>
      </c>
      <c r="G299" t="inlineStr">
        <is>
          <t>1</t>
        </is>
      </c>
      <c r="H299" t="inlineStr">
        <is>
          <t>No</t>
        </is>
      </c>
      <c r="I299" t="inlineStr">
        <is>
          <t>No</t>
        </is>
      </c>
      <c r="J299" t="inlineStr">
        <is>
          <t>0</t>
        </is>
      </c>
      <c r="K299" t="inlineStr">
        <is>
          <t>Schulz, Helena Lindholm.</t>
        </is>
      </c>
      <c r="L299" t="inlineStr">
        <is>
          <t>Manchester ; New York : Manchester University Press ; New York : Distributed exclusively in the USA by St. Martin's Press, c1999.</t>
        </is>
      </c>
      <c r="M299" t="inlineStr">
        <is>
          <t>1999</t>
        </is>
      </c>
      <c r="O299" t="inlineStr">
        <is>
          <t>eng</t>
        </is>
      </c>
      <c r="P299" t="inlineStr">
        <is>
          <t>enk</t>
        </is>
      </c>
      <c r="Q299" t="inlineStr">
        <is>
          <t>New approaches to conflict analysis</t>
        </is>
      </c>
      <c r="R299" t="inlineStr">
        <is>
          <t xml:space="preserve">DS </t>
        </is>
      </c>
      <c r="S299" t="n">
        <v>8</v>
      </c>
      <c r="T299" t="n">
        <v>8</v>
      </c>
      <c r="U299" t="inlineStr">
        <is>
          <t>2009-08-28</t>
        </is>
      </c>
      <c r="V299" t="inlineStr">
        <is>
          <t>2009-08-28</t>
        </is>
      </c>
      <c r="W299" t="inlineStr">
        <is>
          <t>2002-10-22</t>
        </is>
      </c>
      <c r="X299" t="inlineStr">
        <is>
          <t>2002-10-22</t>
        </is>
      </c>
      <c r="Y299" t="n">
        <v>227</v>
      </c>
      <c r="Z299" t="n">
        <v>169</v>
      </c>
      <c r="AA299" t="n">
        <v>171</v>
      </c>
      <c r="AB299" t="n">
        <v>2</v>
      </c>
      <c r="AC299" t="n">
        <v>2</v>
      </c>
      <c r="AD299" t="n">
        <v>9</v>
      </c>
      <c r="AE299" t="n">
        <v>9</v>
      </c>
      <c r="AF299" t="n">
        <v>1</v>
      </c>
      <c r="AG299" t="n">
        <v>1</v>
      </c>
      <c r="AH299" t="n">
        <v>4</v>
      </c>
      <c r="AI299" t="n">
        <v>4</v>
      </c>
      <c r="AJ299" t="n">
        <v>5</v>
      </c>
      <c r="AK299" t="n">
        <v>5</v>
      </c>
      <c r="AL299" t="n">
        <v>1</v>
      </c>
      <c r="AM299" t="n">
        <v>1</v>
      </c>
      <c r="AN299" t="n">
        <v>0</v>
      </c>
      <c r="AO299" t="n">
        <v>0</v>
      </c>
      <c r="AP299" t="inlineStr">
        <is>
          <t>No</t>
        </is>
      </c>
      <c r="AQ299" t="inlineStr">
        <is>
          <t>Yes</t>
        </is>
      </c>
      <c r="AR299">
        <f>HYPERLINK("http://catalog.hathitrust.org/Record/004716500","HathiTrust Record")</f>
        <v/>
      </c>
      <c r="AS299">
        <f>HYPERLINK("https://creighton-primo.hosted.exlibrisgroup.com/primo-explore/search?tab=default_tab&amp;search_scope=EVERYTHING&amp;vid=01CRU&amp;lang=en_US&amp;offset=0&amp;query=any,contains,991003875559702656","Catalog Record")</f>
        <v/>
      </c>
      <c r="AT299">
        <f>HYPERLINK("http://www.worldcat.org/oclc/40609033","WorldCat Record")</f>
        <v/>
      </c>
      <c r="AU299" t="inlineStr">
        <is>
          <t>436046492:eng</t>
        </is>
      </c>
      <c r="AV299" t="inlineStr">
        <is>
          <t>40609033</t>
        </is>
      </c>
      <c r="AW299" t="inlineStr">
        <is>
          <t>991003875559702656</t>
        </is>
      </c>
      <c r="AX299" t="inlineStr">
        <is>
          <t>991003875559702656</t>
        </is>
      </c>
      <c r="AY299" t="inlineStr">
        <is>
          <t>2269814260002656</t>
        </is>
      </c>
      <c r="AZ299" t="inlineStr">
        <is>
          <t>BOOK</t>
        </is>
      </c>
      <c r="BB299" t="inlineStr">
        <is>
          <t>9780719055966</t>
        </is>
      </c>
      <c r="BC299" t="inlineStr">
        <is>
          <t>32285004656590</t>
        </is>
      </c>
      <c r="BD299" t="inlineStr">
        <is>
          <t>893599092</t>
        </is>
      </c>
    </row>
    <row r="300">
      <c r="A300" t="inlineStr">
        <is>
          <t>No</t>
        </is>
      </c>
      <c r="B300" t="inlineStr">
        <is>
          <t>DS119.7 .S4678 1988</t>
        </is>
      </c>
      <c r="C300" t="inlineStr">
        <is>
          <t>0                      DS 0119700S  4678        1988</t>
        </is>
      </c>
      <c r="D300" t="inlineStr">
        <is>
          <t>The Palestinian Entity, 1959-1974 : Arab politics and the PLO / Moshe Shemesh.</t>
        </is>
      </c>
      <c r="F300" t="inlineStr">
        <is>
          <t>No</t>
        </is>
      </c>
      <c r="G300" t="inlineStr">
        <is>
          <t>1</t>
        </is>
      </c>
      <c r="H300" t="inlineStr">
        <is>
          <t>No</t>
        </is>
      </c>
      <c r="I300" t="inlineStr">
        <is>
          <t>No</t>
        </is>
      </c>
      <c r="J300" t="inlineStr">
        <is>
          <t>0</t>
        </is>
      </c>
      <c r="K300" t="inlineStr">
        <is>
          <t>Shemesh, Moshe.</t>
        </is>
      </c>
      <c r="L300" t="inlineStr">
        <is>
          <t>London, England ; Totowa, N.J. : F. Cass, 1988.</t>
        </is>
      </c>
      <c r="M300" t="inlineStr">
        <is>
          <t>1988</t>
        </is>
      </c>
      <c r="O300" t="inlineStr">
        <is>
          <t>eng</t>
        </is>
      </c>
      <c r="P300" t="inlineStr">
        <is>
          <t>enk</t>
        </is>
      </c>
      <c r="R300" t="inlineStr">
        <is>
          <t xml:space="preserve">DS </t>
        </is>
      </c>
      <c r="S300" t="n">
        <v>6</v>
      </c>
      <c r="T300" t="n">
        <v>6</v>
      </c>
      <c r="U300" t="inlineStr">
        <is>
          <t>2008-09-26</t>
        </is>
      </c>
      <c r="V300" t="inlineStr">
        <is>
          <t>2008-09-26</t>
        </is>
      </c>
      <c r="W300" t="inlineStr">
        <is>
          <t>1990-08-16</t>
        </is>
      </c>
      <c r="X300" t="inlineStr">
        <is>
          <t>1990-08-16</t>
        </is>
      </c>
      <c r="Y300" t="n">
        <v>273</v>
      </c>
      <c r="Z300" t="n">
        <v>192</v>
      </c>
      <c r="AA300" t="n">
        <v>267</v>
      </c>
      <c r="AB300" t="n">
        <v>2</v>
      </c>
      <c r="AC300" t="n">
        <v>2</v>
      </c>
      <c r="AD300" t="n">
        <v>8</v>
      </c>
      <c r="AE300" t="n">
        <v>12</v>
      </c>
      <c r="AF300" t="n">
        <v>1</v>
      </c>
      <c r="AG300" t="n">
        <v>3</v>
      </c>
      <c r="AH300" t="n">
        <v>4</v>
      </c>
      <c r="AI300" t="n">
        <v>5</v>
      </c>
      <c r="AJ300" t="n">
        <v>3</v>
      </c>
      <c r="AK300" t="n">
        <v>6</v>
      </c>
      <c r="AL300" t="n">
        <v>1</v>
      </c>
      <c r="AM300" t="n">
        <v>1</v>
      </c>
      <c r="AN300" t="n">
        <v>0</v>
      </c>
      <c r="AO300" t="n">
        <v>0</v>
      </c>
      <c r="AP300" t="inlineStr">
        <is>
          <t>No</t>
        </is>
      </c>
      <c r="AQ300" t="inlineStr">
        <is>
          <t>No</t>
        </is>
      </c>
      <c r="AS300">
        <f>HYPERLINK("https://creighton-primo.hosted.exlibrisgroup.com/primo-explore/search?tab=default_tab&amp;search_scope=EVERYTHING&amp;vid=01CRU&amp;lang=en_US&amp;offset=0&amp;query=any,contains,991001227279702656","Catalog Record")</f>
        <v/>
      </c>
      <c r="AT300">
        <f>HYPERLINK("http://www.worldcat.org/oclc/17509321","WorldCat Record")</f>
        <v/>
      </c>
      <c r="AU300" t="inlineStr">
        <is>
          <t>2698517:eng</t>
        </is>
      </c>
      <c r="AV300" t="inlineStr">
        <is>
          <t>17509321</t>
        </is>
      </c>
      <c r="AW300" t="inlineStr">
        <is>
          <t>991001227279702656</t>
        </is>
      </c>
      <c r="AX300" t="inlineStr">
        <is>
          <t>991001227279702656</t>
        </is>
      </c>
      <c r="AY300" t="inlineStr">
        <is>
          <t>2266050340002656</t>
        </is>
      </c>
      <c r="AZ300" t="inlineStr">
        <is>
          <t>BOOK</t>
        </is>
      </c>
      <c r="BB300" t="inlineStr">
        <is>
          <t>9780714632810</t>
        </is>
      </c>
      <c r="BC300" t="inlineStr">
        <is>
          <t>32285000274992</t>
        </is>
      </c>
      <c r="BD300" t="inlineStr">
        <is>
          <t>893407961</t>
        </is>
      </c>
    </row>
    <row r="301">
      <c r="A301" t="inlineStr">
        <is>
          <t>No</t>
        </is>
      </c>
      <c r="B301" t="inlineStr">
        <is>
          <t>DS119.7 .S4762 2000</t>
        </is>
      </c>
      <c r="C301" t="inlineStr">
        <is>
          <t>0                      DS 0119700S  4762        2000</t>
        </is>
      </c>
      <c r="D301" t="inlineStr">
        <is>
          <t>The iron wall : Israel and the Arab world / Avi Shlaim.</t>
        </is>
      </c>
      <c r="F301" t="inlineStr">
        <is>
          <t>No</t>
        </is>
      </c>
      <c r="G301" t="inlineStr">
        <is>
          <t>1</t>
        </is>
      </c>
      <c r="H301" t="inlineStr">
        <is>
          <t>No</t>
        </is>
      </c>
      <c r="I301" t="inlineStr">
        <is>
          <t>No</t>
        </is>
      </c>
      <c r="J301" t="inlineStr">
        <is>
          <t>0</t>
        </is>
      </c>
      <c r="K301" t="inlineStr">
        <is>
          <t>Shlaim, Avi.</t>
        </is>
      </c>
      <c r="L301" t="inlineStr">
        <is>
          <t>New York : W.W. Norton, 2000.</t>
        </is>
      </c>
      <c r="M301" t="inlineStr">
        <is>
          <t>2000</t>
        </is>
      </c>
      <c r="O301" t="inlineStr">
        <is>
          <t>eng</t>
        </is>
      </c>
      <c r="P301" t="inlineStr">
        <is>
          <t>nyu</t>
        </is>
      </c>
      <c r="R301" t="inlineStr">
        <is>
          <t xml:space="preserve">DS </t>
        </is>
      </c>
      <c r="S301" t="n">
        <v>9</v>
      </c>
      <c r="T301" t="n">
        <v>9</v>
      </c>
      <c r="U301" t="inlineStr">
        <is>
          <t>2004-06-24</t>
        </is>
      </c>
      <c r="V301" t="inlineStr">
        <is>
          <t>2004-06-24</t>
        </is>
      </c>
      <c r="W301" t="inlineStr">
        <is>
          <t>2000-01-19</t>
        </is>
      </c>
      <c r="X301" t="inlineStr">
        <is>
          <t>2000-01-19</t>
        </is>
      </c>
      <c r="Y301" t="n">
        <v>844</v>
      </c>
      <c r="Z301" t="n">
        <v>758</v>
      </c>
      <c r="AA301" t="n">
        <v>1035</v>
      </c>
      <c r="AB301" t="n">
        <v>6</v>
      </c>
      <c r="AC301" t="n">
        <v>6</v>
      </c>
      <c r="AD301" t="n">
        <v>30</v>
      </c>
      <c r="AE301" t="n">
        <v>41</v>
      </c>
      <c r="AF301" t="n">
        <v>11</v>
      </c>
      <c r="AG301" t="n">
        <v>16</v>
      </c>
      <c r="AH301" t="n">
        <v>9</v>
      </c>
      <c r="AI301" t="n">
        <v>11</v>
      </c>
      <c r="AJ301" t="n">
        <v>12</v>
      </c>
      <c r="AK301" t="n">
        <v>19</v>
      </c>
      <c r="AL301" t="n">
        <v>5</v>
      </c>
      <c r="AM301" t="n">
        <v>5</v>
      </c>
      <c r="AN301" t="n">
        <v>0</v>
      </c>
      <c r="AO301" t="n">
        <v>0</v>
      </c>
      <c r="AP301" t="inlineStr">
        <is>
          <t>No</t>
        </is>
      </c>
      <c r="AQ301" t="inlineStr">
        <is>
          <t>No</t>
        </is>
      </c>
      <c r="AS301">
        <f>HYPERLINK("https://creighton-primo.hosted.exlibrisgroup.com/primo-explore/search?tab=default_tab&amp;search_scope=EVERYTHING&amp;vid=01CRU&amp;lang=en_US&amp;offset=0&amp;query=any,contains,991003017949702656","Catalog Record")</f>
        <v/>
      </c>
      <c r="AT301">
        <f>HYPERLINK("http://www.worldcat.org/oclc/41076254","WorldCat Record")</f>
        <v/>
      </c>
      <c r="AU301" t="inlineStr">
        <is>
          <t>45025:eng</t>
        </is>
      </c>
      <c r="AV301" t="inlineStr">
        <is>
          <t>41076254</t>
        </is>
      </c>
      <c r="AW301" t="inlineStr">
        <is>
          <t>991003017949702656</t>
        </is>
      </c>
      <c r="AX301" t="inlineStr">
        <is>
          <t>991003017949702656</t>
        </is>
      </c>
      <c r="AY301" t="inlineStr">
        <is>
          <t>2262390900002656</t>
        </is>
      </c>
      <c r="AZ301" t="inlineStr">
        <is>
          <t>BOOK</t>
        </is>
      </c>
      <c r="BB301" t="inlineStr">
        <is>
          <t>9780393048162</t>
        </is>
      </c>
      <c r="BC301" t="inlineStr">
        <is>
          <t>32285003643037</t>
        </is>
      </c>
      <c r="BD301" t="inlineStr">
        <is>
          <t>893598169</t>
        </is>
      </c>
    </row>
    <row r="302">
      <c r="A302" t="inlineStr">
        <is>
          <t>No</t>
        </is>
      </c>
      <c r="B302" t="inlineStr">
        <is>
          <t>DS119.7 .S618 1988</t>
        </is>
      </c>
      <c r="C302" t="inlineStr">
        <is>
          <t>0                      DS 0119700S  618         1988</t>
        </is>
      </c>
      <c r="D302" t="inlineStr">
        <is>
          <t>Palestine and the Arab-Israeli conflict / Charles D. Smith.</t>
        </is>
      </c>
      <c r="F302" t="inlineStr">
        <is>
          <t>No</t>
        </is>
      </c>
      <c r="G302" t="inlineStr">
        <is>
          <t>1</t>
        </is>
      </c>
      <c r="H302" t="inlineStr">
        <is>
          <t>No</t>
        </is>
      </c>
      <c r="I302" t="inlineStr">
        <is>
          <t>No</t>
        </is>
      </c>
      <c r="J302" t="inlineStr">
        <is>
          <t>0</t>
        </is>
      </c>
      <c r="K302" t="inlineStr">
        <is>
          <t>Smith, Charles D., 1936-</t>
        </is>
      </c>
      <c r="L302" t="inlineStr">
        <is>
          <t>New York : St. Martin's Press, 1988.</t>
        </is>
      </c>
      <c r="M302" t="inlineStr">
        <is>
          <t>1988</t>
        </is>
      </c>
      <c r="O302" t="inlineStr">
        <is>
          <t>eng</t>
        </is>
      </c>
      <c r="P302" t="inlineStr">
        <is>
          <t>nyu</t>
        </is>
      </c>
      <c r="R302" t="inlineStr">
        <is>
          <t xml:space="preserve">DS </t>
        </is>
      </c>
      <c r="S302" t="n">
        <v>12</v>
      </c>
      <c r="T302" t="n">
        <v>12</v>
      </c>
      <c r="U302" t="inlineStr">
        <is>
          <t>2010-08-03</t>
        </is>
      </c>
      <c r="V302" t="inlineStr">
        <is>
          <t>2010-08-03</t>
        </is>
      </c>
      <c r="W302" t="inlineStr">
        <is>
          <t>1990-05-01</t>
        </is>
      </c>
      <c r="X302" t="inlineStr">
        <is>
          <t>1990-05-01</t>
        </is>
      </c>
      <c r="Y302" t="n">
        <v>494</v>
      </c>
      <c r="Z302" t="n">
        <v>419</v>
      </c>
      <c r="AA302" t="n">
        <v>1127</v>
      </c>
      <c r="AB302" t="n">
        <v>1</v>
      </c>
      <c r="AC302" t="n">
        <v>6</v>
      </c>
      <c r="AD302" t="n">
        <v>18</v>
      </c>
      <c r="AE302" t="n">
        <v>46</v>
      </c>
      <c r="AF302" t="n">
        <v>9</v>
      </c>
      <c r="AG302" t="n">
        <v>24</v>
      </c>
      <c r="AH302" t="n">
        <v>4</v>
      </c>
      <c r="AI302" t="n">
        <v>8</v>
      </c>
      <c r="AJ302" t="n">
        <v>11</v>
      </c>
      <c r="AK302" t="n">
        <v>22</v>
      </c>
      <c r="AL302" t="n">
        <v>0</v>
      </c>
      <c r="AM302" t="n">
        <v>4</v>
      </c>
      <c r="AN302" t="n">
        <v>0</v>
      </c>
      <c r="AO302" t="n">
        <v>0</v>
      </c>
      <c r="AP302" t="inlineStr">
        <is>
          <t>No</t>
        </is>
      </c>
      <c r="AQ302" t="inlineStr">
        <is>
          <t>No</t>
        </is>
      </c>
      <c r="AS302">
        <f>HYPERLINK("https://creighton-primo.hosted.exlibrisgroup.com/primo-explore/search?tab=default_tab&amp;search_scope=EVERYTHING&amp;vid=01CRU&amp;lang=en_US&amp;offset=0&amp;query=any,contains,991001137109702656","Catalog Record")</f>
        <v/>
      </c>
      <c r="AT302">
        <f>HYPERLINK("http://www.worldcat.org/oclc/16717133","WorldCat Record")</f>
        <v/>
      </c>
      <c r="AU302" t="inlineStr">
        <is>
          <t>676327:eng</t>
        </is>
      </c>
      <c r="AV302" t="inlineStr">
        <is>
          <t>16717133</t>
        </is>
      </c>
      <c r="AW302" t="inlineStr">
        <is>
          <t>991001137109702656</t>
        </is>
      </c>
      <c r="AX302" t="inlineStr">
        <is>
          <t>991001137109702656</t>
        </is>
      </c>
      <c r="AY302" t="inlineStr">
        <is>
          <t>2256630950002656</t>
        </is>
      </c>
      <c r="AZ302" t="inlineStr">
        <is>
          <t>BOOK</t>
        </is>
      </c>
      <c r="BB302" t="inlineStr">
        <is>
          <t>9780312003012</t>
        </is>
      </c>
      <c r="BC302" t="inlineStr">
        <is>
          <t>32285000145010</t>
        </is>
      </c>
      <c r="BD302" t="inlineStr">
        <is>
          <t>893346275</t>
        </is>
      </c>
    </row>
    <row r="303">
      <c r="A303" t="inlineStr">
        <is>
          <t>No</t>
        </is>
      </c>
      <c r="B303" t="inlineStr">
        <is>
          <t>DS119.7 .S682 1982</t>
        </is>
      </c>
      <c r="C303" t="inlineStr">
        <is>
          <t>0                      DS 0119700S  682         1982</t>
        </is>
      </c>
      <c r="D303" t="inlineStr">
        <is>
          <t>The Palestinians : victims of expediency / Desmond Stewart.</t>
        </is>
      </c>
      <c r="F303" t="inlineStr">
        <is>
          <t>No</t>
        </is>
      </c>
      <c r="G303" t="inlineStr">
        <is>
          <t>1</t>
        </is>
      </c>
      <c r="H303" t="inlineStr">
        <is>
          <t>No</t>
        </is>
      </c>
      <c r="I303" t="inlineStr">
        <is>
          <t>No</t>
        </is>
      </c>
      <c r="J303" t="inlineStr">
        <is>
          <t>0</t>
        </is>
      </c>
      <c r="K303" t="inlineStr">
        <is>
          <t>Stewart, Desmond, 1924-1981.</t>
        </is>
      </c>
      <c r="L303" t="inlineStr">
        <is>
          <t>London ; New York : Quartet Books, 1982.</t>
        </is>
      </c>
      <c r="M303" t="inlineStr">
        <is>
          <t>1982</t>
        </is>
      </c>
      <c r="O303" t="inlineStr">
        <is>
          <t>eng</t>
        </is>
      </c>
      <c r="P303" t="inlineStr">
        <is>
          <t>enk</t>
        </is>
      </c>
      <c r="R303" t="inlineStr">
        <is>
          <t xml:space="preserve">DS </t>
        </is>
      </c>
      <c r="S303" t="n">
        <v>1</v>
      </c>
      <c r="T303" t="n">
        <v>1</v>
      </c>
      <c r="U303" t="inlineStr">
        <is>
          <t>1992-03-24</t>
        </is>
      </c>
      <c r="V303" t="inlineStr">
        <is>
          <t>1992-03-24</t>
        </is>
      </c>
      <c r="W303" t="inlineStr">
        <is>
          <t>1990-10-01</t>
        </is>
      </c>
      <c r="X303" t="inlineStr">
        <is>
          <t>1990-10-01</t>
        </is>
      </c>
      <c r="Y303" t="n">
        <v>216</v>
      </c>
      <c r="Z303" t="n">
        <v>139</v>
      </c>
      <c r="AA303" t="n">
        <v>141</v>
      </c>
      <c r="AB303" t="n">
        <v>1</v>
      </c>
      <c r="AC303" t="n">
        <v>1</v>
      </c>
      <c r="AD303" t="n">
        <v>3</v>
      </c>
      <c r="AE303" t="n">
        <v>3</v>
      </c>
      <c r="AF303" t="n">
        <v>0</v>
      </c>
      <c r="AG303" t="n">
        <v>0</v>
      </c>
      <c r="AH303" t="n">
        <v>2</v>
      </c>
      <c r="AI303" t="n">
        <v>2</v>
      </c>
      <c r="AJ303" t="n">
        <v>2</v>
      </c>
      <c r="AK303" t="n">
        <v>2</v>
      </c>
      <c r="AL303" t="n">
        <v>0</v>
      </c>
      <c r="AM303" t="n">
        <v>0</v>
      </c>
      <c r="AN303" t="n">
        <v>0</v>
      </c>
      <c r="AO303" t="n">
        <v>0</v>
      </c>
      <c r="AP303" t="inlineStr">
        <is>
          <t>No</t>
        </is>
      </c>
      <c r="AQ303" t="inlineStr">
        <is>
          <t>Yes</t>
        </is>
      </c>
      <c r="AR303">
        <f>HYPERLINK("http://catalog.hathitrust.org/Record/000193227","HathiTrust Record")</f>
        <v/>
      </c>
      <c r="AS303">
        <f>HYPERLINK("https://creighton-primo.hosted.exlibrisgroup.com/primo-explore/search?tab=default_tab&amp;search_scope=EVERYTHING&amp;vid=01CRU&amp;lang=en_US&amp;offset=0&amp;query=any,contains,991000168029702656","Catalog Record")</f>
        <v/>
      </c>
      <c r="AT303">
        <f>HYPERLINK("http://www.worldcat.org/oclc/9371601","WorldCat Record")</f>
        <v/>
      </c>
      <c r="AU303" t="inlineStr">
        <is>
          <t>42817571:eng</t>
        </is>
      </c>
      <c r="AV303" t="inlineStr">
        <is>
          <t>9371601</t>
        </is>
      </c>
      <c r="AW303" t="inlineStr">
        <is>
          <t>991000168029702656</t>
        </is>
      </c>
      <c r="AX303" t="inlineStr">
        <is>
          <t>991000168029702656</t>
        </is>
      </c>
      <c r="AY303" t="inlineStr">
        <is>
          <t>2260174770002656</t>
        </is>
      </c>
      <c r="AZ303" t="inlineStr">
        <is>
          <t>BOOK</t>
        </is>
      </c>
      <c r="BB303" t="inlineStr">
        <is>
          <t>9780704323575</t>
        </is>
      </c>
      <c r="BC303" t="inlineStr">
        <is>
          <t>32285000293620</t>
        </is>
      </c>
      <c r="BD303" t="inlineStr">
        <is>
          <t>893333266</t>
        </is>
      </c>
    </row>
    <row r="304">
      <c r="A304" t="inlineStr">
        <is>
          <t>No</t>
        </is>
      </c>
      <c r="B304" t="inlineStr">
        <is>
          <t>DS119.7 .T667 1982</t>
        </is>
      </c>
      <c r="C304" t="inlineStr">
        <is>
          <t>0                      DS 0119700T  667         1982</t>
        </is>
      </c>
      <c r="D304" t="inlineStr">
        <is>
          <t>The peace brokers : mediators in the Arab-Israeli conflict, 1948-1979 / Saadia Touval.</t>
        </is>
      </c>
      <c r="F304" t="inlineStr">
        <is>
          <t>No</t>
        </is>
      </c>
      <c r="G304" t="inlineStr">
        <is>
          <t>1</t>
        </is>
      </c>
      <c r="H304" t="inlineStr">
        <is>
          <t>No</t>
        </is>
      </c>
      <c r="I304" t="inlineStr">
        <is>
          <t>No</t>
        </is>
      </c>
      <c r="J304" t="inlineStr">
        <is>
          <t>0</t>
        </is>
      </c>
      <c r="K304" t="inlineStr">
        <is>
          <t>Touval, Saadia.</t>
        </is>
      </c>
      <c r="L304" t="inlineStr">
        <is>
          <t>Princeton, N.J. : Princeton University Press, c1982.</t>
        </is>
      </c>
      <c r="M304" t="inlineStr">
        <is>
          <t>1982</t>
        </is>
      </c>
      <c r="O304" t="inlineStr">
        <is>
          <t>eng</t>
        </is>
      </c>
      <c r="P304" t="inlineStr">
        <is>
          <t>nju</t>
        </is>
      </c>
      <c r="R304" t="inlineStr">
        <is>
          <t xml:space="preserve">DS </t>
        </is>
      </c>
      <c r="S304" t="n">
        <v>1</v>
      </c>
      <c r="T304" t="n">
        <v>1</v>
      </c>
      <c r="U304" t="inlineStr">
        <is>
          <t>2003-02-17</t>
        </is>
      </c>
      <c r="V304" t="inlineStr">
        <is>
          <t>2003-02-17</t>
        </is>
      </c>
      <c r="W304" t="inlineStr">
        <is>
          <t>1990-10-01</t>
        </is>
      </c>
      <c r="X304" t="inlineStr">
        <is>
          <t>1990-10-01</t>
        </is>
      </c>
      <c r="Y304" t="n">
        <v>640</v>
      </c>
      <c r="Z304" t="n">
        <v>521</v>
      </c>
      <c r="AA304" t="n">
        <v>527</v>
      </c>
      <c r="AB304" t="n">
        <v>3</v>
      </c>
      <c r="AC304" t="n">
        <v>3</v>
      </c>
      <c r="AD304" t="n">
        <v>25</v>
      </c>
      <c r="AE304" t="n">
        <v>26</v>
      </c>
      <c r="AF304" t="n">
        <v>10</v>
      </c>
      <c r="AG304" t="n">
        <v>11</v>
      </c>
      <c r="AH304" t="n">
        <v>8</v>
      </c>
      <c r="AI304" t="n">
        <v>8</v>
      </c>
      <c r="AJ304" t="n">
        <v>11</v>
      </c>
      <c r="AK304" t="n">
        <v>11</v>
      </c>
      <c r="AL304" t="n">
        <v>2</v>
      </c>
      <c r="AM304" t="n">
        <v>2</v>
      </c>
      <c r="AN304" t="n">
        <v>0</v>
      </c>
      <c r="AO304" t="n">
        <v>0</v>
      </c>
      <c r="AP304" t="inlineStr">
        <is>
          <t>No</t>
        </is>
      </c>
      <c r="AQ304" t="inlineStr">
        <is>
          <t>No</t>
        </is>
      </c>
      <c r="AS304">
        <f>HYPERLINK("https://creighton-primo.hosted.exlibrisgroup.com/primo-explore/search?tab=default_tab&amp;search_scope=EVERYTHING&amp;vid=01CRU&amp;lang=en_US&amp;offset=0&amp;query=any,contains,991005225069702656","Catalog Record")</f>
        <v/>
      </c>
      <c r="AT304">
        <f>HYPERLINK("http://www.worldcat.org/oclc/8280491","WorldCat Record")</f>
        <v/>
      </c>
      <c r="AU304" t="inlineStr">
        <is>
          <t>20723568:eng</t>
        </is>
      </c>
      <c r="AV304" t="inlineStr">
        <is>
          <t>8280491</t>
        </is>
      </c>
      <c r="AW304" t="inlineStr">
        <is>
          <t>991005225069702656</t>
        </is>
      </c>
      <c r="AX304" t="inlineStr">
        <is>
          <t>991005225069702656</t>
        </is>
      </c>
      <c r="AY304" t="inlineStr">
        <is>
          <t>2257261850002656</t>
        </is>
      </c>
      <c r="AZ304" t="inlineStr">
        <is>
          <t>BOOK</t>
        </is>
      </c>
      <c r="BB304" t="inlineStr">
        <is>
          <t>9780691076386</t>
        </is>
      </c>
      <c r="BC304" t="inlineStr">
        <is>
          <t>32285000293638</t>
        </is>
      </c>
      <c r="BD304" t="inlineStr">
        <is>
          <t>893713670</t>
        </is>
      </c>
    </row>
    <row r="305">
      <c r="A305" t="inlineStr">
        <is>
          <t>No</t>
        </is>
      </c>
      <c r="B305" t="inlineStr">
        <is>
          <t>DS119.7 .T67 1988</t>
        </is>
      </c>
      <c r="C305" t="inlineStr">
        <is>
          <t>0                      DS 0119700T  67          1988</t>
        </is>
      </c>
      <c r="D305" t="inlineStr">
        <is>
          <t>Toward Arab-Israeli peace : report of a study group / Brookings Study Group on Arab-Israeli Peace.</t>
        </is>
      </c>
      <c r="F305" t="inlineStr">
        <is>
          <t>No</t>
        </is>
      </c>
      <c r="G305" t="inlineStr">
        <is>
          <t>1</t>
        </is>
      </c>
      <c r="H305" t="inlineStr">
        <is>
          <t>No</t>
        </is>
      </c>
      <c r="I305" t="inlineStr">
        <is>
          <t>No</t>
        </is>
      </c>
      <c r="J305" t="inlineStr">
        <is>
          <t>0</t>
        </is>
      </c>
      <c r="L305" t="inlineStr">
        <is>
          <t>Washington : Brookings Institution, c1988.</t>
        </is>
      </c>
      <c r="M305" t="inlineStr">
        <is>
          <t>1988</t>
        </is>
      </c>
      <c r="O305" t="inlineStr">
        <is>
          <t>eng</t>
        </is>
      </c>
      <c r="P305" t="inlineStr">
        <is>
          <t>dcu</t>
        </is>
      </c>
      <c r="R305" t="inlineStr">
        <is>
          <t xml:space="preserve">DS </t>
        </is>
      </c>
      <c r="S305" t="n">
        <v>6</v>
      </c>
      <c r="T305" t="n">
        <v>6</v>
      </c>
      <c r="U305" t="inlineStr">
        <is>
          <t>2010-04-16</t>
        </is>
      </c>
      <c r="V305" t="inlineStr">
        <is>
          <t>2010-04-16</t>
        </is>
      </c>
      <c r="W305" t="inlineStr">
        <is>
          <t>1990-05-01</t>
        </is>
      </c>
      <c r="X305" t="inlineStr">
        <is>
          <t>1990-05-01</t>
        </is>
      </c>
      <c r="Y305" t="n">
        <v>483</v>
      </c>
      <c r="Z305" t="n">
        <v>421</v>
      </c>
      <c r="AA305" t="n">
        <v>421</v>
      </c>
      <c r="AB305" t="n">
        <v>4</v>
      </c>
      <c r="AC305" t="n">
        <v>4</v>
      </c>
      <c r="AD305" t="n">
        <v>18</v>
      </c>
      <c r="AE305" t="n">
        <v>18</v>
      </c>
      <c r="AF305" t="n">
        <v>6</v>
      </c>
      <c r="AG305" t="n">
        <v>6</v>
      </c>
      <c r="AH305" t="n">
        <v>5</v>
      </c>
      <c r="AI305" t="n">
        <v>5</v>
      </c>
      <c r="AJ305" t="n">
        <v>6</v>
      </c>
      <c r="AK305" t="n">
        <v>6</v>
      </c>
      <c r="AL305" t="n">
        <v>3</v>
      </c>
      <c r="AM305" t="n">
        <v>3</v>
      </c>
      <c r="AN305" t="n">
        <v>2</v>
      </c>
      <c r="AO305" t="n">
        <v>2</v>
      </c>
      <c r="AP305" t="inlineStr">
        <is>
          <t>No</t>
        </is>
      </c>
      <c r="AQ305" t="inlineStr">
        <is>
          <t>No</t>
        </is>
      </c>
      <c r="AS305">
        <f>HYPERLINK("https://creighton-primo.hosted.exlibrisgroup.com/primo-explore/search?tab=default_tab&amp;search_scope=EVERYTHING&amp;vid=01CRU&amp;lang=en_US&amp;offset=0&amp;query=any,contains,991001263589702656","Catalog Record")</f>
        <v/>
      </c>
      <c r="AT305">
        <f>HYPERLINK("http://www.worldcat.org/oclc/17781074","WorldCat Record")</f>
        <v/>
      </c>
      <c r="AU305" t="inlineStr">
        <is>
          <t>16770616:eng</t>
        </is>
      </c>
      <c r="AV305" t="inlineStr">
        <is>
          <t>17781074</t>
        </is>
      </c>
      <c r="AW305" t="inlineStr">
        <is>
          <t>991001263589702656</t>
        </is>
      </c>
      <c r="AX305" t="inlineStr">
        <is>
          <t>991001263589702656</t>
        </is>
      </c>
      <c r="AY305" t="inlineStr">
        <is>
          <t>2269277430002656</t>
        </is>
      </c>
      <c r="AZ305" t="inlineStr">
        <is>
          <t>BOOK</t>
        </is>
      </c>
      <c r="BB305" t="inlineStr">
        <is>
          <t>9780815772910</t>
        </is>
      </c>
      <c r="BC305" t="inlineStr">
        <is>
          <t>32285000145879</t>
        </is>
      </c>
      <c r="BD305" t="inlineStr">
        <is>
          <t>893328018</t>
        </is>
      </c>
    </row>
    <row r="306">
      <c r="A306" t="inlineStr">
        <is>
          <t>No</t>
        </is>
      </c>
      <c r="B306" t="inlineStr">
        <is>
          <t>DS119.7 .T83</t>
        </is>
      </c>
      <c r="C306" t="inlineStr">
        <is>
          <t>0                      DS 0119700T  83</t>
        </is>
      </c>
      <c r="D306" t="inlineStr">
        <is>
          <t>The disinherited; journal of a Palestinian exile.</t>
        </is>
      </c>
      <c r="F306" t="inlineStr">
        <is>
          <t>No</t>
        </is>
      </c>
      <c r="G306" t="inlineStr">
        <is>
          <t>1</t>
        </is>
      </c>
      <c r="H306" t="inlineStr">
        <is>
          <t>No</t>
        </is>
      </c>
      <c r="I306" t="inlineStr">
        <is>
          <t>No</t>
        </is>
      </c>
      <c r="J306" t="inlineStr">
        <is>
          <t>0</t>
        </is>
      </c>
      <c r="K306" t="inlineStr">
        <is>
          <t>Turki, Fawaz, 1940-</t>
        </is>
      </c>
      <c r="L306" t="inlineStr">
        <is>
          <t>New York [Monthly Review Press, 1972]</t>
        </is>
      </c>
      <c r="M306" t="inlineStr">
        <is>
          <t>1972</t>
        </is>
      </c>
      <c r="O306" t="inlineStr">
        <is>
          <t>eng</t>
        </is>
      </c>
      <c r="P306" t="inlineStr">
        <is>
          <t>nyu</t>
        </is>
      </c>
      <c r="R306" t="inlineStr">
        <is>
          <t xml:space="preserve">DS </t>
        </is>
      </c>
      <c r="S306" t="n">
        <v>4</v>
      </c>
      <c r="T306" t="n">
        <v>4</v>
      </c>
      <c r="U306" t="inlineStr">
        <is>
          <t>2005-02-04</t>
        </is>
      </c>
      <c r="V306" t="inlineStr">
        <is>
          <t>2005-02-04</t>
        </is>
      </c>
      <c r="W306" t="inlineStr">
        <is>
          <t>1997-03-06</t>
        </is>
      </c>
      <c r="X306" t="inlineStr">
        <is>
          <t>1997-03-06</t>
        </is>
      </c>
      <c r="Y306" t="n">
        <v>519</v>
      </c>
      <c r="Z306" t="n">
        <v>441</v>
      </c>
      <c r="AA306" t="n">
        <v>450</v>
      </c>
      <c r="AB306" t="n">
        <v>3</v>
      </c>
      <c r="AC306" t="n">
        <v>3</v>
      </c>
      <c r="AD306" t="n">
        <v>15</v>
      </c>
      <c r="AE306" t="n">
        <v>15</v>
      </c>
      <c r="AF306" t="n">
        <v>4</v>
      </c>
      <c r="AG306" t="n">
        <v>4</v>
      </c>
      <c r="AH306" t="n">
        <v>4</v>
      </c>
      <c r="AI306" t="n">
        <v>4</v>
      </c>
      <c r="AJ306" t="n">
        <v>9</v>
      </c>
      <c r="AK306" t="n">
        <v>9</v>
      </c>
      <c r="AL306" t="n">
        <v>2</v>
      </c>
      <c r="AM306" t="n">
        <v>2</v>
      </c>
      <c r="AN306" t="n">
        <v>0</v>
      </c>
      <c r="AO306" t="n">
        <v>0</v>
      </c>
      <c r="AP306" t="inlineStr">
        <is>
          <t>No</t>
        </is>
      </c>
      <c r="AQ306" t="inlineStr">
        <is>
          <t>Yes</t>
        </is>
      </c>
      <c r="AR306">
        <f>HYPERLINK("http://catalog.hathitrust.org/Record/001242968","HathiTrust Record")</f>
        <v/>
      </c>
      <c r="AS306">
        <f>HYPERLINK("https://creighton-primo.hosted.exlibrisgroup.com/primo-explore/search?tab=default_tab&amp;search_scope=EVERYTHING&amp;vid=01CRU&amp;lang=en_US&amp;offset=0&amp;query=any,contains,991003850919702656","Catalog Record")</f>
        <v/>
      </c>
      <c r="AT306">
        <f>HYPERLINK("http://www.worldcat.org/oclc/1638871","WorldCat Record")</f>
        <v/>
      </c>
      <c r="AU306" t="inlineStr">
        <is>
          <t>510007:eng</t>
        </is>
      </c>
      <c r="AV306" t="inlineStr">
        <is>
          <t>1638871</t>
        </is>
      </c>
      <c r="AW306" t="inlineStr">
        <is>
          <t>991003850919702656</t>
        </is>
      </c>
      <c r="AX306" t="inlineStr">
        <is>
          <t>991003850919702656</t>
        </is>
      </c>
      <c r="AY306" t="inlineStr">
        <is>
          <t>2263558170002656</t>
        </is>
      </c>
      <c r="AZ306" t="inlineStr">
        <is>
          <t>BOOK</t>
        </is>
      </c>
      <c r="BB306" t="inlineStr">
        <is>
          <t>9780853452102</t>
        </is>
      </c>
      <c r="BC306" t="inlineStr">
        <is>
          <t>32285002456597</t>
        </is>
      </c>
      <c r="BD306" t="inlineStr">
        <is>
          <t>893693215</t>
        </is>
      </c>
    </row>
    <row r="307">
      <c r="A307" t="inlineStr">
        <is>
          <t>No</t>
        </is>
      </c>
      <c r="B307" t="inlineStr">
        <is>
          <t>DS119.7 .W74 1989</t>
        </is>
      </c>
      <c r="C307" t="inlineStr">
        <is>
          <t>0                      DS 0119700W  74          1989</t>
        </is>
      </c>
      <c r="D307" t="inlineStr">
        <is>
          <t>Facts and fables : the Arab-Israeli conflict / Clifford A. Wright.</t>
        </is>
      </c>
      <c r="F307" t="inlineStr">
        <is>
          <t>No</t>
        </is>
      </c>
      <c r="G307" t="inlineStr">
        <is>
          <t>1</t>
        </is>
      </c>
      <c r="H307" t="inlineStr">
        <is>
          <t>No</t>
        </is>
      </c>
      <c r="I307" t="inlineStr">
        <is>
          <t>No</t>
        </is>
      </c>
      <c r="J307" t="inlineStr">
        <is>
          <t>0</t>
        </is>
      </c>
      <c r="K307" t="inlineStr">
        <is>
          <t>Wright, Clifford A.</t>
        </is>
      </c>
      <c r="L307" t="inlineStr">
        <is>
          <t>London ; New York : Kegan Paul International, 1989.</t>
        </is>
      </c>
      <c r="M307" t="inlineStr">
        <is>
          <t>1989</t>
        </is>
      </c>
      <c r="O307" t="inlineStr">
        <is>
          <t>eng</t>
        </is>
      </c>
      <c r="P307" t="inlineStr">
        <is>
          <t>enk</t>
        </is>
      </c>
      <c r="R307" t="inlineStr">
        <is>
          <t xml:space="preserve">DS </t>
        </is>
      </c>
      <c r="S307" t="n">
        <v>3</v>
      </c>
      <c r="T307" t="n">
        <v>3</v>
      </c>
      <c r="U307" t="inlineStr">
        <is>
          <t>1992-09-10</t>
        </is>
      </c>
      <c r="V307" t="inlineStr">
        <is>
          <t>1992-09-10</t>
        </is>
      </c>
      <c r="W307" t="inlineStr">
        <is>
          <t>1989-11-27</t>
        </is>
      </c>
      <c r="X307" t="inlineStr">
        <is>
          <t>1989-11-27</t>
        </is>
      </c>
      <c r="Y307" t="n">
        <v>355</v>
      </c>
      <c r="Z307" t="n">
        <v>284</v>
      </c>
      <c r="AA307" t="n">
        <v>321</v>
      </c>
      <c r="AB307" t="n">
        <v>3</v>
      </c>
      <c r="AC307" t="n">
        <v>3</v>
      </c>
      <c r="AD307" t="n">
        <v>11</v>
      </c>
      <c r="AE307" t="n">
        <v>11</v>
      </c>
      <c r="AF307" t="n">
        <v>3</v>
      </c>
      <c r="AG307" t="n">
        <v>3</v>
      </c>
      <c r="AH307" t="n">
        <v>4</v>
      </c>
      <c r="AI307" t="n">
        <v>4</v>
      </c>
      <c r="AJ307" t="n">
        <v>3</v>
      </c>
      <c r="AK307" t="n">
        <v>3</v>
      </c>
      <c r="AL307" t="n">
        <v>2</v>
      </c>
      <c r="AM307" t="n">
        <v>2</v>
      </c>
      <c r="AN307" t="n">
        <v>0</v>
      </c>
      <c r="AO307" t="n">
        <v>0</v>
      </c>
      <c r="AP307" t="inlineStr">
        <is>
          <t>No</t>
        </is>
      </c>
      <c r="AQ307" t="inlineStr">
        <is>
          <t>No</t>
        </is>
      </c>
      <c r="AS307">
        <f>HYPERLINK("https://creighton-primo.hosted.exlibrisgroup.com/primo-explore/search?tab=default_tab&amp;search_scope=EVERYTHING&amp;vid=01CRU&amp;lang=en_US&amp;offset=0&amp;query=any,contains,991001570389702656","Catalog Record")</f>
        <v/>
      </c>
      <c r="AT307">
        <f>HYPERLINK("http://www.worldcat.org/oclc/20389710","WorldCat Record")</f>
        <v/>
      </c>
      <c r="AU307" t="inlineStr">
        <is>
          <t>346221513:eng</t>
        </is>
      </c>
      <c r="AV307" t="inlineStr">
        <is>
          <t>20389710</t>
        </is>
      </c>
      <c r="AW307" t="inlineStr">
        <is>
          <t>991001570389702656</t>
        </is>
      </c>
      <c r="AX307" t="inlineStr">
        <is>
          <t>991001570389702656</t>
        </is>
      </c>
      <c r="AY307" t="inlineStr">
        <is>
          <t>2263653180002656</t>
        </is>
      </c>
      <c r="AZ307" t="inlineStr">
        <is>
          <t>BOOK</t>
        </is>
      </c>
      <c r="BB307" t="inlineStr">
        <is>
          <t>9780710302946</t>
        </is>
      </c>
      <c r="BC307" t="inlineStr">
        <is>
          <t>32285000015205</t>
        </is>
      </c>
      <c r="BD307" t="inlineStr">
        <is>
          <t>893903462</t>
        </is>
      </c>
    </row>
    <row r="308">
      <c r="A308" t="inlineStr">
        <is>
          <t>No</t>
        </is>
      </c>
      <c r="B308" t="inlineStr">
        <is>
          <t>DS119.7 .Y68 1992</t>
        </is>
      </c>
      <c r="C308" t="inlineStr">
        <is>
          <t>0                      DS 0119700Y  68          1992</t>
        </is>
      </c>
      <c r="D308" t="inlineStr">
        <is>
          <t>Keepers of the history : women and the Israeli-Palestinian conflict / Elise G. Young.</t>
        </is>
      </c>
      <c r="F308" t="inlineStr">
        <is>
          <t>No</t>
        </is>
      </c>
      <c r="G308" t="inlineStr">
        <is>
          <t>1</t>
        </is>
      </c>
      <c r="H308" t="inlineStr">
        <is>
          <t>No</t>
        </is>
      </c>
      <c r="I308" t="inlineStr">
        <is>
          <t>No</t>
        </is>
      </c>
      <c r="J308" t="inlineStr">
        <is>
          <t>0</t>
        </is>
      </c>
      <c r="K308" t="inlineStr">
        <is>
          <t>Young, Elise G.</t>
        </is>
      </c>
      <c r="L308" t="inlineStr">
        <is>
          <t>New York : Teachers College Press, c1992.</t>
        </is>
      </c>
      <c r="M308" t="inlineStr">
        <is>
          <t>1992</t>
        </is>
      </c>
      <c r="O308" t="inlineStr">
        <is>
          <t>eng</t>
        </is>
      </c>
      <c r="P308" t="inlineStr">
        <is>
          <t>nyu</t>
        </is>
      </c>
      <c r="Q308" t="inlineStr">
        <is>
          <t>The Athene series</t>
        </is>
      </c>
      <c r="R308" t="inlineStr">
        <is>
          <t xml:space="preserve">DS </t>
        </is>
      </c>
      <c r="S308" t="n">
        <v>4</v>
      </c>
      <c r="T308" t="n">
        <v>4</v>
      </c>
      <c r="U308" t="inlineStr">
        <is>
          <t>2005-04-12</t>
        </is>
      </c>
      <c r="V308" t="inlineStr">
        <is>
          <t>2005-04-12</t>
        </is>
      </c>
      <c r="W308" t="inlineStr">
        <is>
          <t>1992-10-27</t>
        </is>
      </c>
      <c r="X308" t="inlineStr">
        <is>
          <t>1992-10-27</t>
        </is>
      </c>
      <c r="Y308" t="n">
        <v>330</v>
      </c>
      <c r="Z308" t="n">
        <v>266</v>
      </c>
      <c r="AA308" t="n">
        <v>271</v>
      </c>
      <c r="AB308" t="n">
        <v>3</v>
      </c>
      <c r="AC308" t="n">
        <v>3</v>
      </c>
      <c r="AD308" t="n">
        <v>16</v>
      </c>
      <c r="AE308" t="n">
        <v>16</v>
      </c>
      <c r="AF308" t="n">
        <v>5</v>
      </c>
      <c r="AG308" t="n">
        <v>5</v>
      </c>
      <c r="AH308" t="n">
        <v>3</v>
      </c>
      <c r="AI308" t="n">
        <v>3</v>
      </c>
      <c r="AJ308" t="n">
        <v>10</v>
      </c>
      <c r="AK308" t="n">
        <v>10</v>
      </c>
      <c r="AL308" t="n">
        <v>2</v>
      </c>
      <c r="AM308" t="n">
        <v>2</v>
      </c>
      <c r="AN308" t="n">
        <v>0</v>
      </c>
      <c r="AO308" t="n">
        <v>0</v>
      </c>
      <c r="AP308" t="inlineStr">
        <is>
          <t>No</t>
        </is>
      </c>
      <c r="AQ308" t="inlineStr">
        <is>
          <t>No</t>
        </is>
      </c>
      <c r="AS308">
        <f>HYPERLINK("https://creighton-primo.hosted.exlibrisgroup.com/primo-explore/search?tab=default_tab&amp;search_scope=EVERYTHING&amp;vid=01CRU&amp;lang=en_US&amp;offset=0&amp;query=any,contains,991001948399702656","Catalog Record")</f>
        <v/>
      </c>
      <c r="AT308">
        <f>HYPERLINK("http://www.worldcat.org/oclc/24628533","WorldCat Record")</f>
        <v/>
      </c>
      <c r="AU308" t="inlineStr">
        <is>
          <t>910800335:eng</t>
        </is>
      </c>
      <c r="AV308" t="inlineStr">
        <is>
          <t>24628533</t>
        </is>
      </c>
      <c r="AW308" t="inlineStr">
        <is>
          <t>991001948399702656</t>
        </is>
      </c>
      <c r="AX308" t="inlineStr">
        <is>
          <t>991001948399702656</t>
        </is>
      </c>
      <c r="AY308" t="inlineStr">
        <is>
          <t>2261402220002656</t>
        </is>
      </c>
      <c r="AZ308" t="inlineStr">
        <is>
          <t>BOOK</t>
        </is>
      </c>
      <c r="BB308" t="inlineStr">
        <is>
          <t>9780024312013</t>
        </is>
      </c>
      <c r="BC308" t="inlineStr">
        <is>
          <t>32285001319416</t>
        </is>
      </c>
      <c r="BD308" t="inlineStr">
        <is>
          <t>893226259</t>
        </is>
      </c>
    </row>
    <row r="309">
      <c r="A309" t="inlineStr">
        <is>
          <t>No</t>
        </is>
      </c>
      <c r="B309" t="inlineStr">
        <is>
          <t>DS119.7.A6785 A28 1998</t>
        </is>
      </c>
      <c r="C309" t="inlineStr">
        <is>
          <t>0                      DS 0119700A  6785               A  28          1998</t>
        </is>
      </c>
      <c r="D309" t="inlineStr">
        <is>
          <t>Arafat : from defender to dictator / Saïd K. Aburish.</t>
        </is>
      </c>
      <c r="F309" t="inlineStr">
        <is>
          <t>No</t>
        </is>
      </c>
      <c r="G309" t="inlineStr">
        <is>
          <t>1</t>
        </is>
      </c>
      <c r="H309" t="inlineStr">
        <is>
          <t>No</t>
        </is>
      </c>
      <c r="I309" t="inlineStr">
        <is>
          <t>No</t>
        </is>
      </c>
      <c r="J309" t="inlineStr">
        <is>
          <t>0</t>
        </is>
      </c>
      <c r="K309" t="inlineStr">
        <is>
          <t>Aburish, Saïd K., 1935-2012.</t>
        </is>
      </c>
      <c r="L309" t="inlineStr">
        <is>
          <t>New York : Bloomsbury, c1998.</t>
        </is>
      </c>
      <c r="M309" t="inlineStr">
        <is>
          <t>1998</t>
        </is>
      </c>
      <c r="N309" t="inlineStr">
        <is>
          <t>1st U.S. ed.</t>
        </is>
      </c>
      <c r="O309" t="inlineStr">
        <is>
          <t>eng</t>
        </is>
      </c>
      <c r="P309" t="inlineStr">
        <is>
          <t>nyu</t>
        </is>
      </c>
      <c r="R309" t="inlineStr">
        <is>
          <t xml:space="preserve">DS </t>
        </is>
      </c>
      <c r="S309" t="n">
        <v>12</v>
      </c>
      <c r="T309" t="n">
        <v>12</v>
      </c>
      <c r="U309" t="inlineStr">
        <is>
          <t>2004-04-05</t>
        </is>
      </c>
      <c r="V309" t="inlineStr">
        <is>
          <t>2004-04-05</t>
        </is>
      </c>
      <c r="W309" t="inlineStr">
        <is>
          <t>1999-04-13</t>
        </is>
      </c>
      <c r="X309" t="inlineStr">
        <is>
          <t>1999-04-13</t>
        </is>
      </c>
      <c r="Y309" t="n">
        <v>578</v>
      </c>
      <c r="Z309" t="n">
        <v>541</v>
      </c>
      <c r="AA309" t="n">
        <v>619</v>
      </c>
      <c r="AB309" t="n">
        <v>5</v>
      </c>
      <c r="AC309" t="n">
        <v>6</v>
      </c>
      <c r="AD309" t="n">
        <v>25</v>
      </c>
      <c r="AE309" t="n">
        <v>28</v>
      </c>
      <c r="AF309" t="n">
        <v>9</v>
      </c>
      <c r="AG309" t="n">
        <v>11</v>
      </c>
      <c r="AH309" t="n">
        <v>7</v>
      </c>
      <c r="AI309" t="n">
        <v>7</v>
      </c>
      <c r="AJ309" t="n">
        <v>10</v>
      </c>
      <c r="AK309" t="n">
        <v>12</v>
      </c>
      <c r="AL309" t="n">
        <v>4</v>
      </c>
      <c r="AM309" t="n">
        <v>4</v>
      </c>
      <c r="AN309" t="n">
        <v>0</v>
      </c>
      <c r="AO309" t="n">
        <v>0</v>
      </c>
      <c r="AP309" t="inlineStr">
        <is>
          <t>No</t>
        </is>
      </c>
      <c r="AQ309" t="inlineStr">
        <is>
          <t>No</t>
        </is>
      </c>
      <c r="AS309">
        <f>HYPERLINK("https://creighton-primo.hosted.exlibrisgroup.com/primo-explore/search?tab=default_tab&amp;search_scope=EVERYTHING&amp;vid=01CRU&amp;lang=en_US&amp;offset=0&amp;query=any,contains,991002985539702656","Catalog Record")</f>
        <v/>
      </c>
      <c r="AT309">
        <f>HYPERLINK("http://www.worldcat.org/oclc/40214929","WorldCat Record")</f>
        <v/>
      </c>
      <c r="AU309" t="inlineStr">
        <is>
          <t>104618836:eng</t>
        </is>
      </c>
      <c r="AV309" t="inlineStr">
        <is>
          <t>40214929</t>
        </is>
      </c>
      <c r="AW309" t="inlineStr">
        <is>
          <t>991002985539702656</t>
        </is>
      </c>
      <c r="AX309" t="inlineStr">
        <is>
          <t>991002985539702656</t>
        </is>
      </c>
      <c r="AY309" t="inlineStr">
        <is>
          <t>2270612370002656</t>
        </is>
      </c>
      <c r="AZ309" t="inlineStr">
        <is>
          <t>BOOK</t>
        </is>
      </c>
      <c r="BB309" t="inlineStr">
        <is>
          <t>9781582340005</t>
        </is>
      </c>
      <c r="BC309" t="inlineStr">
        <is>
          <t>32285003552170</t>
        </is>
      </c>
      <c r="BD309" t="inlineStr">
        <is>
          <t>893329804</t>
        </is>
      </c>
    </row>
    <row r="310">
      <c r="A310" t="inlineStr">
        <is>
          <t>No</t>
        </is>
      </c>
      <c r="B310" t="inlineStr">
        <is>
          <t>DS119.7.A6785 G68 1992</t>
        </is>
      </c>
      <c r="C310" t="inlineStr">
        <is>
          <t>0                      DS 0119700A  6785               G  68          1992</t>
        </is>
      </c>
      <c r="D310" t="inlineStr">
        <is>
          <t>Behind the myth : Yasser Arafat and the Palestinian revolution / Andrew Gowers and Tony Walker ; [maps drawn by Carole Vincer].</t>
        </is>
      </c>
      <c r="F310" t="inlineStr">
        <is>
          <t>No</t>
        </is>
      </c>
      <c r="G310" t="inlineStr">
        <is>
          <t>1</t>
        </is>
      </c>
      <c r="H310" t="inlineStr">
        <is>
          <t>No</t>
        </is>
      </c>
      <c r="I310" t="inlineStr">
        <is>
          <t>No</t>
        </is>
      </c>
      <c r="J310" t="inlineStr">
        <is>
          <t>0</t>
        </is>
      </c>
      <c r="K310" t="inlineStr">
        <is>
          <t>Gowers, Andrew.</t>
        </is>
      </c>
      <c r="L310" t="inlineStr">
        <is>
          <t>New York : Olive Branch Press, 1992.</t>
        </is>
      </c>
      <c r="M310" t="inlineStr">
        <is>
          <t>1992</t>
        </is>
      </c>
      <c r="N310" t="inlineStr">
        <is>
          <t>1st American ed.</t>
        </is>
      </c>
      <c r="O310" t="inlineStr">
        <is>
          <t>eng</t>
        </is>
      </c>
      <c r="P310" t="inlineStr">
        <is>
          <t>nyu</t>
        </is>
      </c>
      <c r="R310" t="inlineStr">
        <is>
          <t xml:space="preserve">DS </t>
        </is>
      </c>
      <c r="S310" t="n">
        <v>7</v>
      </c>
      <c r="T310" t="n">
        <v>7</v>
      </c>
      <c r="U310" t="inlineStr">
        <is>
          <t>2000-11-25</t>
        </is>
      </c>
      <c r="V310" t="inlineStr">
        <is>
          <t>2000-11-25</t>
        </is>
      </c>
      <c r="W310" t="inlineStr">
        <is>
          <t>1992-09-22</t>
        </is>
      </c>
      <c r="X310" t="inlineStr">
        <is>
          <t>1992-09-22</t>
        </is>
      </c>
      <c r="Y310" t="n">
        <v>541</v>
      </c>
      <c r="Z310" t="n">
        <v>497</v>
      </c>
      <c r="AA310" t="n">
        <v>562</v>
      </c>
      <c r="AB310" t="n">
        <v>3</v>
      </c>
      <c r="AC310" t="n">
        <v>3</v>
      </c>
      <c r="AD310" t="n">
        <v>19</v>
      </c>
      <c r="AE310" t="n">
        <v>21</v>
      </c>
      <c r="AF310" t="n">
        <v>8</v>
      </c>
      <c r="AG310" t="n">
        <v>9</v>
      </c>
      <c r="AH310" t="n">
        <v>5</v>
      </c>
      <c r="AI310" t="n">
        <v>6</v>
      </c>
      <c r="AJ310" t="n">
        <v>9</v>
      </c>
      <c r="AK310" t="n">
        <v>10</v>
      </c>
      <c r="AL310" t="n">
        <v>0</v>
      </c>
      <c r="AM310" t="n">
        <v>0</v>
      </c>
      <c r="AN310" t="n">
        <v>0</v>
      </c>
      <c r="AO310" t="n">
        <v>0</v>
      </c>
      <c r="AP310" t="inlineStr">
        <is>
          <t>No</t>
        </is>
      </c>
      <c r="AQ310" t="inlineStr">
        <is>
          <t>Yes</t>
        </is>
      </c>
      <c r="AR310">
        <f>HYPERLINK("http://catalog.hathitrust.org/Record/002589671","HathiTrust Record")</f>
        <v/>
      </c>
      <c r="AS310">
        <f>HYPERLINK("https://creighton-primo.hosted.exlibrisgroup.com/primo-explore/search?tab=default_tab&amp;search_scope=EVERYTHING&amp;vid=01CRU&amp;lang=en_US&amp;offset=0&amp;query=any,contains,991001911119702656","Catalog Record")</f>
        <v/>
      </c>
      <c r="AT310">
        <f>HYPERLINK("http://www.worldcat.org/oclc/24142396","WorldCat Record")</f>
        <v/>
      </c>
      <c r="AU310" t="inlineStr">
        <is>
          <t>24183707:eng</t>
        </is>
      </c>
      <c r="AV310" t="inlineStr">
        <is>
          <t>24142396</t>
        </is>
      </c>
      <c r="AW310" t="inlineStr">
        <is>
          <t>991001911119702656</t>
        </is>
      </c>
      <c r="AX310" t="inlineStr">
        <is>
          <t>991001911119702656</t>
        </is>
      </c>
      <c r="AY310" t="inlineStr">
        <is>
          <t>2265656780002656</t>
        </is>
      </c>
      <c r="AZ310" t="inlineStr">
        <is>
          <t>BOOK</t>
        </is>
      </c>
      <c r="BB310" t="inlineStr">
        <is>
          <t>9780940793866</t>
        </is>
      </c>
      <c r="BC310" t="inlineStr">
        <is>
          <t>32285001288371</t>
        </is>
      </c>
      <c r="BD310" t="inlineStr">
        <is>
          <t>893785495</t>
        </is>
      </c>
    </row>
    <row r="311">
      <c r="A311" t="inlineStr">
        <is>
          <t>No</t>
        </is>
      </c>
      <c r="B311" t="inlineStr">
        <is>
          <t>DS119.7.A6785 H36 1989</t>
        </is>
      </c>
      <c r="C311" t="inlineStr">
        <is>
          <t>0                      DS 0119700A  6785               H  36          1989</t>
        </is>
      </c>
      <c r="D311" t="inlineStr">
        <is>
          <t>Arafat, a political biography / Alan Hart</t>
        </is>
      </c>
      <c r="F311" t="inlineStr">
        <is>
          <t>No</t>
        </is>
      </c>
      <c r="G311" t="inlineStr">
        <is>
          <t>1</t>
        </is>
      </c>
      <c r="H311" t="inlineStr">
        <is>
          <t>No</t>
        </is>
      </c>
      <c r="I311" t="inlineStr">
        <is>
          <t>No</t>
        </is>
      </c>
      <c r="J311" t="inlineStr">
        <is>
          <t>0</t>
        </is>
      </c>
      <c r="K311" t="inlineStr">
        <is>
          <t>Hart, Alan, 1935-</t>
        </is>
      </c>
      <c r="L311" t="inlineStr">
        <is>
          <t>Bloomington : Indiana University Press, c1989.</t>
        </is>
      </c>
      <c r="M311" t="inlineStr">
        <is>
          <t>1989</t>
        </is>
      </c>
      <c r="N311" t="inlineStr">
        <is>
          <t>1st American ed.</t>
        </is>
      </c>
      <c r="O311" t="inlineStr">
        <is>
          <t>eng</t>
        </is>
      </c>
      <c r="P311" t="inlineStr">
        <is>
          <t>inu</t>
        </is>
      </c>
      <c r="R311" t="inlineStr">
        <is>
          <t xml:space="preserve">DS </t>
        </is>
      </c>
      <c r="S311" t="n">
        <v>3</v>
      </c>
      <c r="T311" t="n">
        <v>3</v>
      </c>
      <c r="U311" t="inlineStr">
        <is>
          <t>2008-04-16</t>
        </is>
      </c>
      <c r="V311" t="inlineStr">
        <is>
          <t>2008-04-16</t>
        </is>
      </c>
      <c r="W311" t="inlineStr">
        <is>
          <t>1989-10-24</t>
        </is>
      </c>
      <c r="X311" t="inlineStr">
        <is>
          <t>1989-10-24</t>
        </is>
      </c>
      <c r="Y311" t="n">
        <v>684</v>
      </c>
      <c r="Z311" t="n">
        <v>594</v>
      </c>
      <c r="AA311" t="n">
        <v>620</v>
      </c>
      <c r="AB311" t="n">
        <v>1</v>
      </c>
      <c r="AC311" t="n">
        <v>1</v>
      </c>
      <c r="AD311" t="n">
        <v>23</v>
      </c>
      <c r="AE311" t="n">
        <v>25</v>
      </c>
      <c r="AF311" t="n">
        <v>10</v>
      </c>
      <c r="AG311" t="n">
        <v>10</v>
      </c>
      <c r="AH311" t="n">
        <v>6</v>
      </c>
      <c r="AI311" t="n">
        <v>8</v>
      </c>
      <c r="AJ311" t="n">
        <v>12</v>
      </c>
      <c r="AK311" t="n">
        <v>13</v>
      </c>
      <c r="AL311" t="n">
        <v>0</v>
      </c>
      <c r="AM311" t="n">
        <v>0</v>
      </c>
      <c r="AN311" t="n">
        <v>1</v>
      </c>
      <c r="AO311" t="n">
        <v>1</v>
      </c>
      <c r="AP311" t="inlineStr">
        <is>
          <t>No</t>
        </is>
      </c>
      <c r="AQ311" t="inlineStr">
        <is>
          <t>Yes</t>
        </is>
      </c>
      <c r="AR311">
        <f>HYPERLINK("http://catalog.hathitrust.org/Record/001103554","HathiTrust Record")</f>
        <v/>
      </c>
      <c r="AS311">
        <f>HYPERLINK("https://creighton-primo.hosted.exlibrisgroup.com/primo-explore/search?tab=default_tab&amp;search_scope=EVERYTHING&amp;vid=01CRU&amp;lang=en_US&amp;offset=0&amp;query=any,contains,991001408179702656","Catalog Record")</f>
        <v/>
      </c>
      <c r="AT311">
        <f>HYPERLINK("http://www.worldcat.org/oclc/18871613","WorldCat Record")</f>
        <v/>
      </c>
      <c r="AU311" t="inlineStr">
        <is>
          <t>365455548:eng</t>
        </is>
      </c>
      <c r="AV311" t="inlineStr">
        <is>
          <t>18871613</t>
        </is>
      </c>
      <c r="AW311" t="inlineStr">
        <is>
          <t>991001408179702656</t>
        </is>
      </c>
      <c r="AX311" t="inlineStr">
        <is>
          <t>991001408179702656</t>
        </is>
      </c>
      <c r="AY311" t="inlineStr">
        <is>
          <t>2272092770002656</t>
        </is>
      </c>
      <c r="AZ311" t="inlineStr">
        <is>
          <t>BOOK</t>
        </is>
      </c>
      <c r="BB311" t="inlineStr">
        <is>
          <t>9780253205162</t>
        </is>
      </c>
      <c r="BC311" t="inlineStr">
        <is>
          <t>32285000010446</t>
        </is>
      </c>
      <c r="BD311" t="inlineStr">
        <is>
          <t>893621345</t>
        </is>
      </c>
    </row>
    <row r="312">
      <c r="A312" t="inlineStr">
        <is>
          <t>No</t>
        </is>
      </c>
      <c r="B312" t="inlineStr">
        <is>
          <t>DS119.7.T3424 B3713 1988</t>
        </is>
      </c>
      <c r="C312" t="inlineStr">
        <is>
          <t>0                      DS 0119700T  3424               B  3713        1988</t>
        </is>
      </c>
      <c r="D312" t="inlineStr">
        <is>
          <t>Mine enemy / Amalia and Aharon Barnea ; translated from the Hebrew by Chaya Amir.</t>
        </is>
      </c>
      <c r="F312" t="inlineStr">
        <is>
          <t>No</t>
        </is>
      </c>
      <c r="G312" t="inlineStr">
        <is>
          <t>1</t>
        </is>
      </c>
      <c r="H312" t="inlineStr">
        <is>
          <t>No</t>
        </is>
      </c>
      <c r="I312" t="inlineStr">
        <is>
          <t>No</t>
        </is>
      </c>
      <c r="J312" t="inlineStr">
        <is>
          <t>0</t>
        </is>
      </c>
      <c r="K312" t="inlineStr">
        <is>
          <t>Barnea, Amalia, 1950-</t>
        </is>
      </c>
      <c r="L312" t="inlineStr">
        <is>
          <t>New York : Grove Press, 1988.</t>
        </is>
      </c>
      <c r="M312" t="inlineStr">
        <is>
          <t>1988</t>
        </is>
      </c>
      <c r="N312" t="inlineStr">
        <is>
          <t>1st ed.</t>
        </is>
      </c>
      <c r="O312" t="inlineStr">
        <is>
          <t>eng</t>
        </is>
      </c>
      <c r="P312" t="inlineStr">
        <is>
          <t>nyu</t>
        </is>
      </c>
      <c r="R312" t="inlineStr">
        <is>
          <t xml:space="preserve">DS </t>
        </is>
      </c>
      <c r="S312" t="n">
        <v>1</v>
      </c>
      <c r="T312" t="n">
        <v>1</v>
      </c>
      <c r="U312" t="inlineStr">
        <is>
          <t>2001-09-01</t>
        </is>
      </c>
      <c r="V312" t="inlineStr">
        <is>
          <t>2001-09-01</t>
        </is>
      </c>
      <c r="W312" t="inlineStr">
        <is>
          <t>1990-06-18</t>
        </is>
      </c>
      <c r="X312" t="inlineStr">
        <is>
          <t>1990-06-18</t>
        </is>
      </c>
      <c r="Y312" t="n">
        <v>227</v>
      </c>
      <c r="Z312" t="n">
        <v>206</v>
      </c>
      <c r="AA312" t="n">
        <v>210</v>
      </c>
      <c r="AB312" t="n">
        <v>1</v>
      </c>
      <c r="AC312" t="n">
        <v>1</v>
      </c>
      <c r="AD312" t="n">
        <v>3</v>
      </c>
      <c r="AE312" t="n">
        <v>3</v>
      </c>
      <c r="AF312" t="n">
        <v>2</v>
      </c>
      <c r="AG312" t="n">
        <v>2</v>
      </c>
      <c r="AH312" t="n">
        <v>0</v>
      </c>
      <c r="AI312" t="n">
        <v>0</v>
      </c>
      <c r="AJ312" t="n">
        <v>3</v>
      </c>
      <c r="AK312" t="n">
        <v>3</v>
      </c>
      <c r="AL312" t="n">
        <v>0</v>
      </c>
      <c r="AM312" t="n">
        <v>0</v>
      </c>
      <c r="AN312" t="n">
        <v>0</v>
      </c>
      <c r="AO312" t="n">
        <v>0</v>
      </c>
      <c r="AP312" t="inlineStr">
        <is>
          <t>No</t>
        </is>
      </c>
      <c r="AQ312" t="inlineStr">
        <is>
          <t>No</t>
        </is>
      </c>
      <c r="AS312">
        <f>HYPERLINK("https://creighton-primo.hosted.exlibrisgroup.com/primo-explore/search?tab=default_tab&amp;search_scope=EVERYTHING&amp;vid=01CRU&amp;lang=en_US&amp;offset=0&amp;query=any,contains,991001265509702656","Catalog Record")</f>
        <v/>
      </c>
      <c r="AT312">
        <f>HYPERLINK("http://www.worldcat.org/oclc/17805146","WorldCat Record")</f>
        <v/>
      </c>
      <c r="AU312" t="inlineStr">
        <is>
          <t>5453675338:eng</t>
        </is>
      </c>
      <c r="AV312" t="inlineStr">
        <is>
          <t>17805146</t>
        </is>
      </c>
      <c r="AW312" t="inlineStr">
        <is>
          <t>991001265509702656</t>
        </is>
      </c>
      <c r="AX312" t="inlineStr">
        <is>
          <t>991001265509702656</t>
        </is>
      </c>
      <c r="AY312" t="inlineStr">
        <is>
          <t>2266041810002656</t>
        </is>
      </c>
      <c r="AZ312" t="inlineStr">
        <is>
          <t>BOOK</t>
        </is>
      </c>
      <c r="BB312" t="inlineStr">
        <is>
          <t>9780802110060</t>
        </is>
      </c>
      <c r="BC312" t="inlineStr">
        <is>
          <t>32285000198308</t>
        </is>
      </c>
      <c r="BD312" t="inlineStr">
        <is>
          <t>893408008</t>
        </is>
      </c>
    </row>
    <row r="313">
      <c r="A313" t="inlineStr">
        <is>
          <t>No</t>
        </is>
      </c>
      <c r="B313" t="inlineStr">
        <is>
          <t>DS119.75 .F73 1993</t>
        </is>
      </c>
      <c r="C313" t="inlineStr">
        <is>
          <t>0                      DS 0119750F  73          1993</t>
        </is>
      </c>
      <c r="D313" t="inlineStr">
        <is>
          <t>Framing the Intifada : people and media / edited by Akiba A. Cohen and Gadi Wolfsfeld.</t>
        </is>
      </c>
      <c r="F313" t="inlineStr">
        <is>
          <t>No</t>
        </is>
      </c>
      <c r="G313" t="inlineStr">
        <is>
          <t>1</t>
        </is>
      </c>
      <c r="H313" t="inlineStr">
        <is>
          <t>No</t>
        </is>
      </c>
      <c r="I313" t="inlineStr">
        <is>
          <t>No</t>
        </is>
      </c>
      <c r="J313" t="inlineStr">
        <is>
          <t>0</t>
        </is>
      </c>
      <c r="L313" t="inlineStr">
        <is>
          <t>Norwood, N.J. : Ablex Pub. Corp., c1993.</t>
        </is>
      </c>
      <c r="M313" t="inlineStr">
        <is>
          <t>1993</t>
        </is>
      </c>
      <c r="O313" t="inlineStr">
        <is>
          <t>eng</t>
        </is>
      </c>
      <c r="P313" t="inlineStr">
        <is>
          <t>nju</t>
        </is>
      </c>
      <c r="Q313" t="inlineStr">
        <is>
          <t>The Communication and information science</t>
        </is>
      </c>
      <c r="R313" t="inlineStr">
        <is>
          <t xml:space="preserve">DS </t>
        </is>
      </c>
      <c r="S313" t="n">
        <v>5</v>
      </c>
      <c r="T313" t="n">
        <v>5</v>
      </c>
      <c r="U313" t="inlineStr">
        <is>
          <t>2010-04-11</t>
        </is>
      </c>
      <c r="V313" t="inlineStr">
        <is>
          <t>2010-04-11</t>
        </is>
      </c>
      <c r="W313" t="inlineStr">
        <is>
          <t>1994-11-17</t>
        </is>
      </c>
      <c r="X313" t="inlineStr">
        <is>
          <t>1994-11-17</t>
        </is>
      </c>
      <c r="Y313" t="n">
        <v>303</v>
      </c>
      <c r="Z313" t="n">
        <v>239</v>
      </c>
      <c r="AA313" t="n">
        <v>822</v>
      </c>
      <c r="AB313" t="n">
        <v>3</v>
      </c>
      <c r="AC313" t="n">
        <v>32</v>
      </c>
      <c r="AD313" t="n">
        <v>17</v>
      </c>
      <c r="AE313" t="n">
        <v>33</v>
      </c>
      <c r="AF313" t="n">
        <v>4</v>
      </c>
      <c r="AG313" t="n">
        <v>8</v>
      </c>
      <c r="AH313" t="n">
        <v>5</v>
      </c>
      <c r="AI313" t="n">
        <v>5</v>
      </c>
      <c r="AJ313" t="n">
        <v>10</v>
      </c>
      <c r="AK313" t="n">
        <v>11</v>
      </c>
      <c r="AL313" t="n">
        <v>2</v>
      </c>
      <c r="AM313" t="n">
        <v>13</v>
      </c>
      <c r="AN313" t="n">
        <v>0</v>
      </c>
      <c r="AO313" t="n">
        <v>0</v>
      </c>
      <c r="AP313" t="inlineStr">
        <is>
          <t>No</t>
        </is>
      </c>
      <c r="AQ313" t="inlineStr">
        <is>
          <t>Yes</t>
        </is>
      </c>
      <c r="AR313">
        <f>HYPERLINK("http://catalog.hathitrust.org/Record/002702819","HathiTrust Record")</f>
        <v/>
      </c>
      <c r="AS313">
        <f>HYPERLINK("https://creighton-primo.hosted.exlibrisgroup.com/primo-explore/search?tab=default_tab&amp;search_scope=EVERYTHING&amp;vid=01CRU&amp;lang=en_US&amp;offset=0&amp;query=any,contains,991002111169702656","Catalog Record")</f>
        <v/>
      </c>
      <c r="AT313">
        <f>HYPERLINK("http://www.worldcat.org/oclc/27066283","WorldCat Record")</f>
        <v/>
      </c>
      <c r="AU313" t="inlineStr">
        <is>
          <t>793877270:eng</t>
        </is>
      </c>
      <c r="AV313" t="inlineStr">
        <is>
          <t>27066283</t>
        </is>
      </c>
      <c r="AW313" t="inlineStr">
        <is>
          <t>991002111169702656</t>
        </is>
      </c>
      <c r="AX313" t="inlineStr">
        <is>
          <t>991002111169702656</t>
        </is>
      </c>
      <c r="AY313" t="inlineStr">
        <is>
          <t>2256934240002656</t>
        </is>
      </c>
      <c r="AZ313" t="inlineStr">
        <is>
          <t>BOOK</t>
        </is>
      </c>
      <c r="BB313" t="inlineStr">
        <is>
          <t>9780893918996</t>
        </is>
      </c>
      <c r="BC313" t="inlineStr">
        <is>
          <t>32285001958700</t>
        </is>
      </c>
      <c r="BD313" t="inlineStr">
        <is>
          <t>893866817</t>
        </is>
      </c>
    </row>
    <row r="314">
      <c r="A314" t="inlineStr">
        <is>
          <t>No</t>
        </is>
      </c>
      <c r="B314" t="inlineStr">
        <is>
          <t>DS119.75 .S68 1994</t>
        </is>
      </c>
      <c r="C314" t="inlineStr">
        <is>
          <t>0                      DS 0119750S  68          1994</t>
        </is>
      </c>
      <c r="D314" t="inlineStr">
        <is>
          <t>Speaking stones : communiqués from the Intifada underground / [compiled, edited, and translated by] Shaul Mishal and Reuben Aharoni.</t>
        </is>
      </c>
      <c r="F314" t="inlineStr">
        <is>
          <t>No</t>
        </is>
      </c>
      <c r="G314" t="inlineStr">
        <is>
          <t>1</t>
        </is>
      </c>
      <c r="H314" t="inlineStr">
        <is>
          <t>No</t>
        </is>
      </c>
      <c r="I314" t="inlineStr">
        <is>
          <t>No</t>
        </is>
      </c>
      <c r="J314" t="inlineStr">
        <is>
          <t>0</t>
        </is>
      </c>
      <c r="L314" t="inlineStr">
        <is>
          <t>Syracuse, N.Y. : Syracuse University Press, 1994.</t>
        </is>
      </c>
      <c r="M314" t="inlineStr">
        <is>
          <t>1994</t>
        </is>
      </c>
      <c r="N314" t="inlineStr">
        <is>
          <t>1st ed.</t>
        </is>
      </c>
      <c r="O314" t="inlineStr">
        <is>
          <t>eng</t>
        </is>
      </c>
      <c r="P314" t="inlineStr">
        <is>
          <t>nyu</t>
        </is>
      </c>
      <c r="Q314" t="inlineStr">
        <is>
          <t>Contemporary issues in the Middle East</t>
        </is>
      </c>
      <c r="R314" t="inlineStr">
        <is>
          <t xml:space="preserve">DS </t>
        </is>
      </c>
      <c r="S314" t="n">
        <v>6</v>
      </c>
      <c r="T314" t="n">
        <v>6</v>
      </c>
      <c r="U314" t="inlineStr">
        <is>
          <t>2007-11-19</t>
        </is>
      </c>
      <c r="V314" t="inlineStr">
        <is>
          <t>2007-11-19</t>
        </is>
      </c>
      <c r="W314" t="inlineStr">
        <is>
          <t>1994-12-28</t>
        </is>
      </c>
      <c r="X314" t="inlineStr">
        <is>
          <t>1994-12-28</t>
        </is>
      </c>
      <c r="Y314" t="n">
        <v>290</v>
      </c>
      <c r="Z314" t="n">
        <v>243</v>
      </c>
      <c r="AA314" t="n">
        <v>244</v>
      </c>
      <c r="AB314" t="n">
        <v>3</v>
      </c>
      <c r="AC314" t="n">
        <v>3</v>
      </c>
      <c r="AD314" t="n">
        <v>16</v>
      </c>
      <c r="AE314" t="n">
        <v>16</v>
      </c>
      <c r="AF314" t="n">
        <v>3</v>
      </c>
      <c r="AG314" t="n">
        <v>3</v>
      </c>
      <c r="AH314" t="n">
        <v>5</v>
      </c>
      <c r="AI314" t="n">
        <v>5</v>
      </c>
      <c r="AJ314" t="n">
        <v>9</v>
      </c>
      <c r="AK314" t="n">
        <v>9</v>
      </c>
      <c r="AL314" t="n">
        <v>2</v>
      </c>
      <c r="AM314" t="n">
        <v>2</v>
      </c>
      <c r="AN314" t="n">
        <v>0</v>
      </c>
      <c r="AO314" t="n">
        <v>0</v>
      </c>
      <c r="AP314" t="inlineStr">
        <is>
          <t>No</t>
        </is>
      </c>
      <c r="AQ314" t="inlineStr">
        <is>
          <t>Yes</t>
        </is>
      </c>
      <c r="AR314">
        <f>HYPERLINK("http://catalog.hathitrust.org/Record/002868881","HathiTrust Record")</f>
        <v/>
      </c>
      <c r="AS314">
        <f>HYPERLINK("https://creighton-primo.hosted.exlibrisgroup.com/primo-explore/search?tab=default_tab&amp;search_scope=EVERYTHING&amp;vid=01CRU&amp;lang=en_US&amp;offset=0&amp;query=any,contains,991002248209702656","Catalog Record")</f>
        <v/>
      </c>
      <c r="AT314">
        <f>HYPERLINK("http://www.worldcat.org/oclc/29023705","WorldCat Record")</f>
        <v/>
      </c>
      <c r="AU314" t="inlineStr">
        <is>
          <t>984684454:eng</t>
        </is>
      </c>
      <c r="AV314" t="inlineStr">
        <is>
          <t>29023705</t>
        </is>
      </c>
      <c r="AW314" t="inlineStr">
        <is>
          <t>991002248209702656</t>
        </is>
      </c>
      <c r="AX314" t="inlineStr">
        <is>
          <t>991002248209702656</t>
        </is>
      </c>
      <c r="AY314" t="inlineStr">
        <is>
          <t>2261687400002656</t>
        </is>
      </c>
      <c r="AZ314" t="inlineStr">
        <is>
          <t>BOOK</t>
        </is>
      </c>
      <c r="BB314" t="inlineStr">
        <is>
          <t>9780815626060</t>
        </is>
      </c>
      <c r="BC314" t="inlineStr">
        <is>
          <t>32285001979243</t>
        </is>
      </c>
      <c r="BD314" t="inlineStr">
        <is>
          <t>893262178</t>
        </is>
      </c>
    </row>
    <row r="315">
      <c r="A315" t="inlineStr">
        <is>
          <t>No</t>
        </is>
      </c>
      <c r="B315" t="inlineStr">
        <is>
          <t>DS119.76 .A3482 2006</t>
        </is>
      </c>
      <c r="C315" t="inlineStr">
        <is>
          <t>0                      DS 0119760A  3482        2006</t>
        </is>
      </c>
      <c r="D315" t="inlineStr">
        <is>
          <t>Peace is possible : conversations with Arab and Israeli leaders from 1988 to the present / S. Daniel Abraham ; foreword by Bill Clinton.</t>
        </is>
      </c>
      <c r="F315" t="inlineStr">
        <is>
          <t>No</t>
        </is>
      </c>
      <c r="G315" t="inlineStr">
        <is>
          <t>1</t>
        </is>
      </c>
      <c r="H315" t="inlineStr">
        <is>
          <t>No</t>
        </is>
      </c>
      <c r="I315" t="inlineStr">
        <is>
          <t>No</t>
        </is>
      </c>
      <c r="J315" t="inlineStr">
        <is>
          <t>0</t>
        </is>
      </c>
      <c r="K315" t="inlineStr">
        <is>
          <t>Abraham, S. Daniel.</t>
        </is>
      </c>
      <c r="L315" t="inlineStr">
        <is>
          <t>New York : Newmarket Press, c2006.</t>
        </is>
      </c>
      <c r="M315" t="inlineStr">
        <is>
          <t>2006</t>
        </is>
      </c>
      <c r="N315" t="inlineStr">
        <is>
          <t>1st ed.</t>
        </is>
      </c>
      <c r="O315" t="inlineStr">
        <is>
          <t>eng</t>
        </is>
      </c>
      <c r="P315" t="inlineStr">
        <is>
          <t>nyu</t>
        </is>
      </c>
      <c r="R315" t="inlineStr">
        <is>
          <t xml:space="preserve">DS </t>
        </is>
      </c>
      <c r="S315" t="n">
        <v>1</v>
      </c>
      <c r="T315" t="n">
        <v>1</v>
      </c>
      <c r="U315" t="inlineStr">
        <is>
          <t>2006-04-27</t>
        </is>
      </c>
      <c r="V315" t="inlineStr">
        <is>
          <t>2006-04-27</t>
        </is>
      </c>
      <c r="W315" t="inlineStr">
        <is>
          <t>2006-04-27</t>
        </is>
      </c>
      <c r="X315" t="inlineStr">
        <is>
          <t>2006-04-27</t>
        </is>
      </c>
      <c r="Y315" t="n">
        <v>295</v>
      </c>
      <c r="Z315" t="n">
        <v>271</v>
      </c>
      <c r="AA315" t="n">
        <v>278</v>
      </c>
      <c r="AB315" t="n">
        <v>4</v>
      </c>
      <c r="AC315" t="n">
        <v>4</v>
      </c>
      <c r="AD315" t="n">
        <v>11</v>
      </c>
      <c r="AE315" t="n">
        <v>11</v>
      </c>
      <c r="AF315" t="n">
        <v>4</v>
      </c>
      <c r="AG315" t="n">
        <v>4</v>
      </c>
      <c r="AH315" t="n">
        <v>2</v>
      </c>
      <c r="AI315" t="n">
        <v>2</v>
      </c>
      <c r="AJ315" t="n">
        <v>8</v>
      </c>
      <c r="AK315" t="n">
        <v>8</v>
      </c>
      <c r="AL315" t="n">
        <v>1</v>
      </c>
      <c r="AM315" t="n">
        <v>1</v>
      </c>
      <c r="AN315" t="n">
        <v>0</v>
      </c>
      <c r="AO315" t="n">
        <v>0</v>
      </c>
      <c r="AP315" t="inlineStr">
        <is>
          <t>No</t>
        </is>
      </c>
      <c r="AQ315" t="inlineStr">
        <is>
          <t>No</t>
        </is>
      </c>
      <c r="AS315">
        <f>HYPERLINK("https://creighton-primo.hosted.exlibrisgroup.com/primo-explore/search?tab=default_tab&amp;search_scope=EVERYTHING&amp;vid=01CRU&amp;lang=en_US&amp;offset=0&amp;query=any,contains,991004799019702656","Catalog Record")</f>
        <v/>
      </c>
      <c r="AT315">
        <f>HYPERLINK("http://www.worldcat.org/oclc/62127834","WorldCat Record")</f>
        <v/>
      </c>
      <c r="AU315" t="inlineStr">
        <is>
          <t>46543422:eng</t>
        </is>
      </c>
      <c r="AV315" t="inlineStr">
        <is>
          <t>62127834</t>
        </is>
      </c>
      <c r="AW315" t="inlineStr">
        <is>
          <t>991004799019702656</t>
        </is>
      </c>
      <c r="AX315" t="inlineStr">
        <is>
          <t>991004799019702656</t>
        </is>
      </c>
      <c r="AY315" t="inlineStr">
        <is>
          <t>2259128340002656</t>
        </is>
      </c>
      <c r="AZ315" t="inlineStr">
        <is>
          <t>BOOK</t>
        </is>
      </c>
      <c r="BB315" t="inlineStr">
        <is>
          <t>9781557047021</t>
        </is>
      </c>
      <c r="BC315" t="inlineStr">
        <is>
          <t>32285005182877</t>
        </is>
      </c>
      <c r="BD315" t="inlineStr">
        <is>
          <t>893719390</t>
        </is>
      </c>
    </row>
    <row r="316">
      <c r="A316" t="inlineStr">
        <is>
          <t>No</t>
        </is>
      </c>
      <c r="B316" t="inlineStr">
        <is>
          <t>DS119.76 .B4513 1999</t>
        </is>
      </c>
      <c r="C316" t="inlineStr">
        <is>
          <t>0                      DS 0119760B  4513        1999</t>
        </is>
      </c>
      <c r="D316" t="inlineStr">
        <is>
          <t>Touching peace : from the Oslo accord to a final agreement / Yossi Beilin ; translated from the Hebrew by Philip Simpson.</t>
        </is>
      </c>
      <c r="F316" t="inlineStr">
        <is>
          <t>Yes</t>
        </is>
      </c>
      <c r="G316" t="inlineStr">
        <is>
          <t>1</t>
        </is>
      </c>
      <c r="H316" t="inlineStr">
        <is>
          <t>No</t>
        </is>
      </c>
      <c r="I316" t="inlineStr">
        <is>
          <t>No</t>
        </is>
      </c>
      <c r="J316" t="inlineStr">
        <is>
          <t>0</t>
        </is>
      </c>
      <c r="K316" t="inlineStr">
        <is>
          <t>Beilin, Yossi.</t>
        </is>
      </c>
      <c r="L316" t="inlineStr">
        <is>
          <t>London : Weidenfeld &amp; Nicolson, 1999.</t>
        </is>
      </c>
      <c r="M316" t="inlineStr">
        <is>
          <t>1999</t>
        </is>
      </c>
      <c r="O316" t="inlineStr">
        <is>
          <t>eng</t>
        </is>
      </c>
      <c r="P316" t="inlineStr">
        <is>
          <t>enk</t>
        </is>
      </c>
      <c r="R316" t="inlineStr">
        <is>
          <t xml:space="preserve">DS </t>
        </is>
      </c>
      <c r="S316" t="n">
        <v>4</v>
      </c>
      <c r="T316" t="n">
        <v>4</v>
      </c>
      <c r="U316" t="inlineStr">
        <is>
          <t>2010-04-19</t>
        </is>
      </c>
      <c r="V316" t="inlineStr">
        <is>
          <t>2010-04-19</t>
        </is>
      </c>
      <c r="W316" t="inlineStr">
        <is>
          <t>2000-12-13</t>
        </is>
      </c>
      <c r="X316" t="inlineStr">
        <is>
          <t>2000-12-13</t>
        </is>
      </c>
      <c r="Y316" t="n">
        <v>425</v>
      </c>
      <c r="Z316" t="n">
        <v>320</v>
      </c>
      <c r="AA316" t="n">
        <v>320</v>
      </c>
      <c r="AB316" t="n">
        <v>2</v>
      </c>
      <c r="AC316" t="n">
        <v>2</v>
      </c>
      <c r="AD316" t="n">
        <v>19</v>
      </c>
      <c r="AE316" t="n">
        <v>19</v>
      </c>
      <c r="AF316" t="n">
        <v>7</v>
      </c>
      <c r="AG316" t="n">
        <v>7</v>
      </c>
      <c r="AH316" t="n">
        <v>6</v>
      </c>
      <c r="AI316" t="n">
        <v>6</v>
      </c>
      <c r="AJ316" t="n">
        <v>10</v>
      </c>
      <c r="AK316" t="n">
        <v>10</v>
      </c>
      <c r="AL316" t="n">
        <v>1</v>
      </c>
      <c r="AM316" t="n">
        <v>1</v>
      </c>
      <c r="AN316" t="n">
        <v>1</v>
      </c>
      <c r="AO316" t="n">
        <v>1</v>
      </c>
      <c r="AP316" t="inlineStr">
        <is>
          <t>No</t>
        </is>
      </c>
      <c r="AQ316" t="inlineStr">
        <is>
          <t>No</t>
        </is>
      </c>
      <c r="AS316">
        <f>HYPERLINK("https://creighton-primo.hosted.exlibrisgroup.com/primo-explore/search?tab=default_tab&amp;search_scope=EVERYTHING&amp;vid=01CRU&amp;lang=en_US&amp;offset=0&amp;query=any,contains,991003327949702656","Catalog Record")</f>
        <v/>
      </c>
      <c r="AT316">
        <f>HYPERLINK("http://www.worldcat.org/oclc/40588457","WorldCat Record")</f>
        <v/>
      </c>
      <c r="AU316" t="inlineStr">
        <is>
          <t>875214:eng</t>
        </is>
      </c>
      <c r="AV316" t="inlineStr">
        <is>
          <t>40588457</t>
        </is>
      </c>
      <c r="AW316" t="inlineStr">
        <is>
          <t>991003327949702656</t>
        </is>
      </c>
      <c r="AX316" t="inlineStr">
        <is>
          <t>991003327949702656</t>
        </is>
      </c>
      <c r="AY316" t="inlineStr">
        <is>
          <t>2260438520002656</t>
        </is>
      </c>
      <c r="AZ316" t="inlineStr">
        <is>
          <t>BOOK</t>
        </is>
      </c>
      <c r="BB316" t="inlineStr">
        <is>
          <t>9780297643166</t>
        </is>
      </c>
      <c r="BC316" t="inlineStr">
        <is>
          <t>32285004276480</t>
        </is>
      </c>
      <c r="BD316" t="inlineStr">
        <is>
          <t>893868304</t>
        </is>
      </c>
    </row>
    <row r="317">
      <c r="A317" t="inlineStr">
        <is>
          <t>No</t>
        </is>
      </c>
      <c r="B317" t="inlineStr">
        <is>
          <t>DS119.76 .B455 2004</t>
        </is>
      </c>
      <c r="C317" t="inlineStr">
        <is>
          <t>0                      DS 0119760B  455         2004</t>
        </is>
      </c>
      <c r="D317" t="inlineStr">
        <is>
          <t>The path to Geneva : the quest for a permanent agreement, 1996-2004 / by Yosi Beilin ; contributing editor, David Silver.</t>
        </is>
      </c>
      <c r="F317" t="inlineStr">
        <is>
          <t>No</t>
        </is>
      </c>
      <c r="G317" t="inlineStr">
        <is>
          <t>1</t>
        </is>
      </c>
      <c r="H317" t="inlineStr">
        <is>
          <t>No</t>
        </is>
      </c>
      <c r="I317" t="inlineStr">
        <is>
          <t>No</t>
        </is>
      </c>
      <c r="J317" t="inlineStr">
        <is>
          <t>0</t>
        </is>
      </c>
      <c r="K317" t="inlineStr">
        <is>
          <t>Beilin, Yossi.</t>
        </is>
      </c>
      <c r="L317" t="inlineStr">
        <is>
          <t>New York : RDV Books, c2004.</t>
        </is>
      </c>
      <c r="M317" t="inlineStr">
        <is>
          <t>2004</t>
        </is>
      </c>
      <c r="O317" t="inlineStr">
        <is>
          <t>eng</t>
        </is>
      </c>
      <c r="P317" t="inlineStr">
        <is>
          <t>nyu</t>
        </is>
      </c>
      <c r="R317" t="inlineStr">
        <is>
          <t xml:space="preserve">DS </t>
        </is>
      </c>
      <c r="S317" t="n">
        <v>14</v>
      </c>
      <c r="T317" t="n">
        <v>14</v>
      </c>
      <c r="U317" t="inlineStr">
        <is>
          <t>2009-04-14</t>
        </is>
      </c>
      <c r="V317" t="inlineStr">
        <is>
          <t>2009-04-14</t>
        </is>
      </c>
      <c r="W317" t="inlineStr">
        <is>
          <t>2004-07-14</t>
        </is>
      </c>
      <c r="X317" t="inlineStr">
        <is>
          <t>2004-07-14</t>
        </is>
      </c>
      <c r="Y317" t="n">
        <v>212</v>
      </c>
      <c r="Z317" t="n">
        <v>185</v>
      </c>
      <c r="AA317" t="n">
        <v>267</v>
      </c>
      <c r="AB317" t="n">
        <v>1</v>
      </c>
      <c r="AC317" t="n">
        <v>1</v>
      </c>
      <c r="AD317" t="n">
        <v>10</v>
      </c>
      <c r="AE317" t="n">
        <v>13</v>
      </c>
      <c r="AF317" t="n">
        <v>3</v>
      </c>
      <c r="AG317" t="n">
        <v>5</v>
      </c>
      <c r="AH317" t="n">
        <v>4</v>
      </c>
      <c r="AI317" t="n">
        <v>4</v>
      </c>
      <c r="AJ317" t="n">
        <v>7</v>
      </c>
      <c r="AK317" t="n">
        <v>9</v>
      </c>
      <c r="AL317" t="n">
        <v>0</v>
      </c>
      <c r="AM317" t="n">
        <v>0</v>
      </c>
      <c r="AN317" t="n">
        <v>0</v>
      </c>
      <c r="AO317" t="n">
        <v>0</v>
      </c>
      <c r="AP317" t="inlineStr">
        <is>
          <t>No</t>
        </is>
      </c>
      <c r="AQ317" t="inlineStr">
        <is>
          <t>Yes</t>
        </is>
      </c>
      <c r="AR317">
        <f>HYPERLINK("http://catalog.hathitrust.org/Record/004742818","HathiTrust Record")</f>
        <v/>
      </c>
      <c r="AS317">
        <f>HYPERLINK("https://creighton-primo.hosted.exlibrisgroup.com/primo-explore/search?tab=default_tab&amp;search_scope=EVERYTHING&amp;vid=01CRU&amp;lang=en_US&amp;offset=0&amp;query=any,contains,991004318389702656","Catalog Record")</f>
        <v/>
      </c>
      <c r="AT317">
        <f>HYPERLINK("http://www.worldcat.org/oclc/55658527","WorldCat Record")</f>
        <v/>
      </c>
      <c r="AU317" t="inlineStr">
        <is>
          <t>198817084:eng</t>
        </is>
      </c>
      <c r="AV317" t="inlineStr">
        <is>
          <t>55658527</t>
        </is>
      </c>
      <c r="AW317" t="inlineStr">
        <is>
          <t>991004318389702656</t>
        </is>
      </c>
      <c r="AX317" t="inlineStr">
        <is>
          <t>991004318389702656</t>
        </is>
      </c>
      <c r="AY317" t="inlineStr">
        <is>
          <t>2257862220002656</t>
        </is>
      </c>
      <c r="AZ317" t="inlineStr">
        <is>
          <t>BOOK</t>
        </is>
      </c>
      <c r="BB317" t="inlineStr">
        <is>
          <t>9780971920637</t>
        </is>
      </c>
      <c r="BC317" t="inlineStr">
        <is>
          <t>32285004922620</t>
        </is>
      </c>
      <c r="BD317" t="inlineStr">
        <is>
          <t>893259588</t>
        </is>
      </c>
    </row>
    <row r="318">
      <c r="A318" t="inlineStr">
        <is>
          <t>No</t>
        </is>
      </c>
      <c r="B318" t="inlineStr">
        <is>
          <t>DS119.76 .B55 2001</t>
        </is>
      </c>
      <c r="C318" t="inlineStr">
        <is>
          <t>0                      DS 0119760B  55          2001</t>
        </is>
      </c>
      <c r="D318" t="inlineStr">
        <is>
          <t>Palestine/Israel : peace or apartheid : prospects for resolving the conflict / Marwan Bishara.</t>
        </is>
      </c>
      <c r="F318" t="inlineStr">
        <is>
          <t>No</t>
        </is>
      </c>
      <c r="G318" t="inlineStr">
        <is>
          <t>1</t>
        </is>
      </c>
      <c r="H318" t="inlineStr">
        <is>
          <t>No</t>
        </is>
      </c>
      <c r="I318" t="inlineStr">
        <is>
          <t>No</t>
        </is>
      </c>
      <c r="J318" t="inlineStr">
        <is>
          <t>0</t>
        </is>
      </c>
      <c r="K318" t="inlineStr">
        <is>
          <t>Bishārah, Marwān.</t>
        </is>
      </c>
      <c r="L318" t="inlineStr">
        <is>
          <t>London ; New York : Zed Books ; Halifax, Nova Scotia : Fernwood Pub. ; New York : Distributed exclusively in the U.S. by Palgrave, 2001.</t>
        </is>
      </c>
      <c r="M318" t="inlineStr">
        <is>
          <t>2001</t>
        </is>
      </c>
      <c r="O318" t="inlineStr">
        <is>
          <t>eng</t>
        </is>
      </c>
      <c r="P318" t="inlineStr">
        <is>
          <t>enk</t>
        </is>
      </c>
      <c r="R318" t="inlineStr">
        <is>
          <t xml:space="preserve">DS </t>
        </is>
      </c>
      <c r="S318" t="n">
        <v>10</v>
      </c>
      <c r="T318" t="n">
        <v>10</v>
      </c>
      <c r="U318" t="inlineStr">
        <is>
          <t>2005-04-12</t>
        </is>
      </c>
      <c r="V318" t="inlineStr">
        <is>
          <t>2005-04-12</t>
        </is>
      </c>
      <c r="W318" t="inlineStr">
        <is>
          <t>2002-03-20</t>
        </is>
      </c>
      <c r="X318" t="inlineStr">
        <is>
          <t>2002-03-20</t>
        </is>
      </c>
      <c r="Y318" t="n">
        <v>261</v>
      </c>
      <c r="Z318" t="n">
        <v>196</v>
      </c>
      <c r="AA318" t="n">
        <v>198</v>
      </c>
      <c r="AB318" t="n">
        <v>2</v>
      </c>
      <c r="AC318" t="n">
        <v>2</v>
      </c>
      <c r="AD318" t="n">
        <v>11</v>
      </c>
      <c r="AE318" t="n">
        <v>11</v>
      </c>
      <c r="AF318" t="n">
        <v>3</v>
      </c>
      <c r="AG318" t="n">
        <v>3</v>
      </c>
      <c r="AH318" t="n">
        <v>3</v>
      </c>
      <c r="AI318" t="n">
        <v>3</v>
      </c>
      <c r="AJ318" t="n">
        <v>6</v>
      </c>
      <c r="AK318" t="n">
        <v>6</v>
      </c>
      <c r="AL318" t="n">
        <v>1</v>
      </c>
      <c r="AM318" t="n">
        <v>1</v>
      </c>
      <c r="AN318" t="n">
        <v>1</v>
      </c>
      <c r="AO318" t="n">
        <v>1</v>
      </c>
      <c r="AP318" t="inlineStr">
        <is>
          <t>No</t>
        </is>
      </c>
      <c r="AQ318" t="inlineStr">
        <is>
          <t>No</t>
        </is>
      </c>
      <c r="AS318">
        <f>HYPERLINK("https://creighton-primo.hosted.exlibrisgroup.com/primo-explore/search?tab=default_tab&amp;search_scope=EVERYTHING&amp;vid=01CRU&amp;lang=en_US&amp;offset=0&amp;query=any,contains,991003753619702656","Catalog Record")</f>
        <v/>
      </c>
      <c r="AT318">
        <f>HYPERLINK("http://www.worldcat.org/oclc/47273086","WorldCat Record")</f>
        <v/>
      </c>
      <c r="AU318" t="inlineStr">
        <is>
          <t>3855592988:eng</t>
        </is>
      </c>
      <c r="AV318" t="inlineStr">
        <is>
          <t>47273086</t>
        </is>
      </c>
      <c r="AW318" t="inlineStr">
        <is>
          <t>991003753619702656</t>
        </is>
      </c>
      <c r="AX318" t="inlineStr">
        <is>
          <t>991003753619702656</t>
        </is>
      </c>
      <c r="AY318" t="inlineStr">
        <is>
          <t>2263907030002656</t>
        </is>
      </c>
      <c r="AZ318" t="inlineStr">
        <is>
          <t>BOOK</t>
        </is>
      </c>
      <c r="BB318" t="inlineStr">
        <is>
          <t>9781842771105</t>
        </is>
      </c>
      <c r="BC318" t="inlineStr">
        <is>
          <t>32285004463344</t>
        </is>
      </c>
      <c r="BD318" t="inlineStr">
        <is>
          <t>893416745</t>
        </is>
      </c>
    </row>
    <row r="319">
      <c r="A319" t="inlineStr">
        <is>
          <t>No</t>
        </is>
      </c>
      <c r="B319" t="inlineStr">
        <is>
          <t>DS119.76 .C49 2003</t>
        </is>
      </c>
      <c r="C319" t="inlineStr">
        <is>
          <t>0                      DS 0119760C  49          2003</t>
        </is>
      </c>
      <c r="D319" t="inlineStr">
        <is>
          <t>Middle East illusions : including peace in the Middle East? : reflections on justice and nationhood / Noam Chomsky.</t>
        </is>
      </c>
      <c r="F319" t="inlineStr">
        <is>
          <t>No</t>
        </is>
      </c>
      <c r="G319" t="inlineStr">
        <is>
          <t>1</t>
        </is>
      </c>
      <c r="H319" t="inlineStr">
        <is>
          <t>No</t>
        </is>
      </c>
      <c r="I319" t="inlineStr">
        <is>
          <t>No</t>
        </is>
      </c>
      <c r="J319" t="inlineStr">
        <is>
          <t>0</t>
        </is>
      </c>
      <c r="K319" t="inlineStr">
        <is>
          <t>Chomsky, Noam.</t>
        </is>
      </c>
      <c r="L319" t="inlineStr">
        <is>
          <t>Lanham, MD : Rowman &amp; Littlefield Publishers, c2003.</t>
        </is>
      </c>
      <c r="M319" t="inlineStr">
        <is>
          <t>2003</t>
        </is>
      </c>
      <c r="O319" t="inlineStr">
        <is>
          <t>eng</t>
        </is>
      </c>
      <c r="P319" t="inlineStr">
        <is>
          <t>mdu</t>
        </is>
      </c>
      <c r="R319" t="inlineStr">
        <is>
          <t xml:space="preserve">DS </t>
        </is>
      </c>
      <c r="S319" t="n">
        <v>6</v>
      </c>
      <c r="T319" t="n">
        <v>6</v>
      </c>
      <c r="U319" t="inlineStr">
        <is>
          <t>2004-06-24</t>
        </is>
      </c>
      <c r="V319" t="inlineStr">
        <is>
          <t>2004-06-24</t>
        </is>
      </c>
      <c r="W319" t="inlineStr">
        <is>
          <t>2003-07-30</t>
        </is>
      </c>
      <c r="X319" t="inlineStr">
        <is>
          <t>2003-07-30</t>
        </is>
      </c>
      <c r="Y319" t="n">
        <v>801</v>
      </c>
      <c r="Z319" t="n">
        <v>634</v>
      </c>
      <c r="AA319" t="n">
        <v>712</v>
      </c>
      <c r="AB319" t="n">
        <v>2</v>
      </c>
      <c r="AC319" t="n">
        <v>2</v>
      </c>
      <c r="AD319" t="n">
        <v>22</v>
      </c>
      <c r="AE319" t="n">
        <v>24</v>
      </c>
      <c r="AF319" t="n">
        <v>7</v>
      </c>
      <c r="AG319" t="n">
        <v>9</v>
      </c>
      <c r="AH319" t="n">
        <v>6</v>
      </c>
      <c r="AI319" t="n">
        <v>6</v>
      </c>
      <c r="AJ319" t="n">
        <v>13</v>
      </c>
      <c r="AK319" t="n">
        <v>14</v>
      </c>
      <c r="AL319" t="n">
        <v>1</v>
      </c>
      <c r="AM319" t="n">
        <v>1</v>
      </c>
      <c r="AN319" t="n">
        <v>0</v>
      </c>
      <c r="AO319" t="n">
        <v>0</v>
      </c>
      <c r="AP319" t="inlineStr">
        <is>
          <t>No</t>
        </is>
      </c>
      <c r="AQ319" t="inlineStr">
        <is>
          <t>Yes</t>
        </is>
      </c>
      <c r="AR319">
        <f>HYPERLINK("http://catalog.hathitrust.org/Record/004317121","HathiTrust Record")</f>
        <v/>
      </c>
      <c r="AS319">
        <f>HYPERLINK("https://creighton-primo.hosted.exlibrisgroup.com/primo-explore/search?tab=default_tab&amp;search_scope=EVERYTHING&amp;vid=01CRU&amp;lang=en_US&amp;offset=0&amp;query=any,contains,991004089469702656","Catalog Record")</f>
        <v/>
      </c>
      <c r="AT319">
        <f>HYPERLINK("http://www.worldcat.org/oclc/51222165","WorldCat Record")</f>
        <v/>
      </c>
      <c r="AU319" t="inlineStr">
        <is>
          <t>740413:eng</t>
        </is>
      </c>
      <c r="AV319" t="inlineStr">
        <is>
          <t>51222165</t>
        </is>
      </c>
      <c r="AW319" t="inlineStr">
        <is>
          <t>991004089469702656</t>
        </is>
      </c>
      <c r="AX319" t="inlineStr">
        <is>
          <t>991004089469702656</t>
        </is>
      </c>
      <c r="AY319" t="inlineStr">
        <is>
          <t>2270874550002656</t>
        </is>
      </c>
      <c r="AZ319" t="inlineStr">
        <is>
          <t>BOOK</t>
        </is>
      </c>
      <c r="BB319" t="inlineStr">
        <is>
          <t>9780742526938</t>
        </is>
      </c>
      <c r="BC319" t="inlineStr">
        <is>
          <t>32285004758263</t>
        </is>
      </c>
      <c r="BD319" t="inlineStr">
        <is>
          <t>893318789</t>
        </is>
      </c>
    </row>
    <row r="320">
      <c r="A320" t="inlineStr">
        <is>
          <t>No</t>
        </is>
      </c>
      <c r="B320" t="inlineStr">
        <is>
          <t>DS119.76 .E5913 2003</t>
        </is>
      </c>
      <c r="C320" t="inlineStr">
        <is>
          <t>0                      DS 0119760E  5913        2003</t>
        </is>
      </c>
      <c r="D320" t="inlineStr">
        <is>
          <t>Shattered dreams : the failure of the peace process in the Middle East, 1995-2002 / Charles Enderlin ; translated by Susan Fairfield.</t>
        </is>
      </c>
      <c r="F320" t="inlineStr">
        <is>
          <t>No</t>
        </is>
      </c>
      <c r="G320" t="inlineStr">
        <is>
          <t>1</t>
        </is>
      </c>
      <c r="H320" t="inlineStr">
        <is>
          <t>No</t>
        </is>
      </c>
      <c r="I320" t="inlineStr">
        <is>
          <t>No</t>
        </is>
      </c>
      <c r="J320" t="inlineStr">
        <is>
          <t>0</t>
        </is>
      </c>
      <c r="K320" t="inlineStr">
        <is>
          <t>Enderlin, Charles.</t>
        </is>
      </c>
      <c r="L320" t="inlineStr">
        <is>
          <t>New York : Other Press, c2003.</t>
        </is>
      </c>
      <c r="M320" t="inlineStr">
        <is>
          <t>2003</t>
        </is>
      </c>
      <c r="O320" t="inlineStr">
        <is>
          <t>eng</t>
        </is>
      </c>
      <c r="P320" t="inlineStr">
        <is>
          <t>nyu</t>
        </is>
      </c>
      <c r="R320" t="inlineStr">
        <is>
          <t xml:space="preserve">DS </t>
        </is>
      </c>
      <c r="S320" t="n">
        <v>3</v>
      </c>
      <c r="T320" t="n">
        <v>3</v>
      </c>
      <c r="U320" t="inlineStr">
        <is>
          <t>2005-01-28</t>
        </is>
      </c>
      <c r="V320" t="inlineStr">
        <is>
          <t>2005-01-28</t>
        </is>
      </c>
      <c r="W320" t="inlineStr">
        <is>
          <t>2003-06-18</t>
        </is>
      </c>
      <c r="X320" t="inlineStr">
        <is>
          <t>2003-06-18</t>
        </is>
      </c>
      <c r="Y320" t="n">
        <v>685</v>
      </c>
      <c r="Z320" t="n">
        <v>590</v>
      </c>
      <c r="AA320" t="n">
        <v>595</v>
      </c>
      <c r="AB320" t="n">
        <v>7</v>
      </c>
      <c r="AC320" t="n">
        <v>7</v>
      </c>
      <c r="AD320" t="n">
        <v>33</v>
      </c>
      <c r="AE320" t="n">
        <v>33</v>
      </c>
      <c r="AF320" t="n">
        <v>14</v>
      </c>
      <c r="AG320" t="n">
        <v>14</v>
      </c>
      <c r="AH320" t="n">
        <v>8</v>
      </c>
      <c r="AI320" t="n">
        <v>8</v>
      </c>
      <c r="AJ320" t="n">
        <v>16</v>
      </c>
      <c r="AK320" t="n">
        <v>16</v>
      </c>
      <c r="AL320" t="n">
        <v>5</v>
      </c>
      <c r="AM320" t="n">
        <v>5</v>
      </c>
      <c r="AN320" t="n">
        <v>0</v>
      </c>
      <c r="AO320" t="n">
        <v>0</v>
      </c>
      <c r="AP320" t="inlineStr">
        <is>
          <t>No</t>
        </is>
      </c>
      <c r="AQ320" t="inlineStr">
        <is>
          <t>No</t>
        </is>
      </c>
      <c r="AS320">
        <f>HYPERLINK("https://creighton-primo.hosted.exlibrisgroup.com/primo-explore/search?tab=default_tab&amp;search_scope=EVERYTHING&amp;vid=01CRU&amp;lang=en_US&amp;offset=0&amp;query=any,contains,991004074109702656","Catalog Record")</f>
        <v/>
      </c>
      <c r="AT320">
        <f>HYPERLINK("http://www.worldcat.org/oclc/50440985","WorldCat Record")</f>
        <v/>
      </c>
      <c r="AU320" t="inlineStr">
        <is>
          <t>1152301451:eng</t>
        </is>
      </c>
      <c r="AV320" t="inlineStr">
        <is>
          <t>50440985</t>
        </is>
      </c>
      <c r="AW320" t="inlineStr">
        <is>
          <t>991004074109702656</t>
        </is>
      </c>
      <c r="AX320" t="inlineStr">
        <is>
          <t>991004074109702656</t>
        </is>
      </c>
      <c r="AY320" t="inlineStr">
        <is>
          <t>2258043730002656</t>
        </is>
      </c>
      <c r="AZ320" t="inlineStr">
        <is>
          <t>BOOK</t>
        </is>
      </c>
      <c r="BB320" t="inlineStr">
        <is>
          <t>9781590510605</t>
        </is>
      </c>
      <c r="BC320" t="inlineStr">
        <is>
          <t>32285004753827</t>
        </is>
      </c>
      <c r="BD320" t="inlineStr">
        <is>
          <t>893240984</t>
        </is>
      </c>
    </row>
    <row r="321">
      <c r="A321" t="inlineStr">
        <is>
          <t>No</t>
        </is>
      </c>
      <c r="B321" t="inlineStr">
        <is>
          <t>DS119.76 .G57 2001</t>
        </is>
      </c>
      <c r="C321" t="inlineStr">
        <is>
          <t>0                      DS 0119760G  57          2001</t>
        </is>
      </c>
      <c r="D321" t="inlineStr">
        <is>
          <t>Hebron journal : stories of nonviolent peacemaking / Arthur G. Gish.</t>
        </is>
      </c>
      <c r="F321" t="inlineStr">
        <is>
          <t>No</t>
        </is>
      </c>
      <c r="G321" t="inlineStr">
        <is>
          <t>1</t>
        </is>
      </c>
      <c r="H321" t="inlineStr">
        <is>
          <t>No</t>
        </is>
      </c>
      <c r="I321" t="inlineStr">
        <is>
          <t>No</t>
        </is>
      </c>
      <c r="J321" t="inlineStr">
        <is>
          <t>0</t>
        </is>
      </c>
      <c r="K321" t="inlineStr">
        <is>
          <t>Gish, Arthur G., 1939-2010.</t>
        </is>
      </c>
      <c r="L321" t="inlineStr">
        <is>
          <t>Scottdale, Pa. : Herald Press, c2001.</t>
        </is>
      </c>
      <c r="M321" t="inlineStr">
        <is>
          <t>2001</t>
        </is>
      </c>
      <c r="O321" t="inlineStr">
        <is>
          <t>eng</t>
        </is>
      </c>
      <c r="P321" t="inlineStr">
        <is>
          <t>pau</t>
        </is>
      </c>
      <c r="R321" t="inlineStr">
        <is>
          <t xml:space="preserve">DS </t>
        </is>
      </c>
      <c r="S321" t="n">
        <v>3</v>
      </c>
      <c r="T321" t="n">
        <v>3</v>
      </c>
      <c r="U321" t="inlineStr">
        <is>
          <t>2005-02-04</t>
        </is>
      </c>
      <c r="V321" t="inlineStr">
        <is>
          <t>2005-02-04</t>
        </is>
      </c>
      <c r="W321" t="inlineStr">
        <is>
          <t>2002-03-18</t>
        </is>
      </c>
      <c r="X321" t="inlineStr">
        <is>
          <t>2002-03-18</t>
        </is>
      </c>
      <c r="Y321" t="n">
        <v>168</v>
      </c>
      <c r="Z321" t="n">
        <v>147</v>
      </c>
      <c r="AA321" t="n">
        <v>161</v>
      </c>
      <c r="AB321" t="n">
        <v>2</v>
      </c>
      <c r="AC321" t="n">
        <v>2</v>
      </c>
      <c r="AD321" t="n">
        <v>7</v>
      </c>
      <c r="AE321" t="n">
        <v>8</v>
      </c>
      <c r="AF321" t="n">
        <v>2</v>
      </c>
      <c r="AG321" t="n">
        <v>3</v>
      </c>
      <c r="AH321" t="n">
        <v>1</v>
      </c>
      <c r="AI321" t="n">
        <v>2</v>
      </c>
      <c r="AJ321" t="n">
        <v>4</v>
      </c>
      <c r="AK321" t="n">
        <v>4</v>
      </c>
      <c r="AL321" t="n">
        <v>1</v>
      </c>
      <c r="AM321" t="n">
        <v>1</v>
      </c>
      <c r="AN321" t="n">
        <v>0</v>
      </c>
      <c r="AO321" t="n">
        <v>0</v>
      </c>
      <c r="AP321" t="inlineStr">
        <is>
          <t>No</t>
        </is>
      </c>
      <c r="AQ321" t="inlineStr">
        <is>
          <t>No</t>
        </is>
      </c>
      <c r="AS321">
        <f>HYPERLINK("https://creighton-primo.hosted.exlibrisgroup.com/primo-explore/search?tab=default_tab&amp;search_scope=EVERYTHING&amp;vid=01CRU&amp;lang=en_US&amp;offset=0&amp;query=any,contains,991003742069702656","Catalog Record")</f>
        <v/>
      </c>
      <c r="AT321">
        <f>HYPERLINK("http://www.worldcat.org/oclc/47161567","WorldCat Record")</f>
        <v/>
      </c>
      <c r="AU321" t="inlineStr">
        <is>
          <t>36114667:eng</t>
        </is>
      </c>
      <c r="AV321" t="inlineStr">
        <is>
          <t>47161567</t>
        </is>
      </c>
      <c r="AW321" t="inlineStr">
        <is>
          <t>991003742069702656</t>
        </is>
      </c>
      <c r="AX321" t="inlineStr">
        <is>
          <t>991003742069702656</t>
        </is>
      </c>
      <c r="AY321" t="inlineStr">
        <is>
          <t>2266751240002656</t>
        </is>
      </c>
      <c r="AZ321" t="inlineStr">
        <is>
          <t>BOOK</t>
        </is>
      </c>
      <c r="BB321" t="inlineStr">
        <is>
          <t>9780836191684</t>
        </is>
      </c>
      <c r="BC321" t="inlineStr">
        <is>
          <t>32285004461843</t>
        </is>
      </c>
      <c r="BD321" t="inlineStr">
        <is>
          <t>893617685</t>
        </is>
      </c>
    </row>
    <row r="322">
      <c r="A322" t="inlineStr">
        <is>
          <t>No</t>
        </is>
      </c>
      <c r="B322" t="inlineStr">
        <is>
          <t>DS119.76 .H835 2009</t>
        </is>
      </c>
      <c r="C322" t="inlineStr">
        <is>
          <t>0                      DS 0119760H  835         2009</t>
        </is>
      </c>
      <c r="D322" t="inlineStr">
        <is>
          <t>The Israeli-Palestinian road map for peace : a critical analysis / Derick L. Hulme, Jr.</t>
        </is>
      </c>
      <c r="F322" t="inlineStr">
        <is>
          <t>No</t>
        </is>
      </c>
      <c r="G322" t="inlineStr">
        <is>
          <t>1</t>
        </is>
      </c>
      <c r="H322" t="inlineStr">
        <is>
          <t>No</t>
        </is>
      </c>
      <c r="I322" t="inlineStr">
        <is>
          <t>No</t>
        </is>
      </c>
      <c r="J322" t="inlineStr">
        <is>
          <t>0</t>
        </is>
      </c>
      <c r="K322" t="inlineStr">
        <is>
          <t>Hulme, Derick L.</t>
        </is>
      </c>
      <c r="L322" t="inlineStr">
        <is>
          <t>Lanham, Md. : University Press of America, c2009.</t>
        </is>
      </c>
      <c r="M322" t="inlineStr">
        <is>
          <t>2009</t>
        </is>
      </c>
      <c r="O322" t="inlineStr">
        <is>
          <t>eng</t>
        </is>
      </c>
      <c r="P322" t="inlineStr">
        <is>
          <t>mdu</t>
        </is>
      </c>
      <c r="R322" t="inlineStr">
        <is>
          <t xml:space="preserve">DS </t>
        </is>
      </c>
      <c r="S322" t="n">
        <v>2</v>
      </c>
      <c r="T322" t="n">
        <v>2</v>
      </c>
      <c r="U322" t="inlineStr">
        <is>
          <t>2010-04-19</t>
        </is>
      </c>
      <c r="V322" t="inlineStr">
        <is>
          <t>2010-04-19</t>
        </is>
      </c>
      <c r="W322" t="inlineStr">
        <is>
          <t>2010-03-24</t>
        </is>
      </c>
      <c r="X322" t="inlineStr">
        <is>
          <t>2010-03-24</t>
        </is>
      </c>
      <c r="Y322" t="n">
        <v>107</v>
      </c>
      <c r="Z322" t="n">
        <v>84</v>
      </c>
      <c r="AA322" t="n">
        <v>85</v>
      </c>
      <c r="AB322" t="n">
        <v>1</v>
      </c>
      <c r="AC322" t="n">
        <v>1</v>
      </c>
      <c r="AD322" t="n">
        <v>8</v>
      </c>
      <c r="AE322" t="n">
        <v>8</v>
      </c>
      <c r="AF322" t="n">
        <v>2</v>
      </c>
      <c r="AG322" t="n">
        <v>2</v>
      </c>
      <c r="AH322" t="n">
        <v>3</v>
      </c>
      <c r="AI322" t="n">
        <v>3</v>
      </c>
      <c r="AJ322" t="n">
        <v>5</v>
      </c>
      <c r="AK322" t="n">
        <v>5</v>
      </c>
      <c r="AL322" t="n">
        <v>0</v>
      </c>
      <c r="AM322" t="n">
        <v>0</v>
      </c>
      <c r="AN322" t="n">
        <v>0</v>
      </c>
      <c r="AO322" t="n">
        <v>0</v>
      </c>
      <c r="AP322" t="inlineStr">
        <is>
          <t>No</t>
        </is>
      </c>
      <c r="AQ322" t="inlineStr">
        <is>
          <t>Yes</t>
        </is>
      </c>
      <c r="AR322">
        <f>HYPERLINK("http://catalog.hathitrust.org/Record/005916335","HathiTrust Record")</f>
        <v/>
      </c>
      <c r="AS322">
        <f>HYPERLINK("https://creighton-primo.hosted.exlibrisgroup.com/primo-explore/search?tab=default_tab&amp;search_scope=EVERYTHING&amp;vid=01CRU&amp;lang=en_US&amp;offset=0&amp;query=any,contains,991005374799702656","Catalog Record")</f>
        <v/>
      </c>
      <c r="AT322">
        <f>HYPERLINK("http://www.worldcat.org/oclc/256529530","WorldCat Record")</f>
        <v/>
      </c>
      <c r="AU322" t="inlineStr">
        <is>
          <t>946119147:eng</t>
        </is>
      </c>
      <c r="AV322" t="inlineStr">
        <is>
          <t>256529530</t>
        </is>
      </c>
      <c r="AW322" t="inlineStr">
        <is>
          <t>991005374799702656</t>
        </is>
      </c>
      <c r="AX322" t="inlineStr">
        <is>
          <t>991005374799702656</t>
        </is>
      </c>
      <c r="AY322" t="inlineStr">
        <is>
          <t>2261484590002656</t>
        </is>
      </c>
      <c r="AZ322" t="inlineStr">
        <is>
          <t>BOOK</t>
        </is>
      </c>
      <c r="BB322" t="inlineStr">
        <is>
          <t>9780761843702</t>
        </is>
      </c>
      <c r="BC322" t="inlineStr">
        <is>
          <t>32285005579189</t>
        </is>
      </c>
      <c r="BD322" t="inlineStr">
        <is>
          <t>893437742</t>
        </is>
      </c>
    </row>
    <row r="323">
      <c r="A323" t="inlineStr">
        <is>
          <t>No</t>
        </is>
      </c>
      <c r="B323" t="inlineStr">
        <is>
          <t>DS119.76 .I823 2003</t>
        </is>
      </c>
      <c r="C323" t="inlineStr">
        <is>
          <t>0                      DS 0119760I  823         2003</t>
        </is>
      </c>
      <c r="D323" t="inlineStr">
        <is>
          <t>The Israeli-Palestinian conflict : crisis in the Middle East / Reuters.</t>
        </is>
      </c>
      <c r="F323" t="inlineStr">
        <is>
          <t>No</t>
        </is>
      </c>
      <c r="G323" t="inlineStr">
        <is>
          <t>1</t>
        </is>
      </c>
      <c r="H323" t="inlineStr">
        <is>
          <t>No</t>
        </is>
      </c>
      <c r="I323" t="inlineStr">
        <is>
          <t>No</t>
        </is>
      </c>
      <c r="J323" t="inlineStr">
        <is>
          <t>0</t>
        </is>
      </c>
      <c r="L323" t="inlineStr">
        <is>
          <t>Upper Saddle River, NJ : Prentice Hall, c2003.</t>
        </is>
      </c>
      <c r="M323" t="inlineStr">
        <is>
          <t>2003</t>
        </is>
      </c>
      <c r="O323" t="inlineStr">
        <is>
          <t>eng</t>
        </is>
      </c>
      <c r="P323" t="inlineStr">
        <is>
          <t>nju</t>
        </is>
      </c>
      <c r="R323" t="inlineStr">
        <is>
          <t xml:space="preserve">DS </t>
        </is>
      </c>
      <c r="S323" t="n">
        <v>9</v>
      </c>
      <c r="T323" t="n">
        <v>9</v>
      </c>
      <c r="U323" t="inlineStr">
        <is>
          <t>2008-04-17</t>
        </is>
      </c>
      <c r="V323" t="inlineStr">
        <is>
          <t>2008-04-17</t>
        </is>
      </c>
      <c r="W323" t="inlineStr">
        <is>
          <t>2002-10-29</t>
        </is>
      </c>
      <c r="X323" t="inlineStr">
        <is>
          <t>2002-10-29</t>
        </is>
      </c>
      <c r="Y323" t="n">
        <v>281</v>
      </c>
      <c r="Z323" t="n">
        <v>229</v>
      </c>
      <c r="AA323" t="n">
        <v>242</v>
      </c>
      <c r="AB323" t="n">
        <v>3</v>
      </c>
      <c r="AC323" t="n">
        <v>3</v>
      </c>
      <c r="AD323" t="n">
        <v>7</v>
      </c>
      <c r="AE323" t="n">
        <v>7</v>
      </c>
      <c r="AF323" t="n">
        <v>0</v>
      </c>
      <c r="AG323" t="n">
        <v>0</v>
      </c>
      <c r="AH323" t="n">
        <v>4</v>
      </c>
      <c r="AI323" t="n">
        <v>4</v>
      </c>
      <c r="AJ323" t="n">
        <v>3</v>
      </c>
      <c r="AK323" t="n">
        <v>3</v>
      </c>
      <c r="AL323" t="n">
        <v>2</v>
      </c>
      <c r="AM323" t="n">
        <v>2</v>
      </c>
      <c r="AN323" t="n">
        <v>0</v>
      </c>
      <c r="AO323" t="n">
        <v>0</v>
      </c>
      <c r="AP323" t="inlineStr">
        <is>
          <t>No</t>
        </is>
      </c>
      <c r="AQ323" t="inlineStr">
        <is>
          <t>Yes</t>
        </is>
      </c>
      <c r="AR323">
        <f>HYPERLINK("http://catalog.hathitrust.org/Record/004289609","HathiTrust Record")</f>
        <v/>
      </c>
      <c r="AS323">
        <f>HYPERLINK("https://creighton-primo.hosted.exlibrisgroup.com/primo-explore/search?tab=default_tab&amp;search_scope=EVERYTHING&amp;vid=01CRU&amp;lang=en_US&amp;offset=0&amp;query=any,contains,991003908769702656","Catalog Record")</f>
        <v/>
      </c>
      <c r="AT323">
        <f>HYPERLINK("http://www.worldcat.org/oclc/50129391","WorldCat Record")</f>
        <v/>
      </c>
      <c r="AU323" t="inlineStr">
        <is>
          <t>56832151:eng</t>
        </is>
      </c>
      <c r="AV323" t="inlineStr">
        <is>
          <t>50129391</t>
        </is>
      </c>
      <c r="AW323" t="inlineStr">
        <is>
          <t>991003908769702656</t>
        </is>
      </c>
      <c r="AX323" t="inlineStr">
        <is>
          <t>991003908769702656</t>
        </is>
      </c>
      <c r="AY323" t="inlineStr">
        <is>
          <t>2264918580002656</t>
        </is>
      </c>
      <c r="AZ323" t="inlineStr">
        <is>
          <t>BOOK</t>
        </is>
      </c>
      <c r="BB323" t="inlineStr">
        <is>
          <t>9780131001503</t>
        </is>
      </c>
      <c r="BC323" t="inlineStr">
        <is>
          <t>32285004658752</t>
        </is>
      </c>
      <c r="BD323" t="inlineStr">
        <is>
          <t>893429421</t>
        </is>
      </c>
    </row>
    <row r="324">
      <c r="A324" t="inlineStr">
        <is>
          <t>No</t>
        </is>
      </c>
      <c r="B324" t="inlineStr">
        <is>
          <t>DS119.76 .K27 2003</t>
        </is>
      </c>
      <c r="C324" t="inlineStr">
        <is>
          <t>0                      DS 0119760K  27          2003</t>
        </is>
      </c>
      <c r="D324" t="inlineStr">
        <is>
          <t>Arafat's war : the man and his struggle for Israeli conquest / Efraim Karsh.</t>
        </is>
      </c>
      <c r="F324" t="inlineStr">
        <is>
          <t>No</t>
        </is>
      </c>
      <c r="G324" t="inlineStr">
        <is>
          <t>1</t>
        </is>
      </c>
      <c r="H324" t="inlineStr">
        <is>
          <t>No</t>
        </is>
      </c>
      <c r="I324" t="inlineStr">
        <is>
          <t>No</t>
        </is>
      </c>
      <c r="J324" t="inlineStr">
        <is>
          <t>0</t>
        </is>
      </c>
      <c r="K324" t="inlineStr">
        <is>
          <t>Karsh, Efraim.</t>
        </is>
      </c>
      <c r="L324" t="inlineStr">
        <is>
          <t>New York : Grove Press, c2003.</t>
        </is>
      </c>
      <c r="M324" t="inlineStr">
        <is>
          <t>2003</t>
        </is>
      </c>
      <c r="N324" t="inlineStr">
        <is>
          <t>1st ed.</t>
        </is>
      </c>
      <c r="O324" t="inlineStr">
        <is>
          <t>eng</t>
        </is>
      </c>
      <c r="P324" t="inlineStr">
        <is>
          <t>nyu</t>
        </is>
      </c>
      <c r="R324" t="inlineStr">
        <is>
          <t xml:space="preserve">DS </t>
        </is>
      </c>
      <c r="S324" t="n">
        <v>6</v>
      </c>
      <c r="T324" t="n">
        <v>6</v>
      </c>
      <c r="U324" t="inlineStr">
        <is>
          <t>2008-04-17</t>
        </is>
      </c>
      <c r="V324" t="inlineStr">
        <is>
          <t>2008-04-17</t>
        </is>
      </c>
      <c r="W324" t="inlineStr">
        <is>
          <t>2004-01-07</t>
        </is>
      </c>
      <c r="X324" t="inlineStr">
        <is>
          <t>2004-01-07</t>
        </is>
      </c>
      <c r="Y324" t="n">
        <v>493</v>
      </c>
      <c r="Z324" t="n">
        <v>439</v>
      </c>
      <c r="AA324" t="n">
        <v>486</v>
      </c>
      <c r="AB324" t="n">
        <v>5</v>
      </c>
      <c r="AC324" t="n">
        <v>5</v>
      </c>
      <c r="AD324" t="n">
        <v>14</v>
      </c>
      <c r="AE324" t="n">
        <v>16</v>
      </c>
      <c r="AF324" t="n">
        <v>7</v>
      </c>
      <c r="AG324" t="n">
        <v>7</v>
      </c>
      <c r="AH324" t="n">
        <v>3</v>
      </c>
      <c r="AI324" t="n">
        <v>4</v>
      </c>
      <c r="AJ324" t="n">
        <v>5</v>
      </c>
      <c r="AK324" t="n">
        <v>7</v>
      </c>
      <c r="AL324" t="n">
        <v>2</v>
      </c>
      <c r="AM324" t="n">
        <v>2</v>
      </c>
      <c r="AN324" t="n">
        <v>1</v>
      </c>
      <c r="AO324" t="n">
        <v>1</v>
      </c>
      <c r="AP324" t="inlineStr">
        <is>
          <t>No</t>
        </is>
      </c>
      <c r="AQ324" t="inlineStr">
        <is>
          <t>No</t>
        </is>
      </c>
      <c r="AS324">
        <f>HYPERLINK("https://creighton-primo.hosted.exlibrisgroup.com/primo-explore/search?tab=default_tab&amp;search_scope=EVERYTHING&amp;vid=01CRU&amp;lang=en_US&amp;offset=0&amp;query=any,contains,991004196539702656","Catalog Record")</f>
        <v/>
      </c>
      <c r="AT324">
        <f>HYPERLINK("http://www.worldcat.org/oclc/52090707","WorldCat Record")</f>
        <v/>
      </c>
      <c r="AU324" t="inlineStr">
        <is>
          <t>43593209:eng</t>
        </is>
      </c>
      <c r="AV324" t="inlineStr">
        <is>
          <t>52090707</t>
        </is>
      </c>
      <c r="AW324" t="inlineStr">
        <is>
          <t>991004196539702656</t>
        </is>
      </c>
      <c r="AX324" t="inlineStr">
        <is>
          <t>991004196539702656</t>
        </is>
      </c>
      <c r="AY324" t="inlineStr">
        <is>
          <t>2271581270002656</t>
        </is>
      </c>
      <c r="AZ324" t="inlineStr">
        <is>
          <t>BOOK</t>
        </is>
      </c>
      <c r="BB324" t="inlineStr">
        <is>
          <t>9780802117588</t>
        </is>
      </c>
      <c r="BC324" t="inlineStr">
        <is>
          <t>32285004632765</t>
        </is>
      </c>
      <c r="BD324" t="inlineStr">
        <is>
          <t>893325058</t>
        </is>
      </c>
    </row>
    <row r="325">
      <c r="A325" t="inlineStr">
        <is>
          <t>No</t>
        </is>
      </c>
      <c r="B325" t="inlineStr">
        <is>
          <t>DS119.76 .L475 2005</t>
        </is>
      </c>
      <c r="C325" t="inlineStr">
        <is>
          <t>0                      DS 0119760L  475         2005</t>
        </is>
      </c>
      <c r="D325" t="inlineStr">
        <is>
          <t>The Oslo syndrome : delusions of a people under siege / Kenneth Levin.</t>
        </is>
      </c>
      <c r="F325" t="inlineStr">
        <is>
          <t>No</t>
        </is>
      </c>
      <c r="G325" t="inlineStr">
        <is>
          <t>1</t>
        </is>
      </c>
      <c r="H325" t="inlineStr">
        <is>
          <t>No</t>
        </is>
      </c>
      <c r="I325" t="inlineStr">
        <is>
          <t>No</t>
        </is>
      </c>
      <c r="J325" t="inlineStr">
        <is>
          <t>0</t>
        </is>
      </c>
      <c r="K325" t="inlineStr">
        <is>
          <t>Levin, Kenneth, 1944-</t>
        </is>
      </c>
      <c r="L325" t="inlineStr">
        <is>
          <t>Hanover, NH : Smith and Kraus, 2005.</t>
        </is>
      </c>
      <c r="M325" t="inlineStr">
        <is>
          <t>2005</t>
        </is>
      </c>
      <c r="N325" t="inlineStr">
        <is>
          <t>1st ed.</t>
        </is>
      </c>
      <c r="O325" t="inlineStr">
        <is>
          <t>eng</t>
        </is>
      </c>
      <c r="P325" t="inlineStr">
        <is>
          <t>nhu</t>
        </is>
      </c>
      <c r="R325" t="inlineStr">
        <is>
          <t xml:space="preserve">DS </t>
        </is>
      </c>
      <c r="S325" t="n">
        <v>2</v>
      </c>
      <c r="T325" t="n">
        <v>2</v>
      </c>
      <c r="U325" t="inlineStr">
        <is>
          <t>2006-04-26</t>
        </is>
      </c>
      <c r="V325" t="inlineStr">
        <is>
          <t>2006-04-26</t>
        </is>
      </c>
      <c r="W325" t="inlineStr">
        <is>
          <t>2006-04-03</t>
        </is>
      </c>
      <c r="X325" t="inlineStr">
        <is>
          <t>2006-04-03</t>
        </is>
      </c>
      <c r="Y325" t="n">
        <v>275</v>
      </c>
      <c r="Z325" t="n">
        <v>236</v>
      </c>
      <c r="AA325" t="n">
        <v>247</v>
      </c>
      <c r="AB325" t="n">
        <v>1</v>
      </c>
      <c r="AC325" t="n">
        <v>1</v>
      </c>
      <c r="AD325" t="n">
        <v>9</v>
      </c>
      <c r="AE325" t="n">
        <v>9</v>
      </c>
      <c r="AF325" t="n">
        <v>2</v>
      </c>
      <c r="AG325" t="n">
        <v>2</v>
      </c>
      <c r="AH325" t="n">
        <v>5</v>
      </c>
      <c r="AI325" t="n">
        <v>5</v>
      </c>
      <c r="AJ325" t="n">
        <v>4</v>
      </c>
      <c r="AK325" t="n">
        <v>4</v>
      </c>
      <c r="AL325" t="n">
        <v>0</v>
      </c>
      <c r="AM325" t="n">
        <v>0</v>
      </c>
      <c r="AN325" t="n">
        <v>1</v>
      </c>
      <c r="AO325" t="n">
        <v>1</v>
      </c>
      <c r="AP325" t="inlineStr">
        <is>
          <t>No</t>
        </is>
      </c>
      <c r="AQ325" t="inlineStr">
        <is>
          <t>Yes</t>
        </is>
      </c>
      <c r="AR325">
        <f>HYPERLINK("http://catalog.hathitrust.org/Record/005029151","HathiTrust Record")</f>
        <v/>
      </c>
      <c r="AS325">
        <f>HYPERLINK("https://creighton-primo.hosted.exlibrisgroup.com/primo-explore/search?tab=default_tab&amp;search_scope=EVERYTHING&amp;vid=01CRU&amp;lang=en_US&amp;offset=0&amp;query=any,contains,991004776469702656","Catalog Record")</f>
        <v/>
      </c>
      <c r="AT325">
        <f>HYPERLINK("http://www.worldcat.org/oclc/56482318","WorldCat Record")</f>
        <v/>
      </c>
      <c r="AU325" t="inlineStr">
        <is>
          <t>17483303:eng</t>
        </is>
      </c>
      <c r="AV325" t="inlineStr">
        <is>
          <t>56482318</t>
        </is>
      </c>
      <c r="AW325" t="inlineStr">
        <is>
          <t>991004776469702656</t>
        </is>
      </c>
      <c r="AX325" t="inlineStr">
        <is>
          <t>991004776469702656</t>
        </is>
      </c>
      <c r="AY325" t="inlineStr">
        <is>
          <t>2261444760002656</t>
        </is>
      </c>
      <c r="AZ325" t="inlineStr">
        <is>
          <t>BOOK</t>
        </is>
      </c>
      <c r="BB325" t="inlineStr">
        <is>
          <t>9781575254173</t>
        </is>
      </c>
      <c r="BC325" t="inlineStr">
        <is>
          <t>32285005169262</t>
        </is>
      </c>
      <c r="BD325" t="inlineStr">
        <is>
          <t>893807459</t>
        </is>
      </c>
    </row>
    <row r="326">
      <c r="A326" t="inlineStr">
        <is>
          <t>No</t>
        </is>
      </c>
      <c r="B326" t="inlineStr">
        <is>
          <t>DS119.76 .L4753 2008</t>
        </is>
      </c>
      <c r="C326" t="inlineStr">
        <is>
          <t>0                      DS 0119760L  4753        2008</t>
        </is>
      </c>
      <c r="D326" t="inlineStr">
        <is>
          <t>Negotiating under fire : preserving peace talks in the face of terror attacks / Matthew Levitt.</t>
        </is>
      </c>
      <c r="F326" t="inlineStr">
        <is>
          <t>No</t>
        </is>
      </c>
      <c r="G326" t="inlineStr">
        <is>
          <t>1</t>
        </is>
      </c>
      <c r="H326" t="inlineStr">
        <is>
          <t>No</t>
        </is>
      </c>
      <c r="I326" t="inlineStr">
        <is>
          <t>No</t>
        </is>
      </c>
      <c r="J326" t="inlineStr">
        <is>
          <t>0</t>
        </is>
      </c>
      <c r="K326" t="inlineStr">
        <is>
          <t>Levitt, Matthew, 1970-</t>
        </is>
      </c>
      <c r="L326" t="inlineStr">
        <is>
          <t>Lanham : Rowman &amp; Littlefield, c2008.</t>
        </is>
      </c>
      <c r="M326" t="inlineStr">
        <is>
          <t>2008</t>
        </is>
      </c>
      <c r="O326" t="inlineStr">
        <is>
          <t>eng</t>
        </is>
      </c>
      <c r="P326" t="inlineStr">
        <is>
          <t>mdu</t>
        </is>
      </c>
      <c r="R326" t="inlineStr">
        <is>
          <t xml:space="preserve">DS </t>
        </is>
      </c>
      <c r="S326" t="n">
        <v>2</v>
      </c>
      <c r="T326" t="n">
        <v>2</v>
      </c>
      <c r="U326" t="inlineStr">
        <is>
          <t>2009-10-13</t>
        </is>
      </c>
      <c r="V326" t="inlineStr">
        <is>
          <t>2009-10-13</t>
        </is>
      </c>
      <c r="W326" t="inlineStr">
        <is>
          <t>2009-10-13</t>
        </is>
      </c>
      <c r="X326" t="inlineStr">
        <is>
          <t>2009-10-13</t>
        </is>
      </c>
      <c r="Y326" t="n">
        <v>192</v>
      </c>
      <c r="Z326" t="n">
        <v>168</v>
      </c>
      <c r="AA326" t="n">
        <v>190</v>
      </c>
      <c r="AB326" t="n">
        <v>1</v>
      </c>
      <c r="AC326" t="n">
        <v>1</v>
      </c>
      <c r="AD326" t="n">
        <v>9</v>
      </c>
      <c r="AE326" t="n">
        <v>10</v>
      </c>
      <c r="AF326" t="n">
        <v>4</v>
      </c>
      <c r="AG326" t="n">
        <v>5</v>
      </c>
      <c r="AH326" t="n">
        <v>2</v>
      </c>
      <c r="AI326" t="n">
        <v>3</v>
      </c>
      <c r="AJ326" t="n">
        <v>4</v>
      </c>
      <c r="AK326" t="n">
        <v>4</v>
      </c>
      <c r="AL326" t="n">
        <v>0</v>
      </c>
      <c r="AM326" t="n">
        <v>0</v>
      </c>
      <c r="AN326" t="n">
        <v>1</v>
      </c>
      <c r="AO326" t="n">
        <v>1</v>
      </c>
      <c r="AP326" t="inlineStr">
        <is>
          <t>No</t>
        </is>
      </c>
      <c r="AQ326" t="inlineStr">
        <is>
          <t>No</t>
        </is>
      </c>
      <c r="AS326">
        <f>HYPERLINK("https://creighton-primo.hosted.exlibrisgroup.com/primo-explore/search?tab=default_tab&amp;search_scope=EVERYTHING&amp;vid=01CRU&amp;lang=en_US&amp;offset=0&amp;query=any,contains,991005333489702656","Catalog Record")</f>
        <v/>
      </c>
      <c r="AT326">
        <f>HYPERLINK("http://www.worldcat.org/oclc/217263406","WorldCat Record")</f>
        <v/>
      </c>
      <c r="AU326" t="inlineStr">
        <is>
          <t>802946584:eng</t>
        </is>
      </c>
      <c r="AV326" t="inlineStr">
        <is>
          <t>217263406</t>
        </is>
      </c>
      <c r="AW326" t="inlineStr">
        <is>
          <t>991005333489702656</t>
        </is>
      </c>
      <c r="AX326" t="inlineStr">
        <is>
          <t>991005333489702656</t>
        </is>
      </c>
      <c r="AY326" t="inlineStr">
        <is>
          <t>2271750770002656</t>
        </is>
      </c>
      <c r="AZ326" t="inlineStr">
        <is>
          <t>BOOK</t>
        </is>
      </c>
      <c r="BB326" t="inlineStr">
        <is>
          <t>9780742551626</t>
        </is>
      </c>
      <c r="BC326" t="inlineStr">
        <is>
          <t>32285005547681</t>
        </is>
      </c>
      <c r="BD326" t="inlineStr">
        <is>
          <t>893695142</t>
        </is>
      </c>
    </row>
    <row r="327">
      <c r="A327" t="inlineStr">
        <is>
          <t>No</t>
        </is>
      </c>
      <c r="B327" t="inlineStr">
        <is>
          <t>DS119.76 .M444 2006</t>
        </is>
      </c>
      <c r="C327" t="inlineStr">
        <is>
          <t>0                      DS 0119760M  444         2006</t>
        </is>
      </c>
      <c r="D327" t="inlineStr">
        <is>
          <t>Peace in tatters : Israel, Palestine, and the Middle East / Yoram Meital.</t>
        </is>
      </c>
      <c r="F327" t="inlineStr">
        <is>
          <t>No</t>
        </is>
      </c>
      <c r="G327" t="inlineStr">
        <is>
          <t>1</t>
        </is>
      </c>
      <c r="H327" t="inlineStr">
        <is>
          <t>No</t>
        </is>
      </c>
      <c r="I327" t="inlineStr">
        <is>
          <t>No</t>
        </is>
      </c>
      <c r="J327" t="inlineStr">
        <is>
          <t>0</t>
        </is>
      </c>
      <c r="K327" t="inlineStr">
        <is>
          <t>Meital, Yoram.</t>
        </is>
      </c>
      <c r="L327" t="inlineStr">
        <is>
          <t>Boulder, Colo. : Lynne Rienner Publishers, 2006.</t>
        </is>
      </c>
      <c r="M327" t="inlineStr">
        <is>
          <t>2006</t>
        </is>
      </c>
      <c r="O327" t="inlineStr">
        <is>
          <t>eng</t>
        </is>
      </c>
      <c r="P327" t="inlineStr">
        <is>
          <t>cou</t>
        </is>
      </c>
      <c r="R327" t="inlineStr">
        <is>
          <t xml:space="preserve">DS </t>
        </is>
      </c>
      <c r="S327" t="n">
        <v>5</v>
      </c>
      <c r="T327" t="n">
        <v>5</v>
      </c>
      <c r="U327" t="inlineStr">
        <is>
          <t>2008-04-14</t>
        </is>
      </c>
      <c r="V327" t="inlineStr">
        <is>
          <t>2008-04-14</t>
        </is>
      </c>
      <c r="W327" t="inlineStr">
        <is>
          <t>2005-12-05</t>
        </is>
      </c>
      <c r="X327" t="inlineStr">
        <is>
          <t>2005-12-05</t>
        </is>
      </c>
      <c r="Y327" t="n">
        <v>404</v>
      </c>
      <c r="Z327" t="n">
        <v>306</v>
      </c>
      <c r="AA327" t="n">
        <v>311</v>
      </c>
      <c r="AB327" t="n">
        <v>2</v>
      </c>
      <c r="AC327" t="n">
        <v>2</v>
      </c>
      <c r="AD327" t="n">
        <v>16</v>
      </c>
      <c r="AE327" t="n">
        <v>16</v>
      </c>
      <c r="AF327" t="n">
        <v>3</v>
      </c>
      <c r="AG327" t="n">
        <v>3</v>
      </c>
      <c r="AH327" t="n">
        <v>6</v>
      </c>
      <c r="AI327" t="n">
        <v>6</v>
      </c>
      <c r="AJ327" t="n">
        <v>9</v>
      </c>
      <c r="AK327" t="n">
        <v>9</v>
      </c>
      <c r="AL327" t="n">
        <v>1</v>
      </c>
      <c r="AM327" t="n">
        <v>1</v>
      </c>
      <c r="AN327" t="n">
        <v>0</v>
      </c>
      <c r="AO327" t="n">
        <v>0</v>
      </c>
      <c r="AP327" t="inlineStr">
        <is>
          <t>No</t>
        </is>
      </c>
      <c r="AQ327" t="inlineStr">
        <is>
          <t>No</t>
        </is>
      </c>
      <c r="AS327">
        <f>HYPERLINK("https://creighton-primo.hosted.exlibrisgroup.com/primo-explore/search?tab=default_tab&amp;search_scope=EVERYTHING&amp;vid=01CRU&amp;lang=en_US&amp;offset=0&amp;query=any,contains,991004697919702656","Catalog Record")</f>
        <v/>
      </c>
      <c r="AT327">
        <f>HYPERLINK("http://www.worldcat.org/oclc/59280070","WorldCat Record")</f>
        <v/>
      </c>
      <c r="AU327" t="inlineStr">
        <is>
          <t>47024736:eng</t>
        </is>
      </c>
      <c r="AV327" t="inlineStr">
        <is>
          <t>59280070</t>
        </is>
      </c>
      <c r="AW327" t="inlineStr">
        <is>
          <t>991004697919702656</t>
        </is>
      </c>
      <c r="AX327" t="inlineStr">
        <is>
          <t>991004697919702656</t>
        </is>
      </c>
      <c r="AY327" t="inlineStr">
        <is>
          <t>2257592400002656</t>
        </is>
      </c>
      <c r="AZ327" t="inlineStr">
        <is>
          <t>BOOK</t>
        </is>
      </c>
      <c r="BB327" t="inlineStr">
        <is>
          <t>9781588263629</t>
        </is>
      </c>
      <c r="BC327" t="inlineStr">
        <is>
          <t>32285005151260</t>
        </is>
      </c>
      <c r="BD327" t="inlineStr">
        <is>
          <t>893901646</t>
        </is>
      </c>
    </row>
    <row r="328">
      <c r="A328" t="inlineStr">
        <is>
          <t>No</t>
        </is>
      </c>
      <c r="B328" t="inlineStr">
        <is>
          <t>DS119.76 .P375 1999</t>
        </is>
      </c>
      <c r="C328" t="inlineStr">
        <is>
          <t>0                      DS 0119760P  375         1999</t>
        </is>
      </c>
      <c r="D328" t="inlineStr">
        <is>
          <t>Resignation or revolt? : socio-political development and the challenges of peace in Palestine / Christopher Parker.</t>
        </is>
      </c>
      <c r="F328" t="inlineStr">
        <is>
          <t>No</t>
        </is>
      </c>
      <c r="G328" t="inlineStr">
        <is>
          <t>1</t>
        </is>
      </c>
      <c r="H328" t="inlineStr">
        <is>
          <t>No</t>
        </is>
      </c>
      <c r="I328" t="inlineStr">
        <is>
          <t>No</t>
        </is>
      </c>
      <c r="J328" t="inlineStr">
        <is>
          <t>0</t>
        </is>
      </c>
      <c r="K328" t="inlineStr">
        <is>
          <t>Parker, Christopher (Christopher H.)</t>
        </is>
      </c>
      <c r="L328" t="inlineStr">
        <is>
          <t>London ; New York : I.B. Tauris, 1999.</t>
        </is>
      </c>
      <c r="M328" t="inlineStr">
        <is>
          <t>1999</t>
        </is>
      </c>
      <c r="O328" t="inlineStr">
        <is>
          <t>eng</t>
        </is>
      </c>
      <c r="P328" t="inlineStr">
        <is>
          <t>enk</t>
        </is>
      </c>
      <c r="R328" t="inlineStr">
        <is>
          <t xml:space="preserve">DS </t>
        </is>
      </c>
      <c r="S328" t="n">
        <v>10</v>
      </c>
      <c r="T328" t="n">
        <v>10</v>
      </c>
      <c r="U328" t="inlineStr">
        <is>
          <t>2009-04-03</t>
        </is>
      </c>
      <c r="V328" t="inlineStr">
        <is>
          <t>2009-04-03</t>
        </is>
      </c>
      <c r="W328" t="inlineStr">
        <is>
          <t>2002-10-16</t>
        </is>
      </c>
      <c r="X328" t="inlineStr">
        <is>
          <t>2002-10-16</t>
        </is>
      </c>
      <c r="Y328" t="n">
        <v>238</v>
      </c>
      <c r="Z328" t="n">
        <v>181</v>
      </c>
      <c r="AA328" t="n">
        <v>183</v>
      </c>
      <c r="AB328" t="n">
        <v>1</v>
      </c>
      <c r="AC328" t="n">
        <v>1</v>
      </c>
      <c r="AD328" t="n">
        <v>9</v>
      </c>
      <c r="AE328" t="n">
        <v>9</v>
      </c>
      <c r="AF328" t="n">
        <v>2</v>
      </c>
      <c r="AG328" t="n">
        <v>2</v>
      </c>
      <c r="AH328" t="n">
        <v>4</v>
      </c>
      <c r="AI328" t="n">
        <v>4</v>
      </c>
      <c r="AJ328" t="n">
        <v>5</v>
      </c>
      <c r="AK328" t="n">
        <v>5</v>
      </c>
      <c r="AL328" t="n">
        <v>0</v>
      </c>
      <c r="AM328" t="n">
        <v>0</v>
      </c>
      <c r="AN328" t="n">
        <v>0</v>
      </c>
      <c r="AO328" t="n">
        <v>0</v>
      </c>
      <c r="AP328" t="inlineStr">
        <is>
          <t>No</t>
        </is>
      </c>
      <c r="AQ328" t="inlineStr">
        <is>
          <t>Yes</t>
        </is>
      </c>
      <c r="AR328">
        <f>HYPERLINK("http://catalog.hathitrust.org/Record/004011187","HathiTrust Record")</f>
        <v/>
      </c>
      <c r="AS328">
        <f>HYPERLINK("https://creighton-primo.hosted.exlibrisgroup.com/primo-explore/search?tab=default_tab&amp;search_scope=EVERYTHING&amp;vid=01CRU&amp;lang=en_US&amp;offset=0&amp;query=any,contains,991003885279702656","Catalog Record")</f>
        <v/>
      </c>
      <c r="AT328">
        <f>HYPERLINK("http://www.worldcat.org/oclc/40832736","WorldCat Record")</f>
        <v/>
      </c>
      <c r="AU328" t="inlineStr">
        <is>
          <t>25859810:eng</t>
        </is>
      </c>
      <c r="AV328" t="inlineStr">
        <is>
          <t>40832736</t>
        </is>
      </c>
      <c r="AW328" t="inlineStr">
        <is>
          <t>991003885279702656</t>
        </is>
      </c>
      <c r="AX328" t="inlineStr">
        <is>
          <t>991003885279702656</t>
        </is>
      </c>
      <c r="AY328" t="inlineStr">
        <is>
          <t>2256627520002656</t>
        </is>
      </c>
      <c r="AZ328" t="inlineStr">
        <is>
          <t>BOOK</t>
        </is>
      </c>
      <c r="BB328" t="inlineStr">
        <is>
          <t>9781860643354</t>
        </is>
      </c>
      <c r="BC328" t="inlineStr">
        <is>
          <t>32285004655253</t>
        </is>
      </c>
      <c r="BD328" t="inlineStr">
        <is>
          <t>893349320</t>
        </is>
      </c>
    </row>
    <row r="329">
      <c r="A329" t="inlineStr">
        <is>
          <t>No</t>
        </is>
      </c>
      <c r="B329" t="inlineStr">
        <is>
          <t>DS119.76 .Q725 2006</t>
        </is>
      </c>
      <c r="C329" t="inlineStr">
        <is>
          <t>0                      DS 0119760Q  725         2006</t>
        </is>
      </c>
      <c r="D329" t="inlineStr">
        <is>
          <t>From Oslo to Jerusalem : the Palestinian story of the secret negotiations / Ahmed Queri ('Abu Ala').</t>
        </is>
      </c>
      <c r="F329" t="inlineStr">
        <is>
          <t>No</t>
        </is>
      </c>
      <c r="G329" t="inlineStr">
        <is>
          <t>1</t>
        </is>
      </c>
      <c r="H329" t="inlineStr">
        <is>
          <t>No</t>
        </is>
      </c>
      <c r="I329" t="inlineStr">
        <is>
          <t>No</t>
        </is>
      </c>
      <c r="J329" t="inlineStr">
        <is>
          <t>0</t>
        </is>
      </c>
      <c r="K329" t="inlineStr">
        <is>
          <t>Qurayʻ, Aḥmad.</t>
        </is>
      </c>
      <c r="L329" t="inlineStr">
        <is>
          <t>London ; New York : I.B. Tauris ; New York : Distributed in the United States and Canada by Palgrave Macmillan, 2006.</t>
        </is>
      </c>
      <c r="M329" t="inlineStr">
        <is>
          <t>2006</t>
        </is>
      </c>
      <c r="O329" t="inlineStr">
        <is>
          <t>eng</t>
        </is>
      </c>
      <c r="P329" t="inlineStr">
        <is>
          <t>enk</t>
        </is>
      </c>
      <c r="R329" t="inlineStr">
        <is>
          <t xml:space="preserve">DS </t>
        </is>
      </c>
      <c r="S329" t="n">
        <v>2</v>
      </c>
      <c r="T329" t="n">
        <v>2</v>
      </c>
      <c r="U329" t="inlineStr">
        <is>
          <t>2008-09-19</t>
        </is>
      </c>
      <c r="V329" t="inlineStr">
        <is>
          <t>2008-09-19</t>
        </is>
      </c>
      <c r="W329" t="inlineStr">
        <is>
          <t>2007-10-11</t>
        </is>
      </c>
      <c r="X329" t="inlineStr">
        <is>
          <t>2007-10-11</t>
        </is>
      </c>
      <c r="Y329" t="n">
        <v>259</v>
      </c>
      <c r="Z329" t="n">
        <v>187</v>
      </c>
      <c r="AA329" t="n">
        <v>704</v>
      </c>
      <c r="AB329" t="n">
        <v>2</v>
      </c>
      <c r="AC329" t="n">
        <v>13</v>
      </c>
      <c r="AD329" t="n">
        <v>11</v>
      </c>
      <c r="AE329" t="n">
        <v>21</v>
      </c>
      <c r="AF329" t="n">
        <v>4</v>
      </c>
      <c r="AG329" t="n">
        <v>5</v>
      </c>
      <c r="AH329" t="n">
        <v>5</v>
      </c>
      <c r="AI329" t="n">
        <v>5</v>
      </c>
      <c r="AJ329" t="n">
        <v>4</v>
      </c>
      <c r="AK329" t="n">
        <v>4</v>
      </c>
      <c r="AL329" t="n">
        <v>1</v>
      </c>
      <c r="AM329" t="n">
        <v>10</v>
      </c>
      <c r="AN329" t="n">
        <v>0</v>
      </c>
      <c r="AO329" t="n">
        <v>0</v>
      </c>
      <c r="AP329" t="inlineStr">
        <is>
          <t>No</t>
        </is>
      </c>
      <c r="AQ329" t="inlineStr">
        <is>
          <t>Yes</t>
        </is>
      </c>
      <c r="AR329">
        <f>HYPERLINK("http://catalog.hathitrust.org/Record/005243095","HathiTrust Record")</f>
        <v/>
      </c>
      <c r="AS329">
        <f>HYPERLINK("https://creighton-primo.hosted.exlibrisgroup.com/primo-explore/search?tab=default_tab&amp;search_scope=EVERYTHING&amp;vid=01CRU&amp;lang=en_US&amp;offset=0&amp;query=any,contains,991005116079702656","Catalog Record")</f>
        <v/>
      </c>
      <c r="AT329">
        <f>HYPERLINK("http://www.worldcat.org/oclc/64097960","WorldCat Record")</f>
        <v/>
      </c>
      <c r="AU329" t="inlineStr">
        <is>
          <t>320919477:eng</t>
        </is>
      </c>
      <c r="AV329" t="inlineStr">
        <is>
          <t>64097960</t>
        </is>
      </c>
      <c r="AW329" t="inlineStr">
        <is>
          <t>991005116079702656</t>
        </is>
      </c>
      <c r="AX329" t="inlineStr">
        <is>
          <t>991005116079702656</t>
        </is>
      </c>
      <c r="AY329" t="inlineStr">
        <is>
          <t>2269792110002656</t>
        </is>
      </c>
      <c r="AZ329" t="inlineStr">
        <is>
          <t>BOOK</t>
        </is>
      </c>
      <c r="BB329" t="inlineStr">
        <is>
          <t>9781845111328</t>
        </is>
      </c>
      <c r="BC329" t="inlineStr">
        <is>
          <t>32285005329346</t>
        </is>
      </c>
      <c r="BD329" t="inlineStr">
        <is>
          <t>893619479</t>
        </is>
      </c>
    </row>
    <row r="330">
      <c r="A330" t="inlineStr">
        <is>
          <t>No</t>
        </is>
      </c>
      <c r="B330" t="inlineStr">
        <is>
          <t>DS119.76 .R794 2003</t>
        </is>
      </c>
      <c r="C330" t="inlineStr">
        <is>
          <t>0                      DS 0119760R  794         2003</t>
        </is>
      </c>
      <c r="D330" t="inlineStr">
        <is>
          <t>The Palestinians : in search of a just peace / Cheryl A. Rubenberg.</t>
        </is>
      </c>
      <c r="F330" t="inlineStr">
        <is>
          <t>No</t>
        </is>
      </c>
      <c r="G330" t="inlineStr">
        <is>
          <t>1</t>
        </is>
      </c>
      <c r="H330" t="inlineStr">
        <is>
          <t>No</t>
        </is>
      </c>
      <c r="I330" t="inlineStr">
        <is>
          <t>No</t>
        </is>
      </c>
      <c r="J330" t="inlineStr">
        <is>
          <t>0</t>
        </is>
      </c>
      <c r="K330" t="inlineStr">
        <is>
          <t>Rubenberg, Cheryl.</t>
        </is>
      </c>
      <c r="L330" t="inlineStr">
        <is>
          <t>Boulder, Colo. : Lynne Rienner Publishers, 2003.</t>
        </is>
      </c>
      <c r="M330" t="inlineStr">
        <is>
          <t>2003</t>
        </is>
      </c>
      <c r="O330" t="inlineStr">
        <is>
          <t>eng</t>
        </is>
      </c>
      <c r="P330" t="inlineStr">
        <is>
          <t>cou</t>
        </is>
      </c>
      <c r="R330" t="inlineStr">
        <is>
          <t xml:space="preserve">DS </t>
        </is>
      </c>
      <c r="S330" t="n">
        <v>8</v>
      </c>
      <c r="T330" t="n">
        <v>8</v>
      </c>
      <c r="U330" t="inlineStr">
        <is>
          <t>2010-04-19</t>
        </is>
      </c>
      <c r="V330" t="inlineStr">
        <is>
          <t>2010-04-19</t>
        </is>
      </c>
      <c r="W330" t="inlineStr">
        <is>
          <t>2003-09-18</t>
        </is>
      </c>
      <c r="X330" t="inlineStr">
        <is>
          <t>2003-09-18</t>
        </is>
      </c>
      <c r="Y330" t="n">
        <v>785</v>
      </c>
      <c r="Z330" t="n">
        <v>658</v>
      </c>
      <c r="AA330" t="n">
        <v>658</v>
      </c>
      <c r="AB330" t="n">
        <v>4</v>
      </c>
      <c r="AC330" t="n">
        <v>4</v>
      </c>
      <c r="AD330" t="n">
        <v>30</v>
      </c>
      <c r="AE330" t="n">
        <v>30</v>
      </c>
      <c r="AF330" t="n">
        <v>11</v>
      </c>
      <c r="AG330" t="n">
        <v>11</v>
      </c>
      <c r="AH330" t="n">
        <v>6</v>
      </c>
      <c r="AI330" t="n">
        <v>6</v>
      </c>
      <c r="AJ330" t="n">
        <v>15</v>
      </c>
      <c r="AK330" t="n">
        <v>15</v>
      </c>
      <c r="AL330" t="n">
        <v>3</v>
      </c>
      <c r="AM330" t="n">
        <v>3</v>
      </c>
      <c r="AN330" t="n">
        <v>1</v>
      </c>
      <c r="AO330" t="n">
        <v>1</v>
      </c>
      <c r="AP330" t="inlineStr">
        <is>
          <t>No</t>
        </is>
      </c>
      <c r="AQ330" t="inlineStr">
        <is>
          <t>No</t>
        </is>
      </c>
      <c r="AS330">
        <f>HYPERLINK("https://creighton-primo.hosted.exlibrisgroup.com/primo-explore/search?tab=default_tab&amp;search_scope=EVERYTHING&amp;vid=01CRU&amp;lang=en_US&amp;offset=0&amp;query=any,contains,991004128439702656","Catalog Record")</f>
        <v/>
      </c>
      <c r="AT330">
        <f>HYPERLINK("http://www.worldcat.org/oclc/51566586","WorldCat Record")</f>
        <v/>
      </c>
      <c r="AU330" t="inlineStr">
        <is>
          <t>891213639:eng</t>
        </is>
      </c>
      <c r="AV330" t="inlineStr">
        <is>
          <t>51566586</t>
        </is>
      </c>
      <c r="AW330" t="inlineStr">
        <is>
          <t>991004128439702656</t>
        </is>
      </c>
      <c r="AX330" t="inlineStr">
        <is>
          <t>991004128439702656</t>
        </is>
      </c>
      <c r="AY330" t="inlineStr">
        <is>
          <t>2263283610002656</t>
        </is>
      </c>
      <c r="AZ330" t="inlineStr">
        <is>
          <t>BOOK</t>
        </is>
      </c>
      <c r="BB330" t="inlineStr">
        <is>
          <t>9781588262004</t>
        </is>
      </c>
      <c r="BC330" t="inlineStr">
        <is>
          <t>32285004792585</t>
        </is>
      </c>
      <c r="BD330" t="inlineStr">
        <is>
          <t>893349634</t>
        </is>
      </c>
    </row>
    <row r="331">
      <c r="A331" t="inlineStr">
        <is>
          <t>No</t>
        </is>
      </c>
      <c r="B331" t="inlineStr">
        <is>
          <t>DS119.76 .R83 1999</t>
        </is>
      </c>
      <c r="C331" t="inlineStr">
        <is>
          <t>0                      DS 0119760R  83          1999</t>
        </is>
      </c>
      <c r="D331" t="inlineStr">
        <is>
          <t>The transformation of Palestinian politics : from revolution to state-building / Barry Rubin.</t>
        </is>
      </c>
      <c r="F331" t="inlineStr">
        <is>
          <t>No</t>
        </is>
      </c>
      <c r="G331" t="inlineStr">
        <is>
          <t>1</t>
        </is>
      </c>
      <c r="H331" t="inlineStr">
        <is>
          <t>No</t>
        </is>
      </c>
      <c r="I331" t="inlineStr">
        <is>
          <t>No</t>
        </is>
      </c>
      <c r="J331" t="inlineStr">
        <is>
          <t>0</t>
        </is>
      </c>
      <c r="K331" t="inlineStr">
        <is>
          <t>Rubin, Barry M.</t>
        </is>
      </c>
      <c r="L331" t="inlineStr">
        <is>
          <t>Cambridge, Mass. : Harvard University Press, 1999.</t>
        </is>
      </c>
      <c r="M331" t="inlineStr">
        <is>
          <t>1999</t>
        </is>
      </c>
      <c r="O331" t="inlineStr">
        <is>
          <t>eng</t>
        </is>
      </c>
      <c r="P331" t="inlineStr">
        <is>
          <t>mau</t>
        </is>
      </c>
      <c r="R331" t="inlineStr">
        <is>
          <t xml:space="preserve">DS </t>
        </is>
      </c>
      <c r="S331" t="n">
        <v>7</v>
      </c>
      <c r="T331" t="n">
        <v>7</v>
      </c>
      <c r="U331" t="inlineStr">
        <is>
          <t>2008-12-12</t>
        </is>
      </c>
      <c r="V331" t="inlineStr">
        <is>
          <t>2008-12-12</t>
        </is>
      </c>
      <c r="W331" t="inlineStr">
        <is>
          <t>2002-09-04</t>
        </is>
      </c>
      <c r="X331" t="inlineStr">
        <is>
          <t>2002-09-04</t>
        </is>
      </c>
      <c r="Y331" t="n">
        <v>601</v>
      </c>
      <c r="Z331" t="n">
        <v>476</v>
      </c>
      <c r="AA331" t="n">
        <v>481</v>
      </c>
      <c r="AB331" t="n">
        <v>3</v>
      </c>
      <c r="AC331" t="n">
        <v>3</v>
      </c>
      <c r="AD331" t="n">
        <v>32</v>
      </c>
      <c r="AE331" t="n">
        <v>32</v>
      </c>
      <c r="AF331" t="n">
        <v>14</v>
      </c>
      <c r="AG331" t="n">
        <v>14</v>
      </c>
      <c r="AH331" t="n">
        <v>7</v>
      </c>
      <c r="AI331" t="n">
        <v>7</v>
      </c>
      <c r="AJ331" t="n">
        <v>16</v>
      </c>
      <c r="AK331" t="n">
        <v>16</v>
      </c>
      <c r="AL331" t="n">
        <v>2</v>
      </c>
      <c r="AM331" t="n">
        <v>2</v>
      </c>
      <c r="AN331" t="n">
        <v>1</v>
      </c>
      <c r="AO331" t="n">
        <v>1</v>
      </c>
      <c r="AP331" t="inlineStr">
        <is>
          <t>No</t>
        </is>
      </c>
      <c r="AQ331" t="inlineStr">
        <is>
          <t>Yes</t>
        </is>
      </c>
      <c r="AR331">
        <f>HYPERLINK("http://catalog.hathitrust.org/Record/004059329","HathiTrust Record")</f>
        <v/>
      </c>
      <c r="AS331">
        <f>HYPERLINK("https://creighton-primo.hosted.exlibrisgroup.com/primo-explore/search?tab=default_tab&amp;search_scope=EVERYTHING&amp;vid=01CRU&amp;lang=en_US&amp;offset=0&amp;query=any,contains,991003861089702656","Catalog Record")</f>
        <v/>
      </c>
      <c r="AT331">
        <f>HYPERLINK("http://www.worldcat.org/oclc/41445825","WorldCat Record")</f>
        <v/>
      </c>
      <c r="AU331" t="inlineStr">
        <is>
          <t>20526586:eng</t>
        </is>
      </c>
      <c r="AV331" t="inlineStr">
        <is>
          <t>41445825</t>
        </is>
      </c>
      <c r="AW331" t="inlineStr">
        <is>
          <t>991003861089702656</t>
        </is>
      </c>
      <c r="AX331" t="inlineStr">
        <is>
          <t>991003861089702656</t>
        </is>
      </c>
      <c r="AY331" t="inlineStr">
        <is>
          <t>2269512570002656</t>
        </is>
      </c>
      <c r="AZ331" t="inlineStr">
        <is>
          <t>BOOK</t>
        </is>
      </c>
      <c r="BB331" t="inlineStr">
        <is>
          <t>9780674000711</t>
        </is>
      </c>
      <c r="BC331" t="inlineStr">
        <is>
          <t>32285004645916</t>
        </is>
      </c>
      <c r="BD331" t="inlineStr">
        <is>
          <t>893611551</t>
        </is>
      </c>
    </row>
    <row r="332">
      <c r="A332" t="inlineStr">
        <is>
          <t>No</t>
        </is>
      </c>
      <c r="B332" t="inlineStr">
        <is>
          <t>DS119.76 .S78 1998</t>
        </is>
      </c>
      <c r="C332" t="inlineStr">
        <is>
          <t>0                      DS 0119760S  78          1998</t>
        </is>
      </c>
      <c r="D332" t="inlineStr">
        <is>
          <t>The process : 1,100 days that changed the Middle East / Uri Savir.</t>
        </is>
      </c>
      <c r="F332" t="inlineStr">
        <is>
          <t>No</t>
        </is>
      </c>
      <c r="G332" t="inlineStr">
        <is>
          <t>1</t>
        </is>
      </c>
      <c r="H332" t="inlineStr">
        <is>
          <t>No</t>
        </is>
      </c>
      <c r="I332" t="inlineStr">
        <is>
          <t>No</t>
        </is>
      </c>
      <c r="J332" t="inlineStr">
        <is>
          <t>0</t>
        </is>
      </c>
      <c r="K332" t="inlineStr">
        <is>
          <t>Savir, Uri.</t>
        </is>
      </c>
      <c r="L332" t="inlineStr">
        <is>
          <t>New York : Random House, c1998.</t>
        </is>
      </c>
      <c r="M332" t="inlineStr">
        <is>
          <t>1998</t>
        </is>
      </c>
      <c r="N332" t="inlineStr">
        <is>
          <t>1st ed.</t>
        </is>
      </c>
      <c r="O332" t="inlineStr">
        <is>
          <t>eng</t>
        </is>
      </c>
      <c r="P332" t="inlineStr">
        <is>
          <t>nyu</t>
        </is>
      </c>
      <c r="R332" t="inlineStr">
        <is>
          <t xml:space="preserve">DS </t>
        </is>
      </c>
      <c r="S332" t="n">
        <v>4</v>
      </c>
      <c r="T332" t="n">
        <v>4</v>
      </c>
      <c r="U332" t="inlineStr">
        <is>
          <t>2002-04-18</t>
        </is>
      </c>
      <c r="V332" t="inlineStr">
        <is>
          <t>2002-04-18</t>
        </is>
      </c>
      <c r="W332" t="inlineStr">
        <is>
          <t>1999-02-24</t>
        </is>
      </c>
      <c r="X332" t="inlineStr">
        <is>
          <t>1999-02-24</t>
        </is>
      </c>
      <c r="Y332" t="n">
        <v>541</v>
      </c>
      <c r="Z332" t="n">
        <v>477</v>
      </c>
      <c r="AA332" t="n">
        <v>562</v>
      </c>
      <c r="AB332" t="n">
        <v>3</v>
      </c>
      <c r="AC332" t="n">
        <v>3</v>
      </c>
      <c r="AD332" t="n">
        <v>21</v>
      </c>
      <c r="AE332" t="n">
        <v>24</v>
      </c>
      <c r="AF332" t="n">
        <v>7</v>
      </c>
      <c r="AG332" t="n">
        <v>9</v>
      </c>
      <c r="AH332" t="n">
        <v>7</v>
      </c>
      <c r="AI332" t="n">
        <v>7</v>
      </c>
      <c r="AJ332" t="n">
        <v>11</v>
      </c>
      <c r="AK332" t="n">
        <v>12</v>
      </c>
      <c r="AL332" t="n">
        <v>2</v>
      </c>
      <c r="AM332" t="n">
        <v>2</v>
      </c>
      <c r="AN332" t="n">
        <v>0</v>
      </c>
      <c r="AO332" t="n">
        <v>0</v>
      </c>
      <c r="AP332" t="inlineStr">
        <is>
          <t>No</t>
        </is>
      </c>
      <c r="AQ332" t="inlineStr">
        <is>
          <t>Yes</t>
        </is>
      </c>
      <c r="AR332">
        <f>HYPERLINK("http://catalog.hathitrust.org/Record/003974452","HathiTrust Record")</f>
        <v/>
      </c>
      <c r="AS332">
        <f>HYPERLINK("https://creighton-primo.hosted.exlibrisgroup.com/primo-explore/search?tab=default_tab&amp;search_scope=EVERYTHING&amp;vid=01CRU&amp;lang=en_US&amp;offset=0&amp;query=any,contains,991002901529702656","Catalog Record")</f>
        <v/>
      </c>
      <c r="AT332">
        <f>HYPERLINK("http://www.worldcat.org/oclc/38257793","WorldCat Record")</f>
        <v/>
      </c>
      <c r="AU332" t="inlineStr">
        <is>
          <t>569984:eng</t>
        </is>
      </c>
      <c r="AV332" t="inlineStr">
        <is>
          <t>38257793</t>
        </is>
      </c>
      <c r="AW332" t="inlineStr">
        <is>
          <t>991002901529702656</t>
        </is>
      </c>
      <c r="AX332" t="inlineStr">
        <is>
          <t>991002901529702656</t>
        </is>
      </c>
      <c r="AY332" t="inlineStr">
        <is>
          <t>2270758700002656</t>
        </is>
      </c>
      <c r="AZ332" t="inlineStr">
        <is>
          <t>BOOK</t>
        </is>
      </c>
      <c r="BB332" t="inlineStr">
        <is>
          <t>9780679422969</t>
        </is>
      </c>
      <c r="BC332" t="inlineStr">
        <is>
          <t>32285003526695</t>
        </is>
      </c>
      <c r="BD332" t="inlineStr">
        <is>
          <t>893348071</t>
        </is>
      </c>
    </row>
    <row r="333">
      <c r="A333" t="inlineStr">
        <is>
          <t>No</t>
        </is>
      </c>
      <c r="B333" t="inlineStr">
        <is>
          <t>DS119.76 .S82 2002</t>
        </is>
      </c>
      <c r="C333" t="inlineStr">
        <is>
          <t>0                      DS 0119760S  82          2002</t>
        </is>
      </c>
      <c r="D333" t="inlineStr">
        <is>
          <t>Structural flaws in the Middle East peace process : historical contexts / edited by J.W. Wright, Jr.</t>
        </is>
      </c>
      <c r="F333" t="inlineStr">
        <is>
          <t>No</t>
        </is>
      </c>
      <c r="G333" t="inlineStr">
        <is>
          <t>1</t>
        </is>
      </c>
      <c r="H333" t="inlineStr">
        <is>
          <t>No</t>
        </is>
      </c>
      <c r="I333" t="inlineStr">
        <is>
          <t>No</t>
        </is>
      </c>
      <c r="J333" t="inlineStr">
        <is>
          <t>0</t>
        </is>
      </c>
      <c r="L333" t="inlineStr">
        <is>
          <t>Houndmills, Basingstoke, Hampshire ; New York : Palgrave, 2002.</t>
        </is>
      </c>
      <c r="M333" t="inlineStr">
        <is>
          <t>2002</t>
        </is>
      </c>
      <c r="O333" t="inlineStr">
        <is>
          <t>eng</t>
        </is>
      </c>
      <c r="P333" t="inlineStr">
        <is>
          <t>enk</t>
        </is>
      </c>
      <c r="Q333" t="inlineStr">
        <is>
          <t>International political economy series</t>
        </is>
      </c>
      <c r="R333" t="inlineStr">
        <is>
          <t xml:space="preserve">DS </t>
        </is>
      </c>
      <c r="S333" t="n">
        <v>5</v>
      </c>
      <c r="T333" t="n">
        <v>5</v>
      </c>
      <c r="U333" t="inlineStr">
        <is>
          <t>2009-05-13</t>
        </is>
      </c>
      <c r="V333" t="inlineStr">
        <is>
          <t>2009-05-13</t>
        </is>
      </c>
      <c r="W333" t="inlineStr">
        <is>
          <t>2004-01-19</t>
        </is>
      </c>
      <c r="X333" t="inlineStr">
        <is>
          <t>2004-01-19</t>
        </is>
      </c>
      <c r="Y333" t="n">
        <v>195</v>
      </c>
      <c r="Z333" t="n">
        <v>137</v>
      </c>
      <c r="AA333" t="n">
        <v>194</v>
      </c>
      <c r="AB333" t="n">
        <v>1</v>
      </c>
      <c r="AC333" t="n">
        <v>1</v>
      </c>
      <c r="AD333" t="n">
        <v>9</v>
      </c>
      <c r="AE333" t="n">
        <v>10</v>
      </c>
      <c r="AF333" t="n">
        <v>4</v>
      </c>
      <c r="AG333" t="n">
        <v>4</v>
      </c>
      <c r="AH333" t="n">
        <v>3</v>
      </c>
      <c r="AI333" t="n">
        <v>3</v>
      </c>
      <c r="AJ333" t="n">
        <v>6</v>
      </c>
      <c r="AK333" t="n">
        <v>7</v>
      </c>
      <c r="AL333" t="n">
        <v>0</v>
      </c>
      <c r="AM333" t="n">
        <v>0</v>
      </c>
      <c r="AN333" t="n">
        <v>0</v>
      </c>
      <c r="AO333" t="n">
        <v>0</v>
      </c>
      <c r="AP333" t="inlineStr">
        <is>
          <t>No</t>
        </is>
      </c>
      <c r="AQ333" t="inlineStr">
        <is>
          <t>Yes</t>
        </is>
      </c>
      <c r="AR333">
        <f>HYPERLINK("http://catalog.hathitrust.org/Record/004229728","HathiTrust Record")</f>
        <v/>
      </c>
      <c r="AS333">
        <f>HYPERLINK("https://creighton-primo.hosted.exlibrisgroup.com/primo-explore/search?tab=default_tab&amp;search_scope=EVERYTHING&amp;vid=01CRU&amp;lang=en_US&amp;offset=0&amp;query=any,contains,991004159999702656","Catalog Record")</f>
        <v/>
      </c>
      <c r="AT333">
        <f>HYPERLINK("http://www.worldcat.org/oclc/46991119","WorldCat Record")</f>
        <v/>
      </c>
      <c r="AU333" t="inlineStr">
        <is>
          <t>1088002346:eng</t>
        </is>
      </c>
      <c r="AV333" t="inlineStr">
        <is>
          <t>46991119</t>
        </is>
      </c>
      <c r="AW333" t="inlineStr">
        <is>
          <t>991004159999702656</t>
        </is>
      </c>
      <c r="AX333" t="inlineStr">
        <is>
          <t>991004159999702656</t>
        </is>
      </c>
      <c r="AY333" t="inlineStr">
        <is>
          <t>2255485360002656</t>
        </is>
      </c>
      <c r="AZ333" t="inlineStr">
        <is>
          <t>BOOK</t>
        </is>
      </c>
      <c r="BB333" t="inlineStr">
        <is>
          <t>9780333711101</t>
        </is>
      </c>
      <c r="BC333" t="inlineStr">
        <is>
          <t>32285004634183</t>
        </is>
      </c>
      <c r="BD333" t="inlineStr">
        <is>
          <t>893525722</t>
        </is>
      </c>
    </row>
    <row r="334">
      <c r="A334" t="inlineStr">
        <is>
          <t>No</t>
        </is>
      </c>
      <c r="B334" t="inlineStr">
        <is>
          <t>DS119.765 .P43 2003</t>
        </is>
      </c>
      <c r="C334" t="inlineStr">
        <is>
          <t>0                      DS 0119765P  43          2003</t>
        </is>
      </c>
      <c r="D334" t="inlineStr">
        <is>
          <t>Occupied voices : stories of everyday life from the second Intifada / Wendy Pearlman ; photos by Laura Junka.</t>
        </is>
      </c>
      <c r="F334" t="inlineStr">
        <is>
          <t>No</t>
        </is>
      </c>
      <c r="G334" t="inlineStr">
        <is>
          <t>1</t>
        </is>
      </c>
      <c r="H334" t="inlineStr">
        <is>
          <t>No</t>
        </is>
      </c>
      <c r="I334" t="inlineStr">
        <is>
          <t>No</t>
        </is>
      </c>
      <c r="J334" t="inlineStr">
        <is>
          <t>0</t>
        </is>
      </c>
      <c r="K334" t="inlineStr">
        <is>
          <t>Pearlman, Wendy.</t>
        </is>
      </c>
      <c r="L334" t="inlineStr">
        <is>
          <t>New York : Thunder's Mouth Press/Nation Books ; [Berkeley, Calif.] : Distributed by Publishers Group West, c2003.</t>
        </is>
      </c>
      <c r="M334" t="inlineStr">
        <is>
          <t>2003</t>
        </is>
      </c>
      <c r="O334" t="inlineStr">
        <is>
          <t>eng</t>
        </is>
      </c>
      <c r="P334" t="inlineStr">
        <is>
          <t>nyu</t>
        </is>
      </c>
      <c r="R334" t="inlineStr">
        <is>
          <t xml:space="preserve">DS </t>
        </is>
      </c>
      <c r="S334" t="n">
        <v>5</v>
      </c>
      <c r="T334" t="n">
        <v>5</v>
      </c>
      <c r="U334" t="inlineStr">
        <is>
          <t>2008-04-21</t>
        </is>
      </c>
      <c r="V334" t="inlineStr">
        <is>
          <t>2008-04-21</t>
        </is>
      </c>
      <c r="W334" t="inlineStr">
        <is>
          <t>2003-09-18</t>
        </is>
      </c>
      <c r="X334" t="inlineStr">
        <is>
          <t>2003-09-18</t>
        </is>
      </c>
      <c r="Y334" t="n">
        <v>479</v>
      </c>
      <c r="Z334" t="n">
        <v>430</v>
      </c>
      <c r="AA334" t="n">
        <v>434</v>
      </c>
      <c r="AB334" t="n">
        <v>2</v>
      </c>
      <c r="AC334" t="n">
        <v>2</v>
      </c>
      <c r="AD334" t="n">
        <v>7</v>
      </c>
      <c r="AE334" t="n">
        <v>7</v>
      </c>
      <c r="AF334" t="n">
        <v>1</v>
      </c>
      <c r="AG334" t="n">
        <v>1</v>
      </c>
      <c r="AH334" t="n">
        <v>3</v>
      </c>
      <c r="AI334" t="n">
        <v>3</v>
      </c>
      <c r="AJ334" t="n">
        <v>5</v>
      </c>
      <c r="AK334" t="n">
        <v>5</v>
      </c>
      <c r="AL334" t="n">
        <v>0</v>
      </c>
      <c r="AM334" t="n">
        <v>0</v>
      </c>
      <c r="AN334" t="n">
        <v>0</v>
      </c>
      <c r="AO334" t="n">
        <v>0</v>
      </c>
      <c r="AP334" t="inlineStr">
        <is>
          <t>No</t>
        </is>
      </c>
      <c r="AQ334" t="inlineStr">
        <is>
          <t>No</t>
        </is>
      </c>
      <c r="AS334">
        <f>HYPERLINK("https://creighton-primo.hosted.exlibrisgroup.com/primo-explore/search?tab=default_tab&amp;search_scope=EVERYTHING&amp;vid=01CRU&amp;lang=en_US&amp;offset=0&amp;query=any,contains,991004128469702656","Catalog Record")</f>
        <v/>
      </c>
      <c r="AT334">
        <f>HYPERLINK("http://www.worldcat.org/oclc/51613994","WorldCat Record")</f>
        <v/>
      </c>
      <c r="AU334" t="inlineStr">
        <is>
          <t>17835272:eng</t>
        </is>
      </c>
      <c r="AV334" t="inlineStr">
        <is>
          <t>51613994</t>
        </is>
      </c>
      <c r="AW334" t="inlineStr">
        <is>
          <t>991004128469702656</t>
        </is>
      </c>
      <c r="AX334" t="inlineStr">
        <is>
          <t>991004128469702656</t>
        </is>
      </c>
      <c r="AY334" t="inlineStr">
        <is>
          <t>2265826460002656</t>
        </is>
      </c>
      <c r="AZ334" t="inlineStr">
        <is>
          <t>BOOK</t>
        </is>
      </c>
      <c r="BB334" t="inlineStr">
        <is>
          <t>9781560255307</t>
        </is>
      </c>
      <c r="BC334" t="inlineStr">
        <is>
          <t>32285004788005</t>
        </is>
      </c>
      <c r="BD334" t="inlineStr">
        <is>
          <t>893624376</t>
        </is>
      </c>
    </row>
    <row r="335">
      <c r="A335" t="inlineStr">
        <is>
          <t>No</t>
        </is>
      </c>
      <c r="B335" t="inlineStr">
        <is>
          <t>DS119.8.E3 B37</t>
        </is>
      </c>
      <c r="C335" t="inlineStr">
        <is>
          <t>0                      DS 0119800E  3                  B  37</t>
        </is>
      </c>
      <c r="D335" t="inlineStr">
        <is>
          <t>The Israeli-Egyptian war of attrition, 1969-1970 : a case-study of limited local war / by Yaacov Bar-Siman-Tov.</t>
        </is>
      </c>
      <c r="F335" t="inlineStr">
        <is>
          <t>No</t>
        </is>
      </c>
      <c r="G335" t="inlineStr">
        <is>
          <t>1</t>
        </is>
      </c>
      <c r="H335" t="inlineStr">
        <is>
          <t>No</t>
        </is>
      </c>
      <c r="I335" t="inlineStr">
        <is>
          <t>No</t>
        </is>
      </c>
      <c r="J335" t="inlineStr">
        <is>
          <t>0</t>
        </is>
      </c>
      <c r="K335" t="inlineStr">
        <is>
          <t>Bar-Siman-Tov, Yaacov, 1946-</t>
        </is>
      </c>
      <c r="L335" t="inlineStr">
        <is>
          <t>New York : Columbia University Press, 1980.</t>
        </is>
      </c>
      <c r="M335" t="inlineStr">
        <is>
          <t>1980</t>
        </is>
      </c>
      <c r="O335" t="inlineStr">
        <is>
          <t>eng</t>
        </is>
      </c>
      <c r="P335" t="inlineStr">
        <is>
          <t>nyu</t>
        </is>
      </c>
      <c r="R335" t="inlineStr">
        <is>
          <t xml:space="preserve">DS </t>
        </is>
      </c>
      <c r="S335" t="n">
        <v>1</v>
      </c>
      <c r="T335" t="n">
        <v>1</v>
      </c>
      <c r="U335" t="inlineStr">
        <is>
          <t>1996-10-29</t>
        </is>
      </c>
      <c r="V335" t="inlineStr">
        <is>
          <t>1996-10-29</t>
        </is>
      </c>
      <c r="W335" t="inlineStr">
        <is>
          <t>1990-10-01</t>
        </is>
      </c>
      <c r="X335" t="inlineStr">
        <is>
          <t>1990-10-01</t>
        </is>
      </c>
      <c r="Y335" t="n">
        <v>501</v>
      </c>
      <c r="Z335" t="n">
        <v>389</v>
      </c>
      <c r="AA335" t="n">
        <v>390</v>
      </c>
      <c r="AB335" t="n">
        <v>4</v>
      </c>
      <c r="AC335" t="n">
        <v>4</v>
      </c>
      <c r="AD335" t="n">
        <v>15</v>
      </c>
      <c r="AE335" t="n">
        <v>15</v>
      </c>
      <c r="AF335" t="n">
        <v>3</v>
      </c>
      <c r="AG335" t="n">
        <v>3</v>
      </c>
      <c r="AH335" t="n">
        <v>5</v>
      </c>
      <c r="AI335" t="n">
        <v>5</v>
      </c>
      <c r="AJ335" t="n">
        <v>7</v>
      </c>
      <c r="AK335" t="n">
        <v>7</v>
      </c>
      <c r="AL335" t="n">
        <v>3</v>
      </c>
      <c r="AM335" t="n">
        <v>3</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HYPERLINK("https://creighton-primo.hosted.exlibrisgroup.com/primo-explore/search?tab=default_tab&amp;search_scope=EVERYTHING&amp;vid=01CRU&amp;lang=en_US&amp;offset=0&amp;query=any,contains,991004929679702656","Catalog Record")</f>
        <v/>
      </c>
      <c r="AT335">
        <f>HYPERLINK("http://www.worldcat.org/oclc/6092115","WorldCat Record")</f>
        <v/>
      </c>
      <c r="AU335" t="inlineStr">
        <is>
          <t>895262983:eng</t>
        </is>
      </c>
      <c r="AV335" t="inlineStr">
        <is>
          <t>6092115</t>
        </is>
      </c>
      <c r="AW335" t="inlineStr">
        <is>
          <t>991004929679702656</t>
        </is>
      </c>
      <c r="AX335" t="inlineStr">
        <is>
          <t>991004929679702656</t>
        </is>
      </c>
      <c r="AY335" t="inlineStr">
        <is>
          <t>2263554840002656</t>
        </is>
      </c>
      <c r="AZ335" t="inlineStr">
        <is>
          <t>BOOK</t>
        </is>
      </c>
      <c r="BB335" t="inlineStr">
        <is>
          <t>9780231049825</t>
        </is>
      </c>
      <c r="BC335" t="inlineStr">
        <is>
          <t>32285000293646</t>
        </is>
      </c>
      <c r="BD335" t="inlineStr">
        <is>
          <t>893876714</t>
        </is>
      </c>
    </row>
    <row r="336">
      <c r="A336" t="inlineStr">
        <is>
          <t>No</t>
        </is>
      </c>
      <c r="B336" t="inlineStr">
        <is>
          <t>DS119.8.G4 B33</t>
        </is>
      </c>
      <c r="C336" t="inlineStr">
        <is>
          <t>0                      DS 0119800G  4                  B  33</t>
        </is>
      </c>
      <c r="D336" t="inlineStr">
        <is>
          <t>West German reparations to Israel.</t>
        </is>
      </c>
      <c r="F336" t="inlineStr">
        <is>
          <t>No</t>
        </is>
      </c>
      <c r="G336" t="inlineStr">
        <is>
          <t>1</t>
        </is>
      </c>
      <c r="H336" t="inlineStr">
        <is>
          <t>No</t>
        </is>
      </c>
      <c r="I336" t="inlineStr">
        <is>
          <t>No</t>
        </is>
      </c>
      <c r="J336" t="inlineStr">
        <is>
          <t>0</t>
        </is>
      </c>
      <c r="K336" t="inlineStr">
        <is>
          <t>Balabkins, Nicholas.</t>
        </is>
      </c>
      <c r="L336" t="inlineStr">
        <is>
          <t>New Brunswick, N.J., Rutgers University Press [1971]</t>
        </is>
      </c>
      <c r="M336" t="inlineStr">
        <is>
          <t>1971</t>
        </is>
      </c>
      <c r="O336" t="inlineStr">
        <is>
          <t>eng</t>
        </is>
      </c>
      <c r="P336" t="inlineStr">
        <is>
          <t>nju</t>
        </is>
      </c>
      <c r="R336" t="inlineStr">
        <is>
          <t xml:space="preserve">DS </t>
        </is>
      </c>
      <c r="S336" t="n">
        <v>1</v>
      </c>
      <c r="T336" t="n">
        <v>1</v>
      </c>
      <c r="U336" t="inlineStr">
        <is>
          <t>2004-03-13</t>
        </is>
      </c>
      <c r="V336" t="inlineStr">
        <is>
          <t>2004-03-13</t>
        </is>
      </c>
      <c r="W336" t="inlineStr">
        <is>
          <t>1997-02-26</t>
        </is>
      </c>
      <c r="X336" t="inlineStr">
        <is>
          <t>1997-02-26</t>
        </is>
      </c>
      <c r="Y336" t="n">
        <v>629</v>
      </c>
      <c r="Z336" t="n">
        <v>524</v>
      </c>
      <c r="AA336" t="n">
        <v>526</v>
      </c>
      <c r="AB336" t="n">
        <v>4</v>
      </c>
      <c r="AC336" t="n">
        <v>4</v>
      </c>
      <c r="AD336" t="n">
        <v>27</v>
      </c>
      <c r="AE336" t="n">
        <v>27</v>
      </c>
      <c r="AF336" t="n">
        <v>8</v>
      </c>
      <c r="AG336" t="n">
        <v>8</v>
      </c>
      <c r="AH336" t="n">
        <v>8</v>
      </c>
      <c r="AI336" t="n">
        <v>8</v>
      </c>
      <c r="AJ336" t="n">
        <v>17</v>
      </c>
      <c r="AK336" t="n">
        <v>17</v>
      </c>
      <c r="AL336" t="n">
        <v>3</v>
      </c>
      <c r="AM336" t="n">
        <v>3</v>
      </c>
      <c r="AN336" t="n">
        <v>1</v>
      </c>
      <c r="AO336" t="n">
        <v>1</v>
      </c>
      <c r="AP336" t="inlineStr">
        <is>
          <t>No</t>
        </is>
      </c>
      <c r="AQ336" t="inlineStr">
        <is>
          <t>Yes</t>
        </is>
      </c>
      <c r="AR336">
        <f>HYPERLINK("http://catalog.hathitrust.org/Record/001242983","HathiTrust Record")</f>
        <v/>
      </c>
      <c r="AS336">
        <f>HYPERLINK("https://creighton-primo.hosted.exlibrisgroup.com/primo-explore/search?tab=default_tab&amp;search_scope=EVERYTHING&amp;vid=01CRU&amp;lang=en_US&amp;offset=0&amp;query=any,contains,991001268249702656","Catalog Record")</f>
        <v/>
      </c>
      <c r="AT336">
        <f>HYPERLINK("http://www.worldcat.org/oclc/210512","WorldCat Record")</f>
        <v/>
      </c>
      <c r="AU336" t="inlineStr">
        <is>
          <t>1284109:eng</t>
        </is>
      </c>
      <c r="AV336" t="inlineStr">
        <is>
          <t>210512</t>
        </is>
      </c>
      <c r="AW336" t="inlineStr">
        <is>
          <t>991001268249702656</t>
        </is>
      </c>
      <c r="AX336" t="inlineStr">
        <is>
          <t>991001268249702656</t>
        </is>
      </c>
      <c r="AY336" t="inlineStr">
        <is>
          <t>2262052260002656</t>
        </is>
      </c>
      <c r="AZ336" t="inlineStr">
        <is>
          <t>BOOK</t>
        </is>
      </c>
      <c r="BB336" t="inlineStr">
        <is>
          <t>9780813506913</t>
        </is>
      </c>
      <c r="BC336" t="inlineStr">
        <is>
          <t>32285002462041</t>
        </is>
      </c>
      <c r="BD336" t="inlineStr">
        <is>
          <t>893702897</t>
        </is>
      </c>
    </row>
    <row r="337">
      <c r="A337" t="inlineStr">
        <is>
          <t>No</t>
        </is>
      </c>
      <c r="B337" t="inlineStr">
        <is>
          <t>DS119.8.J67 S552 1998</t>
        </is>
      </c>
      <c r="C337" t="inlineStr">
        <is>
          <t>0                      DS 0119800J  67                 S  552         1998</t>
        </is>
      </c>
      <c r="D337" t="inlineStr">
        <is>
          <t>The politics of partition : King Abdullah, the Zionists and Palestine, 1921-1951 / Avi Shlaim.</t>
        </is>
      </c>
      <c r="F337" t="inlineStr">
        <is>
          <t>No</t>
        </is>
      </c>
      <c r="G337" t="inlineStr">
        <is>
          <t>1</t>
        </is>
      </c>
      <c r="H337" t="inlineStr">
        <is>
          <t>No</t>
        </is>
      </c>
      <c r="I337" t="inlineStr">
        <is>
          <t>No</t>
        </is>
      </c>
      <c r="J337" t="inlineStr">
        <is>
          <t>0</t>
        </is>
      </c>
      <c r="K337" t="inlineStr">
        <is>
          <t>Shlaim, Avi.</t>
        </is>
      </c>
      <c r="L337" t="inlineStr">
        <is>
          <t>New York : Oxford University Press, 1998.</t>
        </is>
      </c>
      <c r="M337" t="inlineStr">
        <is>
          <t>1998</t>
        </is>
      </c>
      <c r="O337" t="inlineStr">
        <is>
          <t>eng</t>
        </is>
      </c>
      <c r="P337" t="inlineStr">
        <is>
          <t>nyu</t>
        </is>
      </c>
      <c r="R337" t="inlineStr">
        <is>
          <t xml:space="preserve">DS </t>
        </is>
      </c>
      <c r="S337" t="n">
        <v>17</v>
      </c>
      <c r="T337" t="n">
        <v>17</v>
      </c>
      <c r="U337" t="inlineStr">
        <is>
          <t>2008-04-08</t>
        </is>
      </c>
      <c r="V337" t="inlineStr">
        <is>
          <t>2008-04-08</t>
        </is>
      </c>
      <c r="W337" t="inlineStr">
        <is>
          <t>1999-03-03</t>
        </is>
      </c>
      <c r="X337" t="inlineStr">
        <is>
          <t>1999-03-03</t>
        </is>
      </c>
      <c r="Y337" t="n">
        <v>102</v>
      </c>
      <c r="Z337" t="n">
        <v>76</v>
      </c>
      <c r="AA337" t="n">
        <v>365</v>
      </c>
      <c r="AB337" t="n">
        <v>2</v>
      </c>
      <c r="AC337" t="n">
        <v>4</v>
      </c>
      <c r="AD337" t="n">
        <v>7</v>
      </c>
      <c r="AE337" t="n">
        <v>19</v>
      </c>
      <c r="AF337" t="n">
        <v>1</v>
      </c>
      <c r="AG337" t="n">
        <v>4</v>
      </c>
      <c r="AH337" t="n">
        <v>2</v>
      </c>
      <c r="AI337" t="n">
        <v>5</v>
      </c>
      <c r="AJ337" t="n">
        <v>4</v>
      </c>
      <c r="AK337" t="n">
        <v>9</v>
      </c>
      <c r="AL337" t="n">
        <v>1</v>
      </c>
      <c r="AM337" t="n">
        <v>3</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HYPERLINK("https://creighton-primo.hosted.exlibrisgroup.com/primo-explore/search?tab=default_tab&amp;search_scope=EVERYTHING&amp;vid=01CRU&amp;lang=en_US&amp;offset=0&amp;query=any,contains,991003008349702656","Catalog Record")</f>
        <v/>
      </c>
      <c r="AT337">
        <f>HYPERLINK("http://www.worldcat.org/oclc/40803657","WorldCat Record")</f>
        <v/>
      </c>
      <c r="AU337" t="inlineStr">
        <is>
          <t>22599996:eng</t>
        </is>
      </c>
      <c r="AV337" t="inlineStr">
        <is>
          <t>40803657</t>
        </is>
      </c>
      <c r="AW337" t="inlineStr">
        <is>
          <t>991003008349702656</t>
        </is>
      </c>
      <c r="AX337" t="inlineStr">
        <is>
          <t>991003008349702656</t>
        </is>
      </c>
      <c r="AY337" t="inlineStr">
        <is>
          <t>2260959690002656</t>
        </is>
      </c>
      <c r="AZ337" t="inlineStr">
        <is>
          <t>BOOK</t>
        </is>
      </c>
      <c r="BB337" t="inlineStr">
        <is>
          <t>9780198294597</t>
        </is>
      </c>
      <c r="BC337" t="inlineStr">
        <is>
          <t>32285003528758</t>
        </is>
      </c>
      <c r="BD337" t="inlineStr">
        <is>
          <t>893780514</t>
        </is>
      </c>
    </row>
    <row r="338">
      <c r="A338" t="inlineStr">
        <is>
          <t>No</t>
        </is>
      </c>
      <c r="B338" t="inlineStr">
        <is>
          <t>DS119.8.L4 T5513 1982</t>
        </is>
      </c>
      <c r="C338" t="inlineStr">
        <is>
          <t>0                      DS 0119800L  4                  T  5513        1982</t>
        </is>
      </c>
      <c r="D338" t="inlineStr">
        <is>
          <t>The longest war : Israel in Lebanon / Jacobo Timerman ; translated from the Spanish by Miguel Acoca.</t>
        </is>
      </c>
      <c r="F338" t="inlineStr">
        <is>
          <t>No</t>
        </is>
      </c>
      <c r="G338" t="inlineStr">
        <is>
          <t>1</t>
        </is>
      </c>
      <c r="H338" t="inlineStr">
        <is>
          <t>No</t>
        </is>
      </c>
      <c r="I338" t="inlineStr">
        <is>
          <t>No</t>
        </is>
      </c>
      <c r="J338" t="inlineStr">
        <is>
          <t>0</t>
        </is>
      </c>
      <c r="K338" t="inlineStr">
        <is>
          <t>Timerman, Jacobo, 1923-1999.</t>
        </is>
      </c>
      <c r="L338" t="inlineStr">
        <is>
          <t>New York : Knopf, 1982.</t>
        </is>
      </c>
      <c r="M338" t="inlineStr">
        <is>
          <t>1982</t>
        </is>
      </c>
      <c r="N338" t="inlineStr">
        <is>
          <t>1st ed.</t>
        </is>
      </c>
      <c r="O338" t="inlineStr">
        <is>
          <t>eng</t>
        </is>
      </c>
      <c r="P338" t="inlineStr">
        <is>
          <t>nyu</t>
        </is>
      </c>
      <c r="R338" t="inlineStr">
        <is>
          <t xml:space="preserve">DS </t>
        </is>
      </c>
      <c r="S338" t="n">
        <v>7</v>
      </c>
      <c r="T338" t="n">
        <v>7</v>
      </c>
      <c r="U338" t="inlineStr">
        <is>
          <t>2007-11-20</t>
        </is>
      </c>
      <c r="V338" t="inlineStr">
        <is>
          <t>2007-11-20</t>
        </is>
      </c>
      <c r="W338" t="inlineStr">
        <is>
          <t>1994-05-17</t>
        </is>
      </c>
      <c r="X338" t="inlineStr">
        <is>
          <t>1994-05-17</t>
        </is>
      </c>
      <c r="Y338" t="n">
        <v>1213</v>
      </c>
      <c r="Z338" t="n">
        <v>1115</v>
      </c>
      <c r="AA338" t="n">
        <v>1199</v>
      </c>
      <c r="AB338" t="n">
        <v>3</v>
      </c>
      <c r="AC338" t="n">
        <v>3</v>
      </c>
      <c r="AD338" t="n">
        <v>32</v>
      </c>
      <c r="AE338" t="n">
        <v>34</v>
      </c>
      <c r="AF338" t="n">
        <v>16</v>
      </c>
      <c r="AG338" t="n">
        <v>16</v>
      </c>
      <c r="AH338" t="n">
        <v>7</v>
      </c>
      <c r="AI338" t="n">
        <v>8</v>
      </c>
      <c r="AJ338" t="n">
        <v>16</v>
      </c>
      <c r="AK338" t="n">
        <v>18</v>
      </c>
      <c r="AL338" t="n">
        <v>1</v>
      </c>
      <c r="AM338" t="n">
        <v>1</v>
      </c>
      <c r="AN338" t="n">
        <v>0</v>
      </c>
      <c r="AO338" t="n">
        <v>0</v>
      </c>
      <c r="AP338" t="inlineStr">
        <is>
          <t>No</t>
        </is>
      </c>
      <c r="AQ338" t="inlineStr">
        <is>
          <t>Yes</t>
        </is>
      </c>
      <c r="AR338">
        <f>HYPERLINK("http://catalog.hathitrust.org/Record/000273522","HathiTrust Record")</f>
        <v/>
      </c>
      <c r="AS338">
        <f>HYPERLINK("https://creighton-primo.hosted.exlibrisgroup.com/primo-explore/search?tab=default_tab&amp;search_scope=EVERYTHING&amp;vid=01CRU&amp;lang=en_US&amp;offset=0&amp;query=any,contains,991000072129702656","Catalog Record")</f>
        <v/>
      </c>
      <c r="AT338">
        <f>HYPERLINK("http://www.worldcat.org/oclc/8785836","WorldCat Record")</f>
        <v/>
      </c>
      <c r="AU338" t="inlineStr">
        <is>
          <t>4636184:eng</t>
        </is>
      </c>
      <c r="AV338" t="inlineStr">
        <is>
          <t>8785836</t>
        </is>
      </c>
      <c r="AW338" t="inlineStr">
        <is>
          <t>991000072129702656</t>
        </is>
      </c>
      <c r="AX338" t="inlineStr">
        <is>
          <t>991000072129702656</t>
        </is>
      </c>
      <c r="AY338" t="inlineStr">
        <is>
          <t>2266799980002656</t>
        </is>
      </c>
      <c r="AZ338" t="inlineStr">
        <is>
          <t>BOOK</t>
        </is>
      </c>
      <c r="BB338" t="inlineStr">
        <is>
          <t>9780394530222</t>
        </is>
      </c>
      <c r="BC338" t="inlineStr">
        <is>
          <t>32285001864882</t>
        </is>
      </c>
      <c r="BD338" t="inlineStr">
        <is>
          <t>893777656</t>
        </is>
      </c>
    </row>
    <row r="339">
      <c r="A339" t="inlineStr">
        <is>
          <t>No</t>
        </is>
      </c>
      <c r="B339" t="inlineStr">
        <is>
          <t>DS119.8.S95 C63 1991</t>
        </is>
      </c>
      <c r="C339" t="inlineStr">
        <is>
          <t>0                      DS 0119800S  95                 C  63          1991</t>
        </is>
      </c>
      <c r="D339" t="inlineStr">
        <is>
          <t>The superpowers and the Syrian-Israeli conflict : beyond crisis management? / Helena Cobban ; foreword by Robert G. Neumann.</t>
        </is>
      </c>
      <c r="F339" t="inlineStr">
        <is>
          <t>No</t>
        </is>
      </c>
      <c r="G339" t="inlineStr">
        <is>
          <t>1</t>
        </is>
      </c>
      <c r="H339" t="inlineStr">
        <is>
          <t>No</t>
        </is>
      </c>
      <c r="I339" t="inlineStr">
        <is>
          <t>No</t>
        </is>
      </c>
      <c r="J339" t="inlineStr">
        <is>
          <t>0</t>
        </is>
      </c>
      <c r="K339" t="inlineStr">
        <is>
          <t>Cobban, Helena.</t>
        </is>
      </c>
      <c r="L339" t="inlineStr">
        <is>
          <t>New York : Praeger, 1991.</t>
        </is>
      </c>
      <c r="M339" t="inlineStr">
        <is>
          <t>1991</t>
        </is>
      </c>
      <c r="O339" t="inlineStr">
        <is>
          <t>eng</t>
        </is>
      </c>
      <c r="P339" t="inlineStr">
        <is>
          <t>nyu</t>
        </is>
      </c>
      <c r="Q339" t="inlineStr">
        <is>
          <t>The Washington papers, 0278-937X ; 149</t>
        </is>
      </c>
      <c r="R339" t="inlineStr">
        <is>
          <t xml:space="preserve">DS </t>
        </is>
      </c>
      <c r="S339" t="n">
        <v>3</v>
      </c>
      <c r="T339" t="n">
        <v>3</v>
      </c>
      <c r="U339" t="inlineStr">
        <is>
          <t>2002-10-11</t>
        </is>
      </c>
      <c r="V339" t="inlineStr">
        <is>
          <t>2002-10-11</t>
        </is>
      </c>
      <c r="W339" t="inlineStr">
        <is>
          <t>1991-12-15</t>
        </is>
      </c>
      <c r="X339" t="inlineStr">
        <is>
          <t>1991-12-15</t>
        </is>
      </c>
      <c r="Y339" t="n">
        <v>366</v>
      </c>
      <c r="Z339" t="n">
        <v>305</v>
      </c>
      <c r="AA339" t="n">
        <v>657</v>
      </c>
      <c r="AB339" t="n">
        <v>2</v>
      </c>
      <c r="AC339" t="n">
        <v>4</v>
      </c>
      <c r="AD339" t="n">
        <v>14</v>
      </c>
      <c r="AE339" t="n">
        <v>21</v>
      </c>
      <c r="AF339" t="n">
        <v>5</v>
      </c>
      <c r="AG339" t="n">
        <v>9</v>
      </c>
      <c r="AH339" t="n">
        <v>4</v>
      </c>
      <c r="AI339" t="n">
        <v>5</v>
      </c>
      <c r="AJ339" t="n">
        <v>8</v>
      </c>
      <c r="AK339" t="n">
        <v>10</v>
      </c>
      <c r="AL339" t="n">
        <v>1</v>
      </c>
      <c r="AM339" t="n">
        <v>3</v>
      </c>
      <c r="AN339" t="n">
        <v>0</v>
      </c>
      <c r="AO339" t="n">
        <v>0</v>
      </c>
      <c r="AP339" t="inlineStr">
        <is>
          <t>No</t>
        </is>
      </c>
      <c r="AQ339" t="inlineStr">
        <is>
          <t>Yes</t>
        </is>
      </c>
      <c r="AR339">
        <f>HYPERLINK("http://catalog.hathitrust.org/Record/002490667","HathiTrust Record")</f>
        <v/>
      </c>
      <c r="AS339">
        <f>HYPERLINK("https://creighton-primo.hosted.exlibrisgroup.com/primo-explore/search?tab=default_tab&amp;search_scope=EVERYTHING&amp;vid=01CRU&amp;lang=en_US&amp;offset=0&amp;query=any,contains,991001817679702656","Catalog Record")</f>
        <v/>
      </c>
      <c r="AT339">
        <f>HYPERLINK("http://www.worldcat.org/oclc/22859094","WorldCat Record")</f>
        <v/>
      </c>
      <c r="AU339" t="inlineStr">
        <is>
          <t>2569529:eng</t>
        </is>
      </c>
      <c r="AV339" t="inlineStr">
        <is>
          <t>22859094</t>
        </is>
      </c>
      <c r="AW339" t="inlineStr">
        <is>
          <t>991001817679702656</t>
        </is>
      </c>
      <c r="AX339" t="inlineStr">
        <is>
          <t>991001817679702656</t>
        </is>
      </c>
      <c r="AY339" t="inlineStr">
        <is>
          <t>2259516500002656</t>
        </is>
      </c>
      <c r="AZ339" t="inlineStr">
        <is>
          <t>BOOK</t>
        </is>
      </c>
      <c r="BB339" t="inlineStr">
        <is>
          <t>9780275939458</t>
        </is>
      </c>
      <c r="BC339" t="inlineStr">
        <is>
          <t>32285000860543</t>
        </is>
      </c>
      <c r="BD339" t="inlineStr">
        <is>
          <t>893791736</t>
        </is>
      </c>
    </row>
    <row r="340">
      <c r="A340" t="inlineStr">
        <is>
          <t>No</t>
        </is>
      </c>
      <c r="B340" t="inlineStr">
        <is>
          <t>DS12 .B57 2001</t>
        </is>
      </c>
      <c r="C340" t="inlineStr">
        <is>
          <t>0                      DS 0012000B  57          2001</t>
        </is>
      </c>
      <c r="D340" t="inlineStr">
        <is>
          <t>Asia : cultural politics in the global age / David Birch, Tony Schirato, and Sanjay Srivastava.</t>
        </is>
      </c>
      <c r="F340" t="inlineStr">
        <is>
          <t>No</t>
        </is>
      </c>
      <c r="G340" t="inlineStr">
        <is>
          <t>1</t>
        </is>
      </c>
      <c r="H340" t="inlineStr">
        <is>
          <t>No</t>
        </is>
      </c>
      <c r="I340" t="inlineStr">
        <is>
          <t>No</t>
        </is>
      </c>
      <c r="J340" t="inlineStr">
        <is>
          <t>0</t>
        </is>
      </c>
      <c r="K340" t="inlineStr">
        <is>
          <t>Birch, David, 1950-</t>
        </is>
      </c>
      <c r="L340" t="inlineStr">
        <is>
          <t>New York : Palgrave, 2001.</t>
        </is>
      </c>
      <c r="M340" t="inlineStr">
        <is>
          <t>2001</t>
        </is>
      </c>
      <c r="N340" t="inlineStr">
        <is>
          <t>1st Palgrave ed.</t>
        </is>
      </c>
      <c r="O340" t="inlineStr">
        <is>
          <t>eng</t>
        </is>
      </c>
      <c r="P340" t="inlineStr">
        <is>
          <t>nyu</t>
        </is>
      </c>
      <c r="R340" t="inlineStr">
        <is>
          <t xml:space="preserve">DS </t>
        </is>
      </c>
      <c r="S340" t="n">
        <v>2</v>
      </c>
      <c r="T340" t="n">
        <v>2</v>
      </c>
      <c r="U340" t="inlineStr">
        <is>
          <t>2003-04-09</t>
        </is>
      </c>
      <c r="V340" t="inlineStr">
        <is>
          <t>2003-04-09</t>
        </is>
      </c>
      <c r="W340" t="inlineStr">
        <is>
          <t>2002-04-10</t>
        </is>
      </c>
      <c r="X340" t="inlineStr">
        <is>
          <t>2002-04-10</t>
        </is>
      </c>
      <c r="Y340" t="n">
        <v>201</v>
      </c>
      <c r="Z340" t="n">
        <v>148</v>
      </c>
      <c r="AA340" t="n">
        <v>268</v>
      </c>
      <c r="AB340" t="n">
        <v>2</v>
      </c>
      <c r="AC340" t="n">
        <v>2</v>
      </c>
      <c r="AD340" t="n">
        <v>6</v>
      </c>
      <c r="AE340" t="n">
        <v>7</v>
      </c>
      <c r="AF340" t="n">
        <v>2</v>
      </c>
      <c r="AG340" t="n">
        <v>2</v>
      </c>
      <c r="AH340" t="n">
        <v>2</v>
      </c>
      <c r="AI340" t="n">
        <v>2</v>
      </c>
      <c r="AJ340" t="n">
        <v>3</v>
      </c>
      <c r="AK340" t="n">
        <v>4</v>
      </c>
      <c r="AL340" t="n">
        <v>1</v>
      </c>
      <c r="AM340" t="n">
        <v>1</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HYPERLINK("https://creighton-primo.hosted.exlibrisgroup.com/primo-explore/search?tab=default_tab&amp;search_scope=EVERYTHING&amp;vid=01CRU&amp;lang=en_US&amp;offset=0&amp;query=any,contains,991003763879702656","Catalog Record")</f>
        <v/>
      </c>
      <c r="AT340">
        <f>HYPERLINK("http://www.worldcat.org/oclc/46882722","WorldCat Record")</f>
        <v/>
      </c>
      <c r="AU340" t="inlineStr">
        <is>
          <t>10606522:eng</t>
        </is>
      </c>
      <c r="AV340" t="inlineStr">
        <is>
          <t>46882722</t>
        </is>
      </c>
      <c r="AW340" t="inlineStr">
        <is>
          <t>991003763879702656</t>
        </is>
      </c>
      <c r="AX340" t="inlineStr">
        <is>
          <t>991003763879702656</t>
        </is>
      </c>
      <c r="AY340" t="inlineStr">
        <is>
          <t>2269501740002656</t>
        </is>
      </c>
      <c r="AZ340" t="inlineStr">
        <is>
          <t>BOOK</t>
        </is>
      </c>
      <c r="BB340" t="inlineStr">
        <is>
          <t>9780312293765</t>
        </is>
      </c>
      <c r="BC340" t="inlineStr">
        <is>
          <t>32285004478706</t>
        </is>
      </c>
      <c r="BD340" t="inlineStr">
        <is>
          <t>893686927</t>
        </is>
      </c>
    </row>
    <row r="341">
      <c r="A341" t="inlineStr">
        <is>
          <t>No</t>
        </is>
      </c>
      <c r="B341" t="inlineStr">
        <is>
          <t>DS12 .H45 1999</t>
        </is>
      </c>
      <c r="C341" t="inlineStr">
        <is>
          <t>0                      DS 0012000H  45          1999</t>
        </is>
      </c>
      <c r="D341" t="inlineStr">
        <is>
          <t>Asian cultural traditions / Carolyn Brown Heinz.</t>
        </is>
      </c>
      <c r="F341" t="inlineStr">
        <is>
          <t>No</t>
        </is>
      </c>
      <c r="G341" t="inlineStr">
        <is>
          <t>1</t>
        </is>
      </c>
      <c r="H341" t="inlineStr">
        <is>
          <t>No</t>
        </is>
      </c>
      <c r="I341" t="inlineStr">
        <is>
          <t>No</t>
        </is>
      </c>
      <c r="J341" t="inlineStr">
        <is>
          <t>0</t>
        </is>
      </c>
      <c r="K341" t="inlineStr">
        <is>
          <t>Heinz, Carolyn Brown, 1941-</t>
        </is>
      </c>
      <c r="L341" t="inlineStr">
        <is>
          <t>Prospect Heights, Ill. : Waveland Press, c1999.</t>
        </is>
      </c>
      <c r="M341" t="inlineStr">
        <is>
          <t>1999</t>
        </is>
      </c>
      <c r="O341" t="inlineStr">
        <is>
          <t>eng</t>
        </is>
      </c>
      <c r="P341" t="inlineStr">
        <is>
          <t>ilu</t>
        </is>
      </c>
      <c r="R341" t="inlineStr">
        <is>
          <t xml:space="preserve">DS </t>
        </is>
      </c>
      <c r="S341" t="n">
        <v>1</v>
      </c>
      <c r="T341" t="n">
        <v>1</v>
      </c>
      <c r="U341" t="inlineStr">
        <is>
          <t>2007-09-27</t>
        </is>
      </c>
      <c r="V341" t="inlineStr">
        <is>
          <t>2007-09-27</t>
        </is>
      </c>
      <c r="W341" t="inlineStr">
        <is>
          <t>2000-03-15</t>
        </is>
      </c>
      <c r="X341" t="inlineStr">
        <is>
          <t>2000-03-15</t>
        </is>
      </c>
      <c r="Y341" t="n">
        <v>225</v>
      </c>
      <c r="Z341" t="n">
        <v>204</v>
      </c>
      <c r="AA341" t="n">
        <v>264</v>
      </c>
      <c r="AB341" t="n">
        <v>2</v>
      </c>
      <c r="AC341" t="n">
        <v>2</v>
      </c>
      <c r="AD341" t="n">
        <v>6</v>
      </c>
      <c r="AE341" t="n">
        <v>9</v>
      </c>
      <c r="AF341" t="n">
        <v>3</v>
      </c>
      <c r="AG341" t="n">
        <v>5</v>
      </c>
      <c r="AH341" t="n">
        <v>2</v>
      </c>
      <c r="AI341" t="n">
        <v>2</v>
      </c>
      <c r="AJ341" t="n">
        <v>3</v>
      </c>
      <c r="AK341" t="n">
        <v>5</v>
      </c>
      <c r="AL341" t="n">
        <v>1</v>
      </c>
      <c r="AM341" t="n">
        <v>1</v>
      </c>
      <c r="AN341" t="n">
        <v>0</v>
      </c>
      <c r="AO341" t="n">
        <v>0</v>
      </c>
      <c r="AP341" t="inlineStr">
        <is>
          <t>No</t>
        </is>
      </c>
      <c r="AQ341" t="inlineStr">
        <is>
          <t>No</t>
        </is>
      </c>
      <c r="AS341">
        <f>HYPERLINK("https://creighton-primo.hosted.exlibrisgroup.com/primo-explore/search?tab=default_tab&amp;search_scope=EVERYTHING&amp;vid=01CRU&amp;lang=en_US&amp;offset=0&amp;query=any,contains,991003008469702656","Catalog Record")</f>
        <v/>
      </c>
      <c r="AT341">
        <f>HYPERLINK("http://www.worldcat.org/oclc/40812689","WorldCat Record")</f>
        <v/>
      </c>
      <c r="AU341" t="inlineStr">
        <is>
          <t>23764827:eng</t>
        </is>
      </c>
      <c r="AV341" t="inlineStr">
        <is>
          <t>40812689</t>
        </is>
      </c>
      <c r="AW341" t="inlineStr">
        <is>
          <t>991003008469702656</t>
        </is>
      </c>
      <c r="AX341" t="inlineStr">
        <is>
          <t>991003008469702656</t>
        </is>
      </c>
      <c r="AY341" t="inlineStr">
        <is>
          <t>2264465310002656</t>
        </is>
      </c>
      <c r="AZ341" t="inlineStr">
        <is>
          <t>BOOK</t>
        </is>
      </c>
      <c r="BB341" t="inlineStr">
        <is>
          <t>9781577660439</t>
        </is>
      </c>
      <c r="BC341" t="inlineStr">
        <is>
          <t>32285003669883</t>
        </is>
      </c>
      <c r="BD341" t="inlineStr">
        <is>
          <t>893245926</t>
        </is>
      </c>
    </row>
    <row r="342">
      <c r="A342" t="inlineStr">
        <is>
          <t>No</t>
        </is>
      </c>
      <c r="B342" t="inlineStr">
        <is>
          <t>DS12 .H52 1994</t>
        </is>
      </c>
      <c r="C342" t="inlineStr">
        <is>
          <t>0                      DS 0012000H  52          1994</t>
        </is>
      </c>
      <c r="D342" t="inlineStr">
        <is>
          <t>Asian values and the United States : how much conflict? / David I. Hitchcock.</t>
        </is>
      </c>
      <c r="F342" t="inlineStr">
        <is>
          <t>No</t>
        </is>
      </c>
      <c r="G342" t="inlineStr">
        <is>
          <t>1</t>
        </is>
      </c>
      <c r="H342" t="inlineStr">
        <is>
          <t>No</t>
        </is>
      </c>
      <c r="I342" t="inlineStr">
        <is>
          <t>No</t>
        </is>
      </c>
      <c r="J342" t="inlineStr">
        <is>
          <t>0</t>
        </is>
      </c>
      <c r="K342" t="inlineStr">
        <is>
          <t>Hitchcock, David I., 1928-</t>
        </is>
      </c>
      <c r="L342" t="inlineStr">
        <is>
          <t>Washington, D.C. : Center for Strategic and International Studies, c1994.</t>
        </is>
      </c>
      <c r="M342" t="inlineStr">
        <is>
          <t>1994</t>
        </is>
      </c>
      <c r="O342" t="inlineStr">
        <is>
          <t>eng</t>
        </is>
      </c>
      <c r="P342" t="inlineStr">
        <is>
          <t>dcu</t>
        </is>
      </c>
      <c r="Q342" t="inlineStr">
        <is>
          <t>CSIS report</t>
        </is>
      </c>
      <c r="R342" t="inlineStr">
        <is>
          <t xml:space="preserve">DS </t>
        </is>
      </c>
      <c r="S342" t="n">
        <v>4</v>
      </c>
      <c r="T342" t="n">
        <v>4</v>
      </c>
      <c r="U342" t="inlineStr">
        <is>
          <t>2005-11-18</t>
        </is>
      </c>
      <c r="V342" t="inlineStr">
        <is>
          <t>2005-11-18</t>
        </is>
      </c>
      <c r="W342" t="inlineStr">
        <is>
          <t>1995-04-03</t>
        </is>
      </c>
      <c r="X342" t="inlineStr">
        <is>
          <t>1995-04-03</t>
        </is>
      </c>
      <c r="Y342" t="n">
        <v>138</v>
      </c>
      <c r="Z342" t="n">
        <v>103</v>
      </c>
      <c r="AA342" t="n">
        <v>105</v>
      </c>
      <c r="AB342" t="n">
        <v>2</v>
      </c>
      <c r="AC342" t="n">
        <v>2</v>
      </c>
      <c r="AD342" t="n">
        <v>3</v>
      </c>
      <c r="AE342" t="n">
        <v>3</v>
      </c>
      <c r="AF342" t="n">
        <v>0</v>
      </c>
      <c r="AG342" t="n">
        <v>0</v>
      </c>
      <c r="AH342" t="n">
        <v>0</v>
      </c>
      <c r="AI342" t="n">
        <v>0</v>
      </c>
      <c r="AJ342" t="n">
        <v>2</v>
      </c>
      <c r="AK342" t="n">
        <v>2</v>
      </c>
      <c r="AL342" t="n">
        <v>1</v>
      </c>
      <c r="AM342" t="n">
        <v>1</v>
      </c>
      <c r="AN342" t="n">
        <v>0</v>
      </c>
      <c r="AO342" t="n">
        <v>0</v>
      </c>
      <c r="AP342" t="inlineStr">
        <is>
          <t>No</t>
        </is>
      </c>
      <c r="AQ342" t="inlineStr">
        <is>
          <t>Yes</t>
        </is>
      </c>
      <c r="AR342">
        <f>HYPERLINK("http://catalog.hathitrust.org/Record/003005785","HathiTrust Record")</f>
        <v/>
      </c>
      <c r="AS342">
        <f>HYPERLINK("https://creighton-primo.hosted.exlibrisgroup.com/primo-explore/search?tab=default_tab&amp;search_scope=EVERYTHING&amp;vid=01CRU&amp;lang=en_US&amp;offset=0&amp;query=any,contains,991002422329702656","Catalog Record")</f>
        <v/>
      </c>
      <c r="AT342">
        <f>HYPERLINK("http://www.worldcat.org/oclc/31604575","WorldCat Record")</f>
        <v/>
      </c>
      <c r="AU342" t="inlineStr">
        <is>
          <t>33263491:eng</t>
        </is>
      </c>
      <c r="AV342" t="inlineStr">
        <is>
          <t>31604575</t>
        </is>
      </c>
      <c r="AW342" t="inlineStr">
        <is>
          <t>991002422329702656</t>
        </is>
      </c>
      <c r="AX342" t="inlineStr">
        <is>
          <t>991002422329702656</t>
        </is>
      </c>
      <c r="AY342" t="inlineStr">
        <is>
          <t>2270959740002656</t>
        </is>
      </c>
      <c r="AZ342" t="inlineStr">
        <is>
          <t>BOOK</t>
        </is>
      </c>
      <c r="BB342" t="inlineStr">
        <is>
          <t>9780892063116</t>
        </is>
      </c>
      <c r="BC342" t="inlineStr">
        <is>
          <t>32285002016201</t>
        </is>
      </c>
      <c r="BD342" t="inlineStr">
        <is>
          <t>893792446</t>
        </is>
      </c>
    </row>
    <row r="343">
      <c r="A343" t="inlineStr">
        <is>
          <t>No</t>
        </is>
      </c>
      <c r="B343" t="inlineStr">
        <is>
          <t>DS12 .M39 1985</t>
        </is>
      </c>
      <c r="C343" t="inlineStr">
        <is>
          <t>0                      DS 0012000M  39          1985</t>
        </is>
      </c>
      <c r="D343" t="inlineStr">
        <is>
          <t>Max Weber in Asian studies / edited by Andreas E. Buss.</t>
        </is>
      </c>
      <c r="F343" t="inlineStr">
        <is>
          <t>No</t>
        </is>
      </c>
      <c r="G343" t="inlineStr">
        <is>
          <t>1</t>
        </is>
      </c>
      <c r="H343" t="inlineStr">
        <is>
          <t>No</t>
        </is>
      </c>
      <c r="I343" t="inlineStr">
        <is>
          <t>No</t>
        </is>
      </c>
      <c r="J343" t="inlineStr">
        <is>
          <t>0</t>
        </is>
      </c>
      <c r="L343" t="inlineStr">
        <is>
          <t>Leiden : E.J. Brill, 1985.</t>
        </is>
      </c>
      <c r="M343" t="inlineStr">
        <is>
          <t>1985</t>
        </is>
      </c>
      <c r="O343" t="inlineStr">
        <is>
          <t>eng</t>
        </is>
      </c>
      <c r="P343" t="inlineStr">
        <is>
          <t xml:space="preserve">ne </t>
        </is>
      </c>
      <c r="Q343" t="inlineStr">
        <is>
          <t>International studies in sociology and social anthropology ; v. 42</t>
        </is>
      </c>
      <c r="R343" t="inlineStr">
        <is>
          <t xml:space="preserve">DS </t>
        </is>
      </c>
      <c r="S343" t="n">
        <v>4</v>
      </c>
      <c r="T343" t="n">
        <v>4</v>
      </c>
      <c r="U343" t="inlineStr">
        <is>
          <t>2001-11-13</t>
        </is>
      </c>
      <c r="V343" t="inlineStr">
        <is>
          <t>2001-11-13</t>
        </is>
      </c>
      <c r="W343" t="inlineStr">
        <is>
          <t>1990-09-12</t>
        </is>
      </c>
      <c r="X343" t="inlineStr">
        <is>
          <t>1990-09-12</t>
        </is>
      </c>
      <c r="Y343" t="n">
        <v>191</v>
      </c>
      <c r="Z343" t="n">
        <v>122</v>
      </c>
      <c r="AA343" t="n">
        <v>126</v>
      </c>
      <c r="AB343" t="n">
        <v>2</v>
      </c>
      <c r="AC343" t="n">
        <v>2</v>
      </c>
      <c r="AD343" t="n">
        <v>10</v>
      </c>
      <c r="AE343" t="n">
        <v>10</v>
      </c>
      <c r="AF343" t="n">
        <v>2</v>
      </c>
      <c r="AG343" t="n">
        <v>2</v>
      </c>
      <c r="AH343" t="n">
        <v>2</v>
      </c>
      <c r="AI343" t="n">
        <v>2</v>
      </c>
      <c r="AJ343" t="n">
        <v>7</v>
      </c>
      <c r="AK343" t="n">
        <v>7</v>
      </c>
      <c r="AL343" t="n">
        <v>1</v>
      </c>
      <c r="AM343" t="n">
        <v>1</v>
      </c>
      <c r="AN343" t="n">
        <v>0</v>
      </c>
      <c r="AO343" t="n">
        <v>0</v>
      </c>
      <c r="AP343" t="inlineStr">
        <is>
          <t>No</t>
        </is>
      </c>
      <c r="AQ343" t="inlineStr">
        <is>
          <t>No</t>
        </is>
      </c>
      <c r="AS343">
        <f>HYPERLINK("https://creighton-primo.hosted.exlibrisgroup.com/primo-explore/search?tab=default_tab&amp;search_scope=EVERYTHING&amp;vid=01CRU&amp;lang=en_US&amp;offset=0&amp;query=any,contains,991000930849702656","Catalog Record")</f>
        <v/>
      </c>
      <c r="AT343">
        <f>HYPERLINK("http://www.worldcat.org/oclc/14271421","WorldCat Record")</f>
        <v/>
      </c>
      <c r="AU343" t="inlineStr">
        <is>
          <t>54865704:eng</t>
        </is>
      </c>
      <c r="AV343" t="inlineStr">
        <is>
          <t>14271421</t>
        </is>
      </c>
      <c r="AW343" t="inlineStr">
        <is>
          <t>991000930849702656</t>
        </is>
      </c>
      <c r="AX343" t="inlineStr">
        <is>
          <t>991000930849702656</t>
        </is>
      </c>
      <c r="AY343" t="inlineStr">
        <is>
          <t>2258324560002656</t>
        </is>
      </c>
      <c r="AZ343" t="inlineStr">
        <is>
          <t>BOOK</t>
        </is>
      </c>
      <c r="BB343" t="inlineStr">
        <is>
          <t>9789004076952</t>
        </is>
      </c>
      <c r="BC343" t="inlineStr">
        <is>
          <t>32285000291160</t>
        </is>
      </c>
      <c r="BD343" t="inlineStr">
        <is>
          <t>893696302</t>
        </is>
      </c>
    </row>
    <row r="344">
      <c r="A344" t="inlineStr">
        <is>
          <t>No</t>
        </is>
      </c>
      <c r="B344" t="inlineStr">
        <is>
          <t>DS120 .C75 1995</t>
        </is>
      </c>
      <c r="C344" t="inlineStr">
        <is>
          <t>0                      DS 0120000C  75          1995</t>
        </is>
      </c>
      <c r="D344" t="inlineStr">
        <is>
          <t>Crisis &amp; reaction : the hero in Jewish history / Menachem Mor, editor.</t>
        </is>
      </c>
      <c r="F344" t="inlineStr">
        <is>
          <t>No</t>
        </is>
      </c>
      <c r="G344" t="inlineStr">
        <is>
          <t>1</t>
        </is>
      </c>
      <c r="H344" t="inlineStr">
        <is>
          <t>No</t>
        </is>
      </c>
      <c r="I344" t="inlineStr">
        <is>
          <t>No</t>
        </is>
      </c>
      <c r="J344" t="inlineStr">
        <is>
          <t>0</t>
        </is>
      </c>
      <c r="L344" t="inlineStr">
        <is>
          <t>Omaha, Nebraska : Creighton University Press ; Bronx, N.Y. : Fordham University Press [distributor], c1995.</t>
        </is>
      </c>
      <c r="M344" t="inlineStr">
        <is>
          <t>1995</t>
        </is>
      </c>
      <c r="O344" t="inlineStr">
        <is>
          <t>eng</t>
        </is>
      </c>
      <c r="P344" t="inlineStr">
        <is>
          <t>nbu</t>
        </is>
      </c>
      <c r="Q344" t="inlineStr">
        <is>
          <t>Studies in Jewish civilization, 1070-8510 ; 6</t>
        </is>
      </c>
      <c r="R344" t="inlineStr">
        <is>
          <t xml:space="preserve">DS </t>
        </is>
      </c>
      <c r="S344" t="n">
        <v>2</v>
      </c>
      <c r="T344" t="n">
        <v>2</v>
      </c>
      <c r="U344" t="inlineStr">
        <is>
          <t>1997-08-04</t>
        </is>
      </c>
      <c r="V344" t="inlineStr">
        <is>
          <t>1997-08-04</t>
        </is>
      </c>
      <c r="W344" t="inlineStr">
        <is>
          <t>1995-10-11</t>
        </is>
      </c>
      <c r="X344" t="inlineStr">
        <is>
          <t>1995-10-11</t>
        </is>
      </c>
      <c r="Y344" t="n">
        <v>114</v>
      </c>
      <c r="Z344" t="n">
        <v>108</v>
      </c>
      <c r="AA344" t="n">
        <v>526</v>
      </c>
      <c r="AB344" t="n">
        <v>3</v>
      </c>
      <c r="AC344" t="n">
        <v>6</v>
      </c>
      <c r="AD344" t="n">
        <v>9</v>
      </c>
      <c r="AE344" t="n">
        <v>16</v>
      </c>
      <c r="AF344" t="n">
        <v>4</v>
      </c>
      <c r="AG344" t="n">
        <v>8</v>
      </c>
      <c r="AH344" t="n">
        <v>2</v>
      </c>
      <c r="AI344" t="n">
        <v>2</v>
      </c>
      <c r="AJ344" t="n">
        <v>3</v>
      </c>
      <c r="AK344" t="n">
        <v>4</v>
      </c>
      <c r="AL344" t="n">
        <v>2</v>
      </c>
      <c r="AM344" t="n">
        <v>5</v>
      </c>
      <c r="AN344" t="n">
        <v>0</v>
      </c>
      <c r="AO344" t="n">
        <v>0</v>
      </c>
      <c r="AP344" t="inlineStr">
        <is>
          <t>No</t>
        </is>
      </c>
      <c r="AQ344" t="inlineStr">
        <is>
          <t>Yes</t>
        </is>
      </c>
      <c r="AR344">
        <f>HYPERLINK("http://catalog.hathitrust.org/Record/003024712","HathiTrust Record")</f>
        <v/>
      </c>
      <c r="AS344">
        <f>HYPERLINK("https://creighton-primo.hosted.exlibrisgroup.com/primo-explore/search?tab=default_tab&amp;search_scope=EVERYTHING&amp;vid=01CRU&amp;lang=en_US&amp;offset=0&amp;query=any,contains,991002549229702656","Catalog Record")</f>
        <v/>
      </c>
      <c r="AT344">
        <f>HYPERLINK("http://www.worldcat.org/oclc/33118424","WorldCat Record")</f>
        <v/>
      </c>
      <c r="AU344" t="inlineStr">
        <is>
          <t>1067874:eng</t>
        </is>
      </c>
      <c r="AV344" t="inlineStr">
        <is>
          <t>33118424</t>
        </is>
      </c>
      <c r="AW344" t="inlineStr">
        <is>
          <t>991002549229702656</t>
        </is>
      </c>
      <c r="AX344" t="inlineStr">
        <is>
          <t>991002549229702656</t>
        </is>
      </c>
      <c r="AY344" t="inlineStr">
        <is>
          <t>2262322250002656</t>
        </is>
      </c>
      <c r="AZ344" t="inlineStr">
        <is>
          <t>BOOK</t>
        </is>
      </c>
      <c r="BB344" t="inlineStr">
        <is>
          <t>9781881871149</t>
        </is>
      </c>
      <c r="BC344" t="inlineStr">
        <is>
          <t>32285002095650</t>
        </is>
      </c>
      <c r="BD344" t="inlineStr">
        <is>
          <t>893616259</t>
        </is>
      </c>
    </row>
    <row r="345">
      <c r="A345" t="inlineStr">
        <is>
          <t>No</t>
        </is>
      </c>
      <c r="B345" t="inlineStr">
        <is>
          <t>DS121 .C66 1987</t>
        </is>
      </c>
      <c r="C345" t="inlineStr">
        <is>
          <t>0                      DS 0121000C  66          1987</t>
        </is>
      </c>
      <c r="D345" t="inlineStr">
        <is>
          <t>The emergence of early Israel in historical perspective / Robert B. Coote &amp; Keith W. Whitelam.</t>
        </is>
      </c>
      <c r="F345" t="inlineStr">
        <is>
          <t>No</t>
        </is>
      </c>
      <c r="G345" t="inlineStr">
        <is>
          <t>1</t>
        </is>
      </c>
      <c r="H345" t="inlineStr">
        <is>
          <t>No</t>
        </is>
      </c>
      <c r="I345" t="inlineStr">
        <is>
          <t>No</t>
        </is>
      </c>
      <c r="J345" t="inlineStr">
        <is>
          <t>0</t>
        </is>
      </c>
      <c r="K345" t="inlineStr">
        <is>
          <t>Coote, Robert B., 1944-</t>
        </is>
      </c>
      <c r="L345" t="inlineStr">
        <is>
          <t>Sheffield : Almond, c1987.</t>
        </is>
      </c>
      <c r="M345" t="inlineStr">
        <is>
          <t>1987</t>
        </is>
      </c>
      <c r="O345" t="inlineStr">
        <is>
          <t>eng</t>
        </is>
      </c>
      <c r="P345" t="inlineStr">
        <is>
          <t>enk</t>
        </is>
      </c>
      <c r="Q345" t="inlineStr">
        <is>
          <t>The Social world of biblical antiquity</t>
        </is>
      </c>
      <c r="R345" t="inlineStr">
        <is>
          <t xml:space="preserve">DS </t>
        </is>
      </c>
      <c r="S345" t="n">
        <v>25</v>
      </c>
      <c r="T345" t="n">
        <v>25</v>
      </c>
      <c r="U345" t="inlineStr">
        <is>
          <t>2005-11-28</t>
        </is>
      </c>
      <c r="V345" t="inlineStr">
        <is>
          <t>2005-11-28</t>
        </is>
      </c>
      <c r="W345" t="inlineStr">
        <is>
          <t>1990-08-17</t>
        </is>
      </c>
      <c r="X345" t="inlineStr">
        <is>
          <t>1990-08-17</t>
        </is>
      </c>
      <c r="Y345" t="n">
        <v>321</v>
      </c>
      <c r="Z345" t="n">
        <v>216</v>
      </c>
      <c r="AA345" t="n">
        <v>218</v>
      </c>
      <c r="AB345" t="n">
        <v>2</v>
      </c>
      <c r="AC345" t="n">
        <v>2</v>
      </c>
      <c r="AD345" t="n">
        <v>16</v>
      </c>
      <c r="AE345" t="n">
        <v>16</v>
      </c>
      <c r="AF345" t="n">
        <v>6</v>
      </c>
      <c r="AG345" t="n">
        <v>6</v>
      </c>
      <c r="AH345" t="n">
        <v>5</v>
      </c>
      <c r="AI345" t="n">
        <v>5</v>
      </c>
      <c r="AJ345" t="n">
        <v>7</v>
      </c>
      <c r="AK345" t="n">
        <v>7</v>
      </c>
      <c r="AL345" t="n">
        <v>1</v>
      </c>
      <c r="AM345" t="n">
        <v>1</v>
      </c>
      <c r="AN345" t="n">
        <v>0</v>
      </c>
      <c r="AO345" t="n">
        <v>0</v>
      </c>
      <c r="AP345" t="inlineStr">
        <is>
          <t>No</t>
        </is>
      </c>
      <c r="AQ345" t="inlineStr">
        <is>
          <t>Yes</t>
        </is>
      </c>
      <c r="AR345">
        <f>HYPERLINK("http://catalog.hathitrust.org/Record/000902962","HathiTrust Record")</f>
        <v/>
      </c>
      <c r="AS345">
        <f>HYPERLINK("https://creighton-primo.hosted.exlibrisgroup.com/primo-explore/search?tab=default_tab&amp;search_scope=EVERYTHING&amp;vid=01CRU&amp;lang=en_US&amp;offset=0&amp;query=any,contains,991001078259702656","Catalog Record")</f>
        <v/>
      </c>
      <c r="AT345">
        <f>HYPERLINK("http://www.worldcat.org/oclc/22209364","WorldCat Record")</f>
        <v/>
      </c>
      <c r="AU345" t="inlineStr">
        <is>
          <t>23934122:eng</t>
        </is>
      </c>
      <c r="AV345" t="inlineStr">
        <is>
          <t>22209364</t>
        </is>
      </c>
      <c r="AW345" t="inlineStr">
        <is>
          <t>991001078259702656</t>
        </is>
      </c>
      <c r="AX345" t="inlineStr">
        <is>
          <t>991001078259702656</t>
        </is>
      </c>
      <c r="AY345" t="inlineStr">
        <is>
          <t>2259917630002656</t>
        </is>
      </c>
      <c r="AZ345" t="inlineStr">
        <is>
          <t>BOOK</t>
        </is>
      </c>
      <c r="BB345" t="inlineStr">
        <is>
          <t>9781850750727</t>
        </is>
      </c>
      <c r="BC345" t="inlineStr">
        <is>
          <t>32285000244334</t>
        </is>
      </c>
      <c r="BD345" t="inlineStr">
        <is>
          <t>893621060</t>
        </is>
      </c>
    </row>
    <row r="346">
      <c r="A346" t="inlineStr">
        <is>
          <t>No</t>
        </is>
      </c>
      <c r="B346" t="inlineStr">
        <is>
          <t>DS121 .I87 1998</t>
        </is>
      </c>
      <c r="C346" t="inlineStr">
        <is>
          <t>0                      DS 0121000I  87          1998</t>
        </is>
      </c>
      <c r="D346" t="inlineStr">
        <is>
          <t>The Israelites / B.S.J. Isserlin.</t>
        </is>
      </c>
      <c r="F346" t="inlineStr">
        <is>
          <t>No</t>
        </is>
      </c>
      <c r="G346" t="inlineStr">
        <is>
          <t>1</t>
        </is>
      </c>
      <c r="H346" t="inlineStr">
        <is>
          <t>No</t>
        </is>
      </c>
      <c r="I346" t="inlineStr">
        <is>
          <t>No</t>
        </is>
      </c>
      <c r="J346" t="inlineStr">
        <is>
          <t>0</t>
        </is>
      </c>
      <c r="K346" t="inlineStr">
        <is>
          <t>Isserlin, B. S. J.</t>
        </is>
      </c>
      <c r="L346" t="inlineStr">
        <is>
          <t>New York, N.Y. : Thames and Hudson, 1998.</t>
        </is>
      </c>
      <c r="M346" t="inlineStr">
        <is>
          <t>1998</t>
        </is>
      </c>
      <c r="O346" t="inlineStr">
        <is>
          <t>eng</t>
        </is>
      </c>
      <c r="P346" t="inlineStr">
        <is>
          <t>nyu</t>
        </is>
      </c>
      <c r="R346" t="inlineStr">
        <is>
          <t xml:space="preserve">DS </t>
        </is>
      </c>
      <c r="S346" t="n">
        <v>6</v>
      </c>
      <c r="T346" t="n">
        <v>6</v>
      </c>
      <c r="U346" t="inlineStr">
        <is>
          <t>2006-10-29</t>
        </is>
      </c>
      <c r="V346" t="inlineStr">
        <is>
          <t>2006-10-29</t>
        </is>
      </c>
      <c r="W346" t="inlineStr">
        <is>
          <t>1999-09-30</t>
        </is>
      </c>
      <c r="X346" t="inlineStr">
        <is>
          <t>1999-09-30</t>
        </is>
      </c>
      <c r="Y346" t="n">
        <v>664</v>
      </c>
      <c r="Z346" t="n">
        <v>595</v>
      </c>
      <c r="AA346" t="n">
        <v>771</v>
      </c>
      <c r="AB346" t="n">
        <v>6</v>
      </c>
      <c r="AC346" t="n">
        <v>6</v>
      </c>
      <c r="AD346" t="n">
        <v>27</v>
      </c>
      <c r="AE346" t="n">
        <v>37</v>
      </c>
      <c r="AF346" t="n">
        <v>12</v>
      </c>
      <c r="AG346" t="n">
        <v>19</v>
      </c>
      <c r="AH346" t="n">
        <v>6</v>
      </c>
      <c r="AI346" t="n">
        <v>6</v>
      </c>
      <c r="AJ346" t="n">
        <v>11</v>
      </c>
      <c r="AK346" t="n">
        <v>15</v>
      </c>
      <c r="AL346" t="n">
        <v>5</v>
      </c>
      <c r="AM346" t="n">
        <v>5</v>
      </c>
      <c r="AN346" t="n">
        <v>0</v>
      </c>
      <c r="AO346" t="n">
        <v>0</v>
      </c>
      <c r="AP346" t="inlineStr">
        <is>
          <t>No</t>
        </is>
      </c>
      <c r="AQ346" t="inlineStr">
        <is>
          <t>No</t>
        </is>
      </c>
      <c r="AS346">
        <f>HYPERLINK("https://creighton-primo.hosted.exlibrisgroup.com/primo-explore/search?tab=default_tab&amp;search_scope=EVERYTHING&amp;vid=01CRU&amp;lang=en_US&amp;offset=0&amp;query=any,contains,991002979749702656","Catalog Record")</f>
        <v/>
      </c>
      <c r="AT346">
        <f>HYPERLINK("http://www.worldcat.org/oclc/40058331","WorldCat Record")</f>
        <v/>
      </c>
      <c r="AU346" t="inlineStr">
        <is>
          <t>10525339:eng</t>
        </is>
      </c>
      <c r="AV346" t="inlineStr">
        <is>
          <t>40058331</t>
        </is>
      </c>
      <c r="AW346" t="inlineStr">
        <is>
          <t>991002979749702656</t>
        </is>
      </c>
      <c r="AX346" t="inlineStr">
        <is>
          <t>991002979749702656</t>
        </is>
      </c>
      <c r="AY346" t="inlineStr">
        <is>
          <t>2262188470002656</t>
        </is>
      </c>
      <c r="AZ346" t="inlineStr">
        <is>
          <t>BOOK</t>
        </is>
      </c>
      <c r="BB346" t="inlineStr">
        <is>
          <t>9780500050828</t>
        </is>
      </c>
      <c r="BC346" t="inlineStr">
        <is>
          <t>32285003592002</t>
        </is>
      </c>
      <c r="BD346" t="inlineStr">
        <is>
          <t>893622984</t>
        </is>
      </c>
    </row>
    <row r="347">
      <c r="A347" t="inlineStr">
        <is>
          <t>No</t>
        </is>
      </c>
      <c r="B347" t="inlineStr">
        <is>
          <t>DS121 .J85 1983</t>
        </is>
      </c>
      <c r="C347" t="inlineStr">
        <is>
          <t>0                      DS 0121000J  85          1983</t>
        </is>
      </c>
      <c r="D347" t="inlineStr">
        <is>
          <t>Julius Wellhausen and His Prolegomena to the History of Israel / guest editor of this issue: Douglas A. Knight.</t>
        </is>
      </c>
      <c r="F347" t="inlineStr">
        <is>
          <t>No</t>
        </is>
      </c>
      <c r="G347" t="inlineStr">
        <is>
          <t>1</t>
        </is>
      </c>
      <c r="H347" t="inlineStr">
        <is>
          <t>No</t>
        </is>
      </c>
      <c r="I347" t="inlineStr">
        <is>
          <t>No</t>
        </is>
      </c>
      <c r="J347" t="inlineStr">
        <is>
          <t>0</t>
        </is>
      </c>
      <c r="L347" t="inlineStr">
        <is>
          <t>Chico, CA : Published by Scholars Press, c1983.</t>
        </is>
      </c>
      <c r="M347" t="inlineStr">
        <is>
          <t>1983</t>
        </is>
      </c>
      <c r="O347" t="inlineStr">
        <is>
          <t>eng</t>
        </is>
      </c>
      <c r="P347" t="inlineStr">
        <is>
          <t>cau</t>
        </is>
      </c>
      <c r="Q347" t="inlineStr">
        <is>
          <t>Semeia, 0095-571X ; 25</t>
        </is>
      </c>
      <c r="R347" t="inlineStr">
        <is>
          <t xml:space="preserve">DS </t>
        </is>
      </c>
      <c r="S347" t="n">
        <v>1</v>
      </c>
      <c r="T347" t="n">
        <v>1</v>
      </c>
      <c r="U347" t="inlineStr">
        <is>
          <t>2007-02-20</t>
        </is>
      </c>
      <c r="V347" t="inlineStr">
        <is>
          <t>2007-02-20</t>
        </is>
      </c>
      <c r="W347" t="inlineStr">
        <is>
          <t>1990-10-01</t>
        </is>
      </c>
      <c r="X347" t="inlineStr">
        <is>
          <t>1990-10-01</t>
        </is>
      </c>
      <c r="Y347" t="n">
        <v>108</v>
      </c>
      <c r="Z347" t="n">
        <v>78</v>
      </c>
      <c r="AA347" t="n">
        <v>82</v>
      </c>
      <c r="AB347" t="n">
        <v>1</v>
      </c>
      <c r="AC347" t="n">
        <v>1</v>
      </c>
      <c r="AD347" t="n">
        <v>10</v>
      </c>
      <c r="AE347" t="n">
        <v>10</v>
      </c>
      <c r="AF347" t="n">
        <v>8</v>
      </c>
      <c r="AG347" t="n">
        <v>8</v>
      </c>
      <c r="AH347" t="n">
        <v>1</v>
      </c>
      <c r="AI347" t="n">
        <v>1</v>
      </c>
      <c r="AJ347" t="n">
        <v>2</v>
      </c>
      <c r="AK347" t="n">
        <v>2</v>
      </c>
      <c r="AL347" t="n">
        <v>0</v>
      </c>
      <c r="AM347" t="n">
        <v>0</v>
      </c>
      <c r="AN347" t="n">
        <v>0</v>
      </c>
      <c r="AO347" t="n">
        <v>0</v>
      </c>
      <c r="AP347" t="inlineStr">
        <is>
          <t>No</t>
        </is>
      </c>
      <c r="AQ347" t="inlineStr">
        <is>
          <t>No</t>
        </is>
      </c>
      <c r="AS347">
        <f>HYPERLINK("https://creighton-primo.hosted.exlibrisgroup.com/primo-explore/search?tab=default_tab&amp;search_scope=EVERYTHING&amp;vid=01CRU&amp;lang=en_US&amp;offset=0&amp;query=any,contains,991000302239702656","Catalog Record")</f>
        <v/>
      </c>
      <c r="AT347">
        <f>HYPERLINK("http://www.worldcat.org/oclc/10027864","WorldCat Record")</f>
        <v/>
      </c>
      <c r="AU347" t="inlineStr">
        <is>
          <t>3855281095:eng</t>
        </is>
      </c>
      <c r="AV347" t="inlineStr">
        <is>
          <t>10027864</t>
        </is>
      </c>
      <c r="AW347" t="inlineStr">
        <is>
          <t>991000302239702656</t>
        </is>
      </c>
      <c r="AX347" t="inlineStr">
        <is>
          <t>991000302239702656</t>
        </is>
      </c>
      <c r="AY347" t="inlineStr">
        <is>
          <t>2264385720002656</t>
        </is>
      </c>
      <c r="AZ347" t="inlineStr">
        <is>
          <t>BOOK</t>
        </is>
      </c>
      <c r="BC347" t="inlineStr">
        <is>
          <t>32285000293661</t>
        </is>
      </c>
      <c r="BD347" t="inlineStr">
        <is>
          <t>893255323</t>
        </is>
      </c>
    </row>
    <row r="348">
      <c r="A348" t="inlineStr">
        <is>
          <t>No</t>
        </is>
      </c>
      <c r="B348" t="inlineStr">
        <is>
          <t>DS121 .L44 1988</t>
        </is>
      </c>
      <c r="C348" t="inlineStr">
        <is>
          <t>0                      DS 0121000L  44          1988</t>
        </is>
      </c>
      <c r="D348" t="inlineStr">
        <is>
          <t>Ancient Israel : a new history of Israelite society / Niels Peter Lemche.</t>
        </is>
      </c>
      <c r="F348" t="inlineStr">
        <is>
          <t>No</t>
        </is>
      </c>
      <c r="G348" t="inlineStr">
        <is>
          <t>1</t>
        </is>
      </c>
      <c r="H348" t="inlineStr">
        <is>
          <t>No</t>
        </is>
      </c>
      <c r="I348" t="inlineStr">
        <is>
          <t>No</t>
        </is>
      </c>
      <c r="J348" t="inlineStr">
        <is>
          <t>0</t>
        </is>
      </c>
      <c r="K348" t="inlineStr">
        <is>
          <t>Lemche, Niels Peter.</t>
        </is>
      </c>
      <c r="L348" t="inlineStr">
        <is>
          <t>Sheffield, England : JSOT Press, c1988, 1990 printing.</t>
        </is>
      </c>
      <c r="M348" t="inlineStr">
        <is>
          <t>1988</t>
        </is>
      </c>
      <c r="O348" t="inlineStr">
        <is>
          <t>eng</t>
        </is>
      </c>
      <c r="P348" t="inlineStr">
        <is>
          <t>enk</t>
        </is>
      </c>
      <c r="Q348" t="inlineStr">
        <is>
          <t>The Biblical seminar</t>
        </is>
      </c>
      <c r="R348" t="inlineStr">
        <is>
          <t xml:space="preserve">DS </t>
        </is>
      </c>
      <c r="S348" t="n">
        <v>10</v>
      </c>
      <c r="T348" t="n">
        <v>10</v>
      </c>
      <c r="U348" t="inlineStr">
        <is>
          <t>2006-09-26</t>
        </is>
      </c>
      <c r="V348" t="inlineStr">
        <is>
          <t>2006-09-26</t>
        </is>
      </c>
      <c r="W348" t="inlineStr">
        <is>
          <t>1990-08-17</t>
        </is>
      </c>
      <c r="X348" t="inlineStr">
        <is>
          <t>1990-08-17</t>
        </is>
      </c>
      <c r="Y348" t="n">
        <v>280</v>
      </c>
      <c r="Z348" t="n">
        <v>166</v>
      </c>
      <c r="AA348" t="n">
        <v>214</v>
      </c>
      <c r="AB348" t="n">
        <v>1</v>
      </c>
      <c r="AC348" t="n">
        <v>1</v>
      </c>
      <c r="AD348" t="n">
        <v>11</v>
      </c>
      <c r="AE348" t="n">
        <v>14</v>
      </c>
      <c r="AF348" t="n">
        <v>3</v>
      </c>
      <c r="AG348" t="n">
        <v>5</v>
      </c>
      <c r="AH348" t="n">
        <v>4</v>
      </c>
      <c r="AI348" t="n">
        <v>4</v>
      </c>
      <c r="AJ348" t="n">
        <v>7</v>
      </c>
      <c r="AK348" t="n">
        <v>8</v>
      </c>
      <c r="AL348" t="n">
        <v>0</v>
      </c>
      <c r="AM348" t="n">
        <v>0</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HYPERLINK("https://creighton-primo.hosted.exlibrisgroup.com/primo-explore/search?tab=default_tab&amp;search_scope=EVERYTHING&amp;vid=01CRU&amp;lang=en_US&amp;offset=0&amp;query=any,contains,991001645759702656","Catalog Record")</f>
        <v/>
      </c>
      <c r="AT348">
        <f>HYPERLINK("http://www.worldcat.org/oclc/21043712","WorldCat Record")</f>
        <v/>
      </c>
      <c r="AU348" t="inlineStr">
        <is>
          <t>890096415:eng</t>
        </is>
      </c>
      <c r="AV348" t="inlineStr">
        <is>
          <t>21043712</t>
        </is>
      </c>
      <c r="AW348" t="inlineStr">
        <is>
          <t>991001645759702656</t>
        </is>
      </c>
      <c r="AX348" t="inlineStr">
        <is>
          <t>991001645759702656</t>
        </is>
      </c>
      <c r="AY348" t="inlineStr">
        <is>
          <t>2268805240002656</t>
        </is>
      </c>
      <c r="AZ348" t="inlineStr">
        <is>
          <t>BOOK</t>
        </is>
      </c>
      <c r="BB348" t="inlineStr">
        <is>
          <t>9781850750178</t>
        </is>
      </c>
      <c r="BC348" t="inlineStr">
        <is>
          <t>32285000244102</t>
        </is>
      </c>
      <c r="BD348" t="inlineStr">
        <is>
          <t>893778951</t>
        </is>
      </c>
    </row>
    <row r="349">
      <c r="A349" t="inlineStr">
        <is>
          <t>No</t>
        </is>
      </c>
      <c r="B349" t="inlineStr">
        <is>
          <t>DS121 .M38294 2002</t>
        </is>
      </c>
      <c r="C349" t="inlineStr">
        <is>
          <t>0                      DS 0121000M  38294       2002</t>
        </is>
      </c>
      <c r="D349" t="inlineStr">
        <is>
          <t>A brief history of ancient Israel / Victor H. Matthews.</t>
        </is>
      </c>
      <c r="F349" t="inlineStr">
        <is>
          <t>No</t>
        </is>
      </c>
      <c r="G349" t="inlineStr">
        <is>
          <t>1</t>
        </is>
      </c>
      <c r="H349" t="inlineStr">
        <is>
          <t>No</t>
        </is>
      </c>
      <c r="I349" t="inlineStr">
        <is>
          <t>No</t>
        </is>
      </c>
      <c r="J349" t="inlineStr">
        <is>
          <t>0</t>
        </is>
      </c>
      <c r="K349" t="inlineStr">
        <is>
          <t>Matthews, Victor Harold.</t>
        </is>
      </c>
      <c r="L349" t="inlineStr">
        <is>
          <t>Louisville, Ky. : Westminster John Knox Press, c2002.</t>
        </is>
      </c>
      <c r="M349" t="inlineStr">
        <is>
          <t>2002</t>
        </is>
      </c>
      <c r="N349" t="inlineStr">
        <is>
          <t>1st ed.</t>
        </is>
      </c>
      <c r="O349" t="inlineStr">
        <is>
          <t>eng</t>
        </is>
      </c>
      <c r="P349" t="inlineStr">
        <is>
          <t>kyu</t>
        </is>
      </c>
      <c r="R349" t="inlineStr">
        <is>
          <t xml:space="preserve">DS </t>
        </is>
      </c>
      <c r="S349" t="n">
        <v>11</v>
      </c>
      <c r="T349" t="n">
        <v>11</v>
      </c>
      <c r="U349" t="inlineStr">
        <is>
          <t>2009-11-17</t>
        </is>
      </c>
      <c r="V349" t="inlineStr">
        <is>
          <t>2009-11-17</t>
        </is>
      </c>
      <c r="W349" t="inlineStr">
        <is>
          <t>2003-10-08</t>
        </is>
      </c>
      <c r="X349" t="inlineStr">
        <is>
          <t>2003-10-08</t>
        </is>
      </c>
      <c r="Y349" t="n">
        <v>447</v>
      </c>
      <c r="Z349" t="n">
        <v>401</v>
      </c>
      <c r="AA349" t="n">
        <v>401</v>
      </c>
      <c r="AB349" t="n">
        <v>5</v>
      </c>
      <c r="AC349" t="n">
        <v>5</v>
      </c>
      <c r="AD349" t="n">
        <v>26</v>
      </c>
      <c r="AE349" t="n">
        <v>26</v>
      </c>
      <c r="AF349" t="n">
        <v>11</v>
      </c>
      <c r="AG349" t="n">
        <v>11</v>
      </c>
      <c r="AH349" t="n">
        <v>8</v>
      </c>
      <c r="AI349" t="n">
        <v>8</v>
      </c>
      <c r="AJ349" t="n">
        <v>12</v>
      </c>
      <c r="AK349" t="n">
        <v>12</v>
      </c>
      <c r="AL349" t="n">
        <v>3</v>
      </c>
      <c r="AM349" t="n">
        <v>3</v>
      </c>
      <c r="AN349" t="n">
        <v>0</v>
      </c>
      <c r="AO349" t="n">
        <v>0</v>
      </c>
      <c r="AP349" t="inlineStr">
        <is>
          <t>No</t>
        </is>
      </c>
      <c r="AQ349" t="inlineStr">
        <is>
          <t>No</t>
        </is>
      </c>
      <c r="AS349">
        <f>HYPERLINK("https://creighton-primo.hosted.exlibrisgroup.com/primo-explore/search?tab=default_tab&amp;search_scope=EVERYTHING&amp;vid=01CRU&amp;lang=en_US&amp;offset=0&amp;query=any,contains,991004116089702656","Catalog Record")</f>
        <v/>
      </c>
      <c r="AT349">
        <f>HYPERLINK("http://www.worldcat.org/oclc/50681617","WorldCat Record")</f>
        <v/>
      </c>
      <c r="AU349" t="inlineStr">
        <is>
          <t>931906:eng</t>
        </is>
      </c>
      <c r="AV349" t="inlineStr">
        <is>
          <t>50681617</t>
        </is>
      </c>
      <c r="AW349" t="inlineStr">
        <is>
          <t>991004116089702656</t>
        </is>
      </c>
      <c r="AX349" t="inlineStr">
        <is>
          <t>991004116089702656</t>
        </is>
      </c>
      <c r="AY349" t="inlineStr">
        <is>
          <t>2255811180002656</t>
        </is>
      </c>
      <c r="AZ349" t="inlineStr">
        <is>
          <t>BOOK</t>
        </is>
      </c>
      <c r="BB349" t="inlineStr">
        <is>
          <t>9780664224363</t>
        </is>
      </c>
      <c r="BC349" t="inlineStr">
        <is>
          <t>32285004787247</t>
        </is>
      </c>
      <c r="BD349" t="inlineStr">
        <is>
          <t>893263101</t>
        </is>
      </c>
    </row>
    <row r="350">
      <c r="A350" t="inlineStr">
        <is>
          <t>No</t>
        </is>
      </c>
      <c r="B350" t="inlineStr">
        <is>
          <t>DS121 .M383 1992</t>
        </is>
      </c>
      <c r="C350" t="inlineStr">
        <is>
          <t>0                      DS 0121000M  383         1992</t>
        </is>
      </c>
      <c r="D350" t="inlineStr">
        <is>
          <t>Biblical Israel : state and people / Benjamin Mazar ; edited by Shmuel Aḥituv.</t>
        </is>
      </c>
      <c r="F350" t="inlineStr">
        <is>
          <t>No</t>
        </is>
      </c>
      <c r="G350" t="inlineStr">
        <is>
          <t>1</t>
        </is>
      </c>
      <c r="H350" t="inlineStr">
        <is>
          <t>No</t>
        </is>
      </c>
      <c r="I350" t="inlineStr">
        <is>
          <t>No</t>
        </is>
      </c>
      <c r="J350" t="inlineStr">
        <is>
          <t>0</t>
        </is>
      </c>
      <c r="K350" t="inlineStr">
        <is>
          <t>Mazar, Benjamin, 1906-1995.</t>
        </is>
      </c>
      <c r="L350" t="inlineStr">
        <is>
          <t>Jerusalem : Magnes Press, Hebrew University : Israel Exploration Society, c1992.</t>
        </is>
      </c>
      <c r="M350" t="inlineStr">
        <is>
          <t>1992</t>
        </is>
      </c>
      <c r="O350" t="inlineStr">
        <is>
          <t>eng</t>
        </is>
      </c>
      <c r="P350" t="inlineStr">
        <is>
          <t xml:space="preserve">is </t>
        </is>
      </c>
      <c r="R350" t="inlineStr">
        <is>
          <t xml:space="preserve">DS </t>
        </is>
      </c>
      <c r="S350" t="n">
        <v>1</v>
      </c>
      <c r="T350" t="n">
        <v>1</v>
      </c>
      <c r="U350" t="inlineStr">
        <is>
          <t>2009-12-07</t>
        </is>
      </c>
      <c r="V350" t="inlineStr">
        <is>
          <t>2009-12-07</t>
        </is>
      </c>
      <c r="W350" t="inlineStr">
        <is>
          <t>1997-07-01</t>
        </is>
      </c>
      <c r="X350" t="inlineStr">
        <is>
          <t>1997-07-01</t>
        </is>
      </c>
      <c r="Y350" t="n">
        <v>199</v>
      </c>
      <c r="Z350" t="n">
        <v>141</v>
      </c>
      <c r="AA350" t="n">
        <v>143</v>
      </c>
      <c r="AB350" t="n">
        <v>1</v>
      </c>
      <c r="AC350" t="n">
        <v>1</v>
      </c>
      <c r="AD350" t="n">
        <v>7</v>
      </c>
      <c r="AE350" t="n">
        <v>7</v>
      </c>
      <c r="AF350" t="n">
        <v>5</v>
      </c>
      <c r="AG350" t="n">
        <v>5</v>
      </c>
      <c r="AH350" t="n">
        <v>1</v>
      </c>
      <c r="AI350" t="n">
        <v>1</v>
      </c>
      <c r="AJ350" t="n">
        <v>4</v>
      </c>
      <c r="AK350" t="n">
        <v>4</v>
      </c>
      <c r="AL350" t="n">
        <v>0</v>
      </c>
      <c r="AM350" t="n">
        <v>0</v>
      </c>
      <c r="AN350" t="n">
        <v>0</v>
      </c>
      <c r="AO350" t="n">
        <v>0</v>
      </c>
      <c r="AP350" t="inlineStr">
        <is>
          <t>No</t>
        </is>
      </c>
      <c r="AQ350" t="inlineStr">
        <is>
          <t>Yes</t>
        </is>
      </c>
      <c r="AR350">
        <f>HYPERLINK("http://catalog.hathitrust.org/Record/002593659","HathiTrust Record")</f>
        <v/>
      </c>
      <c r="AS350">
        <f>HYPERLINK("https://creighton-primo.hosted.exlibrisgroup.com/primo-explore/search?tab=default_tab&amp;search_scope=EVERYTHING&amp;vid=01CRU&amp;lang=en_US&amp;offset=0&amp;query=any,contains,991002096749702656","Catalog Record")</f>
        <v/>
      </c>
      <c r="AT350">
        <f>HYPERLINK("http://www.worldcat.org/oclc/26888746","WorldCat Record")</f>
        <v/>
      </c>
      <c r="AU350" t="inlineStr">
        <is>
          <t>29837964:eng</t>
        </is>
      </c>
      <c r="AV350" t="inlineStr">
        <is>
          <t>26888746</t>
        </is>
      </c>
      <c r="AW350" t="inlineStr">
        <is>
          <t>991002096749702656</t>
        </is>
      </c>
      <c r="AX350" t="inlineStr">
        <is>
          <t>991002096749702656</t>
        </is>
      </c>
      <c r="AY350" t="inlineStr">
        <is>
          <t>2259964300002656</t>
        </is>
      </c>
      <c r="AZ350" t="inlineStr">
        <is>
          <t>BOOK</t>
        </is>
      </c>
      <c r="BB350" t="inlineStr">
        <is>
          <t>9789652237972</t>
        </is>
      </c>
      <c r="BC350" t="inlineStr">
        <is>
          <t>32285002754652</t>
        </is>
      </c>
      <c r="BD350" t="inlineStr">
        <is>
          <t>893597026</t>
        </is>
      </c>
    </row>
    <row r="351">
      <c r="A351" t="inlineStr">
        <is>
          <t>No</t>
        </is>
      </c>
      <c r="B351" t="inlineStr">
        <is>
          <t>DS121 .O4 1972</t>
        </is>
      </c>
      <c r="C351" t="inlineStr">
        <is>
          <t>0                      DS 0121000O  4           1972</t>
        </is>
      </c>
      <c r="D351" t="inlineStr">
        <is>
          <t>History of Palestine and Syria to the Macedonian conquest.</t>
        </is>
      </c>
      <c r="F351" t="inlineStr">
        <is>
          <t>No</t>
        </is>
      </c>
      <c r="G351" t="inlineStr">
        <is>
          <t>1</t>
        </is>
      </c>
      <c r="H351" t="inlineStr">
        <is>
          <t>No</t>
        </is>
      </c>
      <c r="I351" t="inlineStr">
        <is>
          <t>No</t>
        </is>
      </c>
      <c r="J351" t="inlineStr">
        <is>
          <t>0</t>
        </is>
      </c>
      <c r="K351" t="inlineStr">
        <is>
          <t>Olmstead, A. T. (Albert Ten Eyck), 1880-1945.</t>
        </is>
      </c>
      <c r="L351" t="inlineStr">
        <is>
          <t>Westport, Conn., Greenwood Press [1972, c1931]</t>
        </is>
      </c>
      <c r="M351" t="inlineStr">
        <is>
          <t>1972</t>
        </is>
      </c>
      <c r="O351" t="inlineStr">
        <is>
          <t>eng</t>
        </is>
      </c>
      <c r="P351" t="inlineStr">
        <is>
          <t>ctu</t>
        </is>
      </c>
      <c r="R351" t="inlineStr">
        <is>
          <t xml:space="preserve">DS </t>
        </is>
      </c>
      <c r="S351" t="n">
        <v>2</v>
      </c>
      <c r="T351" t="n">
        <v>2</v>
      </c>
      <c r="U351" t="inlineStr">
        <is>
          <t>2005-10-12</t>
        </is>
      </c>
      <c r="V351" t="inlineStr">
        <is>
          <t>2005-10-12</t>
        </is>
      </c>
      <c r="W351" t="inlineStr">
        <is>
          <t>1997-02-26</t>
        </is>
      </c>
      <c r="X351" t="inlineStr">
        <is>
          <t>1997-02-26</t>
        </is>
      </c>
      <c r="Y351" t="n">
        <v>99</v>
      </c>
      <c r="Z351" t="n">
        <v>83</v>
      </c>
      <c r="AA351" t="n">
        <v>599</v>
      </c>
      <c r="AB351" t="n">
        <v>2</v>
      </c>
      <c r="AC351" t="n">
        <v>4</v>
      </c>
      <c r="AD351" t="n">
        <v>5</v>
      </c>
      <c r="AE351" t="n">
        <v>26</v>
      </c>
      <c r="AF351" t="n">
        <v>0</v>
      </c>
      <c r="AG351" t="n">
        <v>11</v>
      </c>
      <c r="AH351" t="n">
        <v>2</v>
      </c>
      <c r="AI351" t="n">
        <v>7</v>
      </c>
      <c r="AJ351" t="n">
        <v>3</v>
      </c>
      <c r="AK351" t="n">
        <v>13</v>
      </c>
      <c r="AL351" t="n">
        <v>1</v>
      </c>
      <c r="AM351" t="n">
        <v>2</v>
      </c>
      <c r="AN351" t="n">
        <v>0</v>
      </c>
      <c r="AO351" t="n">
        <v>0</v>
      </c>
      <c r="AP351" t="inlineStr">
        <is>
          <t>No</t>
        </is>
      </c>
      <c r="AQ351" t="inlineStr">
        <is>
          <t>No</t>
        </is>
      </c>
      <c r="AS351">
        <f>HYPERLINK("https://creighton-primo.hosted.exlibrisgroup.com/primo-explore/search?tab=default_tab&amp;search_scope=EVERYTHING&amp;vid=01CRU&amp;lang=en_US&amp;offset=0&amp;query=any,contains,991002343179702656","Catalog Record")</f>
        <v/>
      </c>
      <c r="AT351">
        <f>HYPERLINK("http://www.worldcat.org/oclc/324127","WorldCat Record")</f>
        <v/>
      </c>
      <c r="AU351" t="inlineStr">
        <is>
          <t>1409545:eng</t>
        </is>
      </c>
      <c r="AV351" t="inlineStr">
        <is>
          <t>324127</t>
        </is>
      </c>
      <c r="AW351" t="inlineStr">
        <is>
          <t>991002343179702656</t>
        </is>
      </c>
      <c r="AX351" t="inlineStr">
        <is>
          <t>991002343179702656</t>
        </is>
      </c>
      <c r="AY351" t="inlineStr">
        <is>
          <t>2255055530002656</t>
        </is>
      </c>
      <c r="AZ351" t="inlineStr">
        <is>
          <t>BOOK</t>
        </is>
      </c>
      <c r="BB351" t="inlineStr">
        <is>
          <t>9780837160344</t>
        </is>
      </c>
      <c r="BC351" t="inlineStr">
        <is>
          <t>32285002462090</t>
        </is>
      </c>
      <c r="BD351" t="inlineStr">
        <is>
          <t>893898642</t>
        </is>
      </c>
    </row>
    <row r="352">
      <c r="A352" t="inlineStr">
        <is>
          <t>No</t>
        </is>
      </c>
      <c r="B352" t="inlineStr">
        <is>
          <t>DS121 .O7</t>
        </is>
      </c>
      <c r="C352" t="inlineStr">
        <is>
          <t>0                      DS 0121000O  7</t>
        </is>
      </c>
      <c r="D352" t="inlineStr">
        <is>
          <t>Ancient Israel.</t>
        </is>
      </c>
      <c r="F352" t="inlineStr">
        <is>
          <t>No</t>
        </is>
      </c>
      <c r="G352" t="inlineStr">
        <is>
          <t>1</t>
        </is>
      </c>
      <c r="H352" t="inlineStr">
        <is>
          <t>No</t>
        </is>
      </c>
      <c r="I352" t="inlineStr">
        <is>
          <t>No</t>
        </is>
      </c>
      <c r="J352" t="inlineStr">
        <is>
          <t>0</t>
        </is>
      </c>
      <c r="K352" t="inlineStr">
        <is>
          <t>Orlinsky, Harry M., 1908-1992.</t>
        </is>
      </c>
      <c r="L352" t="inlineStr">
        <is>
          <t>Ithaca, Cornell University Press [1954]</t>
        </is>
      </c>
      <c r="M352" t="inlineStr">
        <is>
          <t>1954</t>
        </is>
      </c>
      <c r="O352" t="inlineStr">
        <is>
          <t>eng</t>
        </is>
      </c>
      <c r="P352" t="inlineStr">
        <is>
          <t>nyu</t>
        </is>
      </c>
      <c r="Q352" t="inlineStr">
        <is>
          <t>The Development of Western civilization; narrative essays in the history of our tradition from its origins in ancient Israel and Greece to the present</t>
        </is>
      </c>
      <c r="R352" t="inlineStr">
        <is>
          <t xml:space="preserve">DS </t>
        </is>
      </c>
      <c r="S352" t="n">
        <v>17</v>
      </c>
      <c r="T352" t="n">
        <v>17</v>
      </c>
      <c r="U352" t="inlineStr">
        <is>
          <t>2001-03-27</t>
        </is>
      </c>
      <c r="V352" t="inlineStr">
        <is>
          <t>2001-03-27</t>
        </is>
      </c>
      <c r="W352" t="inlineStr">
        <is>
          <t>1992-08-12</t>
        </is>
      </c>
      <c r="X352" t="inlineStr">
        <is>
          <t>1992-08-12</t>
        </is>
      </c>
      <c r="Y352" t="n">
        <v>971</v>
      </c>
      <c r="Z352" t="n">
        <v>860</v>
      </c>
      <c r="AA352" t="n">
        <v>1387</v>
      </c>
      <c r="AB352" t="n">
        <v>11</v>
      </c>
      <c r="AC352" t="n">
        <v>12</v>
      </c>
      <c r="AD352" t="n">
        <v>40</v>
      </c>
      <c r="AE352" t="n">
        <v>53</v>
      </c>
      <c r="AF352" t="n">
        <v>17</v>
      </c>
      <c r="AG352" t="n">
        <v>23</v>
      </c>
      <c r="AH352" t="n">
        <v>7</v>
      </c>
      <c r="AI352" t="n">
        <v>9</v>
      </c>
      <c r="AJ352" t="n">
        <v>14</v>
      </c>
      <c r="AK352" t="n">
        <v>22</v>
      </c>
      <c r="AL352" t="n">
        <v>9</v>
      </c>
      <c r="AM352" t="n">
        <v>10</v>
      </c>
      <c r="AN352" t="n">
        <v>0</v>
      </c>
      <c r="AO352" t="n">
        <v>0</v>
      </c>
      <c r="AP352" t="inlineStr">
        <is>
          <t>No</t>
        </is>
      </c>
      <c r="AQ352" t="inlineStr">
        <is>
          <t>Yes</t>
        </is>
      </c>
      <c r="AR352">
        <f>HYPERLINK("http://catalog.hathitrust.org/Record/001243006","HathiTrust Record")</f>
        <v/>
      </c>
      <c r="AS352">
        <f>HYPERLINK("https://creighton-primo.hosted.exlibrisgroup.com/primo-explore/search?tab=default_tab&amp;search_scope=EVERYTHING&amp;vid=01CRU&amp;lang=en_US&amp;offset=0&amp;query=any,contains,991003256069702656","Catalog Record")</f>
        <v/>
      </c>
      <c r="AT352">
        <f>HYPERLINK("http://www.worldcat.org/oclc/781326","WorldCat Record")</f>
        <v/>
      </c>
      <c r="AU352" t="inlineStr">
        <is>
          <t>451000:eng</t>
        </is>
      </c>
      <c r="AV352" t="inlineStr">
        <is>
          <t>781326</t>
        </is>
      </c>
      <c r="AW352" t="inlineStr">
        <is>
          <t>991003256069702656</t>
        </is>
      </c>
      <c r="AX352" t="inlineStr">
        <is>
          <t>991003256069702656</t>
        </is>
      </c>
      <c r="AY352" t="inlineStr">
        <is>
          <t>2260927220002656</t>
        </is>
      </c>
      <c r="AZ352" t="inlineStr">
        <is>
          <t>BOOK</t>
        </is>
      </c>
      <c r="BC352" t="inlineStr">
        <is>
          <t>32285001253722</t>
        </is>
      </c>
      <c r="BD352" t="inlineStr">
        <is>
          <t>893604587</t>
        </is>
      </c>
    </row>
    <row r="353">
      <c r="A353" t="inlineStr">
        <is>
          <t>No</t>
        </is>
      </c>
      <c r="B353" t="inlineStr">
        <is>
          <t>DS121 .P39 1981</t>
        </is>
      </c>
      <c r="C353" t="inlineStr">
        <is>
          <t>0                      DS 0121000P  39          1981</t>
        </is>
      </c>
      <c r="D353" t="inlineStr">
        <is>
          <t>Kingdoms of the Lord : a history of the Hebrew kingdoms from Saul to the fall of Jerusalem / by David F. Payne.</t>
        </is>
      </c>
      <c r="F353" t="inlineStr">
        <is>
          <t>No</t>
        </is>
      </c>
      <c r="G353" t="inlineStr">
        <is>
          <t>1</t>
        </is>
      </c>
      <c r="H353" t="inlineStr">
        <is>
          <t>No</t>
        </is>
      </c>
      <c r="I353" t="inlineStr">
        <is>
          <t>No</t>
        </is>
      </c>
      <c r="J353" t="inlineStr">
        <is>
          <t>0</t>
        </is>
      </c>
      <c r="K353" t="inlineStr">
        <is>
          <t>Payne, David F. (David Frank), 1931-</t>
        </is>
      </c>
      <c r="L353" t="inlineStr">
        <is>
          <t>Grand Rapids, Mich. : W.B. Eerdmans Pub. Co., c1981.</t>
        </is>
      </c>
      <c r="M353" t="inlineStr">
        <is>
          <t>1981</t>
        </is>
      </c>
      <c r="O353" t="inlineStr">
        <is>
          <t>eng</t>
        </is>
      </c>
      <c r="P353" t="inlineStr">
        <is>
          <t>miu</t>
        </is>
      </c>
      <c r="R353" t="inlineStr">
        <is>
          <t xml:space="preserve">DS </t>
        </is>
      </c>
      <c r="S353" t="n">
        <v>4</v>
      </c>
      <c r="T353" t="n">
        <v>4</v>
      </c>
      <c r="U353" t="inlineStr">
        <is>
          <t>2009-12-07</t>
        </is>
      </c>
      <c r="V353" t="inlineStr">
        <is>
          <t>2009-12-07</t>
        </is>
      </c>
      <c r="W353" t="inlineStr">
        <is>
          <t>1990-08-16</t>
        </is>
      </c>
      <c r="X353" t="inlineStr">
        <is>
          <t>1990-08-16</t>
        </is>
      </c>
      <c r="Y353" t="n">
        <v>305</v>
      </c>
      <c r="Z353" t="n">
        <v>276</v>
      </c>
      <c r="AA353" t="n">
        <v>326</v>
      </c>
      <c r="AB353" t="n">
        <v>2</v>
      </c>
      <c r="AC353" t="n">
        <v>3</v>
      </c>
      <c r="AD353" t="n">
        <v>11</v>
      </c>
      <c r="AE353" t="n">
        <v>12</v>
      </c>
      <c r="AF353" t="n">
        <v>4</v>
      </c>
      <c r="AG353" t="n">
        <v>4</v>
      </c>
      <c r="AH353" t="n">
        <v>2</v>
      </c>
      <c r="AI353" t="n">
        <v>2</v>
      </c>
      <c r="AJ353" t="n">
        <v>6</v>
      </c>
      <c r="AK353" t="n">
        <v>6</v>
      </c>
      <c r="AL353" t="n">
        <v>1</v>
      </c>
      <c r="AM353" t="n">
        <v>2</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HYPERLINK("https://creighton-primo.hosted.exlibrisgroup.com/primo-explore/search?tab=default_tab&amp;search_scope=EVERYTHING&amp;vid=01CRU&amp;lang=en_US&amp;offset=0&amp;query=any,contains,991005117389702656","Catalog Record")</f>
        <v/>
      </c>
      <c r="AT353">
        <f>HYPERLINK("http://www.worldcat.org/oclc/7464261","WorldCat Record")</f>
        <v/>
      </c>
      <c r="AU353" t="inlineStr">
        <is>
          <t>27392872:eng</t>
        </is>
      </c>
      <c r="AV353" t="inlineStr">
        <is>
          <t>7464261</t>
        </is>
      </c>
      <c r="AW353" t="inlineStr">
        <is>
          <t>991005117389702656</t>
        </is>
      </c>
      <c r="AX353" t="inlineStr">
        <is>
          <t>991005117389702656</t>
        </is>
      </c>
      <c r="AY353" t="inlineStr">
        <is>
          <t>2262327120002656</t>
        </is>
      </c>
      <c r="AZ353" t="inlineStr">
        <is>
          <t>BOOK</t>
        </is>
      </c>
      <c r="BB353" t="inlineStr">
        <is>
          <t>9780802835598</t>
        </is>
      </c>
      <c r="BC353" t="inlineStr">
        <is>
          <t>32285000275007</t>
        </is>
      </c>
      <c r="BD353" t="inlineStr">
        <is>
          <t>893902138</t>
        </is>
      </c>
    </row>
    <row r="354">
      <c r="A354" t="inlineStr">
        <is>
          <t>No</t>
        </is>
      </c>
      <c r="B354" t="inlineStr">
        <is>
          <t>DS121 .W48 1973</t>
        </is>
      </c>
      <c r="C354" t="inlineStr">
        <is>
          <t>0                      DS 0121000W  48          1973</t>
        </is>
      </c>
      <c r="D354" t="inlineStr">
        <is>
          <t>Prolegomena to the history of ancient Israel. With a reprint of the article, Israel, from the Encyclopedia Britannica. Pref. by W. Robertson Smith.</t>
        </is>
      </c>
      <c r="F354" t="inlineStr">
        <is>
          <t>No</t>
        </is>
      </c>
      <c r="G354" t="inlineStr">
        <is>
          <t>1</t>
        </is>
      </c>
      <c r="H354" t="inlineStr">
        <is>
          <t>No</t>
        </is>
      </c>
      <c r="I354" t="inlineStr">
        <is>
          <t>No</t>
        </is>
      </c>
      <c r="J354" t="inlineStr">
        <is>
          <t>0</t>
        </is>
      </c>
      <c r="K354" t="inlineStr">
        <is>
          <t>Wellhausen, Julius, 1844-1918.</t>
        </is>
      </c>
      <c r="L354" t="inlineStr">
        <is>
          <t>Gloucester, Mass., Peter Smith, 1973.</t>
        </is>
      </c>
      <c r="M354" t="inlineStr">
        <is>
          <t>1973</t>
        </is>
      </c>
      <c r="O354" t="inlineStr">
        <is>
          <t>eng</t>
        </is>
      </c>
      <c r="P354" t="inlineStr">
        <is>
          <t xml:space="preserve">xx </t>
        </is>
      </c>
      <c r="R354" t="inlineStr">
        <is>
          <t xml:space="preserve">DS </t>
        </is>
      </c>
      <c r="S354" t="n">
        <v>11</v>
      </c>
      <c r="T354" t="n">
        <v>11</v>
      </c>
      <c r="U354" t="inlineStr">
        <is>
          <t>2010-05-13</t>
        </is>
      </c>
      <c r="V354" t="inlineStr">
        <is>
          <t>2010-05-13</t>
        </is>
      </c>
      <c r="W354" t="inlineStr">
        <is>
          <t>1992-08-12</t>
        </is>
      </c>
      <c r="X354" t="inlineStr">
        <is>
          <t>1992-08-12</t>
        </is>
      </c>
      <c r="Y354" t="n">
        <v>95</v>
      </c>
      <c r="Z354" t="n">
        <v>86</v>
      </c>
      <c r="AA354" t="n">
        <v>162</v>
      </c>
      <c r="AB354" t="n">
        <v>1</v>
      </c>
      <c r="AC354" t="n">
        <v>2</v>
      </c>
      <c r="AD354" t="n">
        <v>2</v>
      </c>
      <c r="AE354" t="n">
        <v>6</v>
      </c>
      <c r="AF354" t="n">
        <v>1</v>
      </c>
      <c r="AG354" t="n">
        <v>2</v>
      </c>
      <c r="AH354" t="n">
        <v>1</v>
      </c>
      <c r="AI354" t="n">
        <v>4</v>
      </c>
      <c r="AJ354" t="n">
        <v>1</v>
      </c>
      <c r="AK354" t="n">
        <v>2</v>
      </c>
      <c r="AL354" t="n">
        <v>0</v>
      </c>
      <c r="AM354" t="n">
        <v>1</v>
      </c>
      <c r="AN354" t="n">
        <v>0</v>
      </c>
      <c r="AO354" t="n">
        <v>0</v>
      </c>
      <c r="AP354" t="inlineStr">
        <is>
          <t>No</t>
        </is>
      </c>
      <c r="AQ354" t="inlineStr">
        <is>
          <t>No</t>
        </is>
      </c>
      <c r="AS354">
        <f>HYPERLINK("https://creighton-primo.hosted.exlibrisgroup.com/primo-explore/search?tab=default_tab&amp;search_scope=EVERYTHING&amp;vid=01CRU&amp;lang=en_US&amp;offset=0&amp;query=any,contains,991003227069702656","Catalog Record")</f>
        <v/>
      </c>
      <c r="AT354">
        <f>HYPERLINK("http://www.worldcat.org/oclc/751917","WorldCat Record")</f>
        <v/>
      </c>
      <c r="AU354" t="inlineStr">
        <is>
          <t>4820698024:eng</t>
        </is>
      </c>
      <c r="AV354" t="inlineStr">
        <is>
          <t>751917</t>
        </is>
      </c>
      <c r="AW354" t="inlineStr">
        <is>
          <t>991003227069702656</t>
        </is>
      </c>
      <c r="AX354" t="inlineStr">
        <is>
          <t>991003227069702656</t>
        </is>
      </c>
      <c r="AY354" t="inlineStr">
        <is>
          <t>2269385860002656</t>
        </is>
      </c>
      <c r="AZ354" t="inlineStr">
        <is>
          <t>BOOK</t>
        </is>
      </c>
      <c r="BC354" t="inlineStr">
        <is>
          <t>32285001253730</t>
        </is>
      </c>
      <c r="BD354" t="inlineStr">
        <is>
          <t>893904300</t>
        </is>
      </c>
    </row>
    <row r="355">
      <c r="A355" t="inlineStr">
        <is>
          <t>No</t>
        </is>
      </c>
      <c r="B355" t="inlineStr">
        <is>
          <t>DS121.3 .I75 1999</t>
        </is>
      </c>
      <c r="C355" t="inlineStr">
        <is>
          <t>0                      DS 0121300I  75          1999</t>
        </is>
      </c>
      <c r="D355" t="inlineStr">
        <is>
          <t>History and historical writing in ancient Israel : studies in biblical historiography / by Tomoo Ishida.</t>
        </is>
      </c>
      <c r="F355" t="inlineStr">
        <is>
          <t>No</t>
        </is>
      </c>
      <c r="G355" t="inlineStr">
        <is>
          <t>1</t>
        </is>
      </c>
      <c r="H355" t="inlineStr">
        <is>
          <t>No</t>
        </is>
      </c>
      <c r="I355" t="inlineStr">
        <is>
          <t>No</t>
        </is>
      </c>
      <c r="J355" t="inlineStr">
        <is>
          <t>0</t>
        </is>
      </c>
      <c r="K355" t="inlineStr">
        <is>
          <t>Ishida, Tomoo, 1931-</t>
        </is>
      </c>
      <c r="L355" t="inlineStr">
        <is>
          <t>Leiden ; Boston : Brill, 1999.</t>
        </is>
      </c>
      <c r="M355" t="inlineStr">
        <is>
          <t>1999</t>
        </is>
      </c>
      <c r="O355" t="inlineStr">
        <is>
          <t>eng</t>
        </is>
      </c>
      <c r="P355" t="inlineStr">
        <is>
          <t xml:space="preserve">ne </t>
        </is>
      </c>
      <c r="Q355" t="inlineStr">
        <is>
          <t>Studies in the history and culture of the ancient Near East, 0169-9024 ; v. 16</t>
        </is>
      </c>
      <c r="R355" t="inlineStr">
        <is>
          <t xml:space="preserve">DS </t>
        </is>
      </c>
      <c r="S355" t="n">
        <v>4</v>
      </c>
      <c r="T355" t="n">
        <v>4</v>
      </c>
      <c r="U355" t="inlineStr">
        <is>
          <t>2003-02-27</t>
        </is>
      </c>
      <c r="V355" t="inlineStr">
        <is>
          <t>2003-02-27</t>
        </is>
      </c>
      <c r="W355" t="inlineStr">
        <is>
          <t>2001-10-17</t>
        </is>
      </c>
      <c r="X355" t="inlineStr">
        <is>
          <t>2001-10-17</t>
        </is>
      </c>
      <c r="Y355" t="n">
        <v>239</v>
      </c>
      <c r="Z355" t="n">
        <v>174</v>
      </c>
      <c r="AA355" t="n">
        <v>200</v>
      </c>
      <c r="AB355" t="n">
        <v>2</v>
      </c>
      <c r="AC355" t="n">
        <v>2</v>
      </c>
      <c r="AD355" t="n">
        <v>10</v>
      </c>
      <c r="AE355" t="n">
        <v>13</v>
      </c>
      <c r="AF355" t="n">
        <v>4</v>
      </c>
      <c r="AG355" t="n">
        <v>6</v>
      </c>
      <c r="AH355" t="n">
        <v>3</v>
      </c>
      <c r="AI355" t="n">
        <v>4</v>
      </c>
      <c r="AJ355" t="n">
        <v>3</v>
      </c>
      <c r="AK355" t="n">
        <v>3</v>
      </c>
      <c r="AL355" t="n">
        <v>1</v>
      </c>
      <c r="AM355" t="n">
        <v>1</v>
      </c>
      <c r="AN355" t="n">
        <v>0</v>
      </c>
      <c r="AO355" t="n">
        <v>0</v>
      </c>
      <c r="AP355" t="inlineStr">
        <is>
          <t>No</t>
        </is>
      </c>
      <c r="AQ355" t="inlineStr">
        <is>
          <t>Yes</t>
        </is>
      </c>
      <c r="AR355">
        <f>HYPERLINK("http://catalog.hathitrust.org/Record/004071148","HathiTrust Record")</f>
        <v/>
      </c>
      <c r="AS355">
        <f>HYPERLINK("https://creighton-primo.hosted.exlibrisgroup.com/primo-explore/search?tab=default_tab&amp;search_scope=EVERYTHING&amp;vid=01CRU&amp;lang=en_US&amp;offset=0&amp;query=any,contains,991003646839702656","Catalog Record")</f>
        <v/>
      </c>
      <c r="AT355">
        <f>HYPERLINK("http://www.worldcat.org/oclc/40776744","WorldCat Record")</f>
        <v/>
      </c>
      <c r="AU355" t="inlineStr">
        <is>
          <t>891759054:eng</t>
        </is>
      </c>
      <c r="AV355" t="inlineStr">
        <is>
          <t>40776744</t>
        </is>
      </c>
      <c r="AW355" t="inlineStr">
        <is>
          <t>991003646839702656</t>
        </is>
      </c>
      <c r="AX355" t="inlineStr">
        <is>
          <t>991003646839702656</t>
        </is>
      </c>
      <c r="AY355" t="inlineStr">
        <is>
          <t>2259396620002656</t>
        </is>
      </c>
      <c r="AZ355" t="inlineStr">
        <is>
          <t>BOOK</t>
        </is>
      </c>
      <c r="BB355" t="inlineStr">
        <is>
          <t>9789004114449</t>
        </is>
      </c>
      <c r="BC355" t="inlineStr">
        <is>
          <t>32285004397815</t>
        </is>
      </c>
      <c r="BD355" t="inlineStr">
        <is>
          <t>893868668</t>
        </is>
      </c>
    </row>
    <row r="356">
      <c r="A356" t="inlineStr">
        <is>
          <t>No</t>
        </is>
      </c>
      <c r="B356" t="inlineStr">
        <is>
          <t>DS121.55 .A32 1982</t>
        </is>
      </c>
      <c r="C356" t="inlineStr">
        <is>
          <t>0                      DS 0121550A  32          1982</t>
        </is>
      </c>
      <c r="D356" t="inlineStr">
        <is>
          <t>Royal administration and national religion in ancient Palestine / by G.W. Ahlström.</t>
        </is>
      </c>
      <c r="F356" t="inlineStr">
        <is>
          <t>No</t>
        </is>
      </c>
      <c r="G356" t="inlineStr">
        <is>
          <t>1</t>
        </is>
      </c>
      <c r="H356" t="inlineStr">
        <is>
          <t>No</t>
        </is>
      </c>
      <c r="I356" t="inlineStr">
        <is>
          <t>No</t>
        </is>
      </c>
      <c r="J356" t="inlineStr">
        <is>
          <t>0</t>
        </is>
      </c>
      <c r="K356" t="inlineStr">
        <is>
          <t>Ahlström, Gösta W. (Gösta Werner), 1918-1992.</t>
        </is>
      </c>
      <c r="L356" t="inlineStr">
        <is>
          <t>Leiden : Brill, 1982.</t>
        </is>
      </c>
      <c r="M356" t="inlineStr">
        <is>
          <t>1982</t>
        </is>
      </c>
      <c r="O356" t="inlineStr">
        <is>
          <t>eng</t>
        </is>
      </c>
      <c r="P356" t="inlineStr">
        <is>
          <t xml:space="preserve">ne </t>
        </is>
      </c>
      <c r="Q356" t="inlineStr">
        <is>
          <t>Studies in the history of the ancient Near East ; v. 1</t>
        </is>
      </c>
      <c r="R356" t="inlineStr">
        <is>
          <t xml:space="preserve">DS </t>
        </is>
      </c>
      <c r="S356" t="n">
        <v>4</v>
      </c>
      <c r="T356" t="n">
        <v>4</v>
      </c>
      <c r="U356" t="inlineStr">
        <is>
          <t>1997-04-16</t>
        </is>
      </c>
      <c r="V356" t="inlineStr">
        <is>
          <t>1997-04-16</t>
        </is>
      </c>
      <c r="W356" t="inlineStr">
        <is>
          <t>1990-10-01</t>
        </is>
      </c>
      <c r="X356" t="inlineStr">
        <is>
          <t>1990-10-01</t>
        </is>
      </c>
      <c r="Y356" t="n">
        <v>319</v>
      </c>
      <c r="Z356" t="n">
        <v>218</v>
      </c>
      <c r="AA356" t="n">
        <v>251</v>
      </c>
      <c r="AB356" t="n">
        <v>2</v>
      </c>
      <c r="AC356" t="n">
        <v>2</v>
      </c>
      <c r="AD356" t="n">
        <v>13</v>
      </c>
      <c r="AE356" t="n">
        <v>14</v>
      </c>
      <c r="AF356" t="n">
        <v>7</v>
      </c>
      <c r="AG356" t="n">
        <v>7</v>
      </c>
      <c r="AH356" t="n">
        <v>1</v>
      </c>
      <c r="AI356" t="n">
        <v>2</v>
      </c>
      <c r="AJ356" t="n">
        <v>7</v>
      </c>
      <c r="AK356" t="n">
        <v>7</v>
      </c>
      <c r="AL356" t="n">
        <v>1</v>
      </c>
      <c r="AM356" t="n">
        <v>1</v>
      </c>
      <c r="AN356" t="n">
        <v>0</v>
      </c>
      <c r="AO356" t="n">
        <v>0</v>
      </c>
      <c r="AP356" t="inlineStr">
        <is>
          <t>No</t>
        </is>
      </c>
      <c r="AQ356" t="inlineStr">
        <is>
          <t>Yes</t>
        </is>
      </c>
      <c r="AR356">
        <f>HYPERLINK("http://catalog.hathitrust.org/Record/000431776","HathiTrust Record")</f>
        <v/>
      </c>
      <c r="AS356">
        <f>HYPERLINK("https://creighton-primo.hosted.exlibrisgroup.com/primo-explore/search?tab=default_tab&amp;search_scope=EVERYTHING&amp;vid=01CRU&amp;lang=en_US&amp;offset=0&amp;query=any,contains,991000155579702656","Catalog Record")</f>
        <v/>
      </c>
      <c r="AT356">
        <f>HYPERLINK("http://www.worldcat.org/oclc/9227845","WorldCat Record")</f>
        <v/>
      </c>
      <c r="AU356" t="inlineStr">
        <is>
          <t>35723341:eng</t>
        </is>
      </c>
      <c r="AV356" t="inlineStr">
        <is>
          <t>9227845</t>
        </is>
      </c>
      <c r="AW356" t="inlineStr">
        <is>
          <t>991000155579702656</t>
        </is>
      </c>
      <c r="AX356" t="inlineStr">
        <is>
          <t>991000155579702656</t>
        </is>
      </c>
      <c r="AY356" t="inlineStr">
        <is>
          <t>2264377380002656</t>
        </is>
      </c>
      <c r="AZ356" t="inlineStr">
        <is>
          <t>BOOK</t>
        </is>
      </c>
      <c r="BB356" t="inlineStr">
        <is>
          <t>9789004065628</t>
        </is>
      </c>
      <c r="BC356" t="inlineStr">
        <is>
          <t>32285000293687</t>
        </is>
      </c>
      <c r="BD356" t="inlineStr">
        <is>
          <t>893695637</t>
        </is>
      </c>
    </row>
    <row r="357">
      <c r="A357" t="inlineStr">
        <is>
          <t>No</t>
        </is>
      </c>
      <c r="B357" t="inlineStr">
        <is>
          <t>DS121.55 .H34 1983</t>
        </is>
      </c>
      <c r="C357" t="inlineStr">
        <is>
          <t>0                      DS 0121550H  34          1983</t>
        </is>
      </c>
      <c r="D357" t="inlineStr">
        <is>
          <t>The emergence of Israel in Canaan / Baruch Halpern.</t>
        </is>
      </c>
      <c r="F357" t="inlineStr">
        <is>
          <t>No</t>
        </is>
      </c>
      <c r="G357" t="inlineStr">
        <is>
          <t>1</t>
        </is>
      </c>
      <c r="H357" t="inlineStr">
        <is>
          <t>No</t>
        </is>
      </c>
      <c r="I357" t="inlineStr">
        <is>
          <t>No</t>
        </is>
      </c>
      <c r="J357" t="inlineStr">
        <is>
          <t>0</t>
        </is>
      </c>
      <c r="K357" t="inlineStr">
        <is>
          <t>Halpern, Baruch.</t>
        </is>
      </c>
      <c r="L357" t="inlineStr">
        <is>
          <t>Chico, Calif. : Scholars Press, c1983.</t>
        </is>
      </c>
      <c r="M357" t="inlineStr">
        <is>
          <t>1983</t>
        </is>
      </c>
      <c r="O357" t="inlineStr">
        <is>
          <t>eng</t>
        </is>
      </c>
      <c r="P357" t="inlineStr">
        <is>
          <t>cau</t>
        </is>
      </c>
      <c r="Q357" t="inlineStr">
        <is>
          <t>Society of Biblical Literature. Monographic series ; no. 29</t>
        </is>
      </c>
      <c r="R357" t="inlineStr">
        <is>
          <t xml:space="preserve">DS </t>
        </is>
      </c>
      <c r="S357" t="n">
        <v>7</v>
      </c>
      <c r="T357" t="n">
        <v>7</v>
      </c>
      <c r="U357" t="inlineStr">
        <is>
          <t>1999-12-01</t>
        </is>
      </c>
      <c r="V357" t="inlineStr">
        <is>
          <t>1999-12-01</t>
        </is>
      </c>
      <c r="W357" t="inlineStr">
        <is>
          <t>1990-10-01</t>
        </is>
      </c>
      <c r="X357" t="inlineStr">
        <is>
          <t>1990-10-01</t>
        </is>
      </c>
      <c r="Y357" t="n">
        <v>491</v>
      </c>
      <c r="Z357" t="n">
        <v>371</v>
      </c>
      <c r="AA357" t="n">
        <v>374</v>
      </c>
      <c r="AB357" t="n">
        <v>2</v>
      </c>
      <c r="AC357" t="n">
        <v>2</v>
      </c>
      <c r="AD357" t="n">
        <v>22</v>
      </c>
      <c r="AE357" t="n">
        <v>22</v>
      </c>
      <c r="AF357" t="n">
        <v>11</v>
      </c>
      <c r="AG357" t="n">
        <v>11</v>
      </c>
      <c r="AH357" t="n">
        <v>5</v>
      </c>
      <c r="AI357" t="n">
        <v>5</v>
      </c>
      <c r="AJ357" t="n">
        <v>12</v>
      </c>
      <c r="AK357" t="n">
        <v>12</v>
      </c>
      <c r="AL357" t="n">
        <v>1</v>
      </c>
      <c r="AM357" t="n">
        <v>1</v>
      </c>
      <c r="AN357" t="n">
        <v>0</v>
      </c>
      <c r="AO357" t="n">
        <v>0</v>
      </c>
      <c r="AP357" t="inlineStr">
        <is>
          <t>No</t>
        </is>
      </c>
      <c r="AQ357" t="inlineStr">
        <is>
          <t>Yes</t>
        </is>
      </c>
      <c r="AR357">
        <f>HYPERLINK("http://catalog.hathitrust.org/Record/000289203","HathiTrust Record")</f>
        <v/>
      </c>
      <c r="AS357">
        <f>HYPERLINK("https://creighton-primo.hosted.exlibrisgroup.com/primo-explore/search?tab=default_tab&amp;search_scope=EVERYTHING&amp;vid=01CRU&amp;lang=en_US&amp;offset=0&amp;query=any,contains,991000126459702656","Catalog Record")</f>
        <v/>
      </c>
      <c r="AT357">
        <f>HYPERLINK("http://www.worldcat.org/oclc/9083508","WorldCat Record")</f>
        <v/>
      </c>
      <c r="AU357" t="inlineStr">
        <is>
          <t>20964999:eng</t>
        </is>
      </c>
      <c r="AV357" t="inlineStr">
        <is>
          <t>9083508</t>
        </is>
      </c>
      <c r="AW357" t="inlineStr">
        <is>
          <t>991000126459702656</t>
        </is>
      </c>
      <c r="AX357" t="inlineStr">
        <is>
          <t>991000126459702656</t>
        </is>
      </c>
      <c r="AY357" t="inlineStr">
        <is>
          <t>2255028910002656</t>
        </is>
      </c>
      <c r="AZ357" t="inlineStr">
        <is>
          <t>BOOK</t>
        </is>
      </c>
      <c r="BB357" t="inlineStr">
        <is>
          <t>9780891306498</t>
        </is>
      </c>
      <c r="BC357" t="inlineStr">
        <is>
          <t>32285000293695</t>
        </is>
      </c>
      <c r="BD357" t="inlineStr">
        <is>
          <t>893425450</t>
        </is>
      </c>
    </row>
    <row r="358">
      <c r="A358" t="inlineStr">
        <is>
          <t>No</t>
        </is>
      </c>
      <c r="B358" t="inlineStr">
        <is>
          <t>DS121.55 .M35 1998</t>
        </is>
      </c>
      <c r="C358" t="inlineStr">
        <is>
          <t>0                      DS 0121550M  35          1998</t>
        </is>
      </c>
      <c r="D358" t="inlineStr">
        <is>
          <t>What are they saying about the formation of Israel? / John J. McDermott.</t>
        </is>
      </c>
      <c r="F358" t="inlineStr">
        <is>
          <t>No</t>
        </is>
      </c>
      <c r="G358" t="inlineStr">
        <is>
          <t>1</t>
        </is>
      </c>
      <c r="H358" t="inlineStr">
        <is>
          <t>No</t>
        </is>
      </c>
      <c r="I358" t="inlineStr">
        <is>
          <t>No</t>
        </is>
      </c>
      <c r="J358" t="inlineStr">
        <is>
          <t>0</t>
        </is>
      </c>
      <c r="K358" t="inlineStr">
        <is>
          <t>McDermott, John J., 1960-</t>
        </is>
      </c>
      <c r="L358" t="inlineStr">
        <is>
          <t>New York : Paulist Press, c1998.</t>
        </is>
      </c>
      <c r="M358" t="inlineStr">
        <is>
          <t>1998</t>
        </is>
      </c>
      <c r="O358" t="inlineStr">
        <is>
          <t>eng</t>
        </is>
      </c>
      <c r="P358" t="inlineStr">
        <is>
          <t>nju</t>
        </is>
      </c>
      <c r="R358" t="inlineStr">
        <is>
          <t xml:space="preserve">DS </t>
        </is>
      </c>
      <c r="S358" t="n">
        <v>5</v>
      </c>
      <c r="T358" t="n">
        <v>5</v>
      </c>
      <c r="U358" t="inlineStr">
        <is>
          <t>2007-03-01</t>
        </is>
      </c>
      <c r="V358" t="inlineStr">
        <is>
          <t>2007-03-01</t>
        </is>
      </c>
      <c r="W358" t="inlineStr">
        <is>
          <t>1999-03-29</t>
        </is>
      </c>
      <c r="X358" t="inlineStr">
        <is>
          <t>1999-03-29</t>
        </is>
      </c>
      <c r="Y358" t="n">
        <v>344</v>
      </c>
      <c r="Z358" t="n">
        <v>295</v>
      </c>
      <c r="AA358" t="n">
        <v>297</v>
      </c>
      <c r="AB358" t="n">
        <v>4</v>
      </c>
      <c r="AC358" t="n">
        <v>4</v>
      </c>
      <c r="AD358" t="n">
        <v>27</v>
      </c>
      <c r="AE358" t="n">
        <v>27</v>
      </c>
      <c r="AF358" t="n">
        <v>12</v>
      </c>
      <c r="AG358" t="n">
        <v>12</v>
      </c>
      <c r="AH358" t="n">
        <v>6</v>
      </c>
      <c r="AI358" t="n">
        <v>6</v>
      </c>
      <c r="AJ358" t="n">
        <v>13</v>
      </c>
      <c r="AK358" t="n">
        <v>13</v>
      </c>
      <c r="AL358" t="n">
        <v>3</v>
      </c>
      <c r="AM358" t="n">
        <v>3</v>
      </c>
      <c r="AN358" t="n">
        <v>0</v>
      </c>
      <c r="AO358" t="n">
        <v>0</v>
      </c>
      <c r="AP358" t="inlineStr">
        <is>
          <t>No</t>
        </is>
      </c>
      <c r="AQ358" t="inlineStr">
        <is>
          <t>Yes</t>
        </is>
      </c>
      <c r="AR358">
        <f>HYPERLINK("http://catalog.hathitrust.org/Record/004030563","HathiTrust Record")</f>
        <v/>
      </c>
      <c r="AS358">
        <f>HYPERLINK("https://creighton-primo.hosted.exlibrisgroup.com/primo-explore/search?tab=default_tab&amp;search_scope=EVERYTHING&amp;vid=01CRU&amp;lang=en_US&amp;offset=0&amp;query=any,contains,991002978459702656","Catalog Record")</f>
        <v/>
      </c>
      <c r="AT358">
        <f>HYPERLINK("http://www.worldcat.org/oclc/39981535","WorldCat Record")</f>
        <v/>
      </c>
      <c r="AU358" t="inlineStr">
        <is>
          <t>42318714:eng</t>
        </is>
      </c>
      <c r="AV358" t="inlineStr">
        <is>
          <t>39981535</t>
        </is>
      </c>
      <c r="AW358" t="inlineStr">
        <is>
          <t>991002978459702656</t>
        </is>
      </c>
      <c r="AX358" t="inlineStr">
        <is>
          <t>991002978459702656</t>
        </is>
      </c>
      <c r="AY358" t="inlineStr">
        <is>
          <t>2258382390002656</t>
        </is>
      </c>
      <c r="AZ358" t="inlineStr">
        <is>
          <t>BOOK</t>
        </is>
      </c>
      <c r="BB358" t="inlineStr">
        <is>
          <t>9780809138388</t>
        </is>
      </c>
      <c r="BC358" t="inlineStr">
        <is>
          <t>32285003546909</t>
        </is>
      </c>
      <c r="BD358" t="inlineStr">
        <is>
          <t>893710923</t>
        </is>
      </c>
    </row>
    <row r="359">
      <c r="A359" t="inlineStr">
        <is>
          <t>No</t>
        </is>
      </c>
      <c r="B359" t="inlineStr">
        <is>
          <t>DS121.55 .S97</t>
        </is>
      </c>
      <c r="C359" t="inlineStr">
        <is>
          <t>0                      DS 0121550S  97</t>
        </is>
      </c>
      <c r="D359" t="inlineStr">
        <is>
          <t>Symposia celebrating the seventy-fifth anniversary of the founding of the American Schools of Oriental Research (1900-1975) / edited by Frank Moore Cross ; [cover design by Madeleine Churchill].</t>
        </is>
      </c>
      <c r="F359" t="inlineStr">
        <is>
          <t>No</t>
        </is>
      </c>
      <c r="G359" t="inlineStr">
        <is>
          <t>1</t>
        </is>
      </c>
      <c r="H359" t="inlineStr">
        <is>
          <t>No</t>
        </is>
      </c>
      <c r="I359" t="inlineStr">
        <is>
          <t>No</t>
        </is>
      </c>
      <c r="J359" t="inlineStr">
        <is>
          <t>0</t>
        </is>
      </c>
      <c r="L359" t="inlineStr">
        <is>
          <t>Cambridge, MA : American Schools of Oriental Research, c1979.</t>
        </is>
      </c>
      <c r="M359" t="inlineStr">
        <is>
          <t>1979</t>
        </is>
      </c>
      <c r="O359" t="inlineStr">
        <is>
          <t>eng</t>
        </is>
      </c>
      <c r="P359" t="inlineStr">
        <is>
          <t>mau</t>
        </is>
      </c>
      <c r="Q359" t="inlineStr">
        <is>
          <t>Occasional publications - Zion Research Foundation ; v. 1-2</t>
        </is>
      </c>
      <c r="R359" t="inlineStr">
        <is>
          <t xml:space="preserve">DS </t>
        </is>
      </c>
      <c r="S359" t="n">
        <v>2</v>
      </c>
      <c r="T359" t="n">
        <v>2</v>
      </c>
      <c r="U359" t="inlineStr">
        <is>
          <t>1992-11-18</t>
        </is>
      </c>
      <c r="V359" t="inlineStr">
        <is>
          <t>1992-11-18</t>
        </is>
      </c>
      <c r="W359" t="inlineStr">
        <is>
          <t>1990-10-01</t>
        </is>
      </c>
      <c r="X359" t="inlineStr">
        <is>
          <t>1990-10-01</t>
        </is>
      </c>
      <c r="Y359" t="n">
        <v>250</v>
      </c>
      <c r="Z359" t="n">
        <v>182</v>
      </c>
      <c r="AA359" t="n">
        <v>193</v>
      </c>
      <c r="AB359" t="n">
        <v>1</v>
      </c>
      <c r="AC359" t="n">
        <v>2</v>
      </c>
      <c r="AD359" t="n">
        <v>6</v>
      </c>
      <c r="AE359" t="n">
        <v>8</v>
      </c>
      <c r="AF359" t="n">
        <v>3</v>
      </c>
      <c r="AG359" t="n">
        <v>3</v>
      </c>
      <c r="AH359" t="n">
        <v>0</v>
      </c>
      <c r="AI359" t="n">
        <v>1</v>
      </c>
      <c r="AJ359" t="n">
        <v>5</v>
      </c>
      <c r="AK359" t="n">
        <v>5</v>
      </c>
      <c r="AL359" t="n">
        <v>0</v>
      </c>
      <c r="AM359" t="n">
        <v>1</v>
      </c>
      <c r="AN359" t="n">
        <v>0</v>
      </c>
      <c r="AO359" t="n">
        <v>0</v>
      </c>
      <c r="AP359" t="inlineStr">
        <is>
          <t>Yes</t>
        </is>
      </c>
      <c r="AQ359" t="inlineStr">
        <is>
          <t>No</t>
        </is>
      </c>
      <c r="AR359">
        <f>HYPERLINK("http://catalog.hathitrust.org/Record/000031769","HathiTrust Record")</f>
        <v/>
      </c>
      <c r="AS359">
        <f>HYPERLINK("https://creighton-primo.hosted.exlibrisgroup.com/primo-explore/search?tab=default_tab&amp;search_scope=EVERYTHING&amp;vid=01CRU&amp;lang=en_US&amp;offset=0&amp;query=any,contains,991004713989702656","Catalog Record")</f>
        <v/>
      </c>
      <c r="AT359">
        <f>HYPERLINK("http://www.worldcat.org/oclc/4775395","WorldCat Record")</f>
        <v/>
      </c>
      <c r="AU359" t="inlineStr">
        <is>
          <t>354841474:eng</t>
        </is>
      </c>
      <c r="AV359" t="inlineStr">
        <is>
          <t>4775395</t>
        </is>
      </c>
      <c r="AW359" t="inlineStr">
        <is>
          <t>991004713989702656</t>
        </is>
      </c>
      <c r="AX359" t="inlineStr">
        <is>
          <t>991004713989702656</t>
        </is>
      </c>
      <c r="AY359" t="inlineStr">
        <is>
          <t>2255340760002656</t>
        </is>
      </c>
      <c r="AZ359" t="inlineStr">
        <is>
          <t>BOOK</t>
        </is>
      </c>
      <c r="BB359" t="inlineStr">
        <is>
          <t>9780897575034</t>
        </is>
      </c>
      <c r="BC359" t="inlineStr">
        <is>
          <t>32285000293703</t>
        </is>
      </c>
      <c r="BD359" t="inlineStr">
        <is>
          <t>893618989</t>
        </is>
      </c>
    </row>
    <row r="360">
      <c r="A360" t="inlineStr">
        <is>
          <t>No</t>
        </is>
      </c>
      <c r="B360" t="inlineStr">
        <is>
          <t>DS121.6 .B43 1992</t>
        </is>
      </c>
      <c r="C360" t="inlineStr">
        <is>
          <t>0                      DS 0121600B  43          1992</t>
        </is>
      </c>
      <c r="D360" t="inlineStr">
        <is>
          <t>The fall of Samaria : an historical and archaeological study / by Bob Becking.</t>
        </is>
      </c>
      <c r="F360" t="inlineStr">
        <is>
          <t>No</t>
        </is>
      </c>
      <c r="G360" t="inlineStr">
        <is>
          <t>1</t>
        </is>
      </c>
      <c r="H360" t="inlineStr">
        <is>
          <t>No</t>
        </is>
      </c>
      <c r="I360" t="inlineStr">
        <is>
          <t>No</t>
        </is>
      </c>
      <c r="J360" t="inlineStr">
        <is>
          <t>0</t>
        </is>
      </c>
      <c r="K360" t="inlineStr">
        <is>
          <t>Becking, Bob.</t>
        </is>
      </c>
      <c r="L360" t="inlineStr">
        <is>
          <t>Leiden ; New York : E.J. Brill, 1992.</t>
        </is>
      </c>
      <c r="M360" t="inlineStr">
        <is>
          <t>1992</t>
        </is>
      </c>
      <c r="O360" t="inlineStr">
        <is>
          <t>eng</t>
        </is>
      </c>
      <c r="P360" t="inlineStr">
        <is>
          <t xml:space="preserve">ne </t>
        </is>
      </c>
      <c r="Q360" t="inlineStr">
        <is>
          <t>Studies in the history of the ancient Near East, 0169-9024 ; v. 2</t>
        </is>
      </c>
      <c r="R360" t="inlineStr">
        <is>
          <t xml:space="preserve">DS </t>
        </is>
      </c>
      <c r="S360" t="n">
        <v>11</v>
      </c>
      <c r="T360" t="n">
        <v>11</v>
      </c>
      <c r="U360" t="inlineStr">
        <is>
          <t>2009-09-13</t>
        </is>
      </c>
      <c r="V360" t="inlineStr">
        <is>
          <t>2009-09-13</t>
        </is>
      </c>
      <c r="W360" t="inlineStr">
        <is>
          <t>1993-03-17</t>
        </is>
      </c>
      <c r="X360" t="inlineStr">
        <is>
          <t>1993-03-17</t>
        </is>
      </c>
      <c r="Y360" t="n">
        <v>265</v>
      </c>
      <c r="Z360" t="n">
        <v>194</v>
      </c>
      <c r="AA360" t="n">
        <v>219</v>
      </c>
      <c r="AB360" t="n">
        <v>2</v>
      </c>
      <c r="AC360" t="n">
        <v>2</v>
      </c>
      <c r="AD360" t="n">
        <v>9</v>
      </c>
      <c r="AE360" t="n">
        <v>11</v>
      </c>
      <c r="AF360" t="n">
        <v>4</v>
      </c>
      <c r="AG360" t="n">
        <v>6</v>
      </c>
      <c r="AH360" t="n">
        <v>2</v>
      </c>
      <c r="AI360" t="n">
        <v>2</v>
      </c>
      <c r="AJ360" t="n">
        <v>3</v>
      </c>
      <c r="AK360" t="n">
        <v>3</v>
      </c>
      <c r="AL360" t="n">
        <v>1</v>
      </c>
      <c r="AM360" t="n">
        <v>1</v>
      </c>
      <c r="AN360" t="n">
        <v>0</v>
      </c>
      <c r="AO360" t="n">
        <v>0</v>
      </c>
      <c r="AP360" t="inlineStr">
        <is>
          <t>No</t>
        </is>
      </c>
      <c r="AQ360" t="inlineStr">
        <is>
          <t>Yes</t>
        </is>
      </c>
      <c r="AR360">
        <f>HYPERLINK("http://catalog.hathitrust.org/Record/002604304","HathiTrust Record")</f>
        <v/>
      </c>
      <c r="AS360">
        <f>HYPERLINK("https://creighton-primo.hosted.exlibrisgroup.com/primo-explore/search?tab=default_tab&amp;search_scope=EVERYTHING&amp;vid=01CRU&amp;lang=en_US&amp;offset=0&amp;query=any,contains,991002025649702656","Catalog Record")</f>
        <v/>
      </c>
      <c r="AT360">
        <f>HYPERLINK("http://www.worldcat.org/oclc/25787001","WorldCat Record")</f>
        <v/>
      </c>
      <c r="AU360" t="inlineStr">
        <is>
          <t>806762844:eng</t>
        </is>
      </c>
      <c r="AV360" t="inlineStr">
        <is>
          <t>25787001</t>
        </is>
      </c>
      <c r="AW360" t="inlineStr">
        <is>
          <t>991002025649702656</t>
        </is>
      </c>
      <c r="AX360" t="inlineStr">
        <is>
          <t>991002025649702656</t>
        </is>
      </c>
      <c r="AY360" t="inlineStr">
        <is>
          <t>2256013680002656</t>
        </is>
      </c>
      <c r="AZ360" t="inlineStr">
        <is>
          <t>BOOK</t>
        </is>
      </c>
      <c r="BB360" t="inlineStr">
        <is>
          <t>9789004096332</t>
        </is>
      </c>
      <c r="BC360" t="inlineStr">
        <is>
          <t>32285001497956</t>
        </is>
      </c>
      <c r="BD360" t="inlineStr">
        <is>
          <t>893232470</t>
        </is>
      </c>
    </row>
    <row r="361">
      <c r="A361" t="inlineStr">
        <is>
          <t>No</t>
        </is>
      </c>
      <c r="B361" t="inlineStr">
        <is>
          <t>DS121.65 .B5</t>
        </is>
      </c>
      <c r="C361" t="inlineStr">
        <is>
          <t>0                      DS 0121650B  5</t>
        </is>
      </c>
      <c r="D361" t="inlineStr">
        <is>
          <t>From Ezra to the last of the Maccabees; foundations of post-Biblical Judaism.</t>
        </is>
      </c>
      <c r="F361" t="inlineStr">
        <is>
          <t>No</t>
        </is>
      </c>
      <c r="G361" t="inlineStr">
        <is>
          <t>1</t>
        </is>
      </c>
      <c r="H361" t="inlineStr">
        <is>
          <t>No</t>
        </is>
      </c>
      <c r="I361" t="inlineStr">
        <is>
          <t>No</t>
        </is>
      </c>
      <c r="J361" t="inlineStr">
        <is>
          <t>0</t>
        </is>
      </c>
      <c r="K361" t="inlineStr">
        <is>
          <t>Bickerman, E. J. (Elias Joseph), 1897-1981.</t>
        </is>
      </c>
      <c r="L361" t="inlineStr">
        <is>
          <t>New York, Schocken Books [1962]</t>
        </is>
      </c>
      <c r="M361" t="inlineStr">
        <is>
          <t>1962</t>
        </is>
      </c>
      <c r="O361" t="inlineStr">
        <is>
          <t>eng</t>
        </is>
      </c>
      <c r="P361" t="inlineStr">
        <is>
          <t>nyu</t>
        </is>
      </c>
      <c r="Q361" t="inlineStr">
        <is>
          <t>Schocken paperbacks ; SB 36</t>
        </is>
      </c>
      <c r="R361" t="inlineStr">
        <is>
          <t xml:space="preserve">DS </t>
        </is>
      </c>
      <c r="S361" t="n">
        <v>2</v>
      </c>
      <c r="T361" t="n">
        <v>2</v>
      </c>
      <c r="U361" t="inlineStr">
        <is>
          <t>1998-12-07</t>
        </is>
      </c>
      <c r="V361" t="inlineStr">
        <is>
          <t>1998-12-07</t>
        </is>
      </c>
      <c r="W361" t="inlineStr">
        <is>
          <t>1992-05-04</t>
        </is>
      </c>
      <c r="X361" t="inlineStr">
        <is>
          <t>1992-05-04</t>
        </is>
      </c>
      <c r="Y361" t="n">
        <v>778</v>
      </c>
      <c r="Z361" t="n">
        <v>669</v>
      </c>
      <c r="AA361" t="n">
        <v>706</v>
      </c>
      <c r="AB361" t="n">
        <v>5</v>
      </c>
      <c r="AC361" t="n">
        <v>5</v>
      </c>
      <c r="AD361" t="n">
        <v>38</v>
      </c>
      <c r="AE361" t="n">
        <v>39</v>
      </c>
      <c r="AF361" t="n">
        <v>15</v>
      </c>
      <c r="AG361" t="n">
        <v>16</v>
      </c>
      <c r="AH361" t="n">
        <v>9</v>
      </c>
      <c r="AI361" t="n">
        <v>9</v>
      </c>
      <c r="AJ361" t="n">
        <v>20</v>
      </c>
      <c r="AK361" t="n">
        <v>21</v>
      </c>
      <c r="AL361" t="n">
        <v>3</v>
      </c>
      <c r="AM361" t="n">
        <v>3</v>
      </c>
      <c r="AN361" t="n">
        <v>0</v>
      </c>
      <c r="AO361" t="n">
        <v>0</v>
      </c>
      <c r="AP361" t="inlineStr">
        <is>
          <t>No</t>
        </is>
      </c>
      <c r="AQ361" t="inlineStr">
        <is>
          <t>No</t>
        </is>
      </c>
      <c r="AR361">
        <f>HYPERLINK("http://catalog.hathitrust.org/Record/001243024","HathiTrust Record")</f>
        <v/>
      </c>
      <c r="AS361">
        <f>HYPERLINK("https://creighton-primo.hosted.exlibrisgroup.com/primo-explore/search?tab=default_tab&amp;search_scope=EVERYTHING&amp;vid=01CRU&amp;lang=en_US&amp;offset=0&amp;query=any,contains,991002429359702656","Catalog Record")</f>
        <v/>
      </c>
      <c r="AT361">
        <f>HYPERLINK("http://www.worldcat.org/oclc/346289","WorldCat Record")</f>
        <v/>
      </c>
      <c r="AU361" t="inlineStr">
        <is>
          <t>197350501:eng</t>
        </is>
      </c>
      <c r="AV361" t="inlineStr">
        <is>
          <t>346289</t>
        </is>
      </c>
      <c r="AW361" t="inlineStr">
        <is>
          <t>991002429359702656</t>
        </is>
      </c>
      <c r="AX361" t="inlineStr">
        <is>
          <t>991002429359702656</t>
        </is>
      </c>
      <c r="AY361" t="inlineStr">
        <is>
          <t>2272047300002656</t>
        </is>
      </c>
      <c r="AZ361" t="inlineStr">
        <is>
          <t>BOOK</t>
        </is>
      </c>
      <c r="BB361" t="inlineStr">
        <is>
          <t>9780805200362</t>
        </is>
      </c>
      <c r="BC361" t="inlineStr">
        <is>
          <t>32285001104511</t>
        </is>
      </c>
      <c r="BD361" t="inlineStr">
        <is>
          <t>893523596</t>
        </is>
      </c>
    </row>
    <row r="362">
      <c r="A362" t="inlineStr">
        <is>
          <t>No</t>
        </is>
      </c>
      <c r="B362" t="inlineStr">
        <is>
          <t>DS121.65 .E38 1979</t>
        </is>
      </c>
      <c r="C362" t="inlineStr">
        <is>
          <t>0                      DS 0121650E  38          1979</t>
        </is>
      </c>
      <c r="D362" t="inlineStr">
        <is>
          <t>From Babylon to Bethlehem : the people of God from the exile to the Messiah / H. L. Ellison.</t>
        </is>
      </c>
      <c r="F362" t="inlineStr">
        <is>
          <t>No</t>
        </is>
      </c>
      <c r="G362" t="inlineStr">
        <is>
          <t>1</t>
        </is>
      </c>
      <c r="H362" t="inlineStr">
        <is>
          <t>No</t>
        </is>
      </c>
      <c r="I362" t="inlineStr">
        <is>
          <t>No</t>
        </is>
      </c>
      <c r="J362" t="inlineStr">
        <is>
          <t>0</t>
        </is>
      </c>
      <c r="K362" t="inlineStr">
        <is>
          <t>Ellison, H. L. (Henry Leopold), 1903-</t>
        </is>
      </c>
      <c r="L362" t="inlineStr">
        <is>
          <t>Atlanta : John Knox Press, 1979, c1976.</t>
        </is>
      </c>
      <c r="M362" t="inlineStr">
        <is>
          <t>1979</t>
        </is>
      </c>
      <c r="O362" t="inlineStr">
        <is>
          <t>eng</t>
        </is>
      </c>
      <c r="P362" t="inlineStr">
        <is>
          <t>gau</t>
        </is>
      </c>
      <c r="R362" t="inlineStr">
        <is>
          <t xml:space="preserve">DS </t>
        </is>
      </c>
      <c r="S362" t="n">
        <v>1</v>
      </c>
      <c r="T362" t="n">
        <v>1</v>
      </c>
      <c r="U362" t="inlineStr">
        <is>
          <t>2010-02-21</t>
        </is>
      </c>
      <c r="V362" t="inlineStr">
        <is>
          <t>2010-02-21</t>
        </is>
      </c>
      <c r="W362" t="inlineStr">
        <is>
          <t>1990-05-01</t>
        </is>
      </c>
      <c r="X362" t="inlineStr">
        <is>
          <t>1990-05-01</t>
        </is>
      </c>
      <c r="Y362" t="n">
        <v>165</v>
      </c>
      <c r="Z362" t="n">
        <v>159</v>
      </c>
      <c r="AA362" t="n">
        <v>239</v>
      </c>
      <c r="AB362" t="n">
        <v>2</v>
      </c>
      <c r="AC362" t="n">
        <v>2</v>
      </c>
      <c r="AD362" t="n">
        <v>10</v>
      </c>
      <c r="AE362" t="n">
        <v>12</v>
      </c>
      <c r="AF362" t="n">
        <v>3</v>
      </c>
      <c r="AG362" t="n">
        <v>3</v>
      </c>
      <c r="AH362" t="n">
        <v>4</v>
      </c>
      <c r="AI362" t="n">
        <v>5</v>
      </c>
      <c r="AJ362" t="n">
        <v>4</v>
      </c>
      <c r="AK362" t="n">
        <v>5</v>
      </c>
      <c r="AL362" t="n">
        <v>1</v>
      </c>
      <c r="AM362" t="n">
        <v>1</v>
      </c>
      <c r="AN362" t="n">
        <v>0</v>
      </c>
      <c r="AO362" t="n">
        <v>0</v>
      </c>
      <c r="AP362" t="inlineStr">
        <is>
          <t>No</t>
        </is>
      </c>
      <c r="AQ362" t="inlineStr">
        <is>
          <t>No</t>
        </is>
      </c>
      <c r="AS362">
        <f>HYPERLINK("https://creighton-primo.hosted.exlibrisgroup.com/primo-explore/search?tab=default_tab&amp;search_scope=EVERYTHING&amp;vid=01CRU&amp;lang=en_US&amp;offset=0&amp;query=any,contains,991004665019702656","Catalog Record")</f>
        <v/>
      </c>
      <c r="AT362">
        <f>HYPERLINK("http://www.worldcat.org/oclc/4503179","WorldCat Record")</f>
        <v/>
      </c>
      <c r="AU362" t="inlineStr">
        <is>
          <t>1027182965:eng</t>
        </is>
      </c>
      <c r="AV362" t="inlineStr">
        <is>
          <t>4503179</t>
        </is>
      </c>
      <c r="AW362" t="inlineStr">
        <is>
          <t>991004665019702656</t>
        </is>
      </c>
      <c r="AX362" t="inlineStr">
        <is>
          <t>991004665019702656</t>
        </is>
      </c>
      <c r="AY362" t="inlineStr">
        <is>
          <t>2265174260002656</t>
        </is>
      </c>
      <c r="AZ362" t="inlineStr">
        <is>
          <t>BOOK</t>
        </is>
      </c>
      <c r="BB362" t="inlineStr">
        <is>
          <t>9780804200349</t>
        </is>
      </c>
      <c r="BC362" t="inlineStr">
        <is>
          <t>32285000145887</t>
        </is>
      </c>
      <c r="BD362" t="inlineStr">
        <is>
          <t>893331880</t>
        </is>
      </c>
    </row>
    <row r="363">
      <c r="A363" t="inlineStr">
        <is>
          <t>No</t>
        </is>
      </c>
      <c r="B363" t="inlineStr">
        <is>
          <t>DS121.65 .M3</t>
        </is>
      </c>
      <c r="C363" t="inlineStr">
        <is>
          <t>0                      DS 0121650M  3</t>
        </is>
      </c>
      <c r="D363" t="inlineStr">
        <is>
          <t>The history and literature of the Palestinian Jews from Cyrus to Herod, 550 B.C. to 4 B.C. / W. Stewart McCullough.</t>
        </is>
      </c>
      <c r="F363" t="inlineStr">
        <is>
          <t>No</t>
        </is>
      </c>
      <c r="G363" t="inlineStr">
        <is>
          <t>1</t>
        </is>
      </c>
      <c r="H363" t="inlineStr">
        <is>
          <t>No</t>
        </is>
      </c>
      <c r="I363" t="inlineStr">
        <is>
          <t>No</t>
        </is>
      </c>
      <c r="J363" t="inlineStr">
        <is>
          <t>0</t>
        </is>
      </c>
      <c r="K363" t="inlineStr">
        <is>
          <t>McCullough, W. Stewart (William Stewart), 1902-1982.</t>
        </is>
      </c>
      <c r="L363" t="inlineStr">
        <is>
          <t>Toronto ; Buffalo : University of Toronto Press, [1975]</t>
        </is>
      </c>
      <c r="M363" t="inlineStr">
        <is>
          <t>1975</t>
        </is>
      </c>
      <c r="O363" t="inlineStr">
        <is>
          <t>eng</t>
        </is>
      </c>
      <c r="P363" t="inlineStr">
        <is>
          <t>onc</t>
        </is>
      </c>
      <c r="R363" t="inlineStr">
        <is>
          <t xml:space="preserve">DS </t>
        </is>
      </c>
      <c r="S363" t="n">
        <v>2</v>
      </c>
      <c r="T363" t="n">
        <v>2</v>
      </c>
      <c r="U363" t="inlineStr">
        <is>
          <t>2007-04-15</t>
        </is>
      </c>
      <c r="V363" t="inlineStr">
        <is>
          <t>2007-04-15</t>
        </is>
      </c>
      <c r="W363" t="inlineStr">
        <is>
          <t>1992-05-04</t>
        </is>
      </c>
      <c r="X363" t="inlineStr">
        <is>
          <t>1992-05-04</t>
        </is>
      </c>
      <c r="Y363" t="n">
        <v>636</v>
      </c>
      <c r="Z363" t="n">
        <v>518</v>
      </c>
      <c r="AA363" t="n">
        <v>521</v>
      </c>
      <c r="AB363" t="n">
        <v>3</v>
      </c>
      <c r="AC363" t="n">
        <v>3</v>
      </c>
      <c r="AD363" t="n">
        <v>25</v>
      </c>
      <c r="AE363" t="n">
        <v>25</v>
      </c>
      <c r="AF363" t="n">
        <v>8</v>
      </c>
      <c r="AG363" t="n">
        <v>8</v>
      </c>
      <c r="AH363" t="n">
        <v>7</v>
      </c>
      <c r="AI363" t="n">
        <v>7</v>
      </c>
      <c r="AJ363" t="n">
        <v>13</v>
      </c>
      <c r="AK363" t="n">
        <v>13</v>
      </c>
      <c r="AL363" t="n">
        <v>2</v>
      </c>
      <c r="AM363" t="n">
        <v>2</v>
      </c>
      <c r="AN363" t="n">
        <v>0</v>
      </c>
      <c r="AO363" t="n">
        <v>0</v>
      </c>
      <c r="AP363" t="inlineStr">
        <is>
          <t>No</t>
        </is>
      </c>
      <c r="AQ363" t="inlineStr">
        <is>
          <t>Yes</t>
        </is>
      </c>
      <c r="AR363">
        <f>HYPERLINK("http://catalog.hathitrust.org/Record/000023049","HathiTrust Record")</f>
        <v/>
      </c>
      <c r="AS363">
        <f>HYPERLINK("https://creighton-primo.hosted.exlibrisgroup.com/primo-explore/search?tab=default_tab&amp;search_scope=EVERYTHING&amp;vid=01CRU&amp;lang=en_US&amp;offset=0&amp;query=any,contains,991003746299702656","Catalog Record")</f>
        <v/>
      </c>
      <c r="AT363">
        <f>HYPERLINK("http://www.worldcat.org/oclc/1418537","WorldCat Record")</f>
        <v/>
      </c>
      <c r="AU363" t="inlineStr">
        <is>
          <t>5608899696:eng</t>
        </is>
      </c>
      <c r="AV363" t="inlineStr">
        <is>
          <t>1418537</t>
        </is>
      </c>
      <c r="AW363" t="inlineStr">
        <is>
          <t>991003746299702656</t>
        </is>
      </c>
      <c r="AX363" t="inlineStr">
        <is>
          <t>991003746299702656</t>
        </is>
      </c>
      <c r="AY363" t="inlineStr">
        <is>
          <t>2261212940002656</t>
        </is>
      </c>
      <c r="AZ363" t="inlineStr">
        <is>
          <t>BOOK</t>
        </is>
      </c>
      <c r="BB363" t="inlineStr">
        <is>
          <t>9780802053176</t>
        </is>
      </c>
      <c r="BC363" t="inlineStr">
        <is>
          <t>32285001104529</t>
        </is>
      </c>
      <c r="BD363" t="inlineStr">
        <is>
          <t>893445825</t>
        </is>
      </c>
    </row>
    <row r="364">
      <c r="A364" t="inlineStr">
        <is>
          <t>No</t>
        </is>
      </c>
      <c r="B364" t="inlineStr">
        <is>
          <t>DS121.65 .W45 1992</t>
        </is>
      </c>
      <c r="C364" t="inlineStr">
        <is>
          <t>0                      DS 0121650W  45          1992</t>
        </is>
      </c>
      <c r="D364" t="inlineStr">
        <is>
          <t>The citizen-temple community / Joel Weinberg ; translated by Daniel L. Smith-Christopher.</t>
        </is>
      </c>
      <c r="F364" t="inlineStr">
        <is>
          <t>No</t>
        </is>
      </c>
      <c r="G364" t="inlineStr">
        <is>
          <t>1</t>
        </is>
      </c>
      <c r="H364" t="inlineStr">
        <is>
          <t>No</t>
        </is>
      </c>
      <c r="I364" t="inlineStr">
        <is>
          <t>No</t>
        </is>
      </c>
      <c r="J364" t="inlineStr">
        <is>
          <t>0</t>
        </is>
      </c>
      <c r="K364" t="inlineStr">
        <is>
          <t>Weinberg, Joel (Joel P.)</t>
        </is>
      </c>
      <c r="L364" t="inlineStr">
        <is>
          <t>Sheffield, England : JSOT Press, c1992.</t>
        </is>
      </c>
      <c r="M364" t="inlineStr">
        <is>
          <t>1992</t>
        </is>
      </c>
      <c r="O364" t="inlineStr">
        <is>
          <t>eng</t>
        </is>
      </c>
      <c r="P364" t="inlineStr">
        <is>
          <t>enk</t>
        </is>
      </c>
      <c r="Q364" t="inlineStr">
        <is>
          <t>Journal for the study of the Old Testament. Supplement series ; 151</t>
        </is>
      </c>
      <c r="R364" t="inlineStr">
        <is>
          <t xml:space="preserve">DS </t>
        </is>
      </c>
      <c r="S364" t="n">
        <v>1</v>
      </c>
      <c r="T364" t="n">
        <v>1</v>
      </c>
      <c r="U364" t="inlineStr">
        <is>
          <t>2003-12-06</t>
        </is>
      </c>
      <c r="V364" t="inlineStr">
        <is>
          <t>2003-12-06</t>
        </is>
      </c>
      <c r="W364" t="inlineStr">
        <is>
          <t>1996-01-08</t>
        </is>
      </c>
      <c r="X364" t="inlineStr">
        <is>
          <t>1996-01-08</t>
        </is>
      </c>
      <c r="Y364" t="n">
        <v>259</v>
      </c>
      <c r="Z364" t="n">
        <v>174</v>
      </c>
      <c r="AA364" t="n">
        <v>176</v>
      </c>
      <c r="AB364" t="n">
        <v>1</v>
      </c>
      <c r="AC364" t="n">
        <v>1</v>
      </c>
      <c r="AD364" t="n">
        <v>11</v>
      </c>
      <c r="AE364" t="n">
        <v>11</v>
      </c>
      <c r="AF364" t="n">
        <v>3</v>
      </c>
      <c r="AG364" t="n">
        <v>3</v>
      </c>
      <c r="AH364" t="n">
        <v>4</v>
      </c>
      <c r="AI364" t="n">
        <v>4</v>
      </c>
      <c r="AJ364" t="n">
        <v>5</v>
      </c>
      <c r="AK364" t="n">
        <v>5</v>
      </c>
      <c r="AL364" t="n">
        <v>0</v>
      </c>
      <c r="AM364" t="n">
        <v>0</v>
      </c>
      <c r="AN364" t="n">
        <v>0</v>
      </c>
      <c r="AO364" t="n">
        <v>0</v>
      </c>
      <c r="AP364" t="inlineStr">
        <is>
          <t>No</t>
        </is>
      </c>
      <c r="AQ364" t="inlineStr">
        <is>
          <t>No</t>
        </is>
      </c>
      <c r="AS364">
        <f>HYPERLINK("https://creighton-primo.hosted.exlibrisgroup.com/primo-explore/search?tab=default_tab&amp;search_scope=EVERYTHING&amp;vid=01CRU&amp;lang=en_US&amp;offset=0&amp;query=any,contains,991002149759702656","Catalog Record")</f>
        <v/>
      </c>
      <c r="AT364">
        <f>HYPERLINK("http://www.worldcat.org/oclc/27697181","WorldCat Record")</f>
        <v/>
      </c>
      <c r="AU364" t="inlineStr">
        <is>
          <t>347507486:eng</t>
        </is>
      </c>
      <c r="AV364" t="inlineStr">
        <is>
          <t>27697181</t>
        </is>
      </c>
      <c r="AW364" t="inlineStr">
        <is>
          <t>991002149759702656</t>
        </is>
      </c>
      <c r="AX364" t="inlineStr">
        <is>
          <t>991002149759702656</t>
        </is>
      </c>
      <c r="AY364" t="inlineStr">
        <is>
          <t>2267252800002656</t>
        </is>
      </c>
      <c r="AZ364" t="inlineStr">
        <is>
          <t>BOOK</t>
        </is>
      </c>
      <c r="BC364" t="inlineStr">
        <is>
          <t>32285002114832</t>
        </is>
      </c>
      <c r="BD364" t="inlineStr">
        <is>
          <t>893523252</t>
        </is>
      </c>
    </row>
    <row r="365">
      <c r="A365" t="inlineStr">
        <is>
          <t>No</t>
        </is>
      </c>
      <c r="B365" t="inlineStr">
        <is>
          <t>DS121.7 .S478 1991</t>
        </is>
      </c>
      <c r="C365" t="inlineStr">
        <is>
          <t>0                      DS 0121700S  478         1991</t>
        </is>
      </c>
      <c r="D365" t="inlineStr">
        <is>
          <t>The armies of the Hasmonaeans and Herod : from Hellenistic to Roman frameworks / by Israel Shatzman.</t>
        </is>
      </c>
      <c r="F365" t="inlineStr">
        <is>
          <t>No</t>
        </is>
      </c>
      <c r="G365" t="inlineStr">
        <is>
          <t>1</t>
        </is>
      </c>
      <c r="H365" t="inlineStr">
        <is>
          <t>No</t>
        </is>
      </c>
      <c r="I365" t="inlineStr">
        <is>
          <t>No</t>
        </is>
      </c>
      <c r="J365" t="inlineStr">
        <is>
          <t>0</t>
        </is>
      </c>
      <c r="K365" t="inlineStr">
        <is>
          <t>Shatzman, Israel.</t>
        </is>
      </c>
      <c r="L365" t="inlineStr">
        <is>
          <t>Tübingen : Mohr, 1991.</t>
        </is>
      </c>
      <c r="M365" t="inlineStr">
        <is>
          <t>1991</t>
        </is>
      </c>
      <c r="O365" t="inlineStr">
        <is>
          <t>ger</t>
        </is>
      </c>
      <c r="P365" t="inlineStr">
        <is>
          <t xml:space="preserve">gw </t>
        </is>
      </c>
      <c r="Q365" t="inlineStr">
        <is>
          <t>Texte und Studien zum antiken Judentum ; 25</t>
        </is>
      </c>
      <c r="R365" t="inlineStr">
        <is>
          <t xml:space="preserve">DS </t>
        </is>
      </c>
      <c r="S365" t="n">
        <v>3</v>
      </c>
      <c r="T365" t="n">
        <v>3</v>
      </c>
      <c r="U365" t="inlineStr">
        <is>
          <t>2007-04-15</t>
        </is>
      </c>
      <c r="V365" t="inlineStr">
        <is>
          <t>2007-04-15</t>
        </is>
      </c>
      <c r="W365" t="inlineStr">
        <is>
          <t>1994-04-05</t>
        </is>
      </c>
      <c r="X365" t="inlineStr">
        <is>
          <t>1994-04-05</t>
        </is>
      </c>
      <c r="Y365" t="n">
        <v>121</v>
      </c>
      <c r="Z365" t="n">
        <v>74</v>
      </c>
      <c r="AA365" t="n">
        <v>79</v>
      </c>
      <c r="AB365" t="n">
        <v>1</v>
      </c>
      <c r="AC365" t="n">
        <v>1</v>
      </c>
      <c r="AD365" t="n">
        <v>4</v>
      </c>
      <c r="AE365" t="n">
        <v>4</v>
      </c>
      <c r="AF365" t="n">
        <v>0</v>
      </c>
      <c r="AG365" t="n">
        <v>0</v>
      </c>
      <c r="AH365" t="n">
        <v>1</v>
      </c>
      <c r="AI365" t="n">
        <v>1</v>
      </c>
      <c r="AJ365" t="n">
        <v>3</v>
      </c>
      <c r="AK365" t="n">
        <v>3</v>
      </c>
      <c r="AL365" t="n">
        <v>0</v>
      </c>
      <c r="AM365" t="n">
        <v>0</v>
      </c>
      <c r="AN365" t="n">
        <v>0</v>
      </c>
      <c r="AO365" t="n">
        <v>0</v>
      </c>
      <c r="AP365" t="inlineStr">
        <is>
          <t>No</t>
        </is>
      </c>
      <c r="AQ365" t="inlineStr">
        <is>
          <t>Yes</t>
        </is>
      </c>
      <c r="AR365">
        <f>HYPERLINK("http://catalog.hathitrust.org/Record/002514787","HathiTrust Record")</f>
        <v/>
      </c>
      <c r="AS365">
        <f>HYPERLINK("https://creighton-primo.hosted.exlibrisgroup.com/primo-explore/search?tab=default_tab&amp;search_scope=EVERYTHING&amp;vid=01CRU&amp;lang=en_US&amp;offset=0&amp;query=any,contains,991001964289702656","Catalog Record")</f>
        <v/>
      </c>
      <c r="AT365">
        <f>HYPERLINK("http://www.worldcat.org/oclc/24887270","WorldCat Record")</f>
        <v/>
      </c>
      <c r="AU365" t="inlineStr">
        <is>
          <t>890347331:eng</t>
        </is>
      </c>
      <c r="AV365" t="inlineStr">
        <is>
          <t>24887270</t>
        </is>
      </c>
      <c r="AW365" t="inlineStr">
        <is>
          <t>991001964289702656</t>
        </is>
      </c>
      <c r="AX365" t="inlineStr">
        <is>
          <t>991001964289702656</t>
        </is>
      </c>
      <c r="AY365" t="inlineStr">
        <is>
          <t>2265184520002656</t>
        </is>
      </c>
      <c r="AZ365" t="inlineStr">
        <is>
          <t>BOOK</t>
        </is>
      </c>
      <c r="BB365" t="inlineStr">
        <is>
          <t>9783161456176</t>
        </is>
      </c>
      <c r="BC365" t="inlineStr">
        <is>
          <t>32285001858587</t>
        </is>
      </c>
      <c r="BD365" t="inlineStr">
        <is>
          <t>893238494</t>
        </is>
      </c>
    </row>
    <row r="366">
      <c r="A366" t="inlineStr">
        <is>
          <t>No</t>
        </is>
      </c>
      <c r="B366" t="inlineStr">
        <is>
          <t>DS121.7 .S54 1990</t>
        </is>
      </c>
      <c r="C366" t="inlineStr">
        <is>
          <t>0                      DS 0121700S  54          1990</t>
        </is>
      </c>
      <c r="D366" t="inlineStr">
        <is>
          <t>The Hasmoneans and their supporters : from Mattathias to the death of John Hyrcanus I / by Joseph Sievers.</t>
        </is>
      </c>
      <c r="F366" t="inlineStr">
        <is>
          <t>No</t>
        </is>
      </c>
      <c r="G366" t="inlineStr">
        <is>
          <t>1</t>
        </is>
      </c>
      <c r="H366" t="inlineStr">
        <is>
          <t>No</t>
        </is>
      </c>
      <c r="I366" t="inlineStr">
        <is>
          <t>No</t>
        </is>
      </c>
      <c r="J366" t="inlineStr">
        <is>
          <t>0</t>
        </is>
      </c>
      <c r="K366" t="inlineStr">
        <is>
          <t>Sievers, Joseph.</t>
        </is>
      </c>
      <c r="L366" t="inlineStr">
        <is>
          <t>Atlanta, Ga. : Scholars Press, c1990.</t>
        </is>
      </c>
      <c r="M366" t="inlineStr">
        <is>
          <t>1990</t>
        </is>
      </c>
      <c r="O366" t="inlineStr">
        <is>
          <t>eng</t>
        </is>
      </c>
      <c r="P366" t="inlineStr">
        <is>
          <t>gau</t>
        </is>
      </c>
      <c r="Q366" t="inlineStr">
        <is>
          <t>South Florida studies in the history of Judaism ; no. 06</t>
        </is>
      </c>
      <c r="R366" t="inlineStr">
        <is>
          <t xml:space="preserve">DS </t>
        </is>
      </c>
      <c r="S366" t="n">
        <v>7</v>
      </c>
      <c r="T366" t="n">
        <v>7</v>
      </c>
      <c r="U366" t="inlineStr">
        <is>
          <t>2006-03-07</t>
        </is>
      </c>
      <c r="V366" t="inlineStr">
        <is>
          <t>2006-03-07</t>
        </is>
      </c>
      <c r="W366" t="inlineStr">
        <is>
          <t>1991-09-27</t>
        </is>
      </c>
      <c r="X366" t="inlineStr">
        <is>
          <t>1991-09-27</t>
        </is>
      </c>
      <c r="Y366" t="n">
        <v>242</v>
      </c>
      <c r="Z366" t="n">
        <v>180</v>
      </c>
      <c r="AA366" t="n">
        <v>181</v>
      </c>
      <c r="AB366" t="n">
        <v>1</v>
      </c>
      <c r="AC366" t="n">
        <v>1</v>
      </c>
      <c r="AD366" t="n">
        <v>9</v>
      </c>
      <c r="AE366" t="n">
        <v>10</v>
      </c>
      <c r="AF366" t="n">
        <v>1</v>
      </c>
      <c r="AG366" t="n">
        <v>2</v>
      </c>
      <c r="AH366" t="n">
        <v>5</v>
      </c>
      <c r="AI366" t="n">
        <v>5</v>
      </c>
      <c r="AJ366" t="n">
        <v>6</v>
      </c>
      <c r="AK366" t="n">
        <v>7</v>
      </c>
      <c r="AL366" t="n">
        <v>0</v>
      </c>
      <c r="AM366" t="n">
        <v>0</v>
      </c>
      <c r="AN366" t="n">
        <v>0</v>
      </c>
      <c r="AO366" t="n">
        <v>0</v>
      </c>
      <c r="AP366" t="inlineStr">
        <is>
          <t>No</t>
        </is>
      </c>
      <c r="AQ366" t="inlineStr">
        <is>
          <t>No</t>
        </is>
      </c>
      <c r="AS366">
        <f>HYPERLINK("https://creighton-primo.hosted.exlibrisgroup.com/primo-explore/search?tab=default_tab&amp;search_scope=EVERYTHING&amp;vid=01CRU&amp;lang=en_US&amp;offset=0&amp;query=any,contains,991001656909702656","Catalog Record")</f>
        <v/>
      </c>
      <c r="AT366">
        <f>HYPERLINK("http://www.worldcat.org/oclc/21147114","WorldCat Record")</f>
        <v/>
      </c>
      <c r="AU366" t="inlineStr">
        <is>
          <t>5090720082:eng</t>
        </is>
      </c>
      <c r="AV366" t="inlineStr">
        <is>
          <t>21147114</t>
        </is>
      </c>
      <c r="AW366" t="inlineStr">
        <is>
          <t>991001656909702656</t>
        </is>
      </c>
      <c r="AX366" t="inlineStr">
        <is>
          <t>991001656909702656</t>
        </is>
      </c>
      <c r="AY366" t="inlineStr">
        <is>
          <t>2270264770002656</t>
        </is>
      </c>
      <c r="AZ366" t="inlineStr">
        <is>
          <t>BOOK</t>
        </is>
      </c>
      <c r="BB366" t="inlineStr">
        <is>
          <t>9781555404499</t>
        </is>
      </c>
      <c r="BC366" t="inlineStr">
        <is>
          <t>32285000725076</t>
        </is>
      </c>
      <c r="BD366" t="inlineStr">
        <is>
          <t>893226000</t>
        </is>
      </c>
    </row>
    <row r="367">
      <c r="A367" t="inlineStr">
        <is>
          <t>No</t>
        </is>
      </c>
      <c r="B367" t="inlineStr">
        <is>
          <t>DS121.8.J8 B3713 1989</t>
        </is>
      </c>
      <c r="C367" t="inlineStr">
        <is>
          <t>0                      DS 0121800J  8                  B  3713        1989</t>
        </is>
      </c>
      <c r="D367" t="inlineStr">
        <is>
          <t>Judas Maccabaeus : the Jewish struggle against the Seleucids / Bezalel Bar-Kochva.</t>
        </is>
      </c>
      <c r="F367" t="inlineStr">
        <is>
          <t>No</t>
        </is>
      </c>
      <c r="G367" t="inlineStr">
        <is>
          <t>1</t>
        </is>
      </c>
      <c r="H367" t="inlineStr">
        <is>
          <t>No</t>
        </is>
      </c>
      <c r="I367" t="inlineStr">
        <is>
          <t>No</t>
        </is>
      </c>
      <c r="J367" t="inlineStr">
        <is>
          <t>0</t>
        </is>
      </c>
      <c r="K367" t="inlineStr">
        <is>
          <t>Bar-Kochva, Bezalel.</t>
        </is>
      </c>
      <c r="L367" t="inlineStr">
        <is>
          <t>Cambridge [Cambridgeshire] ; New York : Cambridge University Press, 1989.</t>
        </is>
      </c>
      <c r="M367" t="inlineStr">
        <is>
          <t>1989</t>
        </is>
      </c>
      <c r="O367" t="inlineStr">
        <is>
          <t>eng</t>
        </is>
      </c>
      <c r="P367" t="inlineStr">
        <is>
          <t>enk</t>
        </is>
      </c>
      <c r="R367" t="inlineStr">
        <is>
          <t xml:space="preserve">DS </t>
        </is>
      </c>
      <c r="S367" t="n">
        <v>4</v>
      </c>
      <c r="T367" t="n">
        <v>4</v>
      </c>
      <c r="U367" t="inlineStr">
        <is>
          <t>2006-10-12</t>
        </is>
      </c>
      <c r="V367" t="inlineStr">
        <is>
          <t>2006-10-12</t>
        </is>
      </c>
      <c r="W367" t="inlineStr">
        <is>
          <t>1992-06-30</t>
        </is>
      </c>
      <c r="X367" t="inlineStr">
        <is>
          <t>1992-06-30</t>
        </is>
      </c>
      <c r="Y367" t="n">
        <v>386</v>
      </c>
      <c r="Z367" t="n">
        <v>283</v>
      </c>
      <c r="AA367" t="n">
        <v>312</v>
      </c>
      <c r="AB367" t="n">
        <v>2</v>
      </c>
      <c r="AC367" t="n">
        <v>2</v>
      </c>
      <c r="AD367" t="n">
        <v>16</v>
      </c>
      <c r="AE367" t="n">
        <v>16</v>
      </c>
      <c r="AF367" t="n">
        <v>6</v>
      </c>
      <c r="AG367" t="n">
        <v>6</v>
      </c>
      <c r="AH367" t="n">
        <v>4</v>
      </c>
      <c r="AI367" t="n">
        <v>4</v>
      </c>
      <c r="AJ367" t="n">
        <v>9</v>
      </c>
      <c r="AK367" t="n">
        <v>9</v>
      </c>
      <c r="AL367" t="n">
        <v>1</v>
      </c>
      <c r="AM367" t="n">
        <v>1</v>
      </c>
      <c r="AN367" t="n">
        <v>0</v>
      </c>
      <c r="AO367" t="n">
        <v>0</v>
      </c>
      <c r="AP367" t="inlineStr">
        <is>
          <t>No</t>
        </is>
      </c>
      <c r="AQ367" t="inlineStr">
        <is>
          <t>No</t>
        </is>
      </c>
      <c r="AS367">
        <f>HYPERLINK("https://creighton-primo.hosted.exlibrisgroup.com/primo-explore/search?tab=default_tab&amp;search_scope=EVERYTHING&amp;vid=01CRU&amp;lang=en_US&amp;offset=0&amp;query=any,contains,991000918689702656","Catalog Record")</f>
        <v/>
      </c>
      <c r="AT367">
        <f>HYPERLINK("http://www.worldcat.org/oclc/14188574","WorldCat Record")</f>
        <v/>
      </c>
      <c r="AU367" t="inlineStr">
        <is>
          <t>5522778:eng</t>
        </is>
      </c>
      <c r="AV367" t="inlineStr">
        <is>
          <t>14188574</t>
        </is>
      </c>
      <c r="AW367" t="inlineStr">
        <is>
          <t>991000918689702656</t>
        </is>
      </c>
      <c r="AX367" t="inlineStr">
        <is>
          <t>991000918689702656</t>
        </is>
      </c>
      <c r="AY367" t="inlineStr">
        <is>
          <t>2261763350002656</t>
        </is>
      </c>
      <c r="AZ367" t="inlineStr">
        <is>
          <t>BOOK</t>
        </is>
      </c>
      <c r="BB367" t="inlineStr">
        <is>
          <t>9780521323529</t>
        </is>
      </c>
      <c r="BC367" t="inlineStr">
        <is>
          <t>32285001156859</t>
        </is>
      </c>
      <c r="BD367" t="inlineStr">
        <is>
          <t>893897337</t>
        </is>
      </c>
    </row>
    <row r="368">
      <c r="A368" t="inlineStr">
        <is>
          <t>No</t>
        </is>
      </c>
      <c r="B368" t="inlineStr">
        <is>
          <t>DS122 .A63 1989</t>
        </is>
      </c>
      <c r="C368" t="inlineStr">
        <is>
          <t>0                      DS 0122000A  63          1989</t>
        </is>
      </c>
      <c r="D368" t="inlineStr">
        <is>
          <t>Judaea in Hellenistic and Roman times : historical and archaeological essays / by Shimon Applebaum.</t>
        </is>
      </c>
      <c r="F368" t="inlineStr">
        <is>
          <t>No</t>
        </is>
      </c>
      <c r="G368" t="inlineStr">
        <is>
          <t>1</t>
        </is>
      </c>
      <c r="H368" t="inlineStr">
        <is>
          <t>No</t>
        </is>
      </c>
      <c r="I368" t="inlineStr">
        <is>
          <t>No</t>
        </is>
      </c>
      <c r="J368" t="inlineStr">
        <is>
          <t>0</t>
        </is>
      </c>
      <c r="K368" t="inlineStr">
        <is>
          <t>Applebaum, Shimon.</t>
        </is>
      </c>
      <c r="L368" t="inlineStr">
        <is>
          <t>Leiden ; New York : Brill, 1989.</t>
        </is>
      </c>
      <c r="M368" t="inlineStr">
        <is>
          <t>1989</t>
        </is>
      </c>
      <c r="O368" t="inlineStr">
        <is>
          <t>eng</t>
        </is>
      </c>
      <c r="P368" t="inlineStr">
        <is>
          <t xml:space="preserve">ne </t>
        </is>
      </c>
      <c r="Q368" t="inlineStr">
        <is>
          <t>Studies in Judaism in late antiquity, 0169-961X ; v. 40</t>
        </is>
      </c>
      <c r="R368" t="inlineStr">
        <is>
          <t xml:space="preserve">DS </t>
        </is>
      </c>
      <c r="S368" t="n">
        <v>1</v>
      </c>
      <c r="T368" t="n">
        <v>1</v>
      </c>
      <c r="U368" t="inlineStr">
        <is>
          <t>1992-02-03</t>
        </is>
      </c>
      <c r="V368" t="inlineStr">
        <is>
          <t>1992-02-03</t>
        </is>
      </c>
      <c r="W368" t="inlineStr">
        <is>
          <t>1991-04-17</t>
        </is>
      </c>
      <c r="X368" t="inlineStr">
        <is>
          <t>1991-04-17</t>
        </is>
      </c>
      <c r="Y368" t="n">
        <v>295</v>
      </c>
      <c r="Z368" t="n">
        <v>188</v>
      </c>
      <c r="AA368" t="n">
        <v>195</v>
      </c>
      <c r="AB368" t="n">
        <v>2</v>
      </c>
      <c r="AC368" t="n">
        <v>2</v>
      </c>
      <c r="AD368" t="n">
        <v>7</v>
      </c>
      <c r="AE368" t="n">
        <v>7</v>
      </c>
      <c r="AF368" t="n">
        <v>2</v>
      </c>
      <c r="AG368" t="n">
        <v>2</v>
      </c>
      <c r="AH368" t="n">
        <v>1</v>
      </c>
      <c r="AI368" t="n">
        <v>1</v>
      </c>
      <c r="AJ368" t="n">
        <v>4</v>
      </c>
      <c r="AK368" t="n">
        <v>4</v>
      </c>
      <c r="AL368" t="n">
        <v>1</v>
      </c>
      <c r="AM368" t="n">
        <v>1</v>
      </c>
      <c r="AN368" t="n">
        <v>0</v>
      </c>
      <c r="AO368" t="n">
        <v>0</v>
      </c>
      <c r="AP368" t="inlineStr">
        <is>
          <t>No</t>
        </is>
      </c>
      <c r="AQ368" t="inlineStr">
        <is>
          <t>Yes</t>
        </is>
      </c>
      <c r="AR368">
        <f>HYPERLINK("http://catalog.hathitrust.org/Record/001829752","HathiTrust Record")</f>
        <v/>
      </c>
      <c r="AS368">
        <f>HYPERLINK("https://creighton-primo.hosted.exlibrisgroup.com/primo-explore/search?tab=default_tab&amp;search_scope=EVERYTHING&amp;vid=01CRU&amp;lang=en_US&amp;offset=0&amp;query=any,contains,991001406069702656","Catalog Record")</f>
        <v/>
      </c>
      <c r="AT368">
        <f>HYPERLINK("http://www.worldcat.org/oclc/18835876","WorldCat Record")</f>
        <v/>
      </c>
      <c r="AU368" t="inlineStr">
        <is>
          <t>808248645:eng</t>
        </is>
      </c>
      <c r="AV368" t="inlineStr">
        <is>
          <t>18835876</t>
        </is>
      </c>
      <c r="AW368" t="inlineStr">
        <is>
          <t>991001406069702656</t>
        </is>
      </c>
      <c r="AX368" t="inlineStr">
        <is>
          <t>991001406069702656</t>
        </is>
      </c>
      <c r="AY368" t="inlineStr">
        <is>
          <t>2259802410002656</t>
        </is>
      </c>
      <c r="AZ368" t="inlineStr">
        <is>
          <t>BOOK</t>
        </is>
      </c>
      <c r="BB368" t="inlineStr">
        <is>
          <t>9789004088214</t>
        </is>
      </c>
      <c r="BC368" t="inlineStr">
        <is>
          <t>32285000568443</t>
        </is>
      </c>
      <c r="BD368" t="inlineStr">
        <is>
          <t>893340415</t>
        </is>
      </c>
    </row>
    <row r="369">
      <c r="A369" t="inlineStr">
        <is>
          <t>No</t>
        </is>
      </c>
      <c r="B369" t="inlineStr">
        <is>
          <t>DS122 .B34 1985</t>
        </is>
      </c>
      <c r="C369" t="inlineStr">
        <is>
          <t>0                      DS 0122000B  34          1985</t>
        </is>
      </c>
      <c r="D369" t="inlineStr">
        <is>
          <t>Jews in the Hellenistic world / John R. Bartlett.</t>
        </is>
      </c>
      <c r="F369" t="inlineStr">
        <is>
          <t>Yes</t>
        </is>
      </c>
      <c r="G369" t="inlineStr">
        <is>
          <t>1</t>
        </is>
      </c>
      <c r="H369" t="inlineStr">
        <is>
          <t>No</t>
        </is>
      </c>
      <c r="I369" t="inlineStr">
        <is>
          <t>No</t>
        </is>
      </c>
      <c r="J369" t="inlineStr">
        <is>
          <t>0</t>
        </is>
      </c>
      <c r="K369" t="inlineStr">
        <is>
          <t>Bartlett, John R. (John Raymond)</t>
        </is>
      </c>
      <c r="L369" t="inlineStr">
        <is>
          <t>Cambridge ; New York : Cambridge University Press, 1985-</t>
        </is>
      </c>
      <c r="M369" t="inlineStr">
        <is>
          <t>1985</t>
        </is>
      </c>
      <c r="O369" t="inlineStr">
        <is>
          <t>eng</t>
        </is>
      </c>
      <c r="P369" t="inlineStr">
        <is>
          <t>enk</t>
        </is>
      </c>
      <c r="Q369" t="inlineStr">
        <is>
          <t>Cambridge commentaries on writings of the Jewish and Christian world, 200 BC to AD 200 ; v. 1</t>
        </is>
      </c>
      <c r="R369" t="inlineStr">
        <is>
          <t xml:space="preserve">DS </t>
        </is>
      </c>
      <c r="S369" t="n">
        <v>1</v>
      </c>
      <c r="T369" t="n">
        <v>1</v>
      </c>
      <c r="U369" t="inlineStr">
        <is>
          <t>2005-02-14</t>
        </is>
      </c>
      <c r="V369" t="inlineStr">
        <is>
          <t>2005-02-14</t>
        </is>
      </c>
      <c r="W369" t="inlineStr">
        <is>
          <t>1990-10-01</t>
        </is>
      </c>
      <c r="X369" t="inlineStr">
        <is>
          <t>1990-10-01</t>
        </is>
      </c>
      <c r="Y369" t="n">
        <v>631</v>
      </c>
      <c r="Z369" t="n">
        <v>485</v>
      </c>
      <c r="AA369" t="n">
        <v>495</v>
      </c>
      <c r="AB369" t="n">
        <v>4</v>
      </c>
      <c r="AC369" t="n">
        <v>4</v>
      </c>
      <c r="AD369" t="n">
        <v>25</v>
      </c>
      <c r="AE369" t="n">
        <v>25</v>
      </c>
      <c r="AF369" t="n">
        <v>11</v>
      </c>
      <c r="AG369" t="n">
        <v>11</v>
      </c>
      <c r="AH369" t="n">
        <v>5</v>
      </c>
      <c r="AI369" t="n">
        <v>5</v>
      </c>
      <c r="AJ369" t="n">
        <v>12</v>
      </c>
      <c r="AK369" t="n">
        <v>12</v>
      </c>
      <c r="AL369" t="n">
        <v>3</v>
      </c>
      <c r="AM369" t="n">
        <v>3</v>
      </c>
      <c r="AN369" t="n">
        <v>0</v>
      </c>
      <c r="AO369" t="n">
        <v>0</v>
      </c>
      <c r="AP369" t="inlineStr">
        <is>
          <t>No</t>
        </is>
      </c>
      <c r="AQ369" t="inlineStr">
        <is>
          <t>No</t>
        </is>
      </c>
      <c r="AS369">
        <f>HYPERLINK("https://creighton-primo.hosted.exlibrisgroup.com/primo-explore/search?tab=default_tab&amp;search_scope=EVERYTHING&amp;vid=01CRU&amp;lang=en_US&amp;offset=0&amp;query=any,contains,991000021749702656","Catalog Record")</f>
        <v/>
      </c>
      <c r="AT369">
        <f>HYPERLINK("http://www.worldcat.org/oclc/11755733","WorldCat Record")</f>
        <v/>
      </c>
      <c r="AU369" t="inlineStr">
        <is>
          <t>1862283216:eng</t>
        </is>
      </c>
      <c r="AV369" t="inlineStr">
        <is>
          <t>11755733</t>
        </is>
      </c>
      <c r="AW369" t="inlineStr">
        <is>
          <t>991000021749702656</t>
        </is>
      </c>
      <c r="AX369" t="inlineStr">
        <is>
          <t>991000021749702656</t>
        </is>
      </c>
      <c r="AY369" t="inlineStr">
        <is>
          <t>2270767010002656</t>
        </is>
      </c>
      <c r="AZ369" t="inlineStr">
        <is>
          <t>BOOK</t>
        </is>
      </c>
      <c r="BB369" t="inlineStr">
        <is>
          <t>9780521242462</t>
        </is>
      </c>
      <c r="BC369" t="inlineStr">
        <is>
          <t>32285000293752</t>
        </is>
      </c>
      <c r="BD369" t="inlineStr">
        <is>
          <t>893714230</t>
        </is>
      </c>
    </row>
    <row r="370">
      <c r="A370" t="inlineStr">
        <is>
          <t>No</t>
        </is>
      </c>
      <c r="B370" t="inlineStr">
        <is>
          <t>DS122 .G66 1994</t>
        </is>
      </c>
      <c r="C370" t="inlineStr">
        <is>
          <t>0                      DS 0122000G  66          1994</t>
        </is>
      </c>
      <c r="D370" t="inlineStr">
        <is>
          <t>The Monarchic principle : Studies in Jewish Self-government in antiquity / by David Goodblatt.</t>
        </is>
      </c>
      <c r="F370" t="inlineStr">
        <is>
          <t>No</t>
        </is>
      </c>
      <c r="G370" t="inlineStr">
        <is>
          <t>1</t>
        </is>
      </c>
      <c r="H370" t="inlineStr">
        <is>
          <t>No</t>
        </is>
      </c>
      <c r="I370" t="inlineStr">
        <is>
          <t>No</t>
        </is>
      </c>
      <c r="J370" t="inlineStr">
        <is>
          <t>0</t>
        </is>
      </c>
      <c r="K370" t="inlineStr">
        <is>
          <t>Goodblatt, David M.</t>
        </is>
      </c>
      <c r="L370" t="inlineStr">
        <is>
          <t>Tübingen : J.C.B. Mohr (P. Siebeck), c1994.</t>
        </is>
      </c>
      <c r="M370" t="inlineStr">
        <is>
          <t>1994</t>
        </is>
      </c>
      <c r="O370" t="inlineStr">
        <is>
          <t>eng</t>
        </is>
      </c>
      <c r="P370" t="inlineStr">
        <is>
          <t xml:space="preserve">gw </t>
        </is>
      </c>
      <c r="Q370" t="inlineStr">
        <is>
          <t>Texte und Studien zum antiken Judentum ; 38</t>
        </is>
      </c>
      <c r="R370" t="inlineStr">
        <is>
          <t xml:space="preserve">DS </t>
        </is>
      </c>
      <c r="S370" t="n">
        <v>1</v>
      </c>
      <c r="T370" t="n">
        <v>1</v>
      </c>
      <c r="U370" t="inlineStr">
        <is>
          <t>1995-04-28</t>
        </is>
      </c>
      <c r="V370" t="inlineStr">
        <is>
          <t>1995-04-28</t>
        </is>
      </c>
      <c r="W370" t="inlineStr">
        <is>
          <t>1995-04-05</t>
        </is>
      </c>
      <c r="X370" t="inlineStr">
        <is>
          <t>1995-04-05</t>
        </is>
      </c>
      <c r="Y370" t="n">
        <v>147</v>
      </c>
      <c r="Z370" t="n">
        <v>94</v>
      </c>
      <c r="AA370" t="n">
        <v>100</v>
      </c>
      <c r="AB370" t="n">
        <v>1</v>
      </c>
      <c r="AC370" t="n">
        <v>1</v>
      </c>
      <c r="AD370" t="n">
        <v>4</v>
      </c>
      <c r="AE370" t="n">
        <v>4</v>
      </c>
      <c r="AF370" t="n">
        <v>1</v>
      </c>
      <c r="AG370" t="n">
        <v>1</v>
      </c>
      <c r="AH370" t="n">
        <v>1</v>
      </c>
      <c r="AI370" t="n">
        <v>1</v>
      </c>
      <c r="AJ370" t="n">
        <v>3</v>
      </c>
      <c r="AK370" t="n">
        <v>3</v>
      </c>
      <c r="AL370" t="n">
        <v>0</v>
      </c>
      <c r="AM370" t="n">
        <v>0</v>
      </c>
      <c r="AN370" t="n">
        <v>0</v>
      </c>
      <c r="AO370" t="n">
        <v>0</v>
      </c>
      <c r="AP370" t="inlineStr">
        <is>
          <t>No</t>
        </is>
      </c>
      <c r="AQ370" t="inlineStr">
        <is>
          <t>Yes</t>
        </is>
      </c>
      <c r="AR370">
        <f>HYPERLINK("http://catalog.hathitrust.org/Record/002871680","HathiTrust Record")</f>
        <v/>
      </c>
      <c r="AS370">
        <f>HYPERLINK("https://creighton-primo.hosted.exlibrisgroup.com/primo-explore/search?tab=default_tab&amp;search_scope=EVERYTHING&amp;vid=01CRU&amp;lang=en_US&amp;offset=0&amp;query=any,contains,991002310169702656","Catalog Record")</f>
        <v/>
      </c>
      <c r="AT370">
        <f>HYPERLINK("http://www.worldcat.org/oclc/29970509","WorldCat Record")</f>
        <v/>
      </c>
      <c r="AU370" t="inlineStr">
        <is>
          <t>435325497:eng</t>
        </is>
      </c>
      <c r="AV370" t="inlineStr">
        <is>
          <t>29970509</t>
        </is>
      </c>
      <c r="AW370" t="inlineStr">
        <is>
          <t>991002310169702656</t>
        </is>
      </c>
      <c r="AX370" t="inlineStr">
        <is>
          <t>991002310169702656</t>
        </is>
      </c>
      <c r="AY370" t="inlineStr">
        <is>
          <t>2267806310002656</t>
        </is>
      </c>
      <c r="AZ370" t="inlineStr">
        <is>
          <t>BOOK</t>
        </is>
      </c>
      <c r="BB370" t="inlineStr">
        <is>
          <t>9783161461767</t>
        </is>
      </c>
      <c r="BC370" t="inlineStr">
        <is>
          <t>32285002016813</t>
        </is>
      </c>
      <c r="BD370" t="inlineStr">
        <is>
          <t>893779664</t>
        </is>
      </c>
    </row>
    <row r="371">
      <c r="A371" t="inlineStr">
        <is>
          <t>No</t>
        </is>
      </c>
      <c r="B371" t="inlineStr">
        <is>
          <t>DS122 .G73 1973</t>
        </is>
      </c>
      <c r="C371" t="inlineStr">
        <is>
          <t>0                      DS 0122000G  73          1973</t>
        </is>
      </c>
      <c r="D371" t="inlineStr">
        <is>
          <t>The Jews in the Roman world.</t>
        </is>
      </c>
      <c r="F371" t="inlineStr">
        <is>
          <t>No</t>
        </is>
      </c>
      <c r="G371" t="inlineStr">
        <is>
          <t>1</t>
        </is>
      </c>
      <c r="H371" t="inlineStr">
        <is>
          <t>No</t>
        </is>
      </c>
      <c r="I371" t="inlineStr">
        <is>
          <t>No</t>
        </is>
      </c>
      <c r="J371" t="inlineStr">
        <is>
          <t>0</t>
        </is>
      </c>
      <c r="K371" t="inlineStr">
        <is>
          <t>Grant, Michael, 1914-2004.</t>
        </is>
      </c>
      <c r="L371" t="inlineStr">
        <is>
          <t>New York, Scribner [1973]</t>
        </is>
      </c>
      <c r="M371" t="inlineStr">
        <is>
          <t>1973</t>
        </is>
      </c>
      <c r="O371" t="inlineStr">
        <is>
          <t>eng</t>
        </is>
      </c>
      <c r="P371" t="inlineStr">
        <is>
          <t>nyu</t>
        </is>
      </c>
      <c r="R371" t="inlineStr">
        <is>
          <t xml:space="preserve">DS </t>
        </is>
      </c>
      <c r="S371" t="n">
        <v>3</v>
      </c>
      <c r="T371" t="n">
        <v>3</v>
      </c>
      <c r="U371" t="inlineStr">
        <is>
          <t>2006-08-07</t>
        </is>
      </c>
      <c r="V371" t="inlineStr">
        <is>
          <t>2006-08-07</t>
        </is>
      </c>
      <c r="W371" t="inlineStr">
        <is>
          <t>1996-08-09</t>
        </is>
      </c>
      <c r="X371" t="inlineStr">
        <is>
          <t>1996-08-09</t>
        </is>
      </c>
      <c r="Y371" t="n">
        <v>860</v>
      </c>
      <c r="Z371" t="n">
        <v>812</v>
      </c>
      <c r="AA371" t="n">
        <v>1048</v>
      </c>
      <c r="AB371" t="n">
        <v>4</v>
      </c>
      <c r="AC371" t="n">
        <v>4</v>
      </c>
      <c r="AD371" t="n">
        <v>34</v>
      </c>
      <c r="AE371" t="n">
        <v>44</v>
      </c>
      <c r="AF371" t="n">
        <v>12</v>
      </c>
      <c r="AG371" t="n">
        <v>18</v>
      </c>
      <c r="AH371" t="n">
        <v>10</v>
      </c>
      <c r="AI371" t="n">
        <v>11</v>
      </c>
      <c r="AJ371" t="n">
        <v>18</v>
      </c>
      <c r="AK371" t="n">
        <v>25</v>
      </c>
      <c r="AL371" t="n">
        <v>3</v>
      </c>
      <c r="AM371" t="n">
        <v>3</v>
      </c>
      <c r="AN371" t="n">
        <v>0</v>
      </c>
      <c r="AO371" t="n">
        <v>0</v>
      </c>
      <c r="AP371" t="inlineStr">
        <is>
          <t>No</t>
        </is>
      </c>
      <c r="AQ371" t="inlineStr">
        <is>
          <t>No</t>
        </is>
      </c>
      <c r="AS371">
        <f>HYPERLINK("https://creighton-primo.hosted.exlibrisgroup.com/primo-explore/search?tab=default_tab&amp;search_scope=EVERYTHING&amp;vid=01CRU&amp;lang=en_US&amp;offset=0&amp;query=any,contains,991003155589702656","Catalog Record")</f>
        <v/>
      </c>
      <c r="AT371">
        <f>HYPERLINK("http://www.worldcat.org/oclc/695114","WorldCat Record")</f>
        <v/>
      </c>
      <c r="AU371" t="inlineStr">
        <is>
          <t>115522418:eng</t>
        </is>
      </c>
      <c r="AV371" t="inlineStr">
        <is>
          <t>695114</t>
        </is>
      </c>
      <c r="AW371" t="inlineStr">
        <is>
          <t>991003155589702656</t>
        </is>
      </c>
      <c r="AX371" t="inlineStr">
        <is>
          <t>991003155589702656</t>
        </is>
      </c>
      <c r="AY371" t="inlineStr">
        <is>
          <t>2267788930002656</t>
        </is>
      </c>
      <c r="AZ371" t="inlineStr">
        <is>
          <t>BOOK</t>
        </is>
      </c>
      <c r="BB371" t="inlineStr">
        <is>
          <t>9780684133409</t>
        </is>
      </c>
      <c r="BC371" t="inlineStr">
        <is>
          <t>32285002272606</t>
        </is>
      </c>
      <c r="BD371" t="inlineStr">
        <is>
          <t>893610772</t>
        </is>
      </c>
    </row>
    <row r="372">
      <c r="A372" t="inlineStr">
        <is>
          <t>No</t>
        </is>
      </c>
      <c r="B372" t="inlineStr">
        <is>
          <t>DS122 .J48 1974a</t>
        </is>
      </c>
      <c r="C372" t="inlineStr">
        <is>
          <t>0                      DS 0122000J  48          1974a</t>
        </is>
      </c>
      <c r="D372" t="inlineStr">
        <is>
          <t>The Jewish people in the first century : historical geography, political history, social, cultural and religious life and institutions / ed. by S. Safrai and M. Stern in co-operation with D. Flusser and W. C. van Unnik.</t>
        </is>
      </c>
      <c r="E372" t="inlineStr">
        <is>
          <t>V.1</t>
        </is>
      </c>
      <c r="F372" t="inlineStr">
        <is>
          <t>Yes</t>
        </is>
      </c>
      <c r="G372" t="inlineStr">
        <is>
          <t>1</t>
        </is>
      </c>
      <c r="H372" t="inlineStr">
        <is>
          <t>No</t>
        </is>
      </c>
      <c r="I372" t="inlineStr">
        <is>
          <t>No</t>
        </is>
      </c>
      <c r="J372" t="inlineStr">
        <is>
          <t>0</t>
        </is>
      </c>
      <c r="L372" t="inlineStr">
        <is>
          <t>Assen : Van Gorcum, 1974-76.</t>
        </is>
      </c>
      <c r="M372" t="inlineStr">
        <is>
          <t>1974</t>
        </is>
      </c>
      <c r="O372" t="inlineStr">
        <is>
          <t>eng</t>
        </is>
      </c>
      <c r="P372" t="inlineStr">
        <is>
          <t xml:space="preserve">ne </t>
        </is>
      </c>
      <c r="Q372" t="inlineStr">
        <is>
          <t>Compendia rerum Iudaicarum ad Novum Testamentum. Section 1</t>
        </is>
      </c>
      <c r="R372" t="inlineStr">
        <is>
          <t xml:space="preserve">DS </t>
        </is>
      </c>
      <c r="S372" t="n">
        <v>5</v>
      </c>
      <c r="T372" t="n">
        <v>11</v>
      </c>
      <c r="U372" t="inlineStr">
        <is>
          <t>2007-06-18</t>
        </is>
      </c>
      <c r="V372" t="inlineStr">
        <is>
          <t>2010-11-13</t>
        </is>
      </c>
      <c r="W372" t="inlineStr">
        <is>
          <t>1992-12-03</t>
        </is>
      </c>
      <c r="X372" t="inlineStr">
        <is>
          <t>1992-12-03</t>
        </is>
      </c>
      <c r="Y372" t="n">
        <v>641</v>
      </c>
      <c r="Z372" t="n">
        <v>491</v>
      </c>
      <c r="AA372" t="n">
        <v>504</v>
      </c>
      <c r="AB372" t="n">
        <v>4</v>
      </c>
      <c r="AC372" t="n">
        <v>4</v>
      </c>
      <c r="AD372" t="n">
        <v>30</v>
      </c>
      <c r="AE372" t="n">
        <v>31</v>
      </c>
      <c r="AF372" t="n">
        <v>11</v>
      </c>
      <c r="AG372" t="n">
        <v>12</v>
      </c>
      <c r="AH372" t="n">
        <v>7</v>
      </c>
      <c r="AI372" t="n">
        <v>7</v>
      </c>
      <c r="AJ372" t="n">
        <v>15</v>
      </c>
      <c r="AK372" t="n">
        <v>16</v>
      </c>
      <c r="AL372" t="n">
        <v>3</v>
      </c>
      <c r="AM372" t="n">
        <v>3</v>
      </c>
      <c r="AN372" t="n">
        <v>0</v>
      </c>
      <c r="AO372" t="n">
        <v>0</v>
      </c>
      <c r="AP372" t="inlineStr">
        <is>
          <t>No</t>
        </is>
      </c>
      <c r="AQ372" t="inlineStr">
        <is>
          <t>Yes</t>
        </is>
      </c>
      <c r="AR372">
        <f>HYPERLINK("http://catalog.hathitrust.org/Record/000776786","HathiTrust Record")</f>
        <v/>
      </c>
      <c r="AS372">
        <f>HYPERLINK("https://creighton-primo.hosted.exlibrisgroup.com/primo-explore/search?tab=default_tab&amp;search_scope=EVERYTHING&amp;vid=01CRU&amp;lang=en_US&amp;offset=0&amp;query=any,contains,991003378929702656","Catalog Record")</f>
        <v/>
      </c>
      <c r="AT372">
        <f>HYPERLINK("http://www.worldcat.org/oclc/915182","WorldCat Record")</f>
        <v/>
      </c>
      <c r="AU372" t="inlineStr">
        <is>
          <t>807525626:eng</t>
        </is>
      </c>
      <c r="AV372" t="inlineStr">
        <is>
          <t>915182</t>
        </is>
      </c>
      <c r="AW372" t="inlineStr">
        <is>
          <t>991003378929702656</t>
        </is>
      </c>
      <c r="AX372" t="inlineStr">
        <is>
          <t>991003378929702656</t>
        </is>
      </c>
      <c r="AY372" t="inlineStr">
        <is>
          <t>2265019480002656</t>
        </is>
      </c>
      <c r="AZ372" t="inlineStr">
        <is>
          <t>BOOK</t>
        </is>
      </c>
      <c r="BB372" t="inlineStr">
        <is>
          <t>9789023210702</t>
        </is>
      </c>
      <c r="BC372" t="inlineStr">
        <is>
          <t>32285001412385</t>
        </is>
      </c>
      <c r="BD372" t="inlineStr">
        <is>
          <t>893531134</t>
        </is>
      </c>
    </row>
    <row r="373">
      <c r="A373" t="inlineStr">
        <is>
          <t>No</t>
        </is>
      </c>
      <c r="B373" t="inlineStr">
        <is>
          <t>DS122 .J48 1974a</t>
        </is>
      </c>
      <c r="C373" t="inlineStr">
        <is>
          <t>0                      DS 0122000J  48          1974a</t>
        </is>
      </c>
      <c r="D373" t="inlineStr">
        <is>
          <t>The Jewish people in the first century : historical geography, political history, social, cultural and religious life and institutions / ed. by S. Safrai and M. Stern in co-operation with D. Flusser and W. C. van Unnik.</t>
        </is>
      </c>
      <c r="E373" t="inlineStr">
        <is>
          <t>V.2</t>
        </is>
      </c>
      <c r="F373" t="inlineStr">
        <is>
          <t>Yes</t>
        </is>
      </c>
      <c r="G373" t="inlineStr">
        <is>
          <t>1</t>
        </is>
      </c>
      <c r="H373" t="inlineStr">
        <is>
          <t>No</t>
        </is>
      </c>
      <c r="I373" t="inlineStr">
        <is>
          <t>No</t>
        </is>
      </c>
      <c r="J373" t="inlineStr">
        <is>
          <t>0</t>
        </is>
      </c>
      <c r="L373" t="inlineStr">
        <is>
          <t>Assen : Van Gorcum, 1974-76.</t>
        </is>
      </c>
      <c r="M373" t="inlineStr">
        <is>
          <t>1974</t>
        </is>
      </c>
      <c r="O373" t="inlineStr">
        <is>
          <t>eng</t>
        </is>
      </c>
      <c r="P373" t="inlineStr">
        <is>
          <t xml:space="preserve">ne </t>
        </is>
      </c>
      <c r="Q373" t="inlineStr">
        <is>
          <t>Compendia rerum Iudaicarum ad Novum Testamentum. Section 1</t>
        </is>
      </c>
      <c r="R373" t="inlineStr">
        <is>
          <t xml:space="preserve">DS </t>
        </is>
      </c>
      <c r="S373" t="n">
        <v>6</v>
      </c>
      <c r="T373" t="n">
        <v>11</v>
      </c>
      <c r="U373" t="inlineStr">
        <is>
          <t>2010-11-13</t>
        </is>
      </c>
      <c r="V373" t="inlineStr">
        <is>
          <t>2010-11-13</t>
        </is>
      </c>
      <c r="W373" t="inlineStr">
        <is>
          <t>1992-12-03</t>
        </is>
      </c>
      <c r="X373" t="inlineStr">
        <is>
          <t>1992-12-03</t>
        </is>
      </c>
      <c r="Y373" t="n">
        <v>641</v>
      </c>
      <c r="Z373" t="n">
        <v>491</v>
      </c>
      <c r="AA373" t="n">
        <v>504</v>
      </c>
      <c r="AB373" t="n">
        <v>4</v>
      </c>
      <c r="AC373" t="n">
        <v>4</v>
      </c>
      <c r="AD373" t="n">
        <v>30</v>
      </c>
      <c r="AE373" t="n">
        <v>31</v>
      </c>
      <c r="AF373" t="n">
        <v>11</v>
      </c>
      <c r="AG373" t="n">
        <v>12</v>
      </c>
      <c r="AH373" t="n">
        <v>7</v>
      </c>
      <c r="AI373" t="n">
        <v>7</v>
      </c>
      <c r="AJ373" t="n">
        <v>15</v>
      </c>
      <c r="AK373" t="n">
        <v>16</v>
      </c>
      <c r="AL373" t="n">
        <v>3</v>
      </c>
      <c r="AM373" t="n">
        <v>3</v>
      </c>
      <c r="AN373" t="n">
        <v>0</v>
      </c>
      <c r="AO373" t="n">
        <v>0</v>
      </c>
      <c r="AP373" t="inlineStr">
        <is>
          <t>No</t>
        </is>
      </c>
      <c r="AQ373" t="inlineStr">
        <is>
          <t>Yes</t>
        </is>
      </c>
      <c r="AR373">
        <f>HYPERLINK("http://catalog.hathitrust.org/Record/000776786","HathiTrust Record")</f>
        <v/>
      </c>
      <c r="AS373">
        <f>HYPERLINK("https://creighton-primo.hosted.exlibrisgroup.com/primo-explore/search?tab=default_tab&amp;search_scope=EVERYTHING&amp;vid=01CRU&amp;lang=en_US&amp;offset=0&amp;query=any,contains,991003378929702656","Catalog Record")</f>
        <v/>
      </c>
      <c r="AT373">
        <f>HYPERLINK("http://www.worldcat.org/oclc/915182","WorldCat Record")</f>
        <v/>
      </c>
      <c r="AU373" t="inlineStr">
        <is>
          <t>807525626:eng</t>
        </is>
      </c>
      <c r="AV373" t="inlineStr">
        <is>
          <t>915182</t>
        </is>
      </c>
      <c r="AW373" t="inlineStr">
        <is>
          <t>991003378929702656</t>
        </is>
      </c>
      <c r="AX373" t="inlineStr">
        <is>
          <t>991003378929702656</t>
        </is>
      </c>
      <c r="AY373" t="inlineStr">
        <is>
          <t>2265019480002656</t>
        </is>
      </c>
      <c r="AZ373" t="inlineStr">
        <is>
          <t>BOOK</t>
        </is>
      </c>
      <c r="BB373" t="inlineStr">
        <is>
          <t>9789023210702</t>
        </is>
      </c>
      <c r="BC373" t="inlineStr">
        <is>
          <t>32285001412393</t>
        </is>
      </c>
      <c r="BD373" t="inlineStr">
        <is>
          <t>893535453</t>
        </is>
      </c>
    </row>
    <row r="374">
      <c r="A374" t="inlineStr">
        <is>
          <t>No</t>
        </is>
      </c>
      <c r="B374" t="inlineStr">
        <is>
          <t>DS122 .J72</t>
        </is>
      </c>
      <c r="C374" t="inlineStr">
        <is>
          <t>0                      DS 0122000J  72</t>
        </is>
      </c>
      <c r="D374" t="inlineStr">
        <is>
          <t>Jerusalem and Rome; the writings of Josephus. Selected and introduced by Nahum N. Glatzer.</t>
        </is>
      </c>
      <c r="F374" t="inlineStr">
        <is>
          <t>No</t>
        </is>
      </c>
      <c r="G374" t="inlineStr">
        <is>
          <t>1</t>
        </is>
      </c>
      <c r="H374" t="inlineStr">
        <is>
          <t>No</t>
        </is>
      </c>
      <c r="I374" t="inlineStr">
        <is>
          <t>No</t>
        </is>
      </c>
      <c r="J374" t="inlineStr">
        <is>
          <t>0</t>
        </is>
      </c>
      <c r="K374" t="inlineStr">
        <is>
          <t>Josephus, Flavius.</t>
        </is>
      </c>
      <c r="L374" t="inlineStr">
        <is>
          <t>New York, Meridian Books [1960]</t>
        </is>
      </c>
      <c r="M374" t="inlineStr">
        <is>
          <t>1960</t>
        </is>
      </c>
      <c r="O374" t="inlineStr">
        <is>
          <t>eng</t>
        </is>
      </c>
      <c r="P374" t="inlineStr">
        <is>
          <t>nyu</t>
        </is>
      </c>
      <c r="Q374" t="inlineStr">
        <is>
          <t>Meridian books ; M106</t>
        </is>
      </c>
      <c r="R374" t="inlineStr">
        <is>
          <t xml:space="preserve">DS </t>
        </is>
      </c>
      <c r="S374" t="n">
        <v>12</v>
      </c>
      <c r="T374" t="n">
        <v>12</v>
      </c>
      <c r="U374" t="inlineStr">
        <is>
          <t>2006-08-07</t>
        </is>
      </c>
      <c r="V374" t="inlineStr">
        <is>
          <t>2006-08-07</t>
        </is>
      </c>
      <c r="W374" t="inlineStr">
        <is>
          <t>1997-02-26</t>
        </is>
      </c>
      <c r="X374" t="inlineStr">
        <is>
          <t>1997-02-26</t>
        </is>
      </c>
      <c r="Y374" t="n">
        <v>332</v>
      </c>
      <c r="Z374" t="n">
        <v>297</v>
      </c>
      <c r="AA374" t="n">
        <v>344</v>
      </c>
      <c r="AB374" t="n">
        <v>2</v>
      </c>
      <c r="AC374" t="n">
        <v>3</v>
      </c>
      <c r="AD374" t="n">
        <v>9</v>
      </c>
      <c r="AE374" t="n">
        <v>10</v>
      </c>
      <c r="AF374" t="n">
        <v>3</v>
      </c>
      <c r="AG374" t="n">
        <v>3</v>
      </c>
      <c r="AH374" t="n">
        <v>2</v>
      </c>
      <c r="AI374" t="n">
        <v>2</v>
      </c>
      <c r="AJ374" t="n">
        <v>4</v>
      </c>
      <c r="AK374" t="n">
        <v>4</v>
      </c>
      <c r="AL374" t="n">
        <v>1</v>
      </c>
      <c r="AM374" t="n">
        <v>2</v>
      </c>
      <c r="AN374" t="n">
        <v>0</v>
      </c>
      <c r="AO374" t="n">
        <v>0</v>
      </c>
      <c r="AP374" t="inlineStr">
        <is>
          <t>Yes</t>
        </is>
      </c>
      <c r="AQ374" t="inlineStr">
        <is>
          <t>Yes</t>
        </is>
      </c>
      <c r="AR374">
        <f>HYPERLINK("http://catalog.hathitrust.org/Record/001242639","HathiTrust Record")</f>
        <v/>
      </c>
      <c r="AS374">
        <f>HYPERLINK("https://creighton-primo.hosted.exlibrisgroup.com/primo-explore/search?tab=default_tab&amp;search_scope=EVERYTHING&amp;vid=01CRU&amp;lang=en_US&amp;offset=0&amp;query=any,contains,991003392749702656","Catalog Record")</f>
        <v/>
      </c>
      <c r="AT374">
        <f>HYPERLINK("http://www.worldcat.org/oclc/931330","WorldCat Record")</f>
        <v/>
      </c>
      <c r="AU374" t="inlineStr">
        <is>
          <t>196125042:eng</t>
        </is>
      </c>
      <c r="AV374" t="inlineStr">
        <is>
          <t>931330</t>
        </is>
      </c>
      <c r="AW374" t="inlineStr">
        <is>
          <t>991003392749702656</t>
        </is>
      </c>
      <c r="AX374" t="inlineStr">
        <is>
          <t>991003392749702656</t>
        </is>
      </c>
      <c r="AY374" t="inlineStr">
        <is>
          <t>2268811220002656</t>
        </is>
      </c>
      <c r="AZ374" t="inlineStr">
        <is>
          <t>BOOK</t>
        </is>
      </c>
      <c r="BC374" t="inlineStr">
        <is>
          <t>32285002462165</t>
        </is>
      </c>
      <c r="BD374" t="inlineStr">
        <is>
          <t>893887426</t>
        </is>
      </c>
    </row>
    <row r="375">
      <c r="A375" t="inlineStr">
        <is>
          <t>No</t>
        </is>
      </c>
      <c r="B375" t="inlineStr">
        <is>
          <t>DS122 .M46 1991</t>
        </is>
      </c>
      <c r="C375" t="inlineStr">
        <is>
          <t>0                      DS 0122000M  46          1991</t>
        </is>
      </c>
      <c r="D375" t="inlineStr">
        <is>
          <t>Power and politics in Palestine : the Jews and the governing of their land, 100 BC-AD 70 / James S. McLaren.</t>
        </is>
      </c>
      <c r="F375" t="inlineStr">
        <is>
          <t>No</t>
        </is>
      </c>
      <c r="G375" t="inlineStr">
        <is>
          <t>1</t>
        </is>
      </c>
      <c r="H375" t="inlineStr">
        <is>
          <t>No</t>
        </is>
      </c>
      <c r="I375" t="inlineStr">
        <is>
          <t>No</t>
        </is>
      </c>
      <c r="J375" t="inlineStr">
        <is>
          <t>0</t>
        </is>
      </c>
      <c r="K375" t="inlineStr">
        <is>
          <t>McLaren, James S.</t>
        </is>
      </c>
      <c r="L375" t="inlineStr">
        <is>
          <t>Sheffield, England : JSOT Press, c1991.</t>
        </is>
      </c>
      <c r="M375" t="inlineStr">
        <is>
          <t>1991</t>
        </is>
      </c>
      <c r="O375" t="inlineStr">
        <is>
          <t>eng</t>
        </is>
      </c>
      <c r="P375" t="inlineStr">
        <is>
          <t>enk</t>
        </is>
      </c>
      <c r="Q375" t="inlineStr">
        <is>
          <t>Journal for the study of the New Testament. Supplement series, 0143-5108 ; 63</t>
        </is>
      </c>
      <c r="R375" t="inlineStr">
        <is>
          <t xml:space="preserve">DS </t>
        </is>
      </c>
      <c r="S375" t="n">
        <v>2</v>
      </c>
      <c r="T375" t="n">
        <v>2</v>
      </c>
      <c r="U375" t="inlineStr">
        <is>
          <t>2006-08-07</t>
        </is>
      </c>
      <c r="V375" t="inlineStr">
        <is>
          <t>2006-08-07</t>
        </is>
      </c>
      <c r="W375" t="inlineStr">
        <is>
          <t>1993-01-04</t>
        </is>
      </c>
      <c r="X375" t="inlineStr">
        <is>
          <t>1993-01-04</t>
        </is>
      </c>
      <c r="Y375" t="n">
        <v>280</v>
      </c>
      <c r="Z375" t="n">
        <v>193</v>
      </c>
      <c r="AA375" t="n">
        <v>504</v>
      </c>
      <c r="AB375" t="n">
        <v>1</v>
      </c>
      <c r="AC375" t="n">
        <v>3</v>
      </c>
      <c r="AD375" t="n">
        <v>13</v>
      </c>
      <c r="AE375" t="n">
        <v>18</v>
      </c>
      <c r="AF375" t="n">
        <v>5</v>
      </c>
      <c r="AG375" t="n">
        <v>7</v>
      </c>
      <c r="AH375" t="n">
        <v>4</v>
      </c>
      <c r="AI375" t="n">
        <v>6</v>
      </c>
      <c r="AJ375" t="n">
        <v>7</v>
      </c>
      <c r="AK375" t="n">
        <v>7</v>
      </c>
      <c r="AL375" t="n">
        <v>0</v>
      </c>
      <c r="AM375" t="n">
        <v>2</v>
      </c>
      <c r="AN375" t="n">
        <v>0</v>
      </c>
      <c r="AO375" t="n">
        <v>0</v>
      </c>
      <c r="AP375" t="inlineStr">
        <is>
          <t>No</t>
        </is>
      </c>
      <c r="AQ375" t="inlineStr">
        <is>
          <t>Yes</t>
        </is>
      </c>
      <c r="AR375">
        <f>HYPERLINK("http://catalog.hathitrust.org/Record/002514737","HathiTrust Record")</f>
        <v/>
      </c>
      <c r="AS375">
        <f>HYPERLINK("https://creighton-primo.hosted.exlibrisgroup.com/primo-explore/search?tab=default_tab&amp;search_scope=EVERYTHING&amp;vid=01CRU&amp;lang=en_US&amp;offset=0&amp;query=any,contains,991002106539702656","Catalog Record")</f>
        <v/>
      </c>
      <c r="AT375">
        <f>HYPERLINK("http://www.worldcat.org/oclc/27013766","WorldCat Record")</f>
        <v/>
      </c>
      <c r="AU375" t="inlineStr">
        <is>
          <t>807142331:eng</t>
        </is>
      </c>
      <c r="AV375" t="inlineStr">
        <is>
          <t>27013766</t>
        </is>
      </c>
      <c r="AW375" t="inlineStr">
        <is>
          <t>991002106539702656</t>
        </is>
      </c>
      <c r="AX375" t="inlineStr">
        <is>
          <t>991002106539702656</t>
        </is>
      </c>
      <c r="AY375" t="inlineStr">
        <is>
          <t>2258752940002656</t>
        </is>
      </c>
      <c r="AZ375" t="inlineStr">
        <is>
          <t>BOOK</t>
        </is>
      </c>
      <c r="BB375" t="inlineStr">
        <is>
          <t>9781850753193</t>
        </is>
      </c>
      <c r="BC375" t="inlineStr">
        <is>
          <t>32285001403442</t>
        </is>
      </c>
      <c r="BD375" t="inlineStr">
        <is>
          <t>893226468</t>
        </is>
      </c>
    </row>
    <row r="376">
      <c r="A376" t="inlineStr">
        <is>
          <t>No</t>
        </is>
      </c>
      <c r="B376" t="inlineStr">
        <is>
          <t>DS122 .P83 1998</t>
        </is>
      </c>
      <c r="C376" t="inlineStr">
        <is>
          <t>0                      DS 0122000P  83          1998</t>
        </is>
      </c>
      <c r="D376" t="inlineStr">
        <is>
          <t>Jewish rights in the Roman world : the Greek and Roman documents quoted by Josephus Flavius / Miriam Pucci Ben Zeev.</t>
        </is>
      </c>
      <c r="F376" t="inlineStr">
        <is>
          <t>No</t>
        </is>
      </c>
      <c r="G376" t="inlineStr">
        <is>
          <t>1</t>
        </is>
      </c>
      <c r="H376" t="inlineStr">
        <is>
          <t>No</t>
        </is>
      </c>
      <c r="I376" t="inlineStr">
        <is>
          <t>No</t>
        </is>
      </c>
      <c r="J376" t="inlineStr">
        <is>
          <t>0</t>
        </is>
      </c>
      <c r="K376" t="inlineStr">
        <is>
          <t>Ben Zeev, Miriam Pucci, 1948-</t>
        </is>
      </c>
      <c r="L376" t="inlineStr">
        <is>
          <t>Tübingen : Mohr Siebeck, 1998.</t>
        </is>
      </c>
      <c r="M376" t="inlineStr">
        <is>
          <t>1998</t>
        </is>
      </c>
      <c r="O376" t="inlineStr">
        <is>
          <t>eng</t>
        </is>
      </c>
      <c r="P376" t="inlineStr">
        <is>
          <t xml:space="preserve">gw </t>
        </is>
      </c>
      <c r="Q376" t="inlineStr">
        <is>
          <t>Texte und Studien zum antiken Judentum ; 74</t>
        </is>
      </c>
      <c r="R376" t="inlineStr">
        <is>
          <t xml:space="preserve">DS </t>
        </is>
      </c>
      <c r="S376" t="n">
        <v>1</v>
      </c>
      <c r="T376" t="n">
        <v>1</v>
      </c>
      <c r="U376" t="inlineStr">
        <is>
          <t>2000-09-04</t>
        </is>
      </c>
      <c r="V376" t="inlineStr">
        <is>
          <t>2000-09-04</t>
        </is>
      </c>
      <c r="W376" t="inlineStr">
        <is>
          <t>1999-10-27</t>
        </is>
      </c>
      <c r="X376" t="inlineStr">
        <is>
          <t>1999-10-27</t>
        </is>
      </c>
      <c r="Y376" t="n">
        <v>109</v>
      </c>
      <c r="Z376" t="n">
        <v>69</v>
      </c>
      <c r="AA376" t="n">
        <v>86</v>
      </c>
      <c r="AB376" t="n">
        <v>1</v>
      </c>
      <c r="AC376" t="n">
        <v>1</v>
      </c>
      <c r="AD376" t="n">
        <v>3</v>
      </c>
      <c r="AE376" t="n">
        <v>4</v>
      </c>
      <c r="AF376" t="n">
        <v>0</v>
      </c>
      <c r="AG376" t="n">
        <v>1</v>
      </c>
      <c r="AH376" t="n">
        <v>1</v>
      </c>
      <c r="AI376" t="n">
        <v>1</v>
      </c>
      <c r="AJ376" t="n">
        <v>2</v>
      </c>
      <c r="AK376" t="n">
        <v>2</v>
      </c>
      <c r="AL376" t="n">
        <v>0</v>
      </c>
      <c r="AM376" t="n">
        <v>0</v>
      </c>
      <c r="AN376" t="n">
        <v>0</v>
      </c>
      <c r="AO376" t="n">
        <v>0</v>
      </c>
      <c r="AP376" t="inlineStr">
        <is>
          <t>No</t>
        </is>
      </c>
      <c r="AQ376" t="inlineStr">
        <is>
          <t>Yes</t>
        </is>
      </c>
      <c r="AR376">
        <f>HYPERLINK("http://catalog.hathitrust.org/Record/003346454","HathiTrust Record")</f>
        <v/>
      </c>
      <c r="AS376">
        <f>HYPERLINK("https://creighton-primo.hosted.exlibrisgroup.com/primo-explore/search?tab=default_tab&amp;search_scope=EVERYTHING&amp;vid=01CRU&amp;lang=en_US&amp;offset=0&amp;query=any,contains,991003001279702656","Catalog Record")</f>
        <v/>
      </c>
      <c r="AT376">
        <f>HYPERLINK("http://www.worldcat.org/oclc/40662168","WorldCat Record")</f>
        <v/>
      </c>
      <c r="AU376" t="inlineStr">
        <is>
          <t>807217435:eng</t>
        </is>
      </c>
      <c r="AV376" t="inlineStr">
        <is>
          <t>40662168</t>
        </is>
      </c>
      <c r="AW376" t="inlineStr">
        <is>
          <t>991003001279702656</t>
        </is>
      </c>
      <c r="AX376" t="inlineStr">
        <is>
          <t>991003001279702656</t>
        </is>
      </c>
      <c r="AY376" t="inlineStr">
        <is>
          <t>2264078490002656</t>
        </is>
      </c>
      <c r="AZ376" t="inlineStr">
        <is>
          <t>BOOK</t>
        </is>
      </c>
      <c r="BB376" t="inlineStr">
        <is>
          <t>9783161470431</t>
        </is>
      </c>
      <c r="BC376" t="inlineStr">
        <is>
          <t>32285003614517</t>
        </is>
      </c>
      <c r="BD376" t="inlineStr">
        <is>
          <t>893409809</t>
        </is>
      </c>
    </row>
    <row r="377">
      <c r="A377" t="inlineStr">
        <is>
          <t>No</t>
        </is>
      </c>
      <c r="B377" t="inlineStr">
        <is>
          <t>DS122 .S3913 1972</t>
        </is>
      </c>
      <c r="C377" t="inlineStr">
        <is>
          <t>0                      DS 0122000S  3913        1972</t>
        </is>
      </c>
      <c r="D377" t="inlineStr">
        <is>
          <t>The literature of the Jewish people in the time of Jesus. Edited with an introd. by Nahum N. Glatzer.</t>
        </is>
      </c>
      <c r="F377" t="inlineStr">
        <is>
          <t>No</t>
        </is>
      </c>
      <c r="G377" t="inlineStr">
        <is>
          <t>1</t>
        </is>
      </c>
      <c r="H377" t="inlineStr">
        <is>
          <t>No</t>
        </is>
      </c>
      <c r="I377" t="inlineStr">
        <is>
          <t>Yes</t>
        </is>
      </c>
      <c r="J377" t="inlineStr">
        <is>
          <t>0</t>
        </is>
      </c>
      <c r="K377" t="inlineStr">
        <is>
          <t>Schürer, Emil, 1844-1910.</t>
        </is>
      </c>
      <c r="L377" t="inlineStr">
        <is>
          <t>New York, Schocken Books [1972]</t>
        </is>
      </c>
      <c r="M377" t="inlineStr">
        <is>
          <t>1972</t>
        </is>
      </c>
      <c r="O377" t="inlineStr">
        <is>
          <t>eng</t>
        </is>
      </c>
      <c r="P377" t="inlineStr">
        <is>
          <t>nyu</t>
        </is>
      </c>
      <c r="R377" t="inlineStr">
        <is>
          <t xml:space="preserve">DS </t>
        </is>
      </c>
      <c r="S377" t="n">
        <v>2</v>
      </c>
      <c r="T377" t="n">
        <v>2</v>
      </c>
      <c r="U377" t="inlineStr">
        <is>
          <t>1997-06-13</t>
        </is>
      </c>
      <c r="V377" t="inlineStr">
        <is>
          <t>1997-06-13</t>
        </is>
      </c>
      <c r="W377" t="inlineStr">
        <is>
          <t>1997-02-26</t>
        </is>
      </c>
      <c r="X377" t="inlineStr">
        <is>
          <t>1997-02-26</t>
        </is>
      </c>
      <c r="Y377" t="n">
        <v>469</v>
      </c>
      <c r="Z377" t="n">
        <v>406</v>
      </c>
      <c r="AA377" t="n">
        <v>822</v>
      </c>
      <c r="AB377" t="n">
        <v>5</v>
      </c>
      <c r="AC377" t="n">
        <v>10</v>
      </c>
      <c r="AD377" t="n">
        <v>19</v>
      </c>
      <c r="AE377" t="n">
        <v>41</v>
      </c>
      <c r="AF377" t="n">
        <v>7</v>
      </c>
      <c r="AG377" t="n">
        <v>15</v>
      </c>
      <c r="AH377" t="n">
        <v>4</v>
      </c>
      <c r="AI377" t="n">
        <v>9</v>
      </c>
      <c r="AJ377" t="n">
        <v>10</v>
      </c>
      <c r="AK377" t="n">
        <v>16</v>
      </c>
      <c r="AL377" t="n">
        <v>4</v>
      </c>
      <c r="AM377" t="n">
        <v>9</v>
      </c>
      <c r="AN377" t="n">
        <v>0</v>
      </c>
      <c r="AO377" t="n">
        <v>1</v>
      </c>
      <c r="AP377" t="inlineStr">
        <is>
          <t>No</t>
        </is>
      </c>
      <c r="AQ377" t="inlineStr">
        <is>
          <t>Yes</t>
        </is>
      </c>
      <c r="AR377">
        <f>HYPERLINK("http://catalog.hathitrust.org/Record/001243043","HathiTrust Record")</f>
        <v/>
      </c>
      <c r="AS377">
        <f>HYPERLINK("https://creighton-primo.hosted.exlibrisgroup.com/primo-explore/search?tab=default_tab&amp;search_scope=EVERYTHING&amp;vid=01CRU&amp;lang=en_US&amp;offset=0&amp;query=any,contains,991002941459702656","Catalog Record")</f>
        <v/>
      </c>
      <c r="AT377">
        <f>HYPERLINK("http://www.worldcat.org/oclc/535237","WorldCat Record")</f>
        <v/>
      </c>
      <c r="AU377" t="inlineStr">
        <is>
          <t>1489436:eng</t>
        </is>
      </c>
      <c r="AV377" t="inlineStr">
        <is>
          <t>535237</t>
        </is>
      </c>
      <c r="AW377" t="inlineStr">
        <is>
          <t>991002941459702656</t>
        </is>
      </c>
      <c r="AX377" t="inlineStr">
        <is>
          <t>991002941459702656</t>
        </is>
      </c>
      <c r="AY377" t="inlineStr">
        <is>
          <t>2263408980002656</t>
        </is>
      </c>
      <c r="AZ377" t="inlineStr">
        <is>
          <t>BOOK</t>
        </is>
      </c>
      <c r="BC377" t="inlineStr">
        <is>
          <t>32285002462207</t>
        </is>
      </c>
      <c r="BD377" t="inlineStr">
        <is>
          <t>893799192</t>
        </is>
      </c>
    </row>
    <row r="378">
      <c r="A378" t="inlineStr">
        <is>
          <t>No</t>
        </is>
      </c>
      <c r="B378" t="inlineStr">
        <is>
          <t>DS122 .S422 1973</t>
        </is>
      </c>
      <c r="C378" t="inlineStr">
        <is>
          <t>0                      DS 0122000S  422         1973</t>
        </is>
      </c>
      <c r="D378" t="inlineStr">
        <is>
          <t>The history of the Jewish people in the age of Jesus Christ (175 B.C.-A.D. 135) / by Emil Schürer ; [translated by T. A. Burkill ... and others] ; revised and edited by Geza Vermes &amp; Fergus Millar. --</t>
        </is>
      </c>
      <c r="E378" t="inlineStr">
        <is>
          <t>V.3 PT.2</t>
        </is>
      </c>
      <c r="F378" t="inlineStr">
        <is>
          <t>Yes</t>
        </is>
      </c>
      <c r="G378" t="inlineStr">
        <is>
          <t>1</t>
        </is>
      </c>
      <c r="H378" t="inlineStr">
        <is>
          <t>No</t>
        </is>
      </c>
      <c r="I378" t="inlineStr">
        <is>
          <t>No</t>
        </is>
      </c>
      <c r="J378" t="inlineStr">
        <is>
          <t>0</t>
        </is>
      </c>
      <c r="K378" t="inlineStr">
        <is>
          <t>Schürer, Emil, 1844-1910.</t>
        </is>
      </c>
      <c r="L378" t="inlineStr">
        <is>
          <t>Edinburgh : Clark, 1973-</t>
        </is>
      </c>
      <c r="M378" t="inlineStr">
        <is>
          <t>1973</t>
        </is>
      </c>
      <c r="O378" t="inlineStr">
        <is>
          <t>eng</t>
        </is>
      </c>
      <c r="P378" t="inlineStr">
        <is>
          <t>stk</t>
        </is>
      </c>
      <c r="R378" t="inlineStr">
        <is>
          <t xml:space="preserve">DS </t>
        </is>
      </c>
      <c r="S378" t="n">
        <v>1</v>
      </c>
      <c r="T378" t="n">
        <v>18</v>
      </c>
      <c r="U378" t="inlineStr">
        <is>
          <t>1995-02-03</t>
        </is>
      </c>
      <c r="V378" t="inlineStr">
        <is>
          <t>2002-11-16</t>
        </is>
      </c>
      <c r="W378" t="inlineStr">
        <is>
          <t>1990-03-06</t>
        </is>
      </c>
      <c r="X378" t="inlineStr">
        <is>
          <t>1990-10-01</t>
        </is>
      </c>
      <c r="Y378" t="n">
        <v>713</v>
      </c>
      <c r="Z378" t="n">
        <v>580</v>
      </c>
      <c r="AA378" t="n">
        <v>637</v>
      </c>
      <c r="AB378" t="n">
        <v>4</v>
      </c>
      <c r="AC378" t="n">
        <v>4</v>
      </c>
      <c r="AD378" t="n">
        <v>38</v>
      </c>
      <c r="AE378" t="n">
        <v>41</v>
      </c>
      <c r="AF378" t="n">
        <v>14</v>
      </c>
      <c r="AG378" t="n">
        <v>15</v>
      </c>
      <c r="AH378" t="n">
        <v>9</v>
      </c>
      <c r="AI378" t="n">
        <v>11</v>
      </c>
      <c r="AJ378" t="n">
        <v>22</v>
      </c>
      <c r="AK378" t="n">
        <v>23</v>
      </c>
      <c r="AL378" t="n">
        <v>2</v>
      </c>
      <c r="AM378" t="n">
        <v>2</v>
      </c>
      <c r="AN378" t="n">
        <v>0</v>
      </c>
      <c r="AO378" t="n">
        <v>1</v>
      </c>
      <c r="AP378" t="inlineStr">
        <is>
          <t>No</t>
        </is>
      </c>
      <c r="AQ378" t="inlineStr">
        <is>
          <t>Yes</t>
        </is>
      </c>
      <c r="AR378">
        <f>HYPERLINK("http://catalog.hathitrust.org/Record/000710723","HathiTrust Record")</f>
        <v/>
      </c>
      <c r="AS378">
        <f>HYPERLINK("https://creighton-primo.hosted.exlibrisgroup.com/primo-explore/search?tab=default_tab&amp;search_scope=EVERYTHING&amp;vid=01CRU&amp;lang=en_US&amp;offset=0&amp;query=any,contains,991003375249702656","Catalog Record")</f>
        <v/>
      </c>
      <c r="AT378">
        <f>HYPERLINK("http://www.worldcat.org/oclc/912175","WorldCat Record")</f>
        <v/>
      </c>
      <c r="AU378" t="inlineStr">
        <is>
          <t>4160140963:eng</t>
        </is>
      </c>
      <c r="AV378" t="inlineStr">
        <is>
          <t>912175</t>
        </is>
      </c>
      <c r="AW378" t="inlineStr">
        <is>
          <t>991003375249702656</t>
        </is>
      </c>
      <c r="AX378" t="inlineStr">
        <is>
          <t>991003375249702656</t>
        </is>
      </c>
      <c r="AY378" t="inlineStr">
        <is>
          <t>2268412800002656</t>
        </is>
      </c>
      <c r="AZ378" t="inlineStr">
        <is>
          <t>BOOK</t>
        </is>
      </c>
      <c r="BB378" t="inlineStr">
        <is>
          <t>9780567022424</t>
        </is>
      </c>
      <c r="BC378" t="inlineStr">
        <is>
          <t>32285000077361</t>
        </is>
      </c>
      <c r="BD378" t="inlineStr">
        <is>
          <t>893324037</t>
        </is>
      </c>
    </row>
    <row r="379">
      <c r="A379" t="inlineStr">
        <is>
          <t>No</t>
        </is>
      </c>
      <c r="B379" t="inlineStr">
        <is>
          <t>DS122 .S422 1973</t>
        </is>
      </c>
      <c r="C379" t="inlineStr">
        <is>
          <t>0                      DS 0122000S  422         1973</t>
        </is>
      </c>
      <c r="D379" t="inlineStr">
        <is>
          <t>The history of the Jewish people in the age of Jesus Christ (175 B.C.-A.D. 135) / by Emil Schürer ; [translated by T. A. Burkill ... and others] ; revised and edited by Geza Vermes &amp; Fergus Millar. --</t>
        </is>
      </c>
      <c r="E379" t="inlineStr">
        <is>
          <t>V.2</t>
        </is>
      </c>
      <c r="F379" t="inlineStr">
        <is>
          <t>Yes</t>
        </is>
      </c>
      <c r="G379" t="inlineStr">
        <is>
          <t>1</t>
        </is>
      </c>
      <c r="H379" t="inlineStr">
        <is>
          <t>No</t>
        </is>
      </c>
      <c r="I379" t="inlineStr">
        <is>
          <t>No</t>
        </is>
      </c>
      <c r="J379" t="inlineStr">
        <is>
          <t>0</t>
        </is>
      </c>
      <c r="K379" t="inlineStr">
        <is>
          <t>Schürer, Emil, 1844-1910.</t>
        </is>
      </c>
      <c r="L379" t="inlineStr">
        <is>
          <t>Edinburgh : Clark, 1973-</t>
        </is>
      </c>
      <c r="M379" t="inlineStr">
        <is>
          <t>1973</t>
        </is>
      </c>
      <c r="O379" t="inlineStr">
        <is>
          <t>eng</t>
        </is>
      </c>
      <c r="P379" t="inlineStr">
        <is>
          <t>stk</t>
        </is>
      </c>
      <c r="R379" t="inlineStr">
        <is>
          <t xml:space="preserve">DS </t>
        </is>
      </c>
      <c r="S379" t="n">
        <v>6</v>
      </c>
      <c r="T379" t="n">
        <v>18</v>
      </c>
      <c r="U379" t="inlineStr">
        <is>
          <t>2002-11-16</t>
        </is>
      </c>
      <c r="V379" t="inlineStr">
        <is>
          <t>2002-11-16</t>
        </is>
      </c>
      <c r="W379" t="inlineStr">
        <is>
          <t>1990-04-17</t>
        </is>
      </c>
      <c r="X379" t="inlineStr">
        <is>
          <t>1990-10-01</t>
        </is>
      </c>
      <c r="Y379" t="n">
        <v>713</v>
      </c>
      <c r="Z379" t="n">
        <v>580</v>
      </c>
      <c r="AA379" t="n">
        <v>637</v>
      </c>
      <c r="AB379" t="n">
        <v>4</v>
      </c>
      <c r="AC379" t="n">
        <v>4</v>
      </c>
      <c r="AD379" t="n">
        <v>38</v>
      </c>
      <c r="AE379" t="n">
        <v>41</v>
      </c>
      <c r="AF379" t="n">
        <v>14</v>
      </c>
      <c r="AG379" t="n">
        <v>15</v>
      </c>
      <c r="AH379" t="n">
        <v>9</v>
      </c>
      <c r="AI379" t="n">
        <v>11</v>
      </c>
      <c r="AJ379" t="n">
        <v>22</v>
      </c>
      <c r="AK379" t="n">
        <v>23</v>
      </c>
      <c r="AL379" t="n">
        <v>2</v>
      </c>
      <c r="AM379" t="n">
        <v>2</v>
      </c>
      <c r="AN379" t="n">
        <v>0</v>
      </c>
      <c r="AO379" t="n">
        <v>1</v>
      </c>
      <c r="AP379" t="inlineStr">
        <is>
          <t>No</t>
        </is>
      </c>
      <c r="AQ379" t="inlineStr">
        <is>
          <t>Yes</t>
        </is>
      </c>
      <c r="AR379">
        <f>HYPERLINK("http://catalog.hathitrust.org/Record/000710723","HathiTrust Record")</f>
        <v/>
      </c>
      <c r="AS379">
        <f>HYPERLINK("https://creighton-primo.hosted.exlibrisgroup.com/primo-explore/search?tab=default_tab&amp;search_scope=EVERYTHING&amp;vid=01CRU&amp;lang=en_US&amp;offset=0&amp;query=any,contains,991003375249702656","Catalog Record")</f>
        <v/>
      </c>
      <c r="AT379">
        <f>HYPERLINK("http://www.worldcat.org/oclc/912175","WorldCat Record")</f>
        <v/>
      </c>
      <c r="AU379" t="inlineStr">
        <is>
          <t>4160140963:eng</t>
        </is>
      </c>
      <c r="AV379" t="inlineStr">
        <is>
          <t>912175</t>
        </is>
      </c>
      <c r="AW379" t="inlineStr">
        <is>
          <t>991003375249702656</t>
        </is>
      </c>
      <c r="AX379" t="inlineStr">
        <is>
          <t>991003375249702656</t>
        </is>
      </c>
      <c r="AY379" t="inlineStr">
        <is>
          <t>2268412800002656</t>
        </is>
      </c>
      <c r="AZ379" t="inlineStr">
        <is>
          <t>BOOK</t>
        </is>
      </c>
      <c r="BB379" t="inlineStr">
        <is>
          <t>9780567022424</t>
        </is>
      </c>
      <c r="BC379" t="inlineStr">
        <is>
          <t>32285000120856</t>
        </is>
      </c>
      <c r="BD379" t="inlineStr">
        <is>
          <t>893324035</t>
        </is>
      </c>
    </row>
    <row r="380">
      <c r="A380" t="inlineStr">
        <is>
          <t>No</t>
        </is>
      </c>
      <c r="B380" t="inlineStr">
        <is>
          <t>DS122 .S422 1973</t>
        </is>
      </c>
      <c r="C380" t="inlineStr">
        <is>
          <t>0                      DS 0122000S  422         1973</t>
        </is>
      </c>
      <c r="D380" t="inlineStr">
        <is>
          <t>The history of the Jewish people in the age of Jesus Christ (175 B.C.-A.D. 135) / by Emil Schürer ; [translated by T. A. Burkill ... and others] ; revised and edited by Geza Vermes &amp; Fergus Millar. --</t>
        </is>
      </c>
      <c r="E380" t="inlineStr">
        <is>
          <t>V.3 PT.1</t>
        </is>
      </c>
      <c r="F380" t="inlineStr">
        <is>
          <t>Yes</t>
        </is>
      </c>
      <c r="G380" t="inlineStr">
        <is>
          <t>1</t>
        </is>
      </c>
      <c r="H380" t="inlineStr">
        <is>
          <t>No</t>
        </is>
      </c>
      <c r="I380" t="inlineStr">
        <is>
          <t>No</t>
        </is>
      </c>
      <c r="J380" t="inlineStr">
        <is>
          <t>0</t>
        </is>
      </c>
      <c r="K380" t="inlineStr">
        <is>
          <t>Schürer, Emil, 1844-1910.</t>
        </is>
      </c>
      <c r="L380" t="inlineStr">
        <is>
          <t>Edinburgh : Clark, 1973-</t>
        </is>
      </c>
      <c r="M380" t="inlineStr">
        <is>
          <t>1973</t>
        </is>
      </c>
      <c r="O380" t="inlineStr">
        <is>
          <t>eng</t>
        </is>
      </c>
      <c r="P380" t="inlineStr">
        <is>
          <t>stk</t>
        </is>
      </c>
      <c r="R380" t="inlineStr">
        <is>
          <t xml:space="preserve">DS </t>
        </is>
      </c>
      <c r="S380" t="n">
        <v>3</v>
      </c>
      <c r="T380" t="n">
        <v>18</v>
      </c>
      <c r="U380" t="inlineStr">
        <is>
          <t>1995-02-03</t>
        </is>
      </c>
      <c r="V380" t="inlineStr">
        <is>
          <t>2002-11-16</t>
        </is>
      </c>
      <c r="W380" t="inlineStr">
        <is>
          <t>1990-03-06</t>
        </is>
      </c>
      <c r="X380" t="inlineStr">
        <is>
          <t>1990-10-01</t>
        </is>
      </c>
      <c r="Y380" t="n">
        <v>713</v>
      </c>
      <c r="Z380" t="n">
        <v>580</v>
      </c>
      <c r="AA380" t="n">
        <v>637</v>
      </c>
      <c r="AB380" t="n">
        <v>4</v>
      </c>
      <c r="AC380" t="n">
        <v>4</v>
      </c>
      <c r="AD380" t="n">
        <v>38</v>
      </c>
      <c r="AE380" t="n">
        <v>41</v>
      </c>
      <c r="AF380" t="n">
        <v>14</v>
      </c>
      <c r="AG380" t="n">
        <v>15</v>
      </c>
      <c r="AH380" t="n">
        <v>9</v>
      </c>
      <c r="AI380" t="n">
        <v>11</v>
      </c>
      <c r="AJ380" t="n">
        <v>22</v>
      </c>
      <c r="AK380" t="n">
        <v>23</v>
      </c>
      <c r="AL380" t="n">
        <v>2</v>
      </c>
      <c r="AM380" t="n">
        <v>2</v>
      </c>
      <c r="AN380" t="n">
        <v>0</v>
      </c>
      <c r="AO380" t="n">
        <v>1</v>
      </c>
      <c r="AP380" t="inlineStr">
        <is>
          <t>No</t>
        </is>
      </c>
      <c r="AQ380" t="inlineStr">
        <is>
          <t>Yes</t>
        </is>
      </c>
      <c r="AR380">
        <f>HYPERLINK("http://catalog.hathitrust.org/Record/000710723","HathiTrust Record")</f>
        <v/>
      </c>
      <c r="AS380">
        <f>HYPERLINK("https://creighton-primo.hosted.exlibrisgroup.com/primo-explore/search?tab=default_tab&amp;search_scope=EVERYTHING&amp;vid=01CRU&amp;lang=en_US&amp;offset=0&amp;query=any,contains,991003375249702656","Catalog Record")</f>
        <v/>
      </c>
      <c r="AT380">
        <f>HYPERLINK("http://www.worldcat.org/oclc/912175","WorldCat Record")</f>
        <v/>
      </c>
      <c r="AU380" t="inlineStr">
        <is>
          <t>4160140963:eng</t>
        </is>
      </c>
      <c r="AV380" t="inlineStr">
        <is>
          <t>912175</t>
        </is>
      </c>
      <c r="AW380" t="inlineStr">
        <is>
          <t>991003375249702656</t>
        </is>
      </c>
      <c r="AX380" t="inlineStr">
        <is>
          <t>991003375249702656</t>
        </is>
      </c>
      <c r="AY380" t="inlineStr">
        <is>
          <t>2268412800002656</t>
        </is>
      </c>
      <c r="AZ380" t="inlineStr">
        <is>
          <t>BOOK</t>
        </is>
      </c>
      <c r="BB380" t="inlineStr">
        <is>
          <t>9780567022424</t>
        </is>
      </c>
      <c r="BC380" t="inlineStr">
        <is>
          <t>32285000077353</t>
        </is>
      </c>
      <c r="BD380" t="inlineStr">
        <is>
          <t>893336441</t>
        </is>
      </c>
    </row>
    <row r="381">
      <c r="A381" t="inlineStr">
        <is>
          <t>No</t>
        </is>
      </c>
      <c r="B381" t="inlineStr">
        <is>
          <t>DS122 .S422 1973</t>
        </is>
      </c>
      <c r="C381" t="inlineStr">
        <is>
          <t>0                      DS 0122000S  422         1973</t>
        </is>
      </c>
      <c r="D381" t="inlineStr">
        <is>
          <t>The history of the Jewish people in the age of Jesus Christ (175 B.C.-A.D. 135) / by Emil Schürer ; [translated by T. A. Burkill ... and others] ; revised and edited by Geza Vermes &amp; Fergus Millar. --</t>
        </is>
      </c>
      <c r="E381" t="inlineStr">
        <is>
          <t>V.1</t>
        </is>
      </c>
      <c r="F381" t="inlineStr">
        <is>
          <t>Yes</t>
        </is>
      </c>
      <c r="G381" t="inlineStr">
        <is>
          <t>1</t>
        </is>
      </c>
      <c r="H381" t="inlineStr">
        <is>
          <t>No</t>
        </is>
      </c>
      <c r="I381" t="inlineStr">
        <is>
          <t>No</t>
        </is>
      </c>
      <c r="J381" t="inlineStr">
        <is>
          <t>0</t>
        </is>
      </c>
      <c r="K381" t="inlineStr">
        <is>
          <t>Schürer, Emil, 1844-1910.</t>
        </is>
      </c>
      <c r="L381" t="inlineStr">
        <is>
          <t>Edinburgh : Clark, 1973-</t>
        </is>
      </c>
      <c r="M381" t="inlineStr">
        <is>
          <t>1973</t>
        </is>
      </c>
      <c r="O381" t="inlineStr">
        <is>
          <t>eng</t>
        </is>
      </c>
      <c r="P381" t="inlineStr">
        <is>
          <t>stk</t>
        </is>
      </c>
      <c r="R381" t="inlineStr">
        <is>
          <t xml:space="preserve">DS </t>
        </is>
      </c>
      <c r="S381" t="n">
        <v>8</v>
      </c>
      <c r="T381" t="n">
        <v>18</v>
      </c>
      <c r="U381" t="inlineStr">
        <is>
          <t>1999-05-20</t>
        </is>
      </c>
      <c r="V381" t="inlineStr">
        <is>
          <t>2002-11-16</t>
        </is>
      </c>
      <c r="W381" t="inlineStr">
        <is>
          <t>1990-10-01</t>
        </is>
      </c>
      <c r="X381" t="inlineStr">
        <is>
          <t>1990-10-01</t>
        </is>
      </c>
      <c r="Y381" t="n">
        <v>713</v>
      </c>
      <c r="Z381" t="n">
        <v>580</v>
      </c>
      <c r="AA381" t="n">
        <v>637</v>
      </c>
      <c r="AB381" t="n">
        <v>4</v>
      </c>
      <c r="AC381" t="n">
        <v>4</v>
      </c>
      <c r="AD381" t="n">
        <v>38</v>
      </c>
      <c r="AE381" t="n">
        <v>41</v>
      </c>
      <c r="AF381" t="n">
        <v>14</v>
      </c>
      <c r="AG381" t="n">
        <v>15</v>
      </c>
      <c r="AH381" t="n">
        <v>9</v>
      </c>
      <c r="AI381" t="n">
        <v>11</v>
      </c>
      <c r="AJ381" t="n">
        <v>22</v>
      </c>
      <c r="AK381" t="n">
        <v>23</v>
      </c>
      <c r="AL381" t="n">
        <v>2</v>
      </c>
      <c r="AM381" t="n">
        <v>2</v>
      </c>
      <c r="AN381" t="n">
        <v>0</v>
      </c>
      <c r="AO381" t="n">
        <v>1</v>
      </c>
      <c r="AP381" t="inlineStr">
        <is>
          <t>No</t>
        </is>
      </c>
      <c r="AQ381" t="inlineStr">
        <is>
          <t>Yes</t>
        </is>
      </c>
      <c r="AR381">
        <f>HYPERLINK("http://catalog.hathitrust.org/Record/000710723","HathiTrust Record")</f>
        <v/>
      </c>
      <c r="AS381">
        <f>HYPERLINK("https://creighton-primo.hosted.exlibrisgroup.com/primo-explore/search?tab=default_tab&amp;search_scope=EVERYTHING&amp;vid=01CRU&amp;lang=en_US&amp;offset=0&amp;query=any,contains,991003375249702656","Catalog Record")</f>
        <v/>
      </c>
      <c r="AT381">
        <f>HYPERLINK("http://www.worldcat.org/oclc/912175","WorldCat Record")</f>
        <v/>
      </c>
      <c r="AU381" t="inlineStr">
        <is>
          <t>4160140963:eng</t>
        </is>
      </c>
      <c r="AV381" t="inlineStr">
        <is>
          <t>912175</t>
        </is>
      </c>
      <c r="AW381" t="inlineStr">
        <is>
          <t>991003375249702656</t>
        </is>
      </c>
      <c r="AX381" t="inlineStr">
        <is>
          <t>991003375249702656</t>
        </is>
      </c>
      <c r="AY381" t="inlineStr">
        <is>
          <t>2268412800002656</t>
        </is>
      </c>
      <c r="AZ381" t="inlineStr">
        <is>
          <t>BOOK</t>
        </is>
      </c>
      <c r="BB381" t="inlineStr">
        <is>
          <t>9780567022424</t>
        </is>
      </c>
      <c r="BC381" t="inlineStr">
        <is>
          <t>32285000293778</t>
        </is>
      </c>
      <c r="BD381" t="inlineStr">
        <is>
          <t>893324036</t>
        </is>
      </c>
    </row>
    <row r="382">
      <c r="A382" t="inlineStr">
        <is>
          <t>No</t>
        </is>
      </c>
      <c r="B382" t="inlineStr">
        <is>
          <t>DS122 .S423</t>
        </is>
      </c>
      <c r="C382" t="inlineStr">
        <is>
          <t>0                      DS 0122000S  423</t>
        </is>
      </c>
      <c r="D382" t="inlineStr">
        <is>
          <t>A history of the Jewish people in the time of Jesus / edited and introduced by Nahum N. Glatzer.</t>
        </is>
      </c>
      <c r="F382" t="inlineStr">
        <is>
          <t>No</t>
        </is>
      </c>
      <c r="G382" t="inlineStr">
        <is>
          <t>1</t>
        </is>
      </c>
      <c r="H382" t="inlineStr">
        <is>
          <t>No</t>
        </is>
      </c>
      <c r="I382" t="inlineStr">
        <is>
          <t>No</t>
        </is>
      </c>
      <c r="J382" t="inlineStr">
        <is>
          <t>0</t>
        </is>
      </c>
      <c r="K382" t="inlineStr">
        <is>
          <t>Schürer, Emil, 1844-1910.</t>
        </is>
      </c>
      <c r="L382" t="inlineStr">
        <is>
          <t>New York : Schocken Books, [1961]</t>
        </is>
      </c>
      <c r="M382" t="inlineStr">
        <is>
          <t>1961</t>
        </is>
      </c>
      <c r="O382" t="inlineStr">
        <is>
          <t>eng</t>
        </is>
      </c>
      <c r="P382" t="inlineStr">
        <is>
          <t>nyu</t>
        </is>
      </c>
      <c r="R382" t="inlineStr">
        <is>
          <t xml:space="preserve">DS </t>
        </is>
      </c>
      <c r="S382" t="n">
        <v>2</v>
      </c>
      <c r="T382" t="n">
        <v>2</v>
      </c>
      <c r="U382" t="inlineStr">
        <is>
          <t>2006-08-07</t>
        </is>
      </c>
      <c r="V382" t="inlineStr">
        <is>
          <t>2006-08-07</t>
        </is>
      </c>
      <c r="W382" t="inlineStr">
        <is>
          <t>1992-10-07</t>
        </is>
      </c>
      <c r="X382" t="inlineStr">
        <is>
          <t>1992-10-07</t>
        </is>
      </c>
      <c r="Y382" t="n">
        <v>794</v>
      </c>
      <c r="Z382" t="n">
        <v>719</v>
      </c>
      <c r="AA382" t="n">
        <v>739</v>
      </c>
      <c r="AB382" t="n">
        <v>6</v>
      </c>
      <c r="AC382" t="n">
        <v>6</v>
      </c>
      <c r="AD382" t="n">
        <v>32</v>
      </c>
      <c r="AE382" t="n">
        <v>33</v>
      </c>
      <c r="AF382" t="n">
        <v>13</v>
      </c>
      <c r="AG382" t="n">
        <v>14</v>
      </c>
      <c r="AH382" t="n">
        <v>5</v>
      </c>
      <c r="AI382" t="n">
        <v>5</v>
      </c>
      <c r="AJ382" t="n">
        <v>19</v>
      </c>
      <c r="AK382" t="n">
        <v>20</v>
      </c>
      <c r="AL382" t="n">
        <v>3</v>
      </c>
      <c r="AM382" t="n">
        <v>3</v>
      </c>
      <c r="AN382" t="n">
        <v>0</v>
      </c>
      <c r="AO382" t="n">
        <v>0</v>
      </c>
      <c r="AP382" t="inlineStr">
        <is>
          <t>No</t>
        </is>
      </c>
      <c r="AQ382" t="inlineStr">
        <is>
          <t>No</t>
        </is>
      </c>
      <c r="AS382">
        <f>HYPERLINK("https://creighton-primo.hosted.exlibrisgroup.com/primo-explore/search?tab=default_tab&amp;search_scope=EVERYTHING&amp;vid=01CRU&amp;lang=en_US&amp;offset=0&amp;query=any,contains,991002892249702656","Catalog Record")</f>
        <v/>
      </c>
      <c r="AT382">
        <f>HYPERLINK("http://www.worldcat.org/oclc/512261","WorldCat Record")</f>
        <v/>
      </c>
      <c r="AU382" t="inlineStr">
        <is>
          <t>5584931859:eng</t>
        </is>
      </c>
      <c r="AV382" t="inlineStr">
        <is>
          <t>512261</t>
        </is>
      </c>
      <c r="AW382" t="inlineStr">
        <is>
          <t>991002892249702656</t>
        </is>
      </c>
      <c r="AX382" t="inlineStr">
        <is>
          <t>991002892249702656</t>
        </is>
      </c>
      <c r="AY382" t="inlineStr">
        <is>
          <t>2263343380002656</t>
        </is>
      </c>
      <c r="AZ382" t="inlineStr">
        <is>
          <t>BOOK</t>
        </is>
      </c>
      <c r="BC382" t="inlineStr">
        <is>
          <t>32285001328243</t>
        </is>
      </c>
      <c r="BD382" t="inlineStr">
        <is>
          <t>893616724</t>
        </is>
      </c>
    </row>
    <row r="383">
      <c r="A383" t="inlineStr">
        <is>
          <t>No</t>
        </is>
      </c>
      <c r="B383" t="inlineStr">
        <is>
          <t>DS122 .S54 2001</t>
        </is>
      </c>
      <c r="C383" t="inlineStr">
        <is>
          <t>0                      DS 0122000S  54          2001</t>
        </is>
      </c>
      <c r="D383" t="inlineStr">
        <is>
          <t>Synopsis of the Greek sources for the Hasmonean period : 1-2 Maccabees and Josephus, War 1 and Antiquities 12-14 / Joseph Sievers.</t>
        </is>
      </c>
      <c r="F383" t="inlineStr">
        <is>
          <t>No</t>
        </is>
      </c>
      <c r="G383" t="inlineStr">
        <is>
          <t>1</t>
        </is>
      </c>
      <c r="H383" t="inlineStr">
        <is>
          <t>No</t>
        </is>
      </c>
      <c r="I383" t="inlineStr">
        <is>
          <t>No</t>
        </is>
      </c>
      <c r="J383" t="inlineStr">
        <is>
          <t>0</t>
        </is>
      </c>
      <c r="K383" t="inlineStr">
        <is>
          <t>Sievers, Joseph.</t>
        </is>
      </c>
      <c r="L383" t="inlineStr">
        <is>
          <t>Roma : Pontificio istituto biblico, 2001.</t>
        </is>
      </c>
      <c r="M383" t="inlineStr">
        <is>
          <t>2001</t>
        </is>
      </c>
      <c r="O383" t="inlineStr">
        <is>
          <t>eng</t>
        </is>
      </c>
      <c r="P383" t="inlineStr">
        <is>
          <t xml:space="preserve">it </t>
        </is>
      </c>
      <c r="Q383" t="inlineStr">
        <is>
          <t>Subsidia Biblica ; 20</t>
        </is>
      </c>
      <c r="R383" t="inlineStr">
        <is>
          <t xml:space="preserve">DS </t>
        </is>
      </c>
      <c r="S383" t="n">
        <v>1</v>
      </c>
      <c r="T383" t="n">
        <v>1</v>
      </c>
      <c r="U383" t="inlineStr">
        <is>
          <t>2003-11-04</t>
        </is>
      </c>
      <c r="V383" t="inlineStr">
        <is>
          <t>2003-11-04</t>
        </is>
      </c>
      <c r="W383" t="inlineStr">
        <is>
          <t>2003-11-04</t>
        </is>
      </c>
      <c r="X383" t="inlineStr">
        <is>
          <t>2003-11-04</t>
        </is>
      </c>
      <c r="Y383" t="n">
        <v>130</v>
      </c>
      <c r="Z383" t="n">
        <v>102</v>
      </c>
      <c r="AA383" t="n">
        <v>103</v>
      </c>
      <c r="AB383" t="n">
        <v>1</v>
      </c>
      <c r="AC383" t="n">
        <v>1</v>
      </c>
      <c r="AD383" t="n">
        <v>9</v>
      </c>
      <c r="AE383" t="n">
        <v>10</v>
      </c>
      <c r="AF383" t="n">
        <v>1</v>
      </c>
      <c r="AG383" t="n">
        <v>2</v>
      </c>
      <c r="AH383" t="n">
        <v>4</v>
      </c>
      <c r="AI383" t="n">
        <v>4</v>
      </c>
      <c r="AJ383" t="n">
        <v>7</v>
      </c>
      <c r="AK383" t="n">
        <v>8</v>
      </c>
      <c r="AL383" t="n">
        <v>0</v>
      </c>
      <c r="AM383" t="n">
        <v>0</v>
      </c>
      <c r="AN383" t="n">
        <v>0</v>
      </c>
      <c r="AO383" t="n">
        <v>0</v>
      </c>
      <c r="AP383" t="inlineStr">
        <is>
          <t>No</t>
        </is>
      </c>
      <c r="AQ383" t="inlineStr">
        <is>
          <t>No</t>
        </is>
      </c>
      <c r="AS383">
        <f>HYPERLINK("https://creighton-primo.hosted.exlibrisgroup.com/primo-explore/search?tab=default_tab&amp;search_scope=EVERYTHING&amp;vid=01CRU&amp;lang=en_US&amp;offset=0&amp;query=any,contains,991004145599702656","Catalog Record")</f>
        <v/>
      </c>
      <c r="AT383">
        <f>HYPERLINK("http://www.worldcat.org/oclc/46895445","WorldCat Record")</f>
        <v/>
      </c>
      <c r="AU383" t="inlineStr">
        <is>
          <t>140933717:eng</t>
        </is>
      </c>
      <c r="AV383" t="inlineStr">
        <is>
          <t>46895445</t>
        </is>
      </c>
      <c r="AW383" t="inlineStr">
        <is>
          <t>991004145599702656</t>
        </is>
      </c>
      <c r="AX383" t="inlineStr">
        <is>
          <t>991004145599702656</t>
        </is>
      </c>
      <c r="AY383" t="inlineStr">
        <is>
          <t>2268190550002656</t>
        </is>
      </c>
      <c r="AZ383" t="inlineStr">
        <is>
          <t>BOOK</t>
        </is>
      </c>
      <c r="BB383" t="inlineStr">
        <is>
          <t>9788876536151</t>
        </is>
      </c>
      <c r="BC383" t="inlineStr">
        <is>
          <t>32285004793609</t>
        </is>
      </c>
      <c r="BD383" t="inlineStr">
        <is>
          <t>893506462</t>
        </is>
      </c>
    </row>
    <row r="384">
      <c r="A384" t="inlineStr">
        <is>
          <t>No</t>
        </is>
      </c>
      <c r="B384" t="inlineStr">
        <is>
          <t>DS122 .S74 1988</t>
        </is>
      </c>
      <c r="C384" t="inlineStr">
        <is>
          <t>0                      DS 0122000S  74          1988</t>
        </is>
      </c>
      <c r="D384" t="inlineStr">
        <is>
          <t>Gebt dem Kaiser, was des Kaisers ist-- ! : eine sozialgeschichtliche Untersuchung zur Besteuerung Palästinas in neutestamentlicher Zeit / Werner Stenger.</t>
        </is>
      </c>
      <c r="F384" t="inlineStr">
        <is>
          <t>No</t>
        </is>
      </c>
      <c r="G384" t="inlineStr">
        <is>
          <t>1</t>
        </is>
      </c>
      <c r="H384" t="inlineStr">
        <is>
          <t>No</t>
        </is>
      </c>
      <c r="I384" t="inlineStr">
        <is>
          <t>No</t>
        </is>
      </c>
      <c r="J384" t="inlineStr">
        <is>
          <t>0</t>
        </is>
      </c>
      <c r="K384" t="inlineStr">
        <is>
          <t>Stenger, Werner, 1938-1990.</t>
        </is>
      </c>
      <c r="L384" t="inlineStr">
        <is>
          <t>Frankfurt am Main : Athenäum, c1988.</t>
        </is>
      </c>
      <c r="M384" t="inlineStr">
        <is>
          <t>1988</t>
        </is>
      </c>
      <c r="O384" t="inlineStr">
        <is>
          <t>ger</t>
        </is>
      </c>
      <c r="P384" t="inlineStr">
        <is>
          <t xml:space="preserve">gw </t>
        </is>
      </c>
      <c r="Q384" t="inlineStr">
        <is>
          <t>Athenäums Monografien. Theologie ; Bd. 68</t>
        </is>
      </c>
      <c r="R384" t="inlineStr">
        <is>
          <t xml:space="preserve">DS </t>
        </is>
      </c>
      <c r="S384" t="n">
        <v>1</v>
      </c>
      <c r="T384" t="n">
        <v>1</v>
      </c>
      <c r="U384" t="inlineStr">
        <is>
          <t>1992-03-04</t>
        </is>
      </c>
      <c r="V384" t="inlineStr">
        <is>
          <t>1992-03-04</t>
        </is>
      </c>
      <c r="W384" t="inlineStr">
        <is>
          <t>1991-05-15</t>
        </is>
      </c>
      <c r="X384" t="inlineStr">
        <is>
          <t>1991-05-15</t>
        </is>
      </c>
      <c r="Y384" t="n">
        <v>131</v>
      </c>
      <c r="Z384" t="n">
        <v>60</v>
      </c>
      <c r="AA384" t="n">
        <v>61</v>
      </c>
      <c r="AB384" t="n">
        <v>1</v>
      </c>
      <c r="AC384" t="n">
        <v>1</v>
      </c>
      <c r="AD384" t="n">
        <v>2</v>
      </c>
      <c r="AE384" t="n">
        <v>2</v>
      </c>
      <c r="AF384" t="n">
        <v>0</v>
      </c>
      <c r="AG384" t="n">
        <v>0</v>
      </c>
      <c r="AH384" t="n">
        <v>1</v>
      </c>
      <c r="AI384" t="n">
        <v>1</v>
      </c>
      <c r="AJ384" t="n">
        <v>1</v>
      </c>
      <c r="AK384" t="n">
        <v>1</v>
      </c>
      <c r="AL384" t="n">
        <v>0</v>
      </c>
      <c r="AM384" t="n">
        <v>0</v>
      </c>
      <c r="AN384" t="n">
        <v>0</v>
      </c>
      <c r="AO384" t="n">
        <v>0</v>
      </c>
      <c r="AP384" t="inlineStr">
        <is>
          <t>No</t>
        </is>
      </c>
      <c r="AQ384" t="inlineStr">
        <is>
          <t>Yes</t>
        </is>
      </c>
      <c r="AR384">
        <f>HYPERLINK("http://catalog.hathitrust.org/Record/001299380","HathiTrust Record")</f>
        <v/>
      </c>
      <c r="AS384">
        <f>HYPERLINK("https://creighton-primo.hosted.exlibrisgroup.com/primo-explore/search?tab=default_tab&amp;search_scope=EVERYTHING&amp;vid=01CRU&amp;lang=en_US&amp;offset=0&amp;query=any,contains,991001337339702656","Catalog Record")</f>
        <v/>
      </c>
      <c r="AT384">
        <f>HYPERLINK("http://www.worldcat.org/oclc/18357208","WorldCat Record")</f>
        <v/>
      </c>
      <c r="AU384" t="inlineStr">
        <is>
          <t>17314584:ger</t>
        </is>
      </c>
      <c r="AV384" t="inlineStr">
        <is>
          <t>18357208</t>
        </is>
      </c>
      <c r="AW384" t="inlineStr">
        <is>
          <t>991001337339702656</t>
        </is>
      </c>
      <c r="AX384" t="inlineStr">
        <is>
          <t>991001337339702656</t>
        </is>
      </c>
      <c r="AY384" t="inlineStr">
        <is>
          <t>2268837810002656</t>
        </is>
      </c>
      <c r="AZ384" t="inlineStr">
        <is>
          <t>BOOK</t>
        </is>
      </c>
      <c r="BB384" t="inlineStr">
        <is>
          <t>9783610091040</t>
        </is>
      </c>
      <c r="BC384" t="inlineStr">
        <is>
          <t>32285000573567</t>
        </is>
      </c>
      <c r="BD384" t="inlineStr">
        <is>
          <t>893590207</t>
        </is>
      </c>
    </row>
    <row r="385">
      <c r="A385" t="inlineStr">
        <is>
          <t>No</t>
        </is>
      </c>
      <c r="B385" t="inlineStr">
        <is>
          <t>DS122 .W36 1995</t>
        </is>
      </c>
      <c r="C385" t="inlineStr">
        <is>
          <t>0                      DS 0122000W  36          1995</t>
        </is>
      </c>
      <c r="D385" t="inlineStr">
        <is>
          <t>Echoes of glory : the story of the Jews in the classical era, 350 BCE-750 CE / Berel Wein.</t>
        </is>
      </c>
      <c r="F385" t="inlineStr">
        <is>
          <t>No</t>
        </is>
      </c>
      <c r="G385" t="inlineStr">
        <is>
          <t>1</t>
        </is>
      </c>
      <c r="H385" t="inlineStr">
        <is>
          <t>No</t>
        </is>
      </c>
      <c r="I385" t="inlineStr">
        <is>
          <t>No</t>
        </is>
      </c>
      <c r="J385" t="inlineStr">
        <is>
          <t>0</t>
        </is>
      </c>
      <c r="K385" t="inlineStr">
        <is>
          <t>Wein, Berel.</t>
        </is>
      </c>
      <c r="L385" t="inlineStr">
        <is>
          <t>Brooklyn, N.Y. : Shaar Press : Distributed by Mesorah Publications, 1995.</t>
        </is>
      </c>
      <c r="M385" t="inlineStr">
        <is>
          <t>1995</t>
        </is>
      </c>
      <c r="N385" t="inlineStr">
        <is>
          <t>1st ed.</t>
        </is>
      </c>
      <c r="O385" t="inlineStr">
        <is>
          <t>eng</t>
        </is>
      </c>
      <c r="P385" t="inlineStr">
        <is>
          <t>nyu</t>
        </is>
      </c>
      <c r="R385" t="inlineStr">
        <is>
          <t xml:space="preserve">DS </t>
        </is>
      </c>
      <c r="S385" t="n">
        <v>3</v>
      </c>
      <c r="T385" t="n">
        <v>3</v>
      </c>
      <c r="U385" t="inlineStr">
        <is>
          <t>2007-01-18</t>
        </is>
      </c>
      <c r="V385" t="inlineStr">
        <is>
          <t>2007-01-18</t>
        </is>
      </c>
      <c r="W385" t="inlineStr">
        <is>
          <t>1997-10-17</t>
        </is>
      </c>
      <c r="X385" t="inlineStr">
        <is>
          <t>1997-10-17</t>
        </is>
      </c>
      <c r="Y385" t="n">
        <v>35</v>
      </c>
      <c r="Z385" t="n">
        <v>30</v>
      </c>
      <c r="AA385" t="n">
        <v>38</v>
      </c>
      <c r="AB385" t="n">
        <v>1</v>
      </c>
      <c r="AC385" t="n">
        <v>1</v>
      </c>
      <c r="AD385" t="n">
        <v>1</v>
      </c>
      <c r="AE385" t="n">
        <v>1</v>
      </c>
      <c r="AF385" t="n">
        <v>0</v>
      </c>
      <c r="AG385" t="n">
        <v>0</v>
      </c>
      <c r="AH385" t="n">
        <v>1</v>
      </c>
      <c r="AI385" t="n">
        <v>1</v>
      </c>
      <c r="AJ385" t="n">
        <v>0</v>
      </c>
      <c r="AK385" t="n">
        <v>0</v>
      </c>
      <c r="AL385" t="n">
        <v>0</v>
      </c>
      <c r="AM385" t="n">
        <v>0</v>
      </c>
      <c r="AN385" t="n">
        <v>0</v>
      </c>
      <c r="AO385" t="n">
        <v>0</v>
      </c>
      <c r="AP385" t="inlineStr">
        <is>
          <t>No</t>
        </is>
      </c>
      <c r="AQ385" t="inlineStr">
        <is>
          <t>Yes</t>
        </is>
      </c>
      <c r="AR385">
        <f>HYPERLINK("http://catalog.hathitrust.org/Record/009932758","HathiTrust Record")</f>
        <v/>
      </c>
      <c r="AS385">
        <f>HYPERLINK("https://creighton-primo.hosted.exlibrisgroup.com/primo-explore/search?tab=default_tab&amp;search_scope=EVERYTHING&amp;vid=01CRU&amp;lang=en_US&amp;offset=0&amp;query=any,contains,991002602459702656","Catalog Record")</f>
        <v/>
      </c>
      <c r="AT385">
        <f>HYPERLINK("http://www.worldcat.org/oclc/34089904","WorldCat Record")</f>
        <v/>
      </c>
      <c r="AU385" t="inlineStr">
        <is>
          <t>977353225:eng</t>
        </is>
      </c>
      <c r="AV385" t="inlineStr">
        <is>
          <t>34089904</t>
        </is>
      </c>
      <c r="AW385" t="inlineStr">
        <is>
          <t>991002602459702656</t>
        </is>
      </c>
      <c r="AX385" t="inlineStr">
        <is>
          <t>991002602459702656</t>
        </is>
      </c>
      <c r="AY385" t="inlineStr">
        <is>
          <t>2270365300002656</t>
        </is>
      </c>
      <c r="AZ385" t="inlineStr">
        <is>
          <t>BOOK</t>
        </is>
      </c>
      <c r="BB385" t="inlineStr">
        <is>
          <t>9780899063409</t>
        </is>
      </c>
      <c r="BC385" t="inlineStr">
        <is>
          <t>32285003256186</t>
        </is>
      </c>
      <c r="BD385" t="inlineStr">
        <is>
          <t>893440307</t>
        </is>
      </c>
    </row>
    <row r="386">
      <c r="A386" t="inlineStr">
        <is>
          <t>No</t>
        </is>
      </c>
      <c r="B386" t="inlineStr">
        <is>
          <t>DS122.3 .F46 1992</t>
        </is>
      </c>
      <c r="C386" t="inlineStr">
        <is>
          <t>0                      DS 0122300F  46          1992</t>
        </is>
      </c>
      <c r="D386" t="inlineStr">
        <is>
          <t>The death of Herod : an essay in the sociology of religion / Richard Fenn.</t>
        </is>
      </c>
      <c r="F386" t="inlineStr">
        <is>
          <t>No</t>
        </is>
      </c>
      <c r="G386" t="inlineStr">
        <is>
          <t>1</t>
        </is>
      </c>
      <c r="H386" t="inlineStr">
        <is>
          <t>No</t>
        </is>
      </c>
      <c r="I386" t="inlineStr">
        <is>
          <t>No</t>
        </is>
      </c>
      <c r="J386" t="inlineStr">
        <is>
          <t>0</t>
        </is>
      </c>
      <c r="K386" t="inlineStr">
        <is>
          <t>Fenn, Richard K.</t>
        </is>
      </c>
      <c r="L386" t="inlineStr">
        <is>
          <t>Cambridge ; New York : Cambridge University Press, 1992.</t>
        </is>
      </c>
      <c r="M386" t="inlineStr">
        <is>
          <t>1992</t>
        </is>
      </c>
      <c r="O386" t="inlineStr">
        <is>
          <t>eng</t>
        </is>
      </c>
      <c r="P386" t="inlineStr">
        <is>
          <t>enk</t>
        </is>
      </c>
      <c r="R386" t="inlineStr">
        <is>
          <t xml:space="preserve">DS </t>
        </is>
      </c>
      <c r="S386" t="n">
        <v>5</v>
      </c>
      <c r="T386" t="n">
        <v>5</v>
      </c>
      <c r="U386" t="inlineStr">
        <is>
          <t>1996-03-07</t>
        </is>
      </c>
      <c r="V386" t="inlineStr">
        <is>
          <t>1996-03-07</t>
        </is>
      </c>
      <c r="W386" t="inlineStr">
        <is>
          <t>1993-10-08</t>
        </is>
      </c>
      <c r="X386" t="inlineStr">
        <is>
          <t>1993-10-08</t>
        </is>
      </c>
      <c r="Y386" t="n">
        <v>358</v>
      </c>
      <c r="Z386" t="n">
        <v>254</v>
      </c>
      <c r="AA386" t="n">
        <v>268</v>
      </c>
      <c r="AB386" t="n">
        <v>3</v>
      </c>
      <c r="AC386" t="n">
        <v>3</v>
      </c>
      <c r="AD386" t="n">
        <v>15</v>
      </c>
      <c r="AE386" t="n">
        <v>15</v>
      </c>
      <c r="AF386" t="n">
        <v>4</v>
      </c>
      <c r="AG386" t="n">
        <v>4</v>
      </c>
      <c r="AH386" t="n">
        <v>4</v>
      </c>
      <c r="AI386" t="n">
        <v>4</v>
      </c>
      <c r="AJ386" t="n">
        <v>8</v>
      </c>
      <c r="AK386" t="n">
        <v>8</v>
      </c>
      <c r="AL386" t="n">
        <v>2</v>
      </c>
      <c r="AM386" t="n">
        <v>2</v>
      </c>
      <c r="AN386" t="n">
        <v>0</v>
      </c>
      <c r="AO386" t="n">
        <v>0</v>
      </c>
      <c r="AP386" t="inlineStr">
        <is>
          <t>No</t>
        </is>
      </c>
      <c r="AQ386" t="inlineStr">
        <is>
          <t>No</t>
        </is>
      </c>
      <c r="AS386">
        <f>HYPERLINK("https://creighton-primo.hosted.exlibrisgroup.com/primo-explore/search?tab=default_tab&amp;search_scope=EVERYTHING&amp;vid=01CRU&amp;lang=en_US&amp;offset=0&amp;query=any,contains,991001943629702656","Catalog Record")</f>
        <v/>
      </c>
      <c r="AT386">
        <f>HYPERLINK("http://www.worldcat.org/oclc/24546179","WorldCat Record")</f>
        <v/>
      </c>
      <c r="AU386" t="inlineStr">
        <is>
          <t>808710347:eng</t>
        </is>
      </c>
      <c r="AV386" t="inlineStr">
        <is>
          <t>24546179</t>
        </is>
      </c>
      <c r="AW386" t="inlineStr">
        <is>
          <t>991001943629702656</t>
        </is>
      </c>
      <c r="AX386" t="inlineStr">
        <is>
          <t>991001943629702656</t>
        </is>
      </c>
      <c r="AY386" t="inlineStr">
        <is>
          <t>2266325410002656</t>
        </is>
      </c>
      <c r="AZ386" t="inlineStr">
        <is>
          <t>BOOK</t>
        </is>
      </c>
      <c r="BB386" t="inlineStr">
        <is>
          <t>9780521414821</t>
        </is>
      </c>
      <c r="BC386" t="inlineStr">
        <is>
          <t>32285001785194</t>
        </is>
      </c>
      <c r="BD386" t="inlineStr">
        <is>
          <t>893414649</t>
        </is>
      </c>
    </row>
    <row r="387">
      <c r="A387" t="inlineStr">
        <is>
          <t>No</t>
        </is>
      </c>
      <c r="B387" t="inlineStr">
        <is>
          <t>DS122.8 .M161 1998</t>
        </is>
      </c>
      <c r="C387" t="inlineStr">
        <is>
          <t>0                      DS 0122800M  161         1998</t>
        </is>
      </c>
      <c r="D387" t="inlineStr">
        <is>
          <t>Turbulent times? : Josephus and scholarship on Judaea in the first century CE / James S. McLaren.</t>
        </is>
      </c>
      <c r="F387" t="inlineStr">
        <is>
          <t>No</t>
        </is>
      </c>
      <c r="G387" t="inlineStr">
        <is>
          <t>1</t>
        </is>
      </c>
      <c r="H387" t="inlineStr">
        <is>
          <t>No</t>
        </is>
      </c>
      <c r="I387" t="inlineStr">
        <is>
          <t>No</t>
        </is>
      </c>
      <c r="J387" t="inlineStr">
        <is>
          <t>0</t>
        </is>
      </c>
      <c r="K387" t="inlineStr">
        <is>
          <t>McLaren, James S.</t>
        </is>
      </c>
      <c r="L387" t="inlineStr">
        <is>
          <t>Sheffield, England : Sheffield Academic Press, c1998.</t>
        </is>
      </c>
      <c r="M387" t="inlineStr">
        <is>
          <t>1998</t>
        </is>
      </c>
      <c r="O387" t="inlineStr">
        <is>
          <t>eng</t>
        </is>
      </c>
      <c r="P387" t="inlineStr">
        <is>
          <t>enk</t>
        </is>
      </c>
      <c r="Q387" t="inlineStr">
        <is>
          <t>Journal for the study of the Pseudepigrapha. Supplement series ; 29</t>
        </is>
      </c>
      <c r="R387" t="inlineStr">
        <is>
          <t xml:space="preserve">DS </t>
        </is>
      </c>
      <c r="S387" t="n">
        <v>3</v>
      </c>
      <c r="T387" t="n">
        <v>3</v>
      </c>
      <c r="U387" t="inlineStr">
        <is>
          <t>2000-12-04</t>
        </is>
      </c>
      <c r="V387" t="inlineStr">
        <is>
          <t>2000-12-04</t>
        </is>
      </c>
      <c r="W387" t="inlineStr">
        <is>
          <t>2000-01-19</t>
        </is>
      </c>
      <c r="X387" t="inlineStr">
        <is>
          <t>2000-01-19</t>
        </is>
      </c>
      <c r="Y387" t="n">
        <v>219</v>
      </c>
      <c r="Z387" t="n">
        <v>145</v>
      </c>
      <c r="AA387" t="n">
        <v>147</v>
      </c>
      <c r="AB387" t="n">
        <v>1</v>
      </c>
      <c r="AC387" t="n">
        <v>1</v>
      </c>
      <c r="AD387" t="n">
        <v>8</v>
      </c>
      <c r="AE387" t="n">
        <v>8</v>
      </c>
      <c r="AF387" t="n">
        <v>2</v>
      </c>
      <c r="AG387" t="n">
        <v>2</v>
      </c>
      <c r="AH387" t="n">
        <v>3</v>
      </c>
      <c r="AI387" t="n">
        <v>3</v>
      </c>
      <c r="AJ387" t="n">
        <v>4</v>
      </c>
      <c r="AK387" t="n">
        <v>4</v>
      </c>
      <c r="AL387" t="n">
        <v>0</v>
      </c>
      <c r="AM387" t="n">
        <v>0</v>
      </c>
      <c r="AN387" t="n">
        <v>0</v>
      </c>
      <c r="AO387" t="n">
        <v>0</v>
      </c>
      <c r="AP387" t="inlineStr">
        <is>
          <t>No</t>
        </is>
      </c>
      <c r="AQ387" t="inlineStr">
        <is>
          <t>Yes</t>
        </is>
      </c>
      <c r="AR387">
        <f>HYPERLINK("http://catalog.hathitrust.org/Record/003991615","HathiTrust Record")</f>
        <v/>
      </c>
      <c r="AS387">
        <f>HYPERLINK("https://creighton-primo.hosted.exlibrisgroup.com/primo-explore/search?tab=default_tab&amp;search_scope=EVERYTHING&amp;vid=01CRU&amp;lang=en_US&amp;offset=0&amp;query=any,contains,991002953399702656","Catalog Record")</f>
        <v/>
      </c>
      <c r="AT387">
        <f>HYPERLINK("http://www.worldcat.org/oclc/39366967","WorldCat Record")</f>
        <v/>
      </c>
      <c r="AU387" t="inlineStr">
        <is>
          <t>228663830:eng</t>
        </is>
      </c>
      <c r="AV387" t="inlineStr">
        <is>
          <t>39366967</t>
        </is>
      </c>
      <c r="AW387" t="inlineStr">
        <is>
          <t>991002953399702656</t>
        </is>
      </c>
      <c r="AX387" t="inlineStr">
        <is>
          <t>991002953399702656</t>
        </is>
      </c>
      <c r="AY387" t="inlineStr">
        <is>
          <t>2258942880002656</t>
        </is>
      </c>
      <c r="AZ387" t="inlineStr">
        <is>
          <t>BOOK</t>
        </is>
      </c>
      <c r="BB387" t="inlineStr">
        <is>
          <t>9781850758914</t>
        </is>
      </c>
      <c r="BC387" t="inlineStr">
        <is>
          <t>32285003643011</t>
        </is>
      </c>
      <c r="BD387" t="inlineStr">
        <is>
          <t>893428261</t>
        </is>
      </c>
    </row>
    <row r="388">
      <c r="A388" t="inlineStr">
        <is>
          <t>No</t>
        </is>
      </c>
      <c r="B388" t="inlineStr">
        <is>
          <t>DS122.9 .Y3813 1987</t>
        </is>
      </c>
      <c r="C388" t="inlineStr">
        <is>
          <t>0                      DS 0122900Y  3813        1987</t>
        </is>
      </c>
      <c r="D388" t="inlineStr">
        <is>
          <t>The Jews in Roman imperial legislation / edited with introductions, translations, and commentary by Amnon Linder.</t>
        </is>
      </c>
      <c r="F388" t="inlineStr">
        <is>
          <t>No</t>
        </is>
      </c>
      <c r="G388" t="inlineStr">
        <is>
          <t>1</t>
        </is>
      </c>
      <c r="H388" t="inlineStr">
        <is>
          <t>No</t>
        </is>
      </c>
      <c r="I388" t="inlineStr">
        <is>
          <t>No</t>
        </is>
      </c>
      <c r="J388" t="inlineStr">
        <is>
          <t>0</t>
        </is>
      </c>
      <c r="K388" t="inlineStr">
        <is>
          <t>Yehudim ṿeha-Yahadut be-ḥuḳe ha-ḳesarut ha-Romit. English.</t>
        </is>
      </c>
      <c r="L388" t="inlineStr">
        <is>
          <t>Detroit, Mich. : Wayne State University Press ; Jerusalem : Israel Academy of Sciences and Humanities, 1987.</t>
        </is>
      </c>
      <c r="M388" t="inlineStr">
        <is>
          <t>1987</t>
        </is>
      </c>
      <c r="O388" t="inlineStr">
        <is>
          <t>eng</t>
        </is>
      </c>
      <c r="P388" t="inlineStr">
        <is>
          <t>miu</t>
        </is>
      </c>
      <c r="R388" t="inlineStr">
        <is>
          <t xml:space="preserve">DS </t>
        </is>
      </c>
      <c r="S388" t="n">
        <v>8</v>
      </c>
      <c r="T388" t="n">
        <v>8</v>
      </c>
      <c r="U388" t="inlineStr">
        <is>
          <t>2006-08-07</t>
        </is>
      </c>
      <c r="V388" t="inlineStr">
        <is>
          <t>2006-08-07</t>
        </is>
      </c>
      <c r="W388" t="inlineStr">
        <is>
          <t>1992-05-15</t>
        </is>
      </c>
      <c r="X388" t="inlineStr">
        <is>
          <t>1992-05-15</t>
        </is>
      </c>
      <c r="Y388" t="n">
        <v>483</v>
      </c>
      <c r="Z388" t="n">
        <v>373</v>
      </c>
      <c r="AA388" t="n">
        <v>373</v>
      </c>
      <c r="AB388" t="n">
        <v>2</v>
      </c>
      <c r="AC388" t="n">
        <v>2</v>
      </c>
      <c r="AD388" t="n">
        <v>20</v>
      </c>
      <c r="AE388" t="n">
        <v>20</v>
      </c>
      <c r="AF388" t="n">
        <v>6</v>
      </c>
      <c r="AG388" t="n">
        <v>6</v>
      </c>
      <c r="AH388" t="n">
        <v>7</v>
      </c>
      <c r="AI388" t="n">
        <v>7</v>
      </c>
      <c r="AJ388" t="n">
        <v>15</v>
      </c>
      <c r="AK388" t="n">
        <v>15</v>
      </c>
      <c r="AL388" t="n">
        <v>1</v>
      </c>
      <c r="AM388" t="n">
        <v>1</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HYPERLINK("https://creighton-primo.hosted.exlibrisgroup.com/primo-explore/search?tab=default_tab&amp;search_scope=EVERYTHING&amp;vid=01CRU&amp;lang=en_US&amp;offset=0&amp;query=any,contains,991001023639702656","Catalog Record")</f>
        <v/>
      </c>
      <c r="AT388">
        <f>HYPERLINK("http://www.worldcat.org/oclc/15424318","WorldCat Record")</f>
        <v/>
      </c>
      <c r="AU388" t="inlineStr">
        <is>
          <t>809620589:eng</t>
        </is>
      </c>
      <c r="AV388" t="inlineStr">
        <is>
          <t>15424318</t>
        </is>
      </c>
      <c r="AW388" t="inlineStr">
        <is>
          <t>991001023639702656</t>
        </is>
      </c>
      <c r="AX388" t="inlineStr">
        <is>
          <t>991001023639702656</t>
        </is>
      </c>
      <c r="AY388" t="inlineStr">
        <is>
          <t>2260154810002656</t>
        </is>
      </c>
      <c r="AZ388" t="inlineStr">
        <is>
          <t>BOOK</t>
        </is>
      </c>
      <c r="BB388" t="inlineStr">
        <is>
          <t>9780814318096</t>
        </is>
      </c>
      <c r="BC388" t="inlineStr">
        <is>
          <t>32285001111243</t>
        </is>
      </c>
      <c r="BD388" t="inlineStr">
        <is>
          <t>893715099</t>
        </is>
      </c>
    </row>
    <row r="389">
      <c r="A389" t="inlineStr">
        <is>
          <t>No</t>
        </is>
      </c>
      <c r="B389" t="inlineStr">
        <is>
          <t>DS123.5 .A943</t>
        </is>
      </c>
      <c r="C389" t="inlineStr">
        <is>
          <t>0                      DS 0123500A  943</t>
        </is>
      </c>
      <c r="D389" t="inlineStr">
        <is>
          <t>The Jews of Palestine : a political history from the Bar Kokhba War to the Arab conquest / Michael Avi-Yonah.</t>
        </is>
      </c>
      <c r="F389" t="inlineStr">
        <is>
          <t>No</t>
        </is>
      </c>
      <c r="G389" t="inlineStr">
        <is>
          <t>1</t>
        </is>
      </c>
      <c r="H389" t="inlineStr">
        <is>
          <t>No</t>
        </is>
      </c>
      <c r="I389" t="inlineStr">
        <is>
          <t>No</t>
        </is>
      </c>
      <c r="J389" t="inlineStr">
        <is>
          <t>0</t>
        </is>
      </c>
      <c r="K389" t="inlineStr">
        <is>
          <t>Avi-Yonah, Michael, 1904-1974.</t>
        </is>
      </c>
      <c r="L389" t="inlineStr">
        <is>
          <t>New York : Schocken Books, 1976.</t>
        </is>
      </c>
      <c r="M389" t="inlineStr">
        <is>
          <t>1976</t>
        </is>
      </c>
      <c r="O389" t="inlineStr">
        <is>
          <t>eng</t>
        </is>
      </c>
      <c r="P389" t="inlineStr">
        <is>
          <t>nyu</t>
        </is>
      </c>
      <c r="R389" t="inlineStr">
        <is>
          <t xml:space="preserve">DS </t>
        </is>
      </c>
      <c r="S389" t="n">
        <v>3</v>
      </c>
      <c r="T389" t="n">
        <v>3</v>
      </c>
      <c r="U389" t="inlineStr">
        <is>
          <t>2002-09-03</t>
        </is>
      </c>
      <c r="V389" t="inlineStr">
        <is>
          <t>2002-09-03</t>
        </is>
      </c>
      <c r="W389" t="inlineStr">
        <is>
          <t>1997-02-26</t>
        </is>
      </c>
      <c r="X389" t="inlineStr">
        <is>
          <t>1997-02-26</t>
        </is>
      </c>
      <c r="Y389" t="n">
        <v>532</v>
      </c>
      <c r="Z389" t="n">
        <v>488</v>
      </c>
      <c r="AA389" t="n">
        <v>547</v>
      </c>
      <c r="AB389" t="n">
        <v>5</v>
      </c>
      <c r="AC389" t="n">
        <v>6</v>
      </c>
      <c r="AD389" t="n">
        <v>22</v>
      </c>
      <c r="AE389" t="n">
        <v>23</v>
      </c>
      <c r="AF389" t="n">
        <v>7</v>
      </c>
      <c r="AG389" t="n">
        <v>7</v>
      </c>
      <c r="AH389" t="n">
        <v>5</v>
      </c>
      <c r="AI389" t="n">
        <v>5</v>
      </c>
      <c r="AJ389" t="n">
        <v>11</v>
      </c>
      <c r="AK389" t="n">
        <v>11</v>
      </c>
      <c r="AL389" t="n">
        <v>4</v>
      </c>
      <c r="AM389" t="n">
        <v>5</v>
      </c>
      <c r="AN389" t="n">
        <v>0</v>
      </c>
      <c r="AO389" t="n">
        <v>0</v>
      </c>
      <c r="AP389" t="inlineStr">
        <is>
          <t>No</t>
        </is>
      </c>
      <c r="AQ389" t="inlineStr">
        <is>
          <t>Yes</t>
        </is>
      </c>
      <c r="AR389">
        <f>HYPERLINK("http://catalog.hathitrust.org/Record/000034887","HathiTrust Record")</f>
        <v/>
      </c>
      <c r="AS389">
        <f>HYPERLINK("https://creighton-primo.hosted.exlibrisgroup.com/primo-explore/search?tab=default_tab&amp;search_scope=EVERYTHING&amp;vid=01CRU&amp;lang=en_US&amp;offset=0&amp;query=any,contains,991003691049702656","Catalog Record")</f>
        <v/>
      </c>
      <c r="AT389">
        <f>HYPERLINK("http://www.worldcat.org/oclc/1322192","WorldCat Record")</f>
        <v/>
      </c>
      <c r="AU389" t="inlineStr">
        <is>
          <t>2200670:eng</t>
        </is>
      </c>
      <c r="AV389" t="inlineStr">
        <is>
          <t>1322192</t>
        </is>
      </c>
      <c r="AW389" t="inlineStr">
        <is>
          <t>991003691049702656</t>
        </is>
      </c>
      <c r="AX389" t="inlineStr">
        <is>
          <t>991003691049702656</t>
        </is>
      </c>
      <c r="AY389" t="inlineStr">
        <is>
          <t>2254922330002656</t>
        </is>
      </c>
      <c r="AZ389" t="inlineStr">
        <is>
          <t>BOOK</t>
        </is>
      </c>
      <c r="BB389" t="inlineStr">
        <is>
          <t>9780805235807</t>
        </is>
      </c>
      <c r="BC389" t="inlineStr">
        <is>
          <t>32285002462298</t>
        </is>
      </c>
      <c r="BD389" t="inlineStr">
        <is>
          <t>893686822</t>
        </is>
      </c>
    </row>
    <row r="390">
      <c r="A390" t="inlineStr">
        <is>
          <t>No</t>
        </is>
      </c>
      <c r="B390" t="inlineStr">
        <is>
          <t>DS123.5 .S7413 2000</t>
        </is>
      </c>
      <c r="C390" t="inlineStr">
        <is>
          <t>0                      DS 0123500S  7413        2000</t>
        </is>
      </c>
      <c r="D390" t="inlineStr">
        <is>
          <t>Jews and Christians in the Holy Land : Palestine in the fourth century / by Günter Stemberger ; translated by Ruth Tuschling.</t>
        </is>
      </c>
      <c r="F390" t="inlineStr">
        <is>
          <t>No</t>
        </is>
      </c>
      <c r="G390" t="inlineStr">
        <is>
          <t>1</t>
        </is>
      </c>
      <c r="H390" t="inlineStr">
        <is>
          <t>No</t>
        </is>
      </c>
      <c r="I390" t="inlineStr">
        <is>
          <t>No</t>
        </is>
      </c>
      <c r="J390" t="inlineStr">
        <is>
          <t>0</t>
        </is>
      </c>
      <c r="K390" t="inlineStr">
        <is>
          <t>Stemberger, Günter, 1940-</t>
        </is>
      </c>
      <c r="L390" t="inlineStr">
        <is>
          <t>Edinburgh : T&amp;T Clark, 2000.</t>
        </is>
      </c>
      <c r="M390" t="inlineStr">
        <is>
          <t>2000</t>
        </is>
      </c>
      <c r="O390" t="inlineStr">
        <is>
          <t>eng</t>
        </is>
      </c>
      <c r="P390" t="inlineStr">
        <is>
          <t>stk</t>
        </is>
      </c>
      <c r="R390" t="inlineStr">
        <is>
          <t xml:space="preserve">DS </t>
        </is>
      </c>
      <c r="S390" t="n">
        <v>1</v>
      </c>
      <c r="T390" t="n">
        <v>1</v>
      </c>
      <c r="U390" t="inlineStr">
        <is>
          <t>2003-06-23</t>
        </is>
      </c>
      <c r="V390" t="inlineStr">
        <is>
          <t>2003-06-23</t>
        </is>
      </c>
      <c r="W390" t="inlineStr">
        <is>
          <t>2000-09-25</t>
        </is>
      </c>
      <c r="X390" t="inlineStr">
        <is>
          <t>2000-09-25</t>
        </is>
      </c>
      <c r="Y390" t="n">
        <v>252</v>
      </c>
      <c r="Z390" t="n">
        <v>200</v>
      </c>
      <c r="AA390" t="n">
        <v>532</v>
      </c>
      <c r="AB390" t="n">
        <v>1</v>
      </c>
      <c r="AC390" t="n">
        <v>5</v>
      </c>
      <c r="AD390" t="n">
        <v>12</v>
      </c>
      <c r="AE390" t="n">
        <v>27</v>
      </c>
      <c r="AF390" t="n">
        <v>2</v>
      </c>
      <c r="AG390" t="n">
        <v>8</v>
      </c>
      <c r="AH390" t="n">
        <v>5</v>
      </c>
      <c r="AI390" t="n">
        <v>8</v>
      </c>
      <c r="AJ390" t="n">
        <v>7</v>
      </c>
      <c r="AK390" t="n">
        <v>11</v>
      </c>
      <c r="AL390" t="n">
        <v>0</v>
      </c>
      <c r="AM390" t="n">
        <v>4</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HYPERLINK("https://creighton-primo.hosted.exlibrisgroup.com/primo-explore/search?tab=default_tab&amp;search_scope=EVERYTHING&amp;vid=01CRU&amp;lang=en_US&amp;offset=0&amp;query=any,contains,991003229159702656","Catalog Record")</f>
        <v/>
      </c>
      <c r="AT390">
        <f>HYPERLINK("http://www.worldcat.org/oclc/42136207","WorldCat Record")</f>
        <v/>
      </c>
      <c r="AU390" t="inlineStr">
        <is>
          <t>1151665754:eng</t>
        </is>
      </c>
      <c r="AV390" t="inlineStr">
        <is>
          <t>42136207</t>
        </is>
      </c>
      <c r="AW390" t="inlineStr">
        <is>
          <t>991003229159702656</t>
        </is>
      </c>
      <c r="AX390" t="inlineStr">
        <is>
          <t>991003229159702656</t>
        </is>
      </c>
      <c r="AY390" t="inlineStr">
        <is>
          <t>2256967380002656</t>
        </is>
      </c>
      <c r="AZ390" t="inlineStr">
        <is>
          <t>BOOK</t>
        </is>
      </c>
      <c r="BB390" t="inlineStr">
        <is>
          <t>9780567086990</t>
        </is>
      </c>
      <c r="BC390" t="inlineStr">
        <is>
          <t>32285003764486</t>
        </is>
      </c>
      <c r="BD390" t="inlineStr">
        <is>
          <t>893342361</t>
        </is>
      </c>
    </row>
    <row r="391">
      <c r="A391" t="inlineStr">
        <is>
          <t>No</t>
        </is>
      </c>
      <c r="B391" t="inlineStr">
        <is>
          <t>DS124 .F6213 2000</t>
        </is>
      </c>
      <c r="C391" t="inlineStr">
        <is>
          <t>0                      DS 0124000F  6213        2000</t>
        </is>
      </c>
      <c r="D391" t="inlineStr">
        <is>
          <t>The Jews of Europe after the black death / Anna Foa ; translated from the Italian by Andrea Grover.</t>
        </is>
      </c>
      <c r="F391" t="inlineStr">
        <is>
          <t>No</t>
        </is>
      </c>
      <c r="G391" t="inlineStr">
        <is>
          <t>1</t>
        </is>
      </c>
      <c r="H391" t="inlineStr">
        <is>
          <t>No</t>
        </is>
      </c>
      <c r="I391" t="inlineStr">
        <is>
          <t>No</t>
        </is>
      </c>
      <c r="J391" t="inlineStr">
        <is>
          <t>0</t>
        </is>
      </c>
      <c r="K391" t="inlineStr">
        <is>
          <t>Foa, Anna.</t>
        </is>
      </c>
      <c r="L391" t="inlineStr">
        <is>
          <t>Berkeley : University of California Press, c2000.</t>
        </is>
      </c>
      <c r="M391" t="inlineStr">
        <is>
          <t>2000</t>
        </is>
      </c>
      <c r="O391" t="inlineStr">
        <is>
          <t>eng</t>
        </is>
      </c>
      <c r="P391" t="inlineStr">
        <is>
          <t>cau</t>
        </is>
      </c>
      <c r="Q391" t="inlineStr">
        <is>
          <t>The S. Mark Taper Foundation imprint in Jewish studies</t>
        </is>
      </c>
      <c r="R391" t="inlineStr">
        <is>
          <t xml:space="preserve">DS </t>
        </is>
      </c>
      <c r="S391" t="n">
        <v>2</v>
      </c>
      <c r="T391" t="n">
        <v>2</v>
      </c>
      <c r="U391" t="inlineStr">
        <is>
          <t>2002-01-21</t>
        </is>
      </c>
      <c r="V391" t="inlineStr">
        <is>
          <t>2002-01-21</t>
        </is>
      </c>
      <c r="W391" t="inlineStr">
        <is>
          <t>2002-01-08</t>
        </is>
      </c>
      <c r="X391" t="inlineStr">
        <is>
          <t>2002-01-08</t>
        </is>
      </c>
      <c r="Y391" t="n">
        <v>428</v>
      </c>
      <c r="Z391" t="n">
        <v>351</v>
      </c>
      <c r="AA391" t="n">
        <v>351</v>
      </c>
      <c r="AB391" t="n">
        <v>1</v>
      </c>
      <c r="AC391" t="n">
        <v>1</v>
      </c>
      <c r="AD391" t="n">
        <v>27</v>
      </c>
      <c r="AE391" t="n">
        <v>27</v>
      </c>
      <c r="AF391" t="n">
        <v>12</v>
      </c>
      <c r="AG391" t="n">
        <v>12</v>
      </c>
      <c r="AH391" t="n">
        <v>6</v>
      </c>
      <c r="AI391" t="n">
        <v>6</v>
      </c>
      <c r="AJ391" t="n">
        <v>16</v>
      </c>
      <c r="AK391" t="n">
        <v>16</v>
      </c>
      <c r="AL391" t="n">
        <v>0</v>
      </c>
      <c r="AM391" t="n">
        <v>0</v>
      </c>
      <c r="AN391" t="n">
        <v>0</v>
      </c>
      <c r="AO391" t="n">
        <v>0</v>
      </c>
      <c r="AP391" t="inlineStr">
        <is>
          <t>No</t>
        </is>
      </c>
      <c r="AQ391" t="inlineStr">
        <is>
          <t>No</t>
        </is>
      </c>
      <c r="AS391">
        <f>HYPERLINK("https://creighton-primo.hosted.exlibrisgroup.com/primo-explore/search?tab=default_tab&amp;search_scope=EVERYTHING&amp;vid=01CRU&amp;lang=en_US&amp;offset=0&amp;query=any,contains,991003695669702656","Catalog Record")</f>
        <v/>
      </c>
      <c r="AT391">
        <f>HYPERLINK("http://www.worldcat.org/oclc/43441569","WorldCat Record")</f>
        <v/>
      </c>
      <c r="AU391" t="inlineStr">
        <is>
          <t>3901368741:eng</t>
        </is>
      </c>
      <c r="AV391" t="inlineStr">
        <is>
          <t>43441569</t>
        </is>
      </c>
      <c r="AW391" t="inlineStr">
        <is>
          <t>991003695669702656</t>
        </is>
      </c>
      <c r="AX391" t="inlineStr">
        <is>
          <t>991003695669702656</t>
        </is>
      </c>
      <c r="AY391" t="inlineStr">
        <is>
          <t>2270213560002656</t>
        </is>
      </c>
      <c r="AZ391" t="inlineStr">
        <is>
          <t>BOOK</t>
        </is>
      </c>
      <c r="BB391" t="inlineStr">
        <is>
          <t>9780520087651</t>
        </is>
      </c>
      <c r="BC391" t="inlineStr">
        <is>
          <t>32285004446463</t>
        </is>
      </c>
      <c r="BD391" t="inlineStr">
        <is>
          <t>893787635</t>
        </is>
      </c>
    </row>
    <row r="392">
      <c r="A392" t="inlineStr">
        <is>
          <t>No</t>
        </is>
      </c>
      <c r="B392" t="inlineStr">
        <is>
          <t>DS124 .R45 1996</t>
        </is>
      </c>
      <c r="C392" t="inlineStr">
        <is>
          <t>0                      DS 0124000R  45          1996</t>
        </is>
      </c>
      <c r="D392" t="inlineStr">
        <is>
          <t>Religion in the age of exploration : the case of Spain and New Spain / Bryan F. Le Beau, Menachem Mor, editors.</t>
        </is>
      </c>
      <c r="F392" t="inlineStr">
        <is>
          <t>No</t>
        </is>
      </c>
      <c r="G392" t="inlineStr">
        <is>
          <t>1</t>
        </is>
      </c>
      <c r="H392" t="inlineStr">
        <is>
          <t>No</t>
        </is>
      </c>
      <c r="I392" t="inlineStr">
        <is>
          <t>No</t>
        </is>
      </c>
      <c r="J392" t="inlineStr">
        <is>
          <t>0</t>
        </is>
      </c>
      <c r="K392" t="inlineStr">
        <is>
          <t>Philip M. and Ethel Klutznick Chair in Jewish Civilization. Symposium (5th : 1992 : Creighton University)</t>
        </is>
      </c>
      <c r="L392" t="inlineStr">
        <is>
          <t>Omaha, Neb. : Creighton University Press ; Bronx, N.Y. : Fordham University Press [distributor], c1996.</t>
        </is>
      </c>
      <c r="M392" t="inlineStr">
        <is>
          <t>1996</t>
        </is>
      </c>
      <c r="O392" t="inlineStr">
        <is>
          <t>eng</t>
        </is>
      </c>
      <c r="P392" t="inlineStr">
        <is>
          <t>nbu</t>
        </is>
      </c>
      <c r="Q392" t="inlineStr">
        <is>
          <t>Studies in Jewish civilization ; 5</t>
        </is>
      </c>
      <c r="R392" t="inlineStr">
        <is>
          <t xml:space="preserve">DS </t>
        </is>
      </c>
      <c r="S392" t="n">
        <v>1</v>
      </c>
      <c r="T392" t="n">
        <v>1</v>
      </c>
      <c r="U392" t="inlineStr">
        <is>
          <t>2002-02-10</t>
        </is>
      </c>
      <c r="V392" t="inlineStr">
        <is>
          <t>2002-02-10</t>
        </is>
      </c>
      <c r="W392" t="inlineStr">
        <is>
          <t>1996-09-05</t>
        </is>
      </c>
      <c r="X392" t="inlineStr">
        <is>
          <t>1996-09-05</t>
        </is>
      </c>
      <c r="Y392" t="n">
        <v>249</v>
      </c>
      <c r="Z392" t="n">
        <v>213</v>
      </c>
      <c r="AA392" t="n">
        <v>638</v>
      </c>
      <c r="AB392" t="n">
        <v>2</v>
      </c>
      <c r="AC392" t="n">
        <v>5</v>
      </c>
      <c r="AD392" t="n">
        <v>15</v>
      </c>
      <c r="AE392" t="n">
        <v>22</v>
      </c>
      <c r="AF392" t="n">
        <v>4</v>
      </c>
      <c r="AG392" t="n">
        <v>8</v>
      </c>
      <c r="AH392" t="n">
        <v>6</v>
      </c>
      <c r="AI392" t="n">
        <v>6</v>
      </c>
      <c r="AJ392" t="n">
        <v>9</v>
      </c>
      <c r="AK392" t="n">
        <v>10</v>
      </c>
      <c r="AL392" t="n">
        <v>1</v>
      </c>
      <c r="AM392" t="n">
        <v>4</v>
      </c>
      <c r="AN392" t="n">
        <v>0</v>
      </c>
      <c r="AO392" t="n">
        <v>0</v>
      </c>
      <c r="AP392" t="inlineStr">
        <is>
          <t>No</t>
        </is>
      </c>
      <c r="AQ392" t="inlineStr">
        <is>
          <t>Yes</t>
        </is>
      </c>
      <c r="AR392">
        <f>HYPERLINK("http://catalog.hathitrust.org/Record/003069828","HathiTrust Record")</f>
        <v/>
      </c>
      <c r="AS392">
        <f>HYPERLINK("https://creighton-primo.hosted.exlibrisgroup.com/primo-explore/search?tab=default_tab&amp;search_scope=EVERYTHING&amp;vid=01CRU&amp;lang=en_US&amp;offset=0&amp;query=any,contains,991002663169702656","Catalog Record")</f>
        <v/>
      </c>
      <c r="AT392">
        <f>HYPERLINK("http://www.worldcat.org/oclc/34799902","WorldCat Record")</f>
        <v/>
      </c>
      <c r="AU392" t="inlineStr">
        <is>
          <t>799451659:eng</t>
        </is>
      </c>
      <c r="AV392" t="inlineStr">
        <is>
          <t>34799902</t>
        </is>
      </c>
      <c r="AW392" t="inlineStr">
        <is>
          <t>991002663169702656</t>
        </is>
      </c>
      <c r="AX392" t="inlineStr">
        <is>
          <t>991002663169702656</t>
        </is>
      </c>
      <c r="AY392" t="inlineStr">
        <is>
          <t>2260179060002656</t>
        </is>
      </c>
      <c r="AZ392" t="inlineStr">
        <is>
          <t>BOOK</t>
        </is>
      </c>
      <c r="BB392" t="inlineStr">
        <is>
          <t>9781881871217</t>
        </is>
      </c>
      <c r="BC392" t="inlineStr">
        <is>
          <t>32285002197811</t>
        </is>
      </c>
      <c r="BD392" t="inlineStr">
        <is>
          <t>893603845</t>
        </is>
      </c>
    </row>
    <row r="393">
      <c r="A393" t="inlineStr">
        <is>
          <t>No</t>
        </is>
      </c>
      <c r="B393" t="inlineStr">
        <is>
          <t>DS124 .S18 2005</t>
        </is>
      </c>
      <c r="C393" t="inlineStr">
        <is>
          <t>0                      DS 0124000S  18          2005</t>
        </is>
      </c>
      <c r="D393" t="inlineStr">
        <is>
          <t>A history of the Jews in the modern world / Howard M. Sachar.</t>
        </is>
      </c>
      <c r="F393" t="inlineStr">
        <is>
          <t>No</t>
        </is>
      </c>
      <c r="G393" t="inlineStr">
        <is>
          <t>1</t>
        </is>
      </c>
      <c r="H393" t="inlineStr">
        <is>
          <t>No</t>
        </is>
      </c>
      <c r="I393" t="inlineStr">
        <is>
          <t>No</t>
        </is>
      </c>
      <c r="J393" t="inlineStr">
        <is>
          <t>0</t>
        </is>
      </c>
      <c r="K393" t="inlineStr">
        <is>
          <t>Sachar, Howard Morley, 1928-2018.</t>
        </is>
      </c>
      <c r="L393" t="inlineStr">
        <is>
          <t>New York : Alfred A. Knopf, 2005.</t>
        </is>
      </c>
      <c r="M393" t="inlineStr">
        <is>
          <t>2005</t>
        </is>
      </c>
      <c r="N393" t="inlineStr">
        <is>
          <t>1st ed.</t>
        </is>
      </c>
      <c r="O393" t="inlineStr">
        <is>
          <t>eng</t>
        </is>
      </c>
      <c r="P393" t="inlineStr">
        <is>
          <t>nyu</t>
        </is>
      </c>
      <c r="R393" t="inlineStr">
        <is>
          <t xml:space="preserve">DS </t>
        </is>
      </c>
      <c r="S393" t="n">
        <v>1</v>
      </c>
      <c r="T393" t="n">
        <v>1</v>
      </c>
      <c r="U393" t="inlineStr">
        <is>
          <t>2005-08-25</t>
        </is>
      </c>
      <c r="V393" t="inlineStr">
        <is>
          <t>2005-08-25</t>
        </is>
      </c>
      <c r="W393" t="inlineStr">
        <is>
          <t>2005-08-25</t>
        </is>
      </c>
      <c r="X393" t="inlineStr">
        <is>
          <t>2005-08-25</t>
        </is>
      </c>
      <c r="Y393" t="n">
        <v>989</v>
      </c>
      <c r="Z393" t="n">
        <v>922</v>
      </c>
      <c r="AA393" t="n">
        <v>989</v>
      </c>
      <c r="AB393" t="n">
        <v>7</v>
      </c>
      <c r="AC393" t="n">
        <v>7</v>
      </c>
      <c r="AD393" t="n">
        <v>33</v>
      </c>
      <c r="AE393" t="n">
        <v>34</v>
      </c>
      <c r="AF393" t="n">
        <v>13</v>
      </c>
      <c r="AG393" t="n">
        <v>14</v>
      </c>
      <c r="AH393" t="n">
        <v>7</v>
      </c>
      <c r="AI393" t="n">
        <v>8</v>
      </c>
      <c r="AJ393" t="n">
        <v>14</v>
      </c>
      <c r="AK393" t="n">
        <v>14</v>
      </c>
      <c r="AL393" t="n">
        <v>6</v>
      </c>
      <c r="AM393" t="n">
        <v>6</v>
      </c>
      <c r="AN393" t="n">
        <v>0</v>
      </c>
      <c r="AO393" t="n">
        <v>0</v>
      </c>
      <c r="AP393" t="inlineStr">
        <is>
          <t>No</t>
        </is>
      </c>
      <c r="AQ393" t="inlineStr">
        <is>
          <t>No</t>
        </is>
      </c>
      <c r="AS393">
        <f>HYPERLINK("https://creighton-primo.hosted.exlibrisgroup.com/primo-explore/search?tab=default_tab&amp;search_scope=EVERYTHING&amp;vid=01CRU&amp;lang=en_US&amp;offset=0&amp;query=any,contains,991004587729702656","Catalog Record")</f>
        <v/>
      </c>
      <c r="AT393">
        <f>HYPERLINK("http://www.worldcat.org/oclc/55877545","WorldCat Record")</f>
        <v/>
      </c>
      <c r="AU393" t="inlineStr">
        <is>
          <t>2106285017:eng</t>
        </is>
      </c>
      <c r="AV393" t="inlineStr">
        <is>
          <t>55877545</t>
        </is>
      </c>
      <c r="AW393" t="inlineStr">
        <is>
          <t>991004587729702656</t>
        </is>
      </c>
      <c r="AX393" t="inlineStr">
        <is>
          <t>991004587729702656</t>
        </is>
      </c>
      <c r="AY393" t="inlineStr">
        <is>
          <t>2271519530002656</t>
        </is>
      </c>
      <c r="AZ393" t="inlineStr">
        <is>
          <t>BOOK</t>
        </is>
      </c>
      <c r="BB393" t="inlineStr">
        <is>
          <t>9780375414978</t>
        </is>
      </c>
      <c r="BC393" t="inlineStr">
        <is>
          <t>32285005082184</t>
        </is>
      </c>
      <c r="BD393" t="inlineStr">
        <is>
          <t>893446290</t>
        </is>
      </c>
    </row>
    <row r="394">
      <c r="A394" t="inlineStr">
        <is>
          <t>No</t>
        </is>
      </c>
      <c r="B394" t="inlineStr">
        <is>
          <t>DS124 .W4 1993</t>
        </is>
      </c>
      <c r="C394" t="inlineStr">
        <is>
          <t>0                      DS 0124000W  4           1993</t>
        </is>
      </c>
      <c r="D394" t="inlineStr">
        <is>
          <t>Herald of destiny : the story of the Jews in the medieval era, 750-1650 / Berel Wein.</t>
        </is>
      </c>
      <c r="F394" t="inlineStr">
        <is>
          <t>No</t>
        </is>
      </c>
      <c r="G394" t="inlineStr">
        <is>
          <t>1</t>
        </is>
      </c>
      <c r="H394" t="inlineStr">
        <is>
          <t>No</t>
        </is>
      </c>
      <c r="I394" t="inlineStr">
        <is>
          <t>No</t>
        </is>
      </c>
      <c r="J394" t="inlineStr">
        <is>
          <t>0</t>
        </is>
      </c>
      <c r="K394" t="inlineStr">
        <is>
          <t>Wein, Berel.</t>
        </is>
      </c>
      <c r="L394" t="inlineStr">
        <is>
          <t>Brooklyn, N.Y. : Shaar Press : distributed by Mesorah Publications [and others], c1993.</t>
        </is>
      </c>
      <c r="M394" t="inlineStr">
        <is>
          <t>1993</t>
        </is>
      </c>
      <c r="N394" t="inlineStr">
        <is>
          <t>1st ed.</t>
        </is>
      </c>
      <c r="O394" t="inlineStr">
        <is>
          <t>eng</t>
        </is>
      </c>
      <c r="P394" t="inlineStr">
        <is>
          <t>nyu</t>
        </is>
      </c>
      <c r="R394" t="inlineStr">
        <is>
          <t xml:space="preserve">DS </t>
        </is>
      </c>
      <c r="S394" t="n">
        <v>3</v>
      </c>
      <c r="T394" t="n">
        <v>3</v>
      </c>
      <c r="U394" t="inlineStr">
        <is>
          <t>1999-11-17</t>
        </is>
      </c>
      <c r="V394" t="inlineStr">
        <is>
          <t>1999-11-17</t>
        </is>
      </c>
      <c r="W394" t="inlineStr">
        <is>
          <t>1997-10-17</t>
        </is>
      </c>
      <c r="X394" t="inlineStr">
        <is>
          <t>1997-10-17</t>
        </is>
      </c>
      <c r="Y394" t="n">
        <v>35</v>
      </c>
      <c r="Z394" t="n">
        <v>31</v>
      </c>
      <c r="AA394" t="n">
        <v>51</v>
      </c>
      <c r="AB394" t="n">
        <v>1</v>
      </c>
      <c r="AC394" t="n">
        <v>1</v>
      </c>
      <c r="AD394" t="n">
        <v>0</v>
      </c>
      <c r="AE394" t="n">
        <v>1</v>
      </c>
      <c r="AF394" t="n">
        <v>0</v>
      </c>
      <c r="AG394" t="n">
        <v>0</v>
      </c>
      <c r="AH394" t="n">
        <v>0</v>
      </c>
      <c r="AI394" t="n">
        <v>1</v>
      </c>
      <c r="AJ394" t="n">
        <v>0</v>
      </c>
      <c r="AK394" t="n">
        <v>0</v>
      </c>
      <c r="AL394" t="n">
        <v>0</v>
      </c>
      <c r="AM394" t="n">
        <v>0</v>
      </c>
      <c r="AN394" t="n">
        <v>0</v>
      </c>
      <c r="AO394" t="n">
        <v>0</v>
      </c>
      <c r="AP394" t="inlineStr">
        <is>
          <t>No</t>
        </is>
      </c>
      <c r="AQ394" t="inlineStr">
        <is>
          <t>Yes</t>
        </is>
      </c>
      <c r="AR394">
        <f>HYPERLINK("http://catalog.hathitrust.org/Record/009813172","HathiTrust Record")</f>
        <v/>
      </c>
      <c r="AS394">
        <f>HYPERLINK("https://creighton-primo.hosted.exlibrisgroup.com/primo-explore/search?tab=default_tab&amp;search_scope=EVERYTHING&amp;vid=01CRU&amp;lang=en_US&amp;offset=0&amp;query=any,contains,991002292909702656","Catalog Record")</f>
        <v/>
      </c>
      <c r="AT394">
        <f>HYPERLINK("http://www.worldcat.org/oclc/29709483","WorldCat Record")</f>
        <v/>
      </c>
      <c r="AU394" t="inlineStr">
        <is>
          <t>12461088:eng</t>
        </is>
      </c>
      <c r="AV394" t="inlineStr">
        <is>
          <t>29709483</t>
        </is>
      </c>
      <c r="AW394" t="inlineStr">
        <is>
          <t>991002292909702656</t>
        </is>
      </c>
      <c r="AX394" t="inlineStr">
        <is>
          <t>991002292909702656</t>
        </is>
      </c>
      <c r="AY394" t="inlineStr">
        <is>
          <t>2262096000002656</t>
        </is>
      </c>
      <c r="AZ394" t="inlineStr">
        <is>
          <t>BOOK</t>
        </is>
      </c>
      <c r="BC394" t="inlineStr">
        <is>
          <t>32285003256202</t>
        </is>
      </c>
      <c r="BD394" t="inlineStr">
        <is>
          <t>893603419</t>
        </is>
      </c>
    </row>
    <row r="395">
      <c r="A395" t="inlineStr">
        <is>
          <t>No</t>
        </is>
      </c>
      <c r="B395" t="inlineStr">
        <is>
          <t>DS125 .B58 1985</t>
        </is>
      </c>
      <c r="C395" t="inlineStr">
        <is>
          <t>0                      DS 0125000B  58          1985</t>
        </is>
      </c>
      <c r="D395" t="inlineStr">
        <is>
          <t>Zion before Zionism, 1838-1880 / Arnold Blumberg.</t>
        </is>
      </c>
      <c r="F395" t="inlineStr">
        <is>
          <t>No</t>
        </is>
      </c>
      <c r="G395" t="inlineStr">
        <is>
          <t>1</t>
        </is>
      </c>
      <c r="H395" t="inlineStr">
        <is>
          <t>No</t>
        </is>
      </c>
      <c r="I395" t="inlineStr">
        <is>
          <t>No</t>
        </is>
      </c>
      <c r="J395" t="inlineStr">
        <is>
          <t>0</t>
        </is>
      </c>
      <c r="K395" t="inlineStr">
        <is>
          <t>Blumberg, Arnold, 1925-</t>
        </is>
      </c>
      <c r="L395" t="inlineStr">
        <is>
          <t>Syracuse, N.Y. : Syracuse University Press, 1985.</t>
        </is>
      </c>
      <c r="M395" t="inlineStr">
        <is>
          <t>1985</t>
        </is>
      </c>
      <c r="N395" t="inlineStr">
        <is>
          <t>1st ed.</t>
        </is>
      </c>
      <c r="O395" t="inlineStr">
        <is>
          <t>eng</t>
        </is>
      </c>
      <c r="P395" t="inlineStr">
        <is>
          <t>nyu</t>
        </is>
      </c>
      <c r="R395" t="inlineStr">
        <is>
          <t xml:space="preserve">DS </t>
        </is>
      </c>
      <c r="S395" t="n">
        <v>1</v>
      </c>
      <c r="T395" t="n">
        <v>1</v>
      </c>
      <c r="U395" t="inlineStr">
        <is>
          <t>2008-11-03</t>
        </is>
      </c>
      <c r="V395" t="inlineStr">
        <is>
          <t>2008-11-03</t>
        </is>
      </c>
      <c r="W395" t="inlineStr">
        <is>
          <t>1990-08-16</t>
        </is>
      </c>
      <c r="X395" t="inlineStr">
        <is>
          <t>1990-08-16</t>
        </is>
      </c>
      <c r="Y395" t="n">
        <v>451</v>
      </c>
      <c r="Z395" t="n">
        <v>382</v>
      </c>
      <c r="AA395" t="n">
        <v>391</v>
      </c>
      <c r="AB395" t="n">
        <v>4</v>
      </c>
      <c r="AC395" t="n">
        <v>4</v>
      </c>
      <c r="AD395" t="n">
        <v>15</v>
      </c>
      <c r="AE395" t="n">
        <v>15</v>
      </c>
      <c r="AF395" t="n">
        <v>3</v>
      </c>
      <c r="AG395" t="n">
        <v>3</v>
      </c>
      <c r="AH395" t="n">
        <v>6</v>
      </c>
      <c r="AI395" t="n">
        <v>6</v>
      </c>
      <c r="AJ395" t="n">
        <v>7</v>
      </c>
      <c r="AK395" t="n">
        <v>7</v>
      </c>
      <c r="AL395" t="n">
        <v>3</v>
      </c>
      <c r="AM395" t="n">
        <v>3</v>
      </c>
      <c r="AN395" t="n">
        <v>0</v>
      </c>
      <c r="AO395" t="n">
        <v>0</v>
      </c>
      <c r="AP395" t="inlineStr">
        <is>
          <t>No</t>
        </is>
      </c>
      <c r="AQ395" t="inlineStr">
        <is>
          <t>Yes</t>
        </is>
      </c>
      <c r="AR395">
        <f>HYPERLINK("http://catalog.hathitrust.org/Record/000467134","HathiTrust Record")</f>
        <v/>
      </c>
      <c r="AS395">
        <f>HYPERLINK("https://creighton-primo.hosted.exlibrisgroup.com/primo-explore/search?tab=default_tab&amp;search_scope=EVERYTHING&amp;vid=01CRU&amp;lang=en_US&amp;offset=0&amp;query=any,contains,991000677719702656","Catalog Record")</f>
        <v/>
      </c>
      <c r="AT395">
        <f>HYPERLINK("http://www.worldcat.org/oclc/12370448","WorldCat Record")</f>
        <v/>
      </c>
      <c r="AU395" t="inlineStr">
        <is>
          <t>5023147:eng</t>
        </is>
      </c>
      <c r="AV395" t="inlineStr">
        <is>
          <t>12370448</t>
        </is>
      </c>
      <c r="AW395" t="inlineStr">
        <is>
          <t>991000677719702656</t>
        </is>
      </c>
      <c r="AX395" t="inlineStr">
        <is>
          <t>991000677719702656</t>
        </is>
      </c>
      <c r="AY395" t="inlineStr">
        <is>
          <t>2261361980002656</t>
        </is>
      </c>
      <c r="AZ395" t="inlineStr">
        <is>
          <t>BOOK</t>
        </is>
      </c>
      <c r="BB395" t="inlineStr">
        <is>
          <t>9780815623366</t>
        </is>
      </c>
      <c r="BC395" t="inlineStr">
        <is>
          <t>32285000290022</t>
        </is>
      </c>
      <c r="BD395" t="inlineStr">
        <is>
          <t>893432194</t>
        </is>
      </c>
    </row>
    <row r="396">
      <c r="A396" t="inlineStr">
        <is>
          <t>No</t>
        </is>
      </c>
      <c r="B396" t="inlineStr">
        <is>
          <t>DS125 .I35 1998</t>
        </is>
      </c>
      <c r="C396" t="inlineStr">
        <is>
          <t>0                      DS 0125000I  35          1998</t>
        </is>
      </c>
      <c r="D396" t="inlineStr">
        <is>
          <t>Weathered by miracles : a history of Palestine from Bonaparte and Muhammad Ali to Ben-Gurion and the mufti / Thomas A. Idinopulos.</t>
        </is>
      </c>
      <c r="F396" t="inlineStr">
        <is>
          <t>No</t>
        </is>
      </c>
      <c r="G396" t="inlineStr">
        <is>
          <t>1</t>
        </is>
      </c>
      <c r="H396" t="inlineStr">
        <is>
          <t>No</t>
        </is>
      </c>
      <c r="I396" t="inlineStr">
        <is>
          <t>No</t>
        </is>
      </c>
      <c r="J396" t="inlineStr">
        <is>
          <t>0</t>
        </is>
      </c>
      <c r="K396" t="inlineStr">
        <is>
          <t>Idinopulos, Thomas A.</t>
        </is>
      </c>
      <c r="L396" t="inlineStr">
        <is>
          <t>Chicago : Ivan R. Dee, 1998.</t>
        </is>
      </c>
      <c r="M396" t="inlineStr">
        <is>
          <t>1998</t>
        </is>
      </c>
      <c r="O396" t="inlineStr">
        <is>
          <t>eng</t>
        </is>
      </c>
      <c r="P396" t="inlineStr">
        <is>
          <t>ilu</t>
        </is>
      </c>
      <c r="R396" t="inlineStr">
        <is>
          <t xml:space="preserve">DS </t>
        </is>
      </c>
      <c r="S396" t="n">
        <v>2</v>
      </c>
      <c r="T396" t="n">
        <v>2</v>
      </c>
      <c r="U396" t="inlineStr">
        <is>
          <t>2000-12-12</t>
        </is>
      </c>
      <c r="V396" t="inlineStr">
        <is>
          <t>2000-12-12</t>
        </is>
      </c>
      <c r="W396" t="inlineStr">
        <is>
          <t>1998-08-25</t>
        </is>
      </c>
      <c r="X396" t="inlineStr">
        <is>
          <t>1998-08-25</t>
        </is>
      </c>
      <c r="Y396" t="n">
        <v>563</v>
      </c>
      <c r="Z396" t="n">
        <v>501</v>
      </c>
      <c r="AA396" t="n">
        <v>562</v>
      </c>
      <c r="AB396" t="n">
        <v>3</v>
      </c>
      <c r="AC396" t="n">
        <v>3</v>
      </c>
      <c r="AD396" t="n">
        <v>22</v>
      </c>
      <c r="AE396" t="n">
        <v>24</v>
      </c>
      <c r="AF396" t="n">
        <v>7</v>
      </c>
      <c r="AG396" t="n">
        <v>8</v>
      </c>
      <c r="AH396" t="n">
        <v>6</v>
      </c>
      <c r="AI396" t="n">
        <v>6</v>
      </c>
      <c r="AJ396" t="n">
        <v>12</v>
      </c>
      <c r="AK396" t="n">
        <v>14</v>
      </c>
      <c r="AL396" t="n">
        <v>2</v>
      </c>
      <c r="AM396" t="n">
        <v>2</v>
      </c>
      <c r="AN396" t="n">
        <v>0</v>
      </c>
      <c r="AO396" t="n">
        <v>0</v>
      </c>
      <c r="AP396" t="inlineStr">
        <is>
          <t>No</t>
        </is>
      </c>
      <c r="AQ396" t="inlineStr">
        <is>
          <t>Yes</t>
        </is>
      </c>
      <c r="AR396">
        <f>HYPERLINK("http://catalog.hathitrust.org/Record/003978489","HathiTrust Record")</f>
        <v/>
      </c>
      <c r="AS396">
        <f>HYPERLINK("https://creighton-primo.hosted.exlibrisgroup.com/primo-explore/search?tab=default_tab&amp;search_scope=EVERYTHING&amp;vid=01CRU&amp;lang=en_US&amp;offset=0&amp;query=any,contains,991002915679702656","Catalog Record")</f>
        <v/>
      </c>
      <c r="AT396">
        <f>HYPERLINK("http://www.worldcat.org/oclc/38550294","WorldCat Record")</f>
        <v/>
      </c>
      <c r="AU396" t="inlineStr">
        <is>
          <t>678017:eng</t>
        </is>
      </c>
      <c r="AV396" t="inlineStr">
        <is>
          <t>38550294</t>
        </is>
      </c>
      <c r="AW396" t="inlineStr">
        <is>
          <t>991002915679702656</t>
        </is>
      </c>
      <c r="AX396" t="inlineStr">
        <is>
          <t>991002915679702656</t>
        </is>
      </c>
      <c r="AY396" t="inlineStr">
        <is>
          <t>2268038430002656</t>
        </is>
      </c>
      <c r="AZ396" t="inlineStr">
        <is>
          <t>BOOK</t>
        </is>
      </c>
      <c r="BB396" t="inlineStr">
        <is>
          <t>9781566631891</t>
        </is>
      </c>
      <c r="BC396" t="inlineStr">
        <is>
          <t>32285003461810</t>
        </is>
      </c>
      <c r="BD396" t="inlineStr">
        <is>
          <t>893886899</t>
        </is>
      </c>
    </row>
    <row r="397">
      <c r="A397" t="inlineStr">
        <is>
          <t>No</t>
        </is>
      </c>
      <c r="B397" t="inlineStr">
        <is>
          <t>DS125 .K45 1991</t>
        </is>
      </c>
      <c r="C397" t="inlineStr">
        <is>
          <t>0                      DS 0125000K  45          1991</t>
        </is>
      </c>
      <c r="D397" t="inlineStr">
        <is>
          <t>Before their diaspora : a photographic history of the Palestinians, 1876-1948 / with an introduction and commentary by Walid Khalidi.</t>
        </is>
      </c>
      <c r="F397" t="inlineStr">
        <is>
          <t>No</t>
        </is>
      </c>
      <c r="G397" t="inlineStr">
        <is>
          <t>1</t>
        </is>
      </c>
      <c r="H397" t="inlineStr">
        <is>
          <t>No</t>
        </is>
      </c>
      <c r="I397" t="inlineStr">
        <is>
          <t>No</t>
        </is>
      </c>
      <c r="J397" t="inlineStr">
        <is>
          <t>0</t>
        </is>
      </c>
      <c r="K397" t="inlineStr">
        <is>
          <t>Khalidi, Walid.</t>
        </is>
      </c>
      <c r="L397" t="inlineStr">
        <is>
          <t>Washington, D.C. : Institute for Palestine Studies, 1991.</t>
        </is>
      </c>
      <c r="M397" t="inlineStr">
        <is>
          <t>1991</t>
        </is>
      </c>
      <c r="O397" t="inlineStr">
        <is>
          <t>eng</t>
        </is>
      </c>
      <c r="P397" t="inlineStr">
        <is>
          <t>dcu</t>
        </is>
      </c>
      <c r="R397" t="inlineStr">
        <is>
          <t xml:space="preserve">DS </t>
        </is>
      </c>
      <c r="S397" t="n">
        <v>5</v>
      </c>
      <c r="T397" t="n">
        <v>5</v>
      </c>
      <c r="U397" t="inlineStr">
        <is>
          <t>2002-07-26</t>
        </is>
      </c>
      <c r="V397" t="inlineStr">
        <is>
          <t>2002-07-26</t>
        </is>
      </c>
      <c r="W397" t="inlineStr">
        <is>
          <t>1996-08-19</t>
        </is>
      </c>
      <c r="X397" t="inlineStr">
        <is>
          <t>1996-08-19</t>
        </is>
      </c>
      <c r="Y397" t="n">
        <v>235</v>
      </c>
      <c r="Z397" t="n">
        <v>209</v>
      </c>
      <c r="AA397" t="n">
        <v>455</v>
      </c>
      <c r="AB397" t="n">
        <v>2</v>
      </c>
      <c r="AC397" t="n">
        <v>3</v>
      </c>
      <c r="AD397" t="n">
        <v>11</v>
      </c>
      <c r="AE397" t="n">
        <v>21</v>
      </c>
      <c r="AF397" t="n">
        <v>7</v>
      </c>
      <c r="AG397" t="n">
        <v>9</v>
      </c>
      <c r="AH397" t="n">
        <v>1</v>
      </c>
      <c r="AI397" t="n">
        <v>5</v>
      </c>
      <c r="AJ397" t="n">
        <v>6</v>
      </c>
      <c r="AK397" t="n">
        <v>10</v>
      </c>
      <c r="AL397" t="n">
        <v>0</v>
      </c>
      <c r="AM397" t="n">
        <v>1</v>
      </c>
      <c r="AN397" t="n">
        <v>0</v>
      </c>
      <c r="AO397" t="n">
        <v>0</v>
      </c>
      <c r="AP397" t="inlineStr">
        <is>
          <t>No</t>
        </is>
      </c>
      <c r="AQ397" t="inlineStr">
        <is>
          <t>Yes</t>
        </is>
      </c>
      <c r="AR397">
        <f>HYPERLINK("http://catalog.hathitrust.org/Record/002514543","HathiTrust Record")</f>
        <v/>
      </c>
      <c r="AS397">
        <f>HYPERLINK("https://creighton-primo.hosted.exlibrisgroup.com/primo-explore/search?tab=default_tab&amp;search_scope=EVERYTHING&amp;vid=01CRU&amp;lang=en_US&amp;offset=0&amp;query=any,contains,991001905539702656","Catalog Record")</f>
        <v/>
      </c>
      <c r="AT397">
        <f>HYPERLINK("http://www.worldcat.org/oclc/24067452","WorldCat Record")</f>
        <v/>
      </c>
      <c r="AU397" t="inlineStr">
        <is>
          <t>3852204:eng</t>
        </is>
      </c>
      <c r="AV397" t="inlineStr">
        <is>
          <t>24067452</t>
        </is>
      </c>
      <c r="AW397" t="inlineStr">
        <is>
          <t>991001905539702656</t>
        </is>
      </c>
      <c r="AX397" t="inlineStr">
        <is>
          <t>991001905539702656</t>
        </is>
      </c>
      <c r="AY397" t="inlineStr">
        <is>
          <t>2258439370002656</t>
        </is>
      </c>
      <c r="AZ397" t="inlineStr">
        <is>
          <t>BOOK</t>
        </is>
      </c>
      <c r="BB397" t="inlineStr">
        <is>
          <t>9780887282195</t>
        </is>
      </c>
      <c r="BC397" t="inlineStr">
        <is>
          <t>32285002290848</t>
        </is>
      </c>
      <c r="BD397" t="inlineStr">
        <is>
          <t>893697128</t>
        </is>
      </c>
    </row>
    <row r="398">
      <c r="A398" t="inlineStr">
        <is>
          <t>No</t>
        </is>
      </c>
      <c r="B398" t="inlineStr">
        <is>
          <t>DS125 .M87 1988</t>
        </is>
      </c>
      <c r="C398" t="inlineStr">
        <is>
          <t>0                      DS 0125000M  87          1988</t>
        </is>
      </c>
      <c r="D398" t="inlineStr">
        <is>
          <t>The origins of Palestinian nationalism / Muhammad Y. Muslih.</t>
        </is>
      </c>
      <c r="F398" t="inlineStr">
        <is>
          <t>No</t>
        </is>
      </c>
      <c r="G398" t="inlineStr">
        <is>
          <t>1</t>
        </is>
      </c>
      <c r="H398" t="inlineStr">
        <is>
          <t>No</t>
        </is>
      </c>
      <c r="I398" t="inlineStr">
        <is>
          <t>No</t>
        </is>
      </c>
      <c r="J398" t="inlineStr">
        <is>
          <t>0</t>
        </is>
      </c>
      <c r="K398" t="inlineStr">
        <is>
          <t>Muslih, Muhammad Y.</t>
        </is>
      </c>
      <c r="L398" t="inlineStr">
        <is>
          <t>New York : Columbia University Press, 1988.</t>
        </is>
      </c>
      <c r="M398" t="inlineStr">
        <is>
          <t>1988</t>
        </is>
      </c>
      <c r="O398" t="inlineStr">
        <is>
          <t>eng</t>
        </is>
      </c>
      <c r="P398" t="inlineStr">
        <is>
          <t>nyu</t>
        </is>
      </c>
      <c r="Q398" t="inlineStr">
        <is>
          <t>The Institute for Palestine Studies series</t>
        </is>
      </c>
      <c r="R398" t="inlineStr">
        <is>
          <t xml:space="preserve">DS </t>
        </is>
      </c>
      <c r="S398" t="n">
        <v>12</v>
      </c>
      <c r="T398" t="n">
        <v>12</v>
      </c>
      <c r="U398" t="inlineStr">
        <is>
          <t>2002-09-03</t>
        </is>
      </c>
      <c r="V398" t="inlineStr">
        <is>
          <t>2002-09-03</t>
        </is>
      </c>
      <c r="W398" t="inlineStr">
        <is>
          <t>1989-10-20</t>
        </is>
      </c>
      <c r="X398" t="inlineStr">
        <is>
          <t>1989-10-20</t>
        </is>
      </c>
      <c r="Y398" t="n">
        <v>707</v>
      </c>
      <c r="Z398" t="n">
        <v>553</v>
      </c>
      <c r="AA398" t="n">
        <v>689</v>
      </c>
      <c r="AB398" t="n">
        <v>3</v>
      </c>
      <c r="AC398" t="n">
        <v>5</v>
      </c>
      <c r="AD398" t="n">
        <v>18</v>
      </c>
      <c r="AE398" t="n">
        <v>29</v>
      </c>
      <c r="AF398" t="n">
        <v>6</v>
      </c>
      <c r="AG398" t="n">
        <v>11</v>
      </c>
      <c r="AH398" t="n">
        <v>6</v>
      </c>
      <c r="AI398" t="n">
        <v>8</v>
      </c>
      <c r="AJ398" t="n">
        <v>9</v>
      </c>
      <c r="AK398" t="n">
        <v>13</v>
      </c>
      <c r="AL398" t="n">
        <v>2</v>
      </c>
      <c r="AM398" t="n">
        <v>4</v>
      </c>
      <c r="AN398" t="n">
        <v>0</v>
      </c>
      <c r="AO398" t="n">
        <v>0</v>
      </c>
      <c r="AP398" t="inlineStr">
        <is>
          <t>No</t>
        </is>
      </c>
      <c r="AQ398" t="inlineStr">
        <is>
          <t>No</t>
        </is>
      </c>
      <c r="AS398">
        <f>HYPERLINK("https://creighton-primo.hosted.exlibrisgroup.com/primo-explore/search?tab=default_tab&amp;search_scope=EVERYTHING&amp;vid=01CRU&amp;lang=en_US&amp;offset=0&amp;query=any,contains,991001131119702656","Catalog Record")</f>
        <v/>
      </c>
      <c r="AT398">
        <f>HYPERLINK("http://www.worldcat.org/oclc/16683074","WorldCat Record")</f>
        <v/>
      </c>
      <c r="AU398" t="inlineStr">
        <is>
          <t>12628322:eng</t>
        </is>
      </c>
      <c r="AV398" t="inlineStr">
        <is>
          <t>16683074</t>
        </is>
      </c>
      <c r="AW398" t="inlineStr">
        <is>
          <t>991001131119702656</t>
        </is>
      </c>
      <c r="AX398" t="inlineStr">
        <is>
          <t>991001131119702656</t>
        </is>
      </c>
      <c r="AY398" t="inlineStr">
        <is>
          <t>2272122820002656</t>
        </is>
      </c>
      <c r="AZ398" t="inlineStr">
        <is>
          <t>BOOK</t>
        </is>
      </c>
      <c r="BB398" t="inlineStr">
        <is>
          <t>9780231065085</t>
        </is>
      </c>
      <c r="BC398" t="inlineStr">
        <is>
          <t>32285000001494</t>
        </is>
      </c>
      <c r="BD398" t="inlineStr">
        <is>
          <t>893503126</t>
        </is>
      </c>
    </row>
    <row r="399">
      <c r="A399" t="inlineStr">
        <is>
          <t>No</t>
        </is>
      </c>
      <c r="B399" t="inlineStr">
        <is>
          <t>DS125 .W36 1990</t>
        </is>
      </c>
      <c r="C399" t="inlineStr">
        <is>
          <t>0                      DS 0125000W  36          1990</t>
        </is>
      </c>
      <c r="D399" t="inlineStr">
        <is>
          <t>Triumph of survival : the story of the Jews in the modern era, 1650-1990 / Berel Wein.</t>
        </is>
      </c>
      <c r="F399" t="inlineStr">
        <is>
          <t>No</t>
        </is>
      </c>
      <c r="G399" t="inlineStr">
        <is>
          <t>1</t>
        </is>
      </c>
      <c r="H399" t="inlineStr">
        <is>
          <t>No</t>
        </is>
      </c>
      <c r="I399" t="inlineStr">
        <is>
          <t>No</t>
        </is>
      </c>
      <c r="J399" t="inlineStr">
        <is>
          <t>0</t>
        </is>
      </c>
      <c r="K399" t="inlineStr">
        <is>
          <t>Wein, Berel.</t>
        </is>
      </c>
      <c r="L399" t="inlineStr">
        <is>
          <t>Suffern, N.Y. : Shaar Press, 1990.</t>
        </is>
      </c>
      <c r="M399" t="inlineStr">
        <is>
          <t>1990</t>
        </is>
      </c>
      <c r="N399" t="inlineStr">
        <is>
          <t>1st ed.</t>
        </is>
      </c>
      <c r="O399" t="inlineStr">
        <is>
          <t>eng</t>
        </is>
      </c>
      <c r="P399" t="inlineStr">
        <is>
          <t>nyu</t>
        </is>
      </c>
      <c r="R399" t="inlineStr">
        <is>
          <t xml:space="preserve">DS </t>
        </is>
      </c>
      <c r="S399" t="n">
        <v>0</v>
      </c>
      <c r="T399" t="n">
        <v>0</v>
      </c>
      <c r="U399" t="inlineStr">
        <is>
          <t>2008-03-11</t>
        </is>
      </c>
      <c r="V399" t="inlineStr">
        <is>
          <t>2008-03-11</t>
        </is>
      </c>
      <c r="W399" t="inlineStr">
        <is>
          <t>1997-10-17</t>
        </is>
      </c>
      <c r="X399" t="inlineStr">
        <is>
          <t>1997-10-17</t>
        </is>
      </c>
      <c r="Y399" t="n">
        <v>49</v>
      </c>
      <c r="Z399" t="n">
        <v>41</v>
      </c>
      <c r="AA399" t="n">
        <v>71</v>
      </c>
      <c r="AB399" t="n">
        <v>1</v>
      </c>
      <c r="AC399" t="n">
        <v>1</v>
      </c>
      <c r="AD399" t="n">
        <v>0</v>
      </c>
      <c r="AE399" t="n">
        <v>2</v>
      </c>
      <c r="AF399" t="n">
        <v>0</v>
      </c>
      <c r="AG399" t="n">
        <v>1</v>
      </c>
      <c r="AH399" t="n">
        <v>0</v>
      </c>
      <c r="AI399" t="n">
        <v>1</v>
      </c>
      <c r="AJ399" t="n">
        <v>0</v>
      </c>
      <c r="AK399" t="n">
        <v>1</v>
      </c>
      <c r="AL399" t="n">
        <v>0</v>
      </c>
      <c r="AM399" t="n">
        <v>0</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HYPERLINK("https://creighton-primo.hosted.exlibrisgroup.com/primo-explore/search?tab=default_tab&amp;search_scope=EVERYTHING&amp;vid=01CRU&amp;lang=en_US&amp;offset=0&amp;query=any,contains,991001983369702656","Catalog Record")</f>
        <v/>
      </c>
      <c r="AT399">
        <f>HYPERLINK("http://www.worldcat.org/oclc/25165146","WorldCat Record")</f>
        <v/>
      </c>
      <c r="AU399" t="inlineStr">
        <is>
          <t>26544263:eng</t>
        </is>
      </c>
      <c r="AV399" t="inlineStr">
        <is>
          <t>25165146</t>
        </is>
      </c>
      <c r="AW399" t="inlineStr">
        <is>
          <t>991001983369702656</t>
        </is>
      </c>
      <c r="AX399" t="inlineStr">
        <is>
          <t>991001983369702656</t>
        </is>
      </c>
      <c r="AY399" t="inlineStr">
        <is>
          <t>2257119400002656</t>
        </is>
      </c>
      <c r="AZ399" t="inlineStr">
        <is>
          <t>BOOK</t>
        </is>
      </c>
      <c r="BC399" t="inlineStr">
        <is>
          <t>32285003256194</t>
        </is>
      </c>
      <c r="BD399" t="inlineStr">
        <is>
          <t>893590796</t>
        </is>
      </c>
    </row>
    <row r="400">
      <c r="A400" t="inlineStr">
        <is>
          <t>No</t>
        </is>
      </c>
      <c r="B400" t="inlineStr">
        <is>
          <t>DS125.3.B37 A433 1972</t>
        </is>
      </c>
      <c r="C400" t="inlineStr">
        <is>
          <t>0                      DS 0125300B  37                 A  433         1972</t>
        </is>
      </c>
      <c r="D400" t="inlineStr">
        <is>
          <t>Letters to Paula / David Ben-Gurion. Translated from the Hebrew by Aubrey Hodes.</t>
        </is>
      </c>
      <c r="F400" t="inlineStr">
        <is>
          <t>No</t>
        </is>
      </c>
      <c r="G400" t="inlineStr">
        <is>
          <t>1</t>
        </is>
      </c>
      <c r="H400" t="inlineStr">
        <is>
          <t>No</t>
        </is>
      </c>
      <c r="I400" t="inlineStr">
        <is>
          <t>No</t>
        </is>
      </c>
      <c r="J400" t="inlineStr">
        <is>
          <t>0</t>
        </is>
      </c>
      <c r="K400" t="inlineStr">
        <is>
          <t>Ben-Gurion, David, 1886-1973.</t>
        </is>
      </c>
      <c r="L400" t="inlineStr">
        <is>
          <t>[Pittsburgh] : University of Pittsburgh Press, [1972, c1971]</t>
        </is>
      </c>
      <c r="M400" t="inlineStr">
        <is>
          <t>1972</t>
        </is>
      </c>
      <c r="O400" t="inlineStr">
        <is>
          <t>eng</t>
        </is>
      </c>
      <c r="P400" t="inlineStr">
        <is>
          <t>pau</t>
        </is>
      </c>
      <c r="R400" t="inlineStr">
        <is>
          <t xml:space="preserve">DS </t>
        </is>
      </c>
      <c r="S400" t="n">
        <v>5</v>
      </c>
      <c r="T400" t="n">
        <v>5</v>
      </c>
      <c r="U400" t="inlineStr">
        <is>
          <t>2003-02-11</t>
        </is>
      </c>
      <c r="V400" t="inlineStr">
        <is>
          <t>2003-02-11</t>
        </is>
      </c>
      <c r="W400" t="inlineStr">
        <is>
          <t>1990-10-01</t>
        </is>
      </c>
      <c r="X400" t="inlineStr">
        <is>
          <t>1990-10-01</t>
        </is>
      </c>
      <c r="Y400" t="n">
        <v>313</v>
      </c>
      <c r="Z400" t="n">
        <v>290</v>
      </c>
      <c r="AA400" t="n">
        <v>320</v>
      </c>
      <c r="AB400" t="n">
        <v>3</v>
      </c>
      <c r="AC400" t="n">
        <v>3</v>
      </c>
      <c r="AD400" t="n">
        <v>13</v>
      </c>
      <c r="AE400" t="n">
        <v>13</v>
      </c>
      <c r="AF400" t="n">
        <v>3</v>
      </c>
      <c r="AG400" t="n">
        <v>3</v>
      </c>
      <c r="AH400" t="n">
        <v>5</v>
      </c>
      <c r="AI400" t="n">
        <v>5</v>
      </c>
      <c r="AJ400" t="n">
        <v>6</v>
      </c>
      <c r="AK400" t="n">
        <v>6</v>
      </c>
      <c r="AL400" t="n">
        <v>2</v>
      </c>
      <c r="AM400" t="n">
        <v>2</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HYPERLINK("https://creighton-primo.hosted.exlibrisgroup.com/primo-explore/search?tab=default_tab&amp;search_scope=EVERYTHING&amp;vid=01CRU&amp;lang=en_US&amp;offset=0&amp;query=any,contains,991001905899702656","Catalog Record")</f>
        <v/>
      </c>
      <c r="AT400">
        <f>HYPERLINK("http://www.worldcat.org/oclc/240386","WorldCat Record")</f>
        <v/>
      </c>
      <c r="AU400" t="inlineStr">
        <is>
          <t>1356169:eng</t>
        </is>
      </c>
      <c r="AV400" t="inlineStr">
        <is>
          <t>240386</t>
        </is>
      </c>
      <c r="AW400" t="inlineStr">
        <is>
          <t>991001905899702656</t>
        </is>
      </c>
      <c r="AX400" t="inlineStr">
        <is>
          <t>991001905899702656</t>
        </is>
      </c>
      <c r="AY400" t="inlineStr">
        <is>
          <t>2272207860002656</t>
        </is>
      </c>
      <c r="AZ400" t="inlineStr">
        <is>
          <t>BOOK</t>
        </is>
      </c>
      <c r="BB400" t="inlineStr">
        <is>
          <t>9780822911029</t>
        </is>
      </c>
      <c r="BC400" t="inlineStr">
        <is>
          <t>32285000293844</t>
        </is>
      </c>
      <c r="BD400" t="inlineStr">
        <is>
          <t>893334702</t>
        </is>
      </c>
    </row>
    <row r="401">
      <c r="A401" t="inlineStr">
        <is>
          <t>No</t>
        </is>
      </c>
      <c r="B401" t="inlineStr">
        <is>
          <t>DS125.3.B37 A97 1974</t>
        </is>
      </c>
      <c r="C401" t="inlineStr">
        <is>
          <t>0                      DS 0125300B  37                 A  97          1974</t>
        </is>
      </c>
      <c r="D401" t="inlineStr">
        <is>
          <t>Ben Gurion, State-builder; principles and pragmatism, 1948-1963.</t>
        </is>
      </c>
      <c r="F401" t="inlineStr">
        <is>
          <t>No</t>
        </is>
      </c>
      <c r="G401" t="inlineStr">
        <is>
          <t>1</t>
        </is>
      </c>
      <c r="H401" t="inlineStr">
        <is>
          <t>No</t>
        </is>
      </c>
      <c r="I401" t="inlineStr">
        <is>
          <t>No</t>
        </is>
      </c>
      <c r="J401" t="inlineStr">
        <is>
          <t>0</t>
        </is>
      </c>
      <c r="K401" t="inlineStr">
        <is>
          <t>Avi-Hai, Avraham, 1931-</t>
        </is>
      </c>
      <c r="L401" t="inlineStr">
        <is>
          <t>New York, Wiley [1974]</t>
        </is>
      </c>
      <c r="M401" t="inlineStr">
        <is>
          <t>1974</t>
        </is>
      </c>
      <c r="O401" t="inlineStr">
        <is>
          <t>eng</t>
        </is>
      </c>
      <c r="P401" t="inlineStr">
        <is>
          <t>nyu</t>
        </is>
      </c>
      <c r="R401" t="inlineStr">
        <is>
          <t xml:space="preserve">DS </t>
        </is>
      </c>
      <c r="S401" t="n">
        <v>1</v>
      </c>
      <c r="T401" t="n">
        <v>1</v>
      </c>
      <c r="U401" t="inlineStr">
        <is>
          <t>2004-04-23</t>
        </is>
      </c>
      <c r="V401" t="inlineStr">
        <is>
          <t>2004-04-23</t>
        </is>
      </c>
      <c r="W401" t="inlineStr">
        <is>
          <t>1997-02-26</t>
        </is>
      </c>
      <c r="X401" t="inlineStr">
        <is>
          <t>1997-02-26</t>
        </is>
      </c>
      <c r="Y401" t="n">
        <v>591</v>
      </c>
      <c r="Z401" t="n">
        <v>490</v>
      </c>
      <c r="AA401" t="n">
        <v>504</v>
      </c>
      <c r="AB401" t="n">
        <v>3</v>
      </c>
      <c r="AC401" t="n">
        <v>3</v>
      </c>
      <c r="AD401" t="n">
        <v>21</v>
      </c>
      <c r="AE401" t="n">
        <v>22</v>
      </c>
      <c r="AF401" t="n">
        <v>10</v>
      </c>
      <c r="AG401" t="n">
        <v>10</v>
      </c>
      <c r="AH401" t="n">
        <v>6</v>
      </c>
      <c r="AI401" t="n">
        <v>7</v>
      </c>
      <c r="AJ401" t="n">
        <v>9</v>
      </c>
      <c r="AK401" t="n">
        <v>10</v>
      </c>
      <c r="AL401" t="n">
        <v>2</v>
      </c>
      <c r="AM401" t="n">
        <v>2</v>
      </c>
      <c r="AN401" t="n">
        <v>0</v>
      </c>
      <c r="AO401" t="n">
        <v>0</v>
      </c>
      <c r="AP401" t="inlineStr">
        <is>
          <t>No</t>
        </is>
      </c>
      <c r="AQ401" t="inlineStr">
        <is>
          <t>Yes</t>
        </is>
      </c>
      <c r="AR401">
        <f>HYPERLINK("http://catalog.hathitrust.org/Record/001243159","HathiTrust Record")</f>
        <v/>
      </c>
      <c r="AS401">
        <f>HYPERLINK("https://creighton-primo.hosted.exlibrisgroup.com/primo-explore/search?tab=default_tab&amp;search_scope=EVERYTHING&amp;vid=01CRU&amp;lang=en_US&amp;offset=0&amp;query=any,contains,991003278089702656","Catalog Record")</f>
        <v/>
      </c>
      <c r="AT401">
        <f>HYPERLINK("http://www.worldcat.org/oclc/801560","WorldCat Record")</f>
        <v/>
      </c>
      <c r="AU401" t="inlineStr">
        <is>
          <t>487781:eng</t>
        </is>
      </c>
      <c r="AV401" t="inlineStr">
        <is>
          <t>801560</t>
        </is>
      </c>
      <c r="AW401" t="inlineStr">
        <is>
          <t>991003278089702656</t>
        </is>
      </c>
      <c r="AX401" t="inlineStr">
        <is>
          <t>991003278089702656</t>
        </is>
      </c>
      <c r="AY401" t="inlineStr">
        <is>
          <t>2270248620002656</t>
        </is>
      </c>
      <c r="AZ401" t="inlineStr">
        <is>
          <t>BOOK</t>
        </is>
      </c>
      <c r="BB401" t="inlineStr">
        <is>
          <t>9780470038369</t>
        </is>
      </c>
      <c r="BC401" t="inlineStr">
        <is>
          <t>32285002462405</t>
        </is>
      </c>
      <c r="BD401" t="inlineStr">
        <is>
          <t>893592364</t>
        </is>
      </c>
    </row>
    <row r="402">
      <c r="A402" t="inlineStr">
        <is>
          <t>No</t>
        </is>
      </c>
      <c r="B402" t="inlineStr">
        <is>
          <t>DS125.3.B37 K87 1983</t>
        </is>
      </c>
      <c r="C402" t="inlineStr">
        <is>
          <t>0                      DS 0125300B  37                 K  87          1983</t>
        </is>
      </c>
      <c r="D402" t="inlineStr">
        <is>
          <t>Ben-Gurion, prophet of fire / Dan Kurzman.</t>
        </is>
      </c>
      <c r="F402" t="inlineStr">
        <is>
          <t>No</t>
        </is>
      </c>
      <c r="G402" t="inlineStr">
        <is>
          <t>1</t>
        </is>
      </c>
      <c r="H402" t="inlineStr">
        <is>
          <t>No</t>
        </is>
      </c>
      <c r="I402" t="inlineStr">
        <is>
          <t>No</t>
        </is>
      </c>
      <c r="J402" t="inlineStr">
        <is>
          <t>0</t>
        </is>
      </c>
      <c r="K402" t="inlineStr">
        <is>
          <t>Kurzman, Dan.</t>
        </is>
      </c>
      <c r="L402" t="inlineStr">
        <is>
          <t>New York : Simon and Schuster, c1983.</t>
        </is>
      </c>
      <c r="M402" t="inlineStr">
        <is>
          <t>1983</t>
        </is>
      </c>
      <c r="O402" t="inlineStr">
        <is>
          <t>eng</t>
        </is>
      </c>
      <c r="P402" t="inlineStr">
        <is>
          <t>nyu</t>
        </is>
      </c>
      <c r="R402" t="inlineStr">
        <is>
          <t xml:space="preserve">DS </t>
        </is>
      </c>
      <c r="S402" t="n">
        <v>3</v>
      </c>
      <c r="T402" t="n">
        <v>3</v>
      </c>
      <c r="U402" t="inlineStr">
        <is>
          <t>2004-04-23</t>
        </is>
      </c>
      <c r="V402" t="inlineStr">
        <is>
          <t>2004-04-23</t>
        </is>
      </c>
      <c r="W402" t="inlineStr">
        <is>
          <t>1990-08-16</t>
        </is>
      </c>
      <c r="X402" t="inlineStr">
        <is>
          <t>1990-08-16</t>
        </is>
      </c>
      <c r="Y402" t="n">
        <v>949</v>
      </c>
      <c r="Z402" t="n">
        <v>868</v>
      </c>
      <c r="AA402" t="n">
        <v>889</v>
      </c>
      <c r="AB402" t="n">
        <v>6</v>
      </c>
      <c r="AC402" t="n">
        <v>6</v>
      </c>
      <c r="AD402" t="n">
        <v>29</v>
      </c>
      <c r="AE402" t="n">
        <v>29</v>
      </c>
      <c r="AF402" t="n">
        <v>11</v>
      </c>
      <c r="AG402" t="n">
        <v>11</v>
      </c>
      <c r="AH402" t="n">
        <v>6</v>
      </c>
      <c r="AI402" t="n">
        <v>6</v>
      </c>
      <c r="AJ402" t="n">
        <v>14</v>
      </c>
      <c r="AK402" t="n">
        <v>14</v>
      </c>
      <c r="AL402" t="n">
        <v>4</v>
      </c>
      <c r="AM402" t="n">
        <v>4</v>
      </c>
      <c r="AN402" t="n">
        <v>0</v>
      </c>
      <c r="AO402" t="n">
        <v>0</v>
      </c>
      <c r="AP402" t="inlineStr">
        <is>
          <t>No</t>
        </is>
      </c>
      <c r="AQ402" t="inlineStr">
        <is>
          <t>Yes</t>
        </is>
      </c>
      <c r="AR402">
        <f>HYPERLINK("http://catalog.hathitrust.org/Record/000777659","HathiTrust Record")</f>
        <v/>
      </c>
      <c r="AS402">
        <f>HYPERLINK("https://creighton-primo.hosted.exlibrisgroup.com/primo-explore/search?tab=default_tab&amp;search_scope=EVERYTHING&amp;vid=01CRU&amp;lang=en_US&amp;offset=0&amp;query=any,contains,991000228929702656","Catalog Record")</f>
        <v/>
      </c>
      <c r="AT402">
        <f>HYPERLINK("http://www.worldcat.org/oclc/9622506","WorldCat Record")</f>
        <v/>
      </c>
      <c r="AU402" t="inlineStr">
        <is>
          <t>3855457756:eng</t>
        </is>
      </c>
      <c r="AV402" t="inlineStr">
        <is>
          <t>9622506</t>
        </is>
      </c>
      <c r="AW402" t="inlineStr">
        <is>
          <t>991000228929702656</t>
        </is>
      </c>
      <c r="AX402" t="inlineStr">
        <is>
          <t>991000228929702656</t>
        </is>
      </c>
      <c r="AY402" t="inlineStr">
        <is>
          <t>2269327270002656</t>
        </is>
      </c>
      <c r="AZ402" t="inlineStr">
        <is>
          <t>BOOK</t>
        </is>
      </c>
      <c r="BB402" t="inlineStr">
        <is>
          <t>9780671230944</t>
        </is>
      </c>
      <c r="BC402" t="inlineStr">
        <is>
          <t>32285000290048</t>
        </is>
      </c>
      <c r="BD402" t="inlineStr">
        <is>
          <t>893689570</t>
        </is>
      </c>
    </row>
    <row r="403">
      <c r="A403" t="inlineStr">
        <is>
          <t>No</t>
        </is>
      </c>
      <c r="B403" t="inlineStr">
        <is>
          <t>DS125.3.B37 T475 1987</t>
        </is>
      </c>
      <c r="C403" t="inlineStr">
        <is>
          <t>0                      DS 0125300B  37                 T  475         1987</t>
        </is>
      </c>
      <c r="D403" t="inlineStr">
        <is>
          <t>Ben-Gurion : the burning ground, 1886-1948 / Shabtai Teveth.</t>
        </is>
      </c>
      <c r="F403" t="inlineStr">
        <is>
          <t>No</t>
        </is>
      </c>
      <c r="G403" t="inlineStr">
        <is>
          <t>1</t>
        </is>
      </c>
      <c r="H403" t="inlineStr">
        <is>
          <t>No</t>
        </is>
      </c>
      <c r="I403" t="inlineStr">
        <is>
          <t>No</t>
        </is>
      </c>
      <c r="J403" t="inlineStr">
        <is>
          <t>0</t>
        </is>
      </c>
      <c r="K403" t="inlineStr">
        <is>
          <t>Teveth, Shabtai, 1925-2014.</t>
        </is>
      </c>
      <c r="L403" t="inlineStr">
        <is>
          <t>Boston : Houghton Mifflin, 1987.</t>
        </is>
      </c>
      <c r="M403" t="inlineStr">
        <is>
          <t>1987</t>
        </is>
      </c>
      <c r="O403" t="inlineStr">
        <is>
          <t>eng</t>
        </is>
      </c>
      <c r="P403" t="inlineStr">
        <is>
          <t>mau</t>
        </is>
      </c>
      <c r="R403" t="inlineStr">
        <is>
          <t xml:space="preserve">DS </t>
        </is>
      </c>
      <c r="S403" t="n">
        <v>1</v>
      </c>
      <c r="T403" t="n">
        <v>1</v>
      </c>
      <c r="U403" t="inlineStr">
        <is>
          <t>1998-12-16</t>
        </is>
      </c>
      <c r="V403" t="inlineStr">
        <is>
          <t>1998-12-16</t>
        </is>
      </c>
      <c r="W403" t="inlineStr">
        <is>
          <t>1990-08-16</t>
        </is>
      </c>
      <c r="X403" t="inlineStr">
        <is>
          <t>1990-08-16</t>
        </is>
      </c>
      <c r="Y403" t="n">
        <v>903</v>
      </c>
      <c r="Z403" t="n">
        <v>799</v>
      </c>
      <c r="AA403" t="n">
        <v>802</v>
      </c>
      <c r="AB403" t="n">
        <v>5</v>
      </c>
      <c r="AC403" t="n">
        <v>5</v>
      </c>
      <c r="AD403" t="n">
        <v>27</v>
      </c>
      <c r="AE403" t="n">
        <v>28</v>
      </c>
      <c r="AF403" t="n">
        <v>8</v>
      </c>
      <c r="AG403" t="n">
        <v>8</v>
      </c>
      <c r="AH403" t="n">
        <v>10</v>
      </c>
      <c r="AI403" t="n">
        <v>10</v>
      </c>
      <c r="AJ403" t="n">
        <v>14</v>
      </c>
      <c r="AK403" t="n">
        <v>15</v>
      </c>
      <c r="AL403" t="n">
        <v>4</v>
      </c>
      <c r="AM403" t="n">
        <v>4</v>
      </c>
      <c r="AN403" t="n">
        <v>0</v>
      </c>
      <c r="AO403" t="n">
        <v>0</v>
      </c>
      <c r="AP403" t="inlineStr">
        <is>
          <t>No</t>
        </is>
      </c>
      <c r="AQ403" t="inlineStr">
        <is>
          <t>Yes</t>
        </is>
      </c>
      <c r="AR403">
        <f>HYPERLINK("http://catalog.hathitrust.org/Record/000831056","HathiTrust Record")</f>
        <v/>
      </c>
      <c r="AS403">
        <f>HYPERLINK("https://creighton-primo.hosted.exlibrisgroup.com/primo-explore/search?tab=default_tab&amp;search_scope=EVERYTHING&amp;vid=01CRU&amp;lang=en_US&amp;offset=0&amp;query=any,contains,991000969089702656","Catalog Record")</f>
        <v/>
      </c>
      <c r="AT403">
        <f>HYPERLINK("http://www.worldcat.org/oclc/14932630","WorldCat Record")</f>
        <v/>
      </c>
      <c r="AU403" t="inlineStr">
        <is>
          <t>8982009:eng</t>
        </is>
      </c>
      <c r="AV403" t="inlineStr">
        <is>
          <t>14932630</t>
        </is>
      </c>
      <c r="AW403" t="inlineStr">
        <is>
          <t>991000969089702656</t>
        </is>
      </c>
      <c r="AX403" t="inlineStr">
        <is>
          <t>991000969089702656</t>
        </is>
      </c>
      <c r="AY403" t="inlineStr">
        <is>
          <t>2263542040002656</t>
        </is>
      </c>
      <c r="AZ403" t="inlineStr">
        <is>
          <t>BOOK</t>
        </is>
      </c>
      <c r="BB403" t="inlineStr">
        <is>
          <t>9780395354094</t>
        </is>
      </c>
      <c r="BC403" t="inlineStr">
        <is>
          <t>32285000290055</t>
        </is>
      </c>
      <c r="BD403" t="inlineStr">
        <is>
          <t>893231587</t>
        </is>
      </c>
    </row>
    <row r="404">
      <c r="A404" t="inlineStr">
        <is>
          <t>No</t>
        </is>
      </c>
      <c r="B404" t="inlineStr">
        <is>
          <t>DS125.3.S23 A3 2007</t>
        </is>
      </c>
      <c r="C404" t="inlineStr">
        <is>
          <t>0                      DS 0125300S  23                 A  3           2007</t>
        </is>
      </c>
      <c r="D404" t="inlineStr">
        <is>
          <t>Palestine : a personal history / Karl Sabbagh.</t>
        </is>
      </c>
      <c r="F404" t="inlineStr">
        <is>
          <t>No</t>
        </is>
      </c>
      <c r="G404" t="inlineStr">
        <is>
          <t>1</t>
        </is>
      </c>
      <c r="H404" t="inlineStr">
        <is>
          <t>No</t>
        </is>
      </c>
      <c r="I404" t="inlineStr">
        <is>
          <t>No</t>
        </is>
      </c>
      <c r="J404" t="inlineStr">
        <is>
          <t>0</t>
        </is>
      </c>
      <c r="K404" t="inlineStr">
        <is>
          <t>Sabbagh, Karl.</t>
        </is>
      </c>
      <c r="L404" t="inlineStr">
        <is>
          <t>New York : Grove Press : Distributed by Publishers Group West, c2007.</t>
        </is>
      </c>
      <c r="M404" t="inlineStr">
        <is>
          <t>2007</t>
        </is>
      </c>
      <c r="N404" t="inlineStr">
        <is>
          <t>1st American ed.</t>
        </is>
      </c>
      <c r="O404" t="inlineStr">
        <is>
          <t>eng</t>
        </is>
      </c>
      <c r="P404" t="inlineStr">
        <is>
          <t>nyu</t>
        </is>
      </c>
      <c r="R404" t="inlineStr">
        <is>
          <t xml:space="preserve">DS </t>
        </is>
      </c>
      <c r="S404" t="n">
        <v>1</v>
      </c>
      <c r="T404" t="n">
        <v>1</v>
      </c>
      <c r="U404" t="inlineStr">
        <is>
          <t>2007-03-13</t>
        </is>
      </c>
      <c r="V404" t="inlineStr">
        <is>
          <t>2007-03-13</t>
        </is>
      </c>
      <c r="W404" t="inlineStr">
        <is>
          <t>2007-03-13</t>
        </is>
      </c>
      <c r="X404" t="inlineStr">
        <is>
          <t>2007-03-13</t>
        </is>
      </c>
      <c r="Y404" t="n">
        <v>382</v>
      </c>
      <c r="Z404" t="n">
        <v>354</v>
      </c>
      <c r="AA404" t="n">
        <v>387</v>
      </c>
      <c r="AB404" t="n">
        <v>2</v>
      </c>
      <c r="AC404" t="n">
        <v>2</v>
      </c>
      <c r="AD404" t="n">
        <v>6</v>
      </c>
      <c r="AE404" t="n">
        <v>8</v>
      </c>
      <c r="AF404" t="n">
        <v>3</v>
      </c>
      <c r="AG404" t="n">
        <v>4</v>
      </c>
      <c r="AH404" t="n">
        <v>2</v>
      </c>
      <c r="AI404" t="n">
        <v>3</v>
      </c>
      <c r="AJ404" t="n">
        <v>2</v>
      </c>
      <c r="AK404" t="n">
        <v>3</v>
      </c>
      <c r="AL404" t="n">
        <v>1</v>
      </c>
      <c r="AM404" t="n">
        <v>1</v>
      </c>
      <c r="AN404" t="n">
        <v>0</v>
      </c>
      <c r="AO404" t="n">
        <v>0</v>
      </c>
      <c r="AP404" t="inlineStr">
        <is>
          <t>No</t>
        </is>
      </c>
      <c r="AQ404" t="inlineStr">
        <is>
          <t>No</t>
        </is>
      </c>
      <c r="AS404">
        <f>HYPERLINK("https://creighton-primo.hosted.exlibrisgroup.com/primo-explore/search?tab=default_tab&amp;search_scope=EVERYTHING&amp;vid=01CRU&amp;lang=en_US&amp;offset=0&amp;query=any,contains,991004988719702656","Catalog Record")</f>
        <v/>
      </c>
      <c r="AT404">
        <f>HYPERLINK("http://www.worldcat.org/oclc/71189900","WorldCat Record")</f>
        <v/>
      </c>
      <c r="AU404" t="inlineStr">
        <is>
          <t>866244607:eng</t>
        </is>
      </c>
      <c r="AV404" t="inlineStr">
        <is>
          <t>71189900</t>
        </is>
      </c>
      <c r="AW404" t="inlineStr">
        <is>
          <t>991004988719702656</t>
        </is>
      </c>
      <c r="AX404" t="inlineStr">
        <is>
          <t>991004988719702656</t>
        </is>
      </c>
      <c r="AY404" t="inlineStr">
        <is>
          <t>2263997900002656</t>
        </is>
      </c>
      <c r="AZ404" t="inlineStr">
        <is>
          <t>BOOK</t>
        </is>
      </c>
      <c r="BB404" t="inlineStr">
        <is>
          <t>9780802118424</t>
        </is>
      </c>
      <c r="BC404" t="inlineStr">
        <is>
          <t>32285005281182</t>
        </is>
      </c>
      <c r="BD404" t="inlineStr">
        <is>
          <t>893332249</t>
        </is>
      </c>
    </row>
    <row r="405">
      <c r="A405" t="inlineStr">
        <is>
          <t>No</t>
        </is>
      </c>
      <c r="B405" t="inlineStr">
        <is>
          <t>DS125.5 .S8</t>
        </is>
      </c>
      <c r="C405" t="inlineStr">
        <is>
          <t>0                      DS 0125500S  8</t>
        </is>
      </c>
      <c r="D405" t="inlineStr">
        <is>
          <t>The Balfour declaration / Leonard Stein.</t>
        </is>
      </c>
      <c r="F405" t="inlineStr">
        <is>
          <t>No</t>
        </is>
      </c>
      <c r="G405" t="inlineStr">
        <is>
          <t>1</t>
        </is>
      </c>
      <c r="H405" t="inlineStr">
        <is>
          <t>No</t>
        </is>
      </c>
      <c r="I405" t="inlineStr">
        <is>
          <t>No</t>
        </is>
      </c>
      <c r="J405" t="inlineStr">
        <is>
          <t>0</t>
        </is>
      </c>
      <c r="K405" t="inlineStr">
        <is>
          <t>Stein, Leonard, 1887-1973.</t>
        </is>
      </c>
      <c r="L405" t="inlineStr">
        <is>
          <t>New York : Simon and Schuster, 1961.</t>
        </is>
      </c>
      <c r="M405" t="inlineStr">
        <is>
          <t>1961</t>
        </is>
      </c>
      <c r="O405" t="inlineStr">
        <is>
          <t>eng</t>
        </is>
      </c>
      <c r="P405" t="inlineStr">
        <is>
          <t>nyu</t>
        </is>
      </c>
      <c r="R405" t="inlineStr">
        <is>
          <t xml:space="preserve">DS </t>
        </is>
      </c>
      <c r="S405" t="n">
        <v>2</v>
      </c>
      <c r="T405" t="n">
        <v>2</v>
      </c>
      <c r="U405" t="inlineStr">
        <is>
          <t>2005-03-14</t>
        </is>
      </c>
      <c r="V405" t="inlineStr">
        <is>
          <t>2005-03-14</t>
        </is>
      </c>
      <c r="W405" t="inlineStr">
        <is>
          <t>1997-06-24</t>
        </is>
      </c>
      <c r="X405" t="inlineStr">
        <is>
          <t>1997-06-24</t>
        </is>
      </c>
      <c r="Y405" t="n">
        <v>447</v>
      </c>
      <c r="Z405" t="n">
        <v>412</v>
      </c>
      <c r="AA405" t="n">
        <v>668</v>
      </c>
      <c r="AB405" t="n">
        <v>3</v>
      </c>
      <c r="AC405" t="n">
        <v>7</v>
      </c>
      <c r="AD405" t="n">
        <v>27</v>
      </c>
      <c r="AE405" t="n">
        <v>46</v>
      </c>
      <c r="AF405" t="n">
        <v>12</v>
      </c>
      <c r="AG405" t="n">
        <v>16</v>
      </c>
      <c r="AH405" t="n">
        <v>7</v>
      </c>
      <c r="AI405" t="n">
        <v>10</v>
      </c>
      <c r="AJ405" t="n">
        <v>11</v>
      </c>
      <c r="AK405" t="n">
        <v>21</v>
      </c>
      <c r="AL405" t="n">
        <v>2</v>
      </c>
      <c r="AM405" t="n">
        <v>6</v>
      </c>
      <c r="AN405" t="n">
        <v>2</v>
      </c>
      <c r="AO405" t="n">
        <v>3</v>
      </c>
      <c r="AP405" t="inlineStr">
        <is>
          <t>No</t>
        </is>
      </c>
      <c r="AQ405" t="inlineStr">
        <is>
          <t>No</t>
        </is>
      </c>
      <c r="AS405">
        <f>HYPERLINK("https://creighton-primo.hosted.exlibrisgroup.com/primo-explore/search?tab=default_tab&amp;search_scope=EVERYTHING&amp;vid=01CRU&amp;lang=en_US&amp;offset=0&amp;query=any,contains,991002710309702656","Catalog Record")</f>
        <v/>
      </c>
      <c r="AT405">
        <f>HYPERLINK("http://www.worldcat.org/oclc/408963","WorldCat Record")</f>
        <v/>
      </c>
      <c r="AU405" t="inlineStr">
        <is>
          <t>1445224:eng</t>
        </is>
      </c>
      <c r="AV405" t="inlineStr">
        <is>
          <t>408963</t>
        </is>
      </c>
      <c r="AW405" t="inlineStr">
        <is>
          <t>991002710309702656</t>
        </is>
      </c>
      <c r="AX405" t="inlineStr">
        <is>
          <t>991002710309702656</t>
        </is>
      </c>
      <c r="AY405" t="inlineStr">
        <is>
          <t>2262076040002656</t>
        </is>
      </c>
      <c r="AZ405" t="inlineStr">
        <is>
          <t>BOOK</t>
        </is>
      </c>
      <c r="BC405" t="inlineStr">
        <is>
          <t>32285002831179</t>
        </is>
      </c>
      <c r="BD405" t="inlineStr">
        <is>
          <t>893716824</t>
        </is>
      </c>
    </row>
    <row r="406">
      <c r="A406" t="inlineStr">
        <is>
          <t>No</t>
        </is>
      </c>
      <c r="B406" t="inlineStr">
        <is>
          <t>DS126 .C377 1988</t>
        </is>
      </c>
      <c r="C406" t="inlineStr">
        <is>
          <t>0                      DS 0126000C  377         1988</t>
        </is>
      </c>
      <c r="D406" t="inlineStr">
        <is>
          <t>The Palestine question / Henry Cattan.</t>
        </is>
      </c>
      <c r="F406" t="inlineStr">
        <is>
          <t>No</t>
        </is>
      </c>
      <c r="G406" t="inlineStr">
        <is>
          <t>1</t>
        </is>
      </c>
      <c r="H406" t="inlineStr">
        <is>
          <t>No</t>
        </is>
      </c>
      <c r="I406" t="inlineStr">
        <is>
          <t>No</t>
        </is>
      </c>
      <c r="J406" t="inlineStr">
        <is>
          <t>0</t>
        </is>
      </c>
      <c r="K406" t="inlineStr">
        <is>
          <t>Cattan, Henry.</t>
        </is>
      </c>
      <c r="L406" t="inlineStr">
        <is>
          <t>London : Croom Helm, 1988.</t>
        </is>
      </c>
      <c r="M406" t="inlineStr">
        <is>
          <t>1988</t>
        </is>
      </c>
      <c r="O406" t="inlineStr">
        <is>
          <t>eng</t>
        </is>
      </c>
      <c r="P406" t="inlineStr">
        <is>
          <t>enk</t>
        </is>
      </c>
      <c r="R406" t="inlineStr">
        <is>
          <t xml:space="preserve">DS </t>
        </is>
      </c>
      <c r="S406" t="n">
        <v>6</v>
      </c>
      <c r="T406" t="n">
        <v>6</v>
      </c>
      <c r="U406" t="inlineStr">
        <is>
          <t>2000-04-29</t>
        </is>
      </c>
      <c r="V406" t="inlineStr">
        <is>
          <t>2000-04-29</t>
        </is>
      </c>
      <c r="W406" t="inlineStr">
        <is>
          <t>1990-04-25</t>
        </is>
      </c>
      <c r="X406" t="inlineStr">
        <is>
          <t>1990-04-25</t>
        </is>
      </c>
      <c r="Y406" t="n">
        <v>284</v>
      </c>
      <c r="Z406" t="n">
        <v>153</v>
      </c>
      <c r="AA406" t="n">
        <v>222</v>
      </c>
      <c r="AB406" t="n">
        <v>3</v>
      </c>
      <c r="AC406" t="n">
        <v>3</v>
      </c>
      <c r="AD406" t="n">
        <v>7</v>
      </c>
      <c r="AE406" t="n">
        <v>11</v>
      </c>
      <c r="AF406" t="n">
        <v>1</v>
      </c>
      <c r="AG406" t="n">
        <v>1</v>
      </c>
      <c r="AH406" t="n">
        <v>1</v>
      </c>
      <c r="AI406" t="n">
        <v>3</v>
      </c>
      <c r="AJ406" t="n">
        <v>4</v>
      </c>
      <c r="AK406" t="n">
        <v>6</v>
      </c>
      <c r="AL406" t="n">
        <v>2</v>
      </c>
      <c r="AM406" t="n">
        <v>2</v>
      </c>
      <c r="AN406" t="n">
        <v>1</v>
      </c>
      <c r="AO406" t="n">
        <v>1</v>
      </c>
      <c r="AP406" t="inlineStr">
        <is>
          <t>No</t>
        </is>
      </c>
      <c r="AQ406" t="inlineStr">
        <is>
          <t>No</t>
        </is>
      </c>
      <c r="AS406">
        <f>HYPERLINK("https://creighton-primo.hosted.exlibrisgroup.com/primo-explore/search?tab=default_tab&amp;search_scope=EVERYTHING&amp;vid=01CRU&amp;lang=en_US&amp;offset=0&amp;query=any,contains,991001043119702656","Catalog Record")</f>
        <v/>
      </c>
      <c r="AT406">
        <f>HYPERLINK("http://www.worldcat.org/oclc/18191315","WorldCat Record")</f>
        <v/>
      </c>
      <c r="AU406" t="inlineStr">
        <is>
          <t>2845509:eng</t>
        </is>
      </c>
      <c r="AV406" t="inlineStr">
        <is>
          <t>18191315</t>
        </is>
      </c>
      <c r="AW406" t="inlineStr">
        <is>
          <t>991001043119702656</t>
        </is>
      </c>
      <c r="AX406" t="inlineStr">
        <is>
          <t>991001043119702656</t>
        </is>
      </c>
      <c r="AY406" t="inlineStr">
        <is>
          <t>2262256840002656</t>
        </is>
      </c>
      <c r="AZ406" t="inlineStr">
        <is>
          <t>BOOK</t>
        </is>
      </c>
      <c r="BB406" t="inlineStr">
        <is>
          <t>9780709948605</t>
        </is>
      </c>
      <c r="BC406" t="inlineStr">
        <is>
          <t>32285000131820</t>
        </is>
      </c>
      <c r="BD406" t="inlineStr">
        <is>
          <t>893432549</t>
        </is>
      </c>
    </row>
    <row r="407">
      <c r="A407" t="inlineStr">
        <is>
          <t>No</t>
        </is>
      </c>
      <c r="B407" t="inlineStr">
        <is>
          <t>DS126 .C532 1978</t>
        </is>
      </c>
      <c r="C407" t="inlineStr">
        <is>
          <t>0                      DS 0126000C  532         1978</t>
        </is>
      </c>
      <c r="D407" t="inlineStr">
        <is>
          <t>Palestine, retreat from the Mandate : the making of British policy, 1936-45 / Michael J. Cohen.</t>
        </is>
      </c>
      <c r="F407" t="inlineStr">
        <is>
          <t>No</t>
        </is>
      </c>
      <c r="G407" t="inlineStr">
        <is>
          <t>1</t>
        </is>
      </c>
      <c r="H407" t="inlineStr">
        <is>
          <t>No</t>
        </is>
      </c>
      <c r="I407" t="inlineStr">
        <is>
          <t>No</t>
        </is>
      </c>
      <c r="J407" t="inlineStr">
        <is>
          <t>0</t>
        </is>
      </c>
      <c r="K407" t="inlineStr">
        <is>
          <t>Cohen, Michael Joseph, 1940-</t>
        </is>
      </c>
      <c r="L407" t="inlineStr">
        <is>
          <t>New York : Holmes &amp; Meier, 1978.</t>
        </is>
      </c>
      <c r="M407" t="inlineStr">
        <is>
          <t>1978</t>
        </is>
      </c>
      <c r="O407" t="inlineStr">
        <is>
          <t>eng</t>
        </is>
      </c>
      <c r="P407" t="inlineStr">
        <is>
          <t>nyu</t>
        </is>
      </c>
      <c r="R407" t="inlineStr">
        <is>
          <t xml:space="preserve">DS </t>
        </is>
      </c>
      <c r="S407" t="n">
        <v>7</v>
      </c>
      <c r="T407" t="n">
        <v>7</v>
      </c>
      <c r="U407" t="inlineStr">
        <is>
          <t>2003-04-17</t>
        </is>
      </c>
      <c r="V407" t="inlineStr">
        <is>
          <t>2003-04-17</t>
        </is>
      </c>
      <c r="W407" t="inlineStr">
        <is>
          <t>1990-08-16</t>
        </is>
      </c>
      <c r="X407" t="inlineStr">
        <is>
          <t>1990-08-16</t>
        </is>
      </c>
      <c r="Y407" t="n">
        <v>359</v>
      </c>
      <c r="Z407" t="n">
        <v>307</v>
      </c>
      <c r="AA407" t="n">
        <v>356</v>
      </c>
      <c r="AB407" t="n">
        <v>2</v>
      </c>
      <c r="AC407" t="n">
        <v>4</v>
      </c>
      <c r="AD407" t="n">
        <v>13</v>
      </c>
      <c r="AE407" t="n">
        <v>16</v>
      </c>
      <c r="AF407" t="n">
        <v>2</v>
      </c>
      <c r="AG407" t="n">
        <v>2</v>
      </c>
      <c r="AH407" t="n">
        <v>7</v>
      </c>
      <c r="AI407" t="n">
        <v>7</v>
      </c>
      <c r="AJ407" t="n">
        <v>7</v>
      </c>
      <c r="AK407" t="n">
        <v>8</v>
      </c>
      <c r="AL407" t="n">
        <v>1</v>
      </c>
      <c r="AM407" t="n">
        <v>3</v>
      </c>
      <c r="AN407" t="n">
        <v>0</v>
      </c>
      <c r="AO407" t="n">
        <v>0</v>
      </c>
      <c r="AP407" t="inlineStr">
        <is>
          <t>No</t>
        </is>
      </c>
      <c r="AQ407" t="inlineStr">
        <is>
          <t>Yes</t>
        </is>
      </c>
      <c r="AR407">
        <f>HYPERLINK("http://catalog.hathitrust.org/Record/000092055","HathiTrust Record")</f>
        <v/>
      </c>
      <c r="AS407">
        <f>HYPERLINK("https://creighton-primo.hosted.exlibrisgroup.com/primo-explore/search?tab=default_tab&amp;search_scope=EVERYTHING&amp;vid=01CRU&amp;lang=en_US&amp;offset=0&amp;query=any,contains,991004480479702656","Catalog Record")</f>
        <v/>
      </c>
      <c r="AT407">
        <f>HYPERLINK("http://www.worldcat.org/oclc/3627274","WorldCat Record")</f>
        <v/>
      </c>
      <c r="AU407" t="inlineStr">
        <is>
          <t>860086912:eng</t>
        </is>
      </c>
      <c r="AV407" t="inlineStr">
        <is>
          <t>3627274</t>
        </is>
      </c>
      <c r="AW407" t="inlineStr">
        <is>
          <t>991004480479702656</t>
        </is>
      </c>
      <c r="AX407" t="inlineStr">
        <is>
          <t>991004480479702656</t>
        </is>
      </c>
      <c r="AY407" t="inlineStr">
        <is>
          <t>2269314920002656</t>
        </is>
      </c>
      <c r="AZ407" t="inlineStr">
        <is>
          <t>BOOK</t>
        </is>
      </c>
      <c r="BB407" t="inlineStr">
        <is>
          <t>9780841903739</t>
        </is>
      </c>
      <c r="BC407" t="inlineStr">
        <is>
          <t>32285000290063</t>
        </is>
      </c>
      <c r="BD407" t="inlineStr">
        <is>
          <t>893259770</t>
        </is>
      </c>
    </row>
    <row r="408">
      <c r="A408" t="inlineStr">
        <is>
          <t>No</t>
        </is>
      </c>
      <c r="B408" t="inlineStr">
        <is>
          <t>DS126 .H95 1976</t>
        </is>
      </c>
      <c r="C408" t="inlineStr">
        <is>
          <t>0                      DS 0126000H  95          1976</t>
        </is>
      </c>
      <c r="D408" t="inlineStr">
        <is>
          <t>Palestine under the mandate, 1920-1948 / by Albert M. Hyamson.</t>
        </is>
      </c>
      <c r="F408" t="inlineStr">
        <is>
          <t>No</t>
        </is>
      </c>
      <c r="G408" t="inlineStr">
        <is>
          <t>1</t>
        </is>
      </c>
      <c r="H408" t="inlineStr">
        <is>
          <t>No</t>
        </is>
      </c>
      <c r="I408" t="inlineStr">
        <is>
          <t>No</t>
        </is>
      </c>
      <c r="J408" t="inlineStr">
        <is>
          <t>0</t>
        </is>
      </c>
      <c r="K408" t="inlineStr">
        <is>
          <t>Hyamson, Albert Montefiore, 1875-1954.</t>
        </is>
      </c>
      <c r="L408" t="inlineStr">
        <is>
          <t>Westport, Conn. : Greenwood Press, 1976.</t>
        </is>
      </c>
      <c r="M408" t="inlineStr">
        <is>
          <t>1976</t>
        </is>
      </c>
      <c r="O408" t="inlineStr">
        <is>
          <t>eng</t>
        </is>
      </c>
      <c r="P408" t="inlineStr">
        <is>
          <t>ctu</t>
        </is>
      </c>
      <c r="R408" t="inlineStr">
        <is>
          <t xml:space="preserve">DS </t>
        </is>
      </c>
      <c r="S408" t="n">
        <v>4</v>
      </c>
      <c r="T408" t="n">
        <v>4</v>
      </c>
      <c r="U408" t="inlineStr">
        <is>
          <t>1993-11-29</t>
        </is>
      </c>
      <c r="V408" t="inlineStr">
        <is>
          <t>1993-11-29</t>
        </is>
      </c>
      <c r="W408" t="inlineStr">
        <is>
          <t>1990-06-28</t>
        </is>
      </c>
      <c r="X408" t="inlineStr">
        <is>
          <t>1990-06-28</t>
        </is>
      </c>
      <c r="Y408" t="n">
        <v>164</v>
      </c>
      <c r="Z408" t="n">
        <v>128</v>
      </c>
      <c r="AA408" t="n">
        <v>229</v>
      </c>
      <c r="AB408" t="n">
        <v>2</v>
      </c>
      <c r="AC408" t="n">
        <v>2</v>
      </c>
      <c r="AD408" t="n">
        <v>6</v>
      </c>
      <c r="AE408" t="n">
        <v>8</v>
      </c>
      <c r="AF408" t="n">
        <v>2</v>
      </c>
      <c r="AG408" t="n">
        <v>2</v>
      </c>
      <c r="AH408" t="n">
        <v>2</v>
      </c>
      <c r="AI408" t="n">
        <v>3</v>
      </c>
      <c r="AJ408" t="n">
        <v>4</v>
      </c>
      <c r="AK408" t="n">
        <v>5</v>
      </c>
      <c r="AL408" t="n">
        <v>1</v>
      </c>
      <c r="AM408" t="n">
        <v>1</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HYPERLINK("https://creighton-primo.hosted.exlibrisgroup.com/primo-explore/search?tab=default_tab&amp;search_scope=EVERYTHING&amp;vid=01CRU&amp;lang=en_US&amp;offset=0&amp;query=any,contains,991004137729702656","Catalog Record")</f>
        <v/>
      </c>
      <c r="AT408">
        <f>HYPERLINK("http://www.worldcat.org/oclc/2491399","WorldCat Record")</f>
        <v/>
      </c>
      <c r="AU408" t="inlineStr">
        <is>
          <t>1778919:eng</t>
        </is>
      </c>
      <c r="AV408" t="inlineStr">
        <is>
          <t>2491399</t>
        </is>
      </c>
      <c r="AW408" t="inlineStr">
        <is>
          <t>991004137729702656</t>
        </is>
      </c>
      <c r="AX408" t="inlineStr">
        <is>
          <t>991004137729702656</t>
        </is>
      </c>
      <c r="AY408" t="inlineStr">
        <is>
          <t>2256135520002656</t>
        </is>
      </c>
      <c r="AZ408" t="inlineStr">
        <is>
          <t>BOOK</t>
        </is>
      </c>
      <c r="BB408" t="inlineStr">
        <is>
          <t>9780837159966</t>
        </is>
      </c>
      <c r="BC408" t="inlineStr">
        <is>
          <t>32285000204098</t>
        </is>
      </c>
      <c r="BD408" t="inlineStr">
        <is>
          <t>893525699</t>
        </is>
      </c>
    </row>
    <row r="409">
      <c r="A409" t="inlineStr">
        <is>
          <t>No</t>
        </is>
      </c>
      <c r="B409" t="inlineStr">
        <is>
          <t>DS126 .I45 1973</t>
        </is>
      </c>
      <c r="C409" t="inlineStr">
        <is>
          <t>0                      DS 0126000I  45          1973</t>
        </is>
      </c>
      <c r="D409" t="inlineStr">
        <is>
          <t>Palestine papers, 1917-1922 : seeds of conflict / compiled and annotated by Doreen Ingrams.</t>
        </is>
      </c>
      <c r="F409" t="inlineStr">
        <is>
          <t>No</t>
        </is>
      </c>
      <c r="G409" t="inlineStr">
        <is>
          <t>1</t>
        </is>
      </c>
      <c r="H409" t="inlineStr">
        <is>
          <t>No</t>
        </is>
      </c>
      <c r="I409" t="inlineStr">
        <is>
          <t>No</t>
        </is>
      </c>
      <c r="J409" t="inlineStr">
        <is>
          <t>0</t>
        </is>
      </c>
      <c r="K409" t="inlineStr">
        <is>
          <t>Ingrams, Doreen.</t>
        </is>
      </c>
      <c r="L409" t="inlineStr">
        <is>
          <t>New York : G. Braziller, [1973, c1972]</t>
        </is>
      </c>
      <c r="M409" t="inlineStr">
        <is>
          <t>1973</t>
        </is>
      </c>
      <c r="O409" t="inlineStr">
        <is>
          <t>eng</t>
        </is>
      </c>
      <c r="P409" t="inlineStr">
        <is>
          <t>nyu</t>
        </is>
      </c>
      <c r="R409" t="inlineStr">
        <is>
          <t xml:space="preserve">DS </t>
        </is>
      </c>
      <c r="S409" t="n">
        <v>2</v>
      </c>
      <c r="T409" t="n">
        <v>2</v>
      </c>
      <c r="U409" t="inlineStr">
        <is>
          <t>1993-11-29</t>
        </is>
      </c>
      <c r="V409" t="inlineStr">
        <is>
          <t>1993-11-29</t>
        </is>
      </c>
      <c r="W409" t="inlineStr">
        <is>
          <t>1992-05-05</t>
        </is>
      </c>
      <c r="X409" t="inlineStr">
        <is>
          <t>1992-05-05</t>
        </is>
      </c>
      <c r="Y409" t="n">
        <v>456</v>
      </c>
      <c r="Z409" t="n">
        <v>414</v>
      </c>
      <c r="AA409" t="n">
        <v>576</v>
      </c>
      <c r="AB409" t="n">
        <v>2</v>
      </c>
      <c r="AC409" t="n">
        <v>3</v>
      </c>
      <c r="AD409" t="n">
        <v>20</v>
      </c>
      <c r="AE409" t="n">
        <v>26</v>
      </c>
      <c r="AF409" t="n">
        <v>9</v>
      </c>
      <c r="AG409" t="n">
        <v>9</v>
      </c>
      <c r="AH409" t="n">
        <v>6</v>
      </c>
      <c r="AI409" t="n">
        <v>7</v>
      </c>
      <c r="AJ409" t="n">
        <v>11</v>
      </c>
      <c r="AK409" t="n">
        <v>15</v>
      </c>
      <c r="AL409" t="n">
        <v>1</v>
      </c>
      <c r="AM409" t="n">
        <v>2</v>
      </c>
      <c r="AN409" t="n">
        <v>0</v>
      </c>
      <c r="AO409" t="n">
        <v>0</v>
      </c>
      <c r="AP409" t="inlineStr">
        <is>
          <t>No</t>
        </is>
      </c>
      <c r="AQ409" t="inlineStr">
        <is>
          <t>Yes</t>
        </is>
      </c>
      <c r="AR409">
        <f>HYPERLINK("http://catalog.hathitrust.org/Record/001243253","HathiTrust Record")</f>
        <v/>
      </c>
      <c r="AS409">
        <f>HYPERLINK("https://creighton-primo.hosted.exlibrisgroup.com/primo-explore/search?tab=default_tab&amp;search_scope=EVERYTHING&amp;vid=01CRU&amp;lang=en_US&amp;offset=0&amp;query=any,contains,991003009279702656","Catalog Record")</f>
        <v/>
      </c>
      <c r="AT409">
        <f>HYPERLINK("http://www.worldcat.org/oclc/576583","WorldCat Record")</f>
        <v/>
      </c>
      <c r="AU409" t="inlineStr">
        <is>
          <t>1554067:eng</t>
        </is>
      </c>
      <c r="AV409" t="inlineStr">
        <is>
          <t>576583</t>
        </is>
      </c>
      <c r="AW409" t="inlineStr">
        <is>
          <t>991003009279702656</t>
        </is>
      </c>
      <c r="AX409" t="inlineStr">
        <is>
          <t>991003009279702656</t>
        </is>
      </c>
      <c r="AY409" t="inlineStr">
        <is>
          <t>2257459730002656</t>
        </is>
      </c>
      <c r="AZ409" t="inlineStr">
        <is>
          <t>BOOK</t>
        </is>
      </c>
      <c r="BB409" t="inlineStr">
        <is>
          <t>9780807606483</t>
        </is>
      </c>
      <c r="BC409" t="inlineStr">
        <is>
          <t>32285001093193</t>
        </is>
      </c>
      <c r="BD409" t="inlineStr">
        <is>
          <t>893805330</t>
        </is>
      </c>
    </row>
    <row r="410">
      <c r="A410" t="inlineStr">
        <is>
          <t>No</t>
        </is>
      </c>
      <c r="B410" t="inlineStr">
        <is>
          <t>DS126 .K33</t>
        </is>
      </c>
      <c r="C410" t="inlineStr">
        <is>
          <t>0                      DS 0126000K  33</t>
        </is>
      </c>
      <c r="D410" t="inlineStr">
        <is>
          <t>Palestine : a modern history / A. W. Kayyali.</t>
        </is>
      </c>
      <c r="F410" t="inlineStr">
        <is>
          <t>No</t>
        </is>
      </c>
      <c r="G410" t="inlineStr">
        <is>
          <t>1</t>
        </is>
      </c>
      <c r="H410" t="inlineStr">
        <is>
          <t>No</t>
        </is>
      </c>
      <c r="I410" t="inlineStr">
        <is>
          <t>No</t>
        </is>
      </c>
      <c r="J410" t="inlineStr">
        <is>
          <t>0</t>
        </is>
      </c>
      <c r="K410" t="inlineStr">
        <is>
          <t>Kayyālī, ʻAbd al-Wahhāb.</t>
        </is>
      </c>
      <c r="L410" t="inlineStr">
        <is>
          <t>London : Croom Helm, [1978]</t>
        </is>
      </c>
      <c r="M410" t="inlineStr">
        <is>
          <t>1978</t>
        </is>
      </c>
      <c r="O410" t="inlineStr">
        <is>
          <t>eng</t>
        </is>
      </c>
      <c r="P410" t="inlineStr">
        <is>
          <t>enk</t>
        </is>
      </c>
      <c r="R410" t="inlineStr">
        <is>
          <t xml:space="preserve">DS </t>
        </is>
      </c>
      <c r="S410" t="n">
        <v>2</v>
      </c>
      <c r="T410" t="n">
        <v>2</v>
      </c>
      <c r="U410" t="inlineStr">
        <is>
          <t>1994-04-28</t>
        </is>
      </c>
      <c r="V410" t="inlineStr">
        <is>
          <t>1994-04-28</t>
        </is>
      </c>
      <c r="W410" t="inlineStr">
        <is>
          <t>1990-10-01</t>
        </is>
      </c>
      <c r="X410" t="inlineStr">
        <is>
          <t>1990-10-01</t>
        </is>
      </c>
      <c r="Y410" t="n">
        <v>347</v>
      </c>
      <c r="Z410" t="n">
        <v>245</v>
      </c>
      <c r="AA410" t="n">
        <v>260</v>
      </c>
      <c r="AB410" t="n">
        <v>3</v>
      </c>
      <c r="AC410" t="n">
        <v>3</v>
      </c>
      <c r="AD410" t="n">
        <v>11</v>
      </c>
      <c r="AE410" t="n">
        <v>11</v>
      </c>
      <c r="AF410" t="n">
        <v>3</v>
      </c>
      <c r="AG410" t="n">
        <v>3</v>
      </c>
      <c r="AH410" t="n">
        <v>6</v>
      </c>
      <c r="AI410" t="n">
        <v>6</v>
      </c>
      <c r="AJ410" t="n">
        <v>3</v>
      </c>
      <c r="AK410" t="n">
        <v>3</v>
      </c>
      <c r="AL410" t="n">
        <v>2</v>
      </c>
      <c r="AM410" t="n">
        <v>2</v>
      </c>
      <c r="AN410" t="n">
        <v>0</v>
      </c>
      <c r="AO410" t="n">
        <v>0</v>
      </c>
      <c r="AP410" t="inlineStr">
        <is>
          <t>No</t>
        </is>
      </c>
      <c r="AQ410" t="inlineStr">
        <is>
          <t>No</t>
        </is>
      </c>
      <c r="AS410">
        <f>HYPERLINK("https://creighton-primo.hosted.exlibrisgroup.com/primo-explore/search?tab=default_tab&amp;search_scope=EVERYTHING&amp;vid=01CRU&amp;lang=en_US&amp;offset=0&amp;query=any,contains,991004641639702656","Catalog Record")</f>
        <v/>
      </c>
      <c r="AT410">
        <f>HYPERLINK("http://www.worldcat.org/oclc/4465061","WorldCat Record")</f>
        <v/>
      </c>
      <c r="AU410" t="inlineStr">
        <is>
          <t>890176601:eng</t>
        </is>
      </c>
      <c r="AV410" t="inlineStr">
        <is>
          <t>4465061</t>
        </is>
      </c>
      <c r="AW410" t="inlineStr">
        <is>
          <t>991004641639702656</t>
        </is>
      </c>
      <c r="AX410" t="inlineStr">
        <is>
          <t>991004641639702656</t>
        </is>
      </c>
      <c r="AY410" t="inlineStr">
        <is>
          <t>2256838770002656</t>
        </is>
      </c>
      <c r="AZ410" t="inlineStr">
        <is>
          <t>BOOK</t>
        </is>
      </c>
      <c r="BB410" t="inlineStr">
        <is>
          <t>9780856646355</t>
        </is>
      </c>
      <c r="BC410" t="inlineStr">
        <is>
          <t>32285000293877</t>
        </is>
      </c>
      <c r="BD410" t="inlineStr">
        <is>
          <t>893624918</t>
        </is>
      </c>
    </row>
    <row r="411">
      <c r="A411" t="inlineStr">
        <is>
          <t>No</t>
        </is>
      </c>
      <c r="B411" t="inlineStr">
        <is>
          <t>DS126 .M5</t>
        </is>
      </c>
      <c r="C411" t="inlineStr">
        <is>
          <t>0                      DS 0126000M  5</t>
        </is>
      </c>
      <c r="D411" t="inlineStr">
        <is>
          <t>Israel, the eternal ideal.</t>
        </is>
      </c>
      <c r="F411" t="inlineStr">
        <is>
          <t>No</t>
        </is>
      </c>
      <c r="G411" t="inlineStr">
        <is>
          <t>1</t>
        </is>
      </c>
      <c r="H411" t="inlineStr">
        <is>
          <t>No</t>
        </is>
      </c>
      <c r="I411" t="inlineStr">
        <is>
          <t>No</t>
        </is>
      </c>
      <c r="J411" t="inlineStr">
        <is>
          <t>0</t>
        </is>
      </c>
      <c r="K411" t="inlineStr">
        <is>
          <t>Miller, Irving, 1903-1980.</t>
        </is>
      </c>
      <c r="L411" t="inlineStr">
        <is>
          <t>New York, Farrar, Straus and Cudahy [1955]</t>
        </is>
      </c>
      <c r="M411" t="inlineStr">
        <is>
          <t>1955</t>
        </is>
      </c>
      <c r="O411" t="inlineStr">
        <is>
          <t>eng</t>
        </is>
      </c>
      <c r="P411" t="inlineStr">
        <is>
          <t>nyu</t>
        </is>
      </c>
      <c r="R411" t="inlineStr">
        <is>
          <t xml:space="preserve">DS </t>
        </is>
      </c>
      <c r="S411" t="n">
        <v>4</v>
      </c>
      <c r="T411" t="n">
        <v>4</v>
      </c>
      <c r="U411" t="inlineStr">
        <is>
          <t>2007-12-05</t>
        </is>
      </c>
      <c r="V411" t="inlineStr">
        <is>
          <t>2007-12-05</t>
        </is>
      </c>
      <c r="W411" t="inlineStr">
        <is>
          <t>1997-02-26</t>
        </is>
      </c>
      <c r="X411" t="inlineStr">
        <is>
          <t>1997-02-26</t>
        </is>
      </c>
      <c r="Y411" t="n">
        <v>634</v>
      </c>
      <c r="Z411" t="n">
        <v>614</v>
      </c>
      <c r="AA411" t="n">
        <v>616</v>
      </c>
      <c r="AB411" t="n">
        <v>8</v>
      </c>
      <c r="AC411" t="n">
        <v>8</v>
      </c>
      <c r="AD411" t="n">
        <v>33</v>
      </c>
      <c r="AE411" t="n">
        <v>33</v>
      </c>
      <c r="AF411" t="n">
        <v>11</v>
      </c>
      <c r="AG411" t="n">
        <v>11</v>
      </c>
      <c r="AH411" t="n">
        <v>7</v>
      </c>
      <c r="AI411" t="n">
        <v>7</v>
      </c>
      <c r="AJ411" t="n">
        <v>17</v>
      </c>
      <c r="AK411" t="n">
        <v>17</v>
      </c>
      <c r="AL411" t="n">
        <v>7</v>
      </c>
      <c r="AM411" t="n">
        <v>7</v>
      </c>
      <c r="AN411" t="n">
        <v>0</v>
      </c>
      <c r="AO411" t="n">
        <v>0</v>
      </c>
      <c r="AP411" t="inlineStr">
        <is>
          <t>No</t>
        </is>
      </c>
      <c r="AQ411" t="inlineStr">
        <is>
          <t>Yes</t>
        </is>
      </c>
      <c r="AR411">
        <f>HYPERLINK("http://catalog.hathitrust.org/Record/001243271","HathiTrust Record")</f>
        <v/>
      </c>
      <c r="AS411">
        <f>HYPERLINK("https://creighton-primo.hosted.exlibrisgroup.com/primo-explore/search?tab=default_tab&amp;search_scope=EVERYTHING&amp;vid=01CRU&amp;lang=en_US&amp;offset=0&amp;query=any,contains,991003520559702656","Catalog Record")</f>
        <v/>
      </c>
      <c r="AT411">
        <f>HYPERLINK("http://www.worldcat.org/oclc/1080781","WorldCat Record")</f>
        <v/>
      </c>
      <c r="AU411" t="inlineStr">
        <is>
          <t>2043657:eng</t>
        </is>
      </c>
      <c r="AV411" t="inlineStr">
        <is>
          <t>1080781</t>
        </is>
      </c>
      <c r="AW411" t="inlineStr">
        <is>
          <t>991003520559702656</t>
        </is>
      </c>
      <c r="AX411" t="inlineStr">
        <is>
          <t>991003520559702656</t>
        </is>
      </c>
      <c r="AY411" t="inlineStr">
        <is>
          <t>2268644290002656</t>
        </is>
      </c>
      <c r="AZ411" t="inlineStr">
        <is>
          <t>BOOK</t>
        </is>
      </c>
      <c r="BC411" t="inlineStr">
        <is>
          <t>32285002462413</t>
        </is>
      </c>
      <c r="BD411" t="inlineStr">
        <is>
          <t>893705310</t>
        </is>
      </c>
    </row>
    <row r="412">
      <c r="A412" t="inlineStr">
        <is>
          <t>No</t>
        </is>
      </c>
      <c r="B412" t="inlineStr">
        <is>
          <t>DS126 .P6313 1974</t>
        </is>
      </c>
      <c r="C412" t="inlineStr">
        <is>
          <t>0                      DS 0126000P  6313        1974</t>
        </is>
      </c>
      <c r="D412" t="inlineStr">
        <is>
          <t>The emergence of the Palestinian-Arab national movement, 1918-1929 / [by] Y. Porath.</t>
        </is>
      </c>
      <c r="F412" t="inlineStr">
        <is>
          <t>No</t>
        </is>
      </c>
      <c r="G412" t="inlineStr">
        <is>
          <t>1</t>
        </is>
      </c>
      <c r="H412" t="inlineStr">
        <is>
          <t>No</t>
        </is>
      </c>
      <c r="I412" t="inlineStr">
        <is>
          <t>No</t>
        </is>
      </c>
      <c r="J412" t="inlineStr">
        <is>
          <t>0</t>
        </is>
      </c>
      <c r="K412" t="inlineStr">
        <is>
          <t>Porath, Yehoshua.</t>
        </is>
      </c>
      <c r="L412" t="inlineStr">
        <is>
          <t>London : Cass, [1974]</t>
        </is>
      </c>
      <c r="M412" t="inlineStr">
        <is>
          <t>1974</t>
        </is>
      </c>
      <c r="O412" t="inlineStr">
        <is>
          <t>eng</t>
        </is>
      </c>
      <c r="P412" t="inlineStr">
        <is>
          <t>enk</t>
        </is>
      </c>
      <c r="R412" t="inlineStr">
        <is>
          <t xml:space="preserve">DS </t>
        </is>
      </c>
      <c r="S412" t="n">
        <v>2</v>
      </c>
      <c r="T412" t="n">
        <v>2</v>
      </c>
      <c r="U412" t="inlineStr">
        <is>
          <t>1993-11-29</t>
        </is>
      </c>
      <c r="V412" t="inlineStr">
        <is>
          <t>1993-11-29</t>
        </is>
      </c>
      <c r="W412" t="inlineStr">
        <is>
          <t>1992-08-13</t>
        </is>
      </c>
      <c r="X412" t="inlineStr">
        <is>
          <t>1992-08-13</t>
        </is>
      </c>
      <c r="Y412" t="n">
        <v>652</v>
      </c>
      <c r="Z412" t="n">
        <v>503</v>
      </c>
      <c r="AA412" t="n">
        <v>530</v>
      </c>
      <c r="AB412" t="n">
        <v>4</v>
      </c>
      <c r="AC412" t="n">
        <v>4</v>
      </c>
      <c r="AD412" t="n">
        <v>21</v>
      </c>
      <c r="AE412" t="n">
        <v>21</v>
      </c>
      <c r="AF412" t="n">
        <v>6</v>
      </c>
      <c r="AG412" t="n">
        <v>6</v>
      </c>
      <c r="AH412" t="n">
        <v>6</v>
      </c>
      <c r="AI412" t="n">
        <v>6</v>
      </c>
      <c r="AJ412" t="n">
        <v>12</v>
      </c>
      <c r="AK412" t="n">
        <v>12</v>
      </c>
      <c r="AL412" t="n">
        <v>3</v>
      </c>
      <c r="AM412" t="n">
        <v>3</v>
      </c>
      <c r="AN412" t="n">
        <v>0</v>
      </c>
      <c r="AO412" t="n">
        <v>0</v>
      </c>
      <c r="AP412" t="inlineStr">
        <is>
          <t>No</t>
        </is>
      </c>
      <c r="AQ412" t="inlineStr">
        <is>
          <t>Yes</t>
        </is>
      </c>
      <c r="AR412">
        <f>HYPERLINK("http://catalog.hathitrust.org/Record/001246983","HathiTrust Record")</f>
        <v/>
      </c>
      <c r="AS412">
        <f>HYPERLINK("https://creighton-primo.hosted.exlibrisgroup.com/primo-explore/search?tab=default_tab&amp;search_scope=EVERYTHING&amp;vid=01CRU&amp;lang=en_US&amp;offset=0&amp;query=any,contains,991003431099702656","Catalog Record")</f>
        <v/>
      </c>
      <c r="AT412">
        <f>HYPERLINK("http://www.worldcat.org/oclc/965615","WorldCat Record")</f>
        <v/>
      </c>
      <c r="AU412" t="inlineStr">
        <is>
          <t>4160164670:eng</t>
        </is>
      </c>
      <c r="AV412" t="inlineStr">
        <is>
          <t>965615</t>
        </is>
      </c>
      <c r="AW412" t="inlineStr">
        <is>
          <t>991003431099702656</t>
        </is>
      </c>
      <c r="AX412" t="inlineStr">
        <is>
          <t>991003431099702656</t>
        </is>
      </c>
      <c r="AY412" t="inlineStr">
        <is>
          <t>2261189650002656</t>
        </is>
      </c>
      <c r="AZ412" t="inlineStr">
        <is>
          <t>BOOK</t>
        </is>
      </c>
      <c r="BB412" t="inlineStr">
        <is>
          <t>9780714629391</t>
        </is>
      </c>
      <c r="BC412" t="inlineStr">
        <is>
          <t>32285001244028</t>
        </is>
      </c>
      <c r="BD412" t="inlineStr">
        <is>
          <t>893352822</t>
        </is>
      </c>
    </row>
    <row r="413">
      <c r="A413" t="inlineStr">
        <is>
          <t>No</t>
        </is>
      </c>
      <c r="B413" t="inlineStr">
        <is>
          <t>DS126 .R65 1973</t>
        </is>
      </c>
      <c r="C413" t="inlineStr">
        <is>
          <t>0                      DS 0126000R  65          1973</t>
        </is>
      </c>
      <c r="D413" t="inlineStr">
        <is>
          <t>The Gentile Zionists; a study in Anglo-Zionist diplomacy, 1929-1939 [by] N. A. Rose.</t>
        </is>
      </c>
      <c r="F413" t="inlineStr">
        <is>
          <t>No</t>
        </is>
      </c>
      <c r="G413" t="inlineStr">
        <is>
          <t>1</t>
        </is>
      </c>
      <c r="H413" t="inlineStr">
        <is>
          <t>No</t>
        </is>
      </c>
      <c r="I413" t="inlineStr">
        <is>
          <t>No</t>
        </is>
      </c>
      <c r="J413" t="inlineStr">
        <is>
          <t>0</t>
        </is>
      </c>
      <c r="K413" t="inlineStr">
        <is>
          <t>Rose, Norman.</t>
        </is>
      </c>
      <c r="L413" t="inlineStr">
        <is>
          <t>London, Cass [1973]</t>
        </is>
      </c>
      <c r="M413" t="inlineStr">
        <is>
          <t>1973</t>
        </is>
      </c>
      <c r="O413" t="inlineStr">
        <is>
          <t>eng</t>
        </is>
      </c>
      <c r="P413" t="inlineStr">
        <is>
          <t>enk</t>
        </is>
      </c>
      <c r="R413" t="inlineStr">
        <is>
          <t xml:space="preserve">DS </t>
        </is>
      </c>
      <c r="S413" t="n">
        <v>1</v>
      </c>
      <c r="T413" t="n">
        <v>1</v>
      </c>
      <c r="U413" t="inlineStr">
        <is>
          <t>2003-10-26</t>
        </is>
      </c>
      <c r="V413" t="inlineStr">
        <is>
          <t>2003-10-26</t>
        </is>
      </c>
      <c r="W413" t="inlineStr">
        <is>
          <t>1997-02-26</t>
        </is>
      </c>
      <c r="X413" t="inlineStr">
        <is>
          <t>1997-02-26</t>
        </is>
      </c>
      <c r="Y413" t="n">
        <v>489</v>
      </c>
      <c r="Z413" t="n">
        <v>372</v>
      </c>
      <c r="AA413" t="n">
        <v>412</v>
      </c>
      <c r="AB413" t="n">
        <v>4</v>
      </c>
      <c r="AC413" t="n">
        <v>4</v>
      </c>
      <c r="AD413" t="n">
        <v>21</v>
      </c>
      <c r="AE413" t="n">
        <v>21</v>
      </c>
      <c r="AF413" t="n">
        <v>6</v>
      </c>
      <c r="AG413" t="n">
        <v>6</v>
      </c>
      <c r="AH413" t="n">
        <v>6</v>
      </c>
      <c r="AI413" t="n">
        <v>6</v>
      </c>
      <c r="AJ413" t="n">
        <v>13</v>
      </c>
      <c r="AK413" t="n">
        <v>13</v>
      </c>
      <c r="AL413" t="n">
        <v>3</v>
      </c>
      <c r="AM413" t="n">
        <v>3</v>
      </c>
      <c r="AN413" t="n">
        <v>0</v>
      </c>
      <c r="AO413" t="n">
        <v>0</v>
      </c>
      <c r="AP413" t="inlineStr">
        <is>
          <t>No</t>
        </is>
      </c>
      <c r="AQ413" t="inlineStr">
        <is>
          <t>No</t>
        </is>
      </c>
      <c r="AS413">
        <f>HYPERLINK("https://creighton-primo.hosted.exlibrisgroup.com/primo-explore/search?tab=default_tab&amp;search_scope=EVERYTHING&amp;vid=01CRU&amp;lang=en_US&amp;offset=0&amp;query=any,contains,991003091809702656","Catalog Record")</f>
        <v/>
      </c>
      <c r="AT413">
        <f>HYPERLINK("http://www.worldcat.org/oclc/641908","WorldCat Record")</f>
        <v/>
      </c>
      <c r="AU413" t="inlineStr">
        <is>
          <t>1043687801:eng</t>
        </is>
      </c>
      <c r="AV413" t="inlineStr">
        <is>
          <t>641908</t>
        </is>
      </c>
      <c r="AW413" t="inlineStr">
        <is>
          <t>991003091809702656</t>
        </is>
      </c>
      <c r="AX413" t="inlineStr">
        <is>
          <t>991003091809702656</t>
        </is>
      </c>
      <c r="AY413" t="inlineStr">
        <is>
          <t>2261900030002656</t>
        </is>
      </c>
      <c r="AZ413" t="inlineStr">
        <is>
          <t>BOOK</t>
        </is>
      </c>
      <c r="BB413" t="inlineStr">
        <is>
          <t>9780714629407</t>
        </is>
      </c>
      <c r="BC413" t="inlineStr">
        <is>
          <t>32285002462421</t>
        </is>
      </c>
      <c r="BD413" t="inlineStr">
        <is>
          <t>893342232</t>
        </is>
      </c>
    </row>
    <row r="414">
      <c r="A414" t="inlineStr">
        <is>
          <t>No</t>
        </is>
      </c>
      <c r="B414" t="inlineStr">
        <is>
          <t>DS126 .U83 1998</t>
        </is>
      </c>
      <c r="C414" t="inlineStr">
        <is>
          <t>0                      DS 0126000U  83          1998</t>
        </is>
      </c>
      <c r="D414" t="inlineStr">
        <is>
          <t>The Muslim brothers and the Palestine question, 1928-1947 / Abd al-Fattah Muhammad El-Awaisi.</t>
        </is>
      </c>
      <c r="F414" t="inlineStr">
        <is>
          <t>No</t>
        </is>
      </c>
      <c r="G414" t="inlineStr">
        <is>
          <t>1</t>
        </is>
      </c>
      <c r="H414" t="inlineStr">
        <is>
          <t>No</t>
        </is>
      </c>
      <c r="I414" t="inlineStr">
        <is>
          <t>No</t>
        </is>
      </c>
      <c r="J414" t="inlineStr">
        <is>
          <t>0</t>
        </is>
      </c>
      <c r="K414" t="inlineStr">
        <is>
          <t>ʻUwaysī, ʻAbd al-Fattāḥ Muḥammad.</t>
        </is>
      </c>
      <c r="L414" t="inlineStr">
        <is>
          <t>London ; New York : Tauris Academic Studies, 1998.</t>
        </is>
      </c>
      <c r="M414" t="inlineStr">
        <is>
          <t>1998</t>
        </is>
      </c>
      <c r="O414" t="inlineStr">
        <is>
          <t>eng</t>
        </is>
      </c>
      <c r="P414" t="inlineStr">
        <is>
          <t>enk</t>
        </is>
      </c>
      <c r="Q414" t="inlineStr">
        <is>
          <t>Library of modern Middle East studies ; 16</t>
        </is>
      </c>
      <c r="R414" t="inlineStr">
        <is>
          <t xml:space="preserve">DS </t>
        </is>
      </c>
      <c r="S414" t="n">
        <v>6</v>
      </c>
      <c r="T414" t="n">
        <v>6</v>
      </c>
      <c r="U414" t="inlineStr">
        <is>
          <t>2003-04-01</t>
        </is>
      </c>
      <c r="V414" t="inlineStr">
        <is>
          <t>2003-04-01</t>
        </is>
      </c>
      <c r="W414" t="inlineStr">
        <is>
          <t>1998-10-28</t>
        </is>
      </c>
      <c r="X414" t="inlineStr">
        <is>
          <t>1998-10-28</t>
        </is>
      </c>
      <c r="Y414" t="n">
        <v>70</v>
      </c>
      <c r="Z414" t="n">
        <v>45</v>
      </c>
      <c r="AA414" t="n">
        <v>146</v>
      </c>
      <c r="AB414" t="n">
        <v>1</v>
      </c>
      <c r="AC414" t="n">
        <v>1</v>
      </c>
      <c r="AD414" t="n">
        <v>0</v>
      </c>
      <c r="AE414" t="n">
        <v>8</v>
      </c>
      <c r="AF414" t="n">
        <v>0</v>
      </c>
      <c r="AG414" t="n">
        <v>0</v>
      </c>
      <c r="AH414" t="n">
        <v>0</v>
      </c>
      <c r="AI414" t="n">
        <v>6</v>
      </c>
      <c r="AJ414" t="n">
        <v>0</v>
      </c>
      <c r="AK414" t="n">
        <v>4</v>
      </c>
      <c r="AL414" t="n">
        <v>0</v>
      </c>
      <c r="AM414" t="n">
        <v>0</v>
      </c>
      <c r="AN414" t="n">
        <v>0</v>
      </c>
      <c r="AO414" t="n">
        <v>0</v>
      </c>
      <c r="AP414" t="inlineStr">
        <is>
          <t>No</t>
        </is>
      </c>
      <c r="AQ414" t="inlineStr">
        <is>
          <t>No</t>
        </is>
      </c>
      <c r="AS414">
        <f>HYPERLINK("https://creighton-primo.hosted.exlibrisgroup.com/primo-explore/search?tab=default_tab&amp;search_scope=EVERYTHING&amp;vid=01CRU&amp;lang=en_US&amp;offset=0&amp;query=any,contains,991000036149702656","Catalog Record")</f>
        <v/>
      </c>
      <c r="AT414">
        <f>HYPERLINK("http://www.worldcat.org/oclc/41338329","WorldCat Record")</f>
        <v/>
      </c>
      <c r="AU414" t="inlineStr">
        <is>
          <t>696148:eng</t>
        </is>
      </c>
      <c r="AV414" t="inlineStr">
        <is>
          <t>41338329</t>
        </is>
      </c>
      <c r="AW414" t="inlineStr">
        <is>
          <t>991000036149702656</t>
        </is>
      </c>
      <c r="AX414" t="inlineStr">
        <is>
          <t>991000036149702656</t>
        </is>
      </c>
      <c r="AY414" t="inlineStr">
        <is>
          <t>2256932110002656</t>
        </is>
      </c>
      <c r="AZ414" t="inlineStr">
        <is>
          <t>BOOK</t>
        </is>
      </c>
      <c r="BB414" t="inlineStr">
        <is>
          <t>9781860642142</t>
        </is>
      </c>
      <c r="BC414" t="inlineStr">
        <is>
          <t>32285003478806</t>
        </is>
      </c>
      <c r="BD414" t="inlineStr">
        <is>
          <t>893326947</t>
        </is>
      </c>
    </row>
    <row r="415">
      <c r="A415" t="inlineStr">
        <is>
          <t>No</t>
        </is>
      </c>
      <c r="B415" t="inlineStr">
        <is>
          <t>DS126.4 .E86 1992</t>
        </is>
      </c>
      <c r="C415" t="inlineStr">
        <is>
          <t>0                      DS 0126400E  86          1992</t>
        </is>
      </c>
      <c r="D415" t="inlineStr">
        <is>
          <t>Truman, Palestine, and the press : shaping conventional wisdom at the beginning of the Cold War / Bruce J. Evensen.</t>
        </is>
      </c>
      <c r="F415" t="inlineStr">
        <is>
          <t>No</t>
        </is>
      </c>
      <c r="G415" t="inlineStr">
        <is>
          <t>1</t>
        </is>
      </c>
      <c r="H415" t="inlineStr">
        <is>
          <t>No</t>
        </is>
      </c>
      <c r="I415" t="inlineStr">
        <is>
          <t>No</t>
        </is>
      </c>
      <c r="J415" t="inlineStr">
        <is>
          <t>0</t>
        </is>
      </c>
      <c r="K415" t="inlineStr">
        <is>
          <t>Evensen, Bruce J.</t>
        </is>
      </c>
      <c r="L415" t="inlineStr">
        <is>
          <t>New York : Greenwood Press, 1992.</t>
        </is>
      </c>
      <c r="M415" t="inlineStr">
        <is>
          <t>1992</t>
        </is>
      </c>
      <c r="O415" t="inlineStr">
        <is>
          <t>eng</t>
        </is>
      </c>
      <c r="P415" t="inlineStr">
        <is>
          <t>nyu</t>
        </is>
      </c>
      <c r="Q415" t="inlineStr">
        <is>
          <t>Contributions in American history, 0742-6828 ; no. 144</t>
        </is>
      </c>
      <c r="R415" t="inlineStr">
        <is>
          <t xml:space="preserve">DS </t>
        </is>
      </c>
      <c r="S415" t="n">
        <v>4</v>
      </c>
      <c r="T415" t="n">
        <v>4</v>
      </c>
      <c r="U415" t="inlineStr">
        <is>
          <t>1998-08-18</t>
        </is>
      </c>
      <c r="V415" t="inlineStr">
        <is>
          <t>1998-08-18</t>
        </is>
      </c>
      <c r="W415" t="inlineStr">
        <is>
          <t>1992-12-01</t>
        </is>
      </c>
      <c r="X415" t="inlineStr">
        <is>
          <t>1992-12-01</t>
        </is>
      </c>
      <c r="Y415" t="n">
        <v>301</v>
      </c>
      <c r="Z415" t="n">
        <v>248</v>
      </c>
      <c r="AA415" t="n">
        <v>254</v>
      </c>
      <c r="AB415" t="n">
        <v>2</v>
      </c>
      <c r="AC415" t="n">
        <v>2</v>
      </c>
      <c r="AD415" t="n">
        <v>13</v>
      </c>
      <c r="AE415" t="n">
        <v>13</v>
      </c>
      <c r="AF415" t="n">
        <v>2</v>
      </c>
      <c r="AG415" t="n">
        <v>2</v>
      </c>
      <c r="AH415" t="n">
        <v>6</v>
      </c>
      <c r="AI415" t="n">
        <v>6</v>
      </c>
      <c r="AJ415" t="n">
        <v>7</v>
      </c>
      <c r="AK415" t="n">
        <v>7</v>
      </c>
      <c r="AL415" t="n">
        <v>1</v>
      </c>
      <c r="AM415" t="n">
        <v>1</v>
      </c>
      <c r="AN415" t="n">
        <v>0</v>
      </c>
      <c r="AO415" t="n">
        <v>0</v>
      </c>
      <c r="AP415" t="inlineStr">
        <is>
          <t>No</t>
        </is>
      </c>
      <c r="AQ415" t="inlineStr">
        <is>
          <t>Yes</t>
        </is>
      </c>
      <c r="AR415">
        <f>HYPERLINK("http://catalog.hathitrust.org/Record/002530500","HathiTrust Record")</f>
        <v/>
      </c>
      <c r="AS415">
        <f>HYPERLINK("https://creighton-primo.hosted.exlibrisgroup.com/primo-explore/search?tab=default_tab&amp;search_scope=EVERYTHING&amp;vid=01CRU&amp;lang=en_US&amp;offset=0&amp;query=any,contains,991001936069702656","Catalog Record")</f>
        <v/>
      </c>
      <c r="AT415">
        <f>HYPERLINK("http://www.worldcat.org/oclc/24467270","WorldCat Record")</f>
        <v/>
      </c>
      <c r="AU415" t="inlineStr">
        <is>
          <t>2622090:eng</t>
        </is>
      </c>
      <c r="AV415" t="inlineStr">
        <is>
          <t>24467270</t>
        </is>
      </c>
      <c r="AW415" t="inlineStr">
        <is>
          <t>991001936069702656</t>
        </is>
      </c>
      <c r="AX415" t="inlineStr">
        <is>
          <t>991001936069702656</t>
        </is>
      </c>
      <c r="AY415" t="inlineStr">
        <is>
          <t>2267197850002656</t>
        </is>
      </c>
      <c r="AZ415" t="inlineStr">
        <is>
          <t>BOOK</t>
        </is>
      </c>
      <c r="BB415" t="inlineStr">
        <is>
          <t>9780313277733</t>
        </is>
      </c>
      <c r="BC415" t="inlineStr">
        <is>
          <t>32285001400976</t>
        </is>
      </c>
      <c r="BD415" t="inlineStr">
        <is>
          <t>893891955</t>
        </is>
      </c>
    </row>
    <row r="416">
      <c r="A416" t="inlineStr">
        <is>
          <t>No</t>
        </is>
      </c>
      <c r="B416" t="inlineStr">
        <is>
          <t>DS126.4 .F57 1987</t>
        </is>
      </c>
      <c r="C416" t="inlineStr">
        <is>
          <t>0                      DS 0126400F  57          1987</t>
        </is>
      </c>
      <c r="D416" t="inlineStr">
        <is>
          <t>The birth of Israel : myths and realities / Simha Flapan.</t>
        </is>
      </c>
      <c r="F416" t="inlineStr">
        <is>
          <t>No</t>
        </is>
      </c>
      <c r="G416" t="inlineStr">
        <is>
          <t>1</t>
        </is>
      </c>
      <c r="H416" t="inlineStr">
        <is>
          <t>No</t>
        </is>
      </c>
      <c r="I416" t="inlineStr">
        <is>
          <t>No</t>
        </is>
      </c>
      <c r="J416" t="inlineStr">
        <is>
          <t>0</t>
        </is>
      </c>
      <c r="K416" t="inlineStr">
        <is>
          <t>Flapan, Simha.</t>
        </is>
      </c>
      <c r="L416" t="inlineStr">
        <is>
          <t>New York : Pantheon Books, c1987.</t>
        </is>
      </c>
      <c r="M416" t="inlineStr">
        <is>
          <t>1987</t>
        </is>
      </c>
      <c r="N416" t="inlineStr">
        <is>
          <t>1st ed.</t>
        </is>
      </c>
      <c r="O416" t="inlineStr">
        <is>
          <t>eng</t>
        </is>
      </c>
      <c r="P416" t="inlineStr">
        <is>
          <t>nyu</t>
        </is>
      </c>
      <c r="R416" t="inlineStr">
        <is>
          <t xml:space="preserve">DS </t>
        </is>
      </c>
      <c r="S416" t="n">
        <v>4</v>
      </c>
      <c r="T416" t="n">
        <v>4</v>
      </c>
      <c r="U416" t="inlineStr">
        <is>
          <t>2007-10-15</t>
        </is>
      </c>
      <c r="V416" t="inlineStr">
        <is>
          <t>2007-10-15</t>
        </is>
      </c>
      <c r="W416" t="inlineStr">
        <is>
          <t>1990-04-03</t>
        </is>
      </c>
      <c r="X416" t="inlineStr">
        <is>
          <t>1990-04-03</t>
        </is>
      </c>
      <c r="Y416" t="n">
        <v>806</v>
      </c>
      <c r="Z416" t="n">
        <v>702</v>
      </c>
      <c r="AA416" t="n">
        <v>706</v>
      </c>
      <c r="AB416" t="n">
        <v>3</v>
      </c>
      <c r="AC416" t="n">
        <v>3</v>
      </c>
      <c r="AD416" t="n">
        <v>20</v>
      </c>
      <c r="AE416" t="n">
        <v>20</v>
      </c>
      <c r="AF416" t="n">
        <v>5</v>
      </c>
      <c r="AG416" t="n">
        <v>5</v>
      </c>
      <c r="AH416" t="n">
        <v>7</v>
      </c>
      <c r="AI416" t="n">
        <v>7</v>
      </c>
      <c r="AJ416" t="n">
        <v>12</v>
      </c>
      <c r="AK416" t="n">
        <v>12</v>
      </c>
      <c r="AL416" t="n">
        <v>1</v>
      </c>
      <c r="AM416" t="n">
        <v>1</v>
      </c>
      <c r="AN416" t="n">
        <v>0</v>
      </c>
      <c r="AO416" t="n">
        <v>0</v>
      </c>
      <c r="AP416" t="inlineStr">
        <is>
          <t>No</t>
        </is>
      </c>
      <c r="AQ416" t="inlineStr">
        <is>
          <t>Yes</t>
        </is>
      </c>
      <c r="AR416">
        <f>HYPERLINK("http://catalog.hathitrust.org/Record/000838752","HathiTrust Record")</f>
        <v/>
      </c>
      <c r="AS416">
        <f>HYPERLINK("https://creighton-primo.hosted.exlibrisgroup.com/primo-explore/search?tab=default_tab&amp;search_scope=EVERYTHING&amp;vid=01CRU&amp;lang=en_US&amp;offset=0&amp;query=any,contains,991001074179702656","Catalog Record")</f>
        <v/>
      </c>
      <c r="AT416">
        <f>HYPERLINK("http://www.worldcat.org/oclc/16004596","WorldCat Record")</f>
        <v/>
      </c>
      <c r="AU416" t="inlineStr">
        <is>
          <t>10960994:eng</t>
        </is>
      </c>
      <c r="AV416" t="inlineStr">
        <is>
          <t>16004596</t>
        </is>
      </c>
      <c r="AW416" t="inlineStr">
        <is>
          <t>991001074179702656</t>
        </is>
      </c>
      <c r="AX416" t="inlineStr">
        <is>
          <t>991001074179702656</t>
        </is>
      </c>
      <c r="AY416" t="inlineStr">
        <is>
          <t>2271586590002656</t>
        </is>
      </c>
      <c r="AZ416" t="inlineStr">
        <is>
          <t>BOOK</t>
        </is>
      </c>
      <c r="BC416" t="inlineStr">
        <is>
          <t>32285000109446</t>
        </is>
      </c>
      <c r="BD416" t="inlineStr">
        <is>
          <t>893346220</t>
        </is>
      </c>
    </row>
    <row r="417">
      <c r="A417" t="inlineStr">
        <is>
          <t>No</t>
        </is>
      </c>
      <c r="B417" t="inlineStr">
        <is>
          <t>DS126.4 .J66 1986</t>
        </is>
      </c>
      <c r="C417" t="inlineStr">
        <is>
          <t>0                      DS 0126400J  66          1986</t>
        </is>
      </c>
      <c r="D417" t="inlineStr">
        <is>
          <t>Failure in Palestine : British and United States policy after the Second World War / Martin Jones.</t>
        </is>
      </c>
      <c r="F417" t="inlineStr">
        <is>
          <t>No</t>
        </is>
      </c>
      <c r="G417" t="inlineStr">
        <is>
          <t>1</t>
        </is>
      </c>
      <c r="H417" t="inlineStr">
        <is>
          <t>No</t>
        </is>
      </c>
      <c r="I417" t="inlineStr">
        <is>
          <t>No</t>
        </is>
      </c>
      <c r="J417" t="inlineStr">
        <is>
          <t>0</t>
        </is>
      </c>
      <c r="K417" t="inlineStr">
        <is>
          <t>Jones, Martin (Martin Desmond)</t>
        </is>
      </c>
      <c r="L417" t="inlineStr">
        <is>
          <t>London ; New York : Mansell Pub., 1986.</t>
        </is>
      </c>
      <c r="M417" t="inlineStr">
        <is>
          <t>1986</t>
        </is>
      </c>
      <c r="O417" t="inlineStr">
        <is>
          <t>eng</t>
        </is>
      </c>
      <c r="P417" t="inlineStr">
        <is>
          <t>enk</t>
        </is>
      </c>
      <c r="R417" t="inlineStr">
        <is>
          <t xml:space="preserve">DS </t>
        </is>
      </c>
      <c r="S417" t="n">
        <v>3</v>
      </c>
      <c r="T417" t="n">
        <v>3</v>
      </c>
      <c r="U417" t="inlineStr">
        <is>
          <t>1994-12-06</t>
        </is>
      </c>
      <c r="V417" t="inlineStr">
        <is>
          <t>1994-12-06</t>
        </is>
      </c>
      <c r="W417" t="inlineStr">
        <is>
          <t>1990-10-02</t>
        </is>
      </c>
      <c r="X417" t="inlineStr">
        <is>
          <t>1990-10-02</t>
        </is>
      </c>
      <c r="Y417" t="n">
        <v>358</v>
      </c>
      <c r="Z417" t="n">
        <v>267</v>
      </c>
      <c r="AA417" t="n">
        <v>290</v>
      </c>
      <c r="AB417" t="n">
        <v>3</v>
      </c>
      <c r="AC417" t="n">
        <v>3</v>
      </c>
      <c r="AD417" t="n">
        <v>9</v>
      </c>
      <c r="AE417" t="n">
        <v>9</v>
      </c>
      <c r="AF417" t="n">
        <v>3</v>
      </c>
      <c r="AG417" t="n">
        <v>3</v>
      </c>
      <c r="AH417" t="n">
        <v>3</v>
      </c>
      <c r="AI417" t="n">
        <v>3</v>
      </c>
      <c r="AJ417" t="n">
        <v>5</v>
      </c>
      <c r="AK417" t="n">
        <v>5</v>
      </c>
      <c r="AL417" t="n">
        <v>2</v>
      </c>
      <c r="AM417" t="n">
        <v>2</v>
      </c>
      <c r="AN417" t="n">
        <v>0</v>
      </c>
      <c r="AO417" t="n">
        <v>0</v>
      </c>
      <c r="AP417" t="inlineStr">
        <is>
          <t>No</t>
        </is>
      </c>
      <c r="AQ417" t="inlineStr">
        <is>
          <t>Yes</t>
        </is>
      </c>
      <c r="AR417">
        <f>HYPERLINK("http://catalog.hathitrust.org/Record/000436540","HathiTrust Record")</f>
        <v/>
      </c>
      <c r="AS417">
        <f>HYPERLINK("https://creighton-primo.hosted.exlibrisgroup.com/primo-explore/search?tab=default_tab&amp;search_scope=EVERYTHING&amp;vid=01CRU&amp;lang=en_US&amp;offset=0&amp;query=any,contains,991000685589702656","Catalog Record")</f>
        <v/>
      </c>
      <c r="AT417">
        <f>HYPERLINK("http://www.worldcat.org/oclc/12420589","WorldCat Record")</f>
        <v/>
      </c>
      <c r="AU417" t="inlineStr">
        <is>
          <t>5041436:eng</t>
        </is>
      </c>
      <c r="AV417" t="inlineStr">
        <is>
          <t>12420589</t>
        </is>
      </c>
      <c r="AW417" t="inlineStr">
        <is>
          <t>991000685589702656</t>
        </is>
      </c>
      <c r="AX417" t="inlineStr">
        <is>
          <t>991000685589702656</t>
        </is>
      </c>
      <c r="AY417" t="inlineStr">
        <is>
          <t>2254890260002656</t>
        </is>
      </c>
      <c r="AZ417" t="inlineStr">
        <is>
          <t>BOOK</t>
        </is>
      </c>
      <c r="BB417" t="inlineStr">
        <is>
          <t>9780720117974</t>
        </is>
      </c>
      <c r="BC417" t="inlineStr">
        <is>
          <t>32285000293919</t>
        </is>
      </c>
      <c r="BD417" t="inlineStr">
        <is>
          <t>893784443</t>
        </is>
      </c>
    </row>
    <row r="418">
      <c r="A418" t="inlineStr">
        <is>
          <t>No</t>
        </is>
      </c>
      <c r="B418" t="inlineStr">
        <is>
          <t>DS126.4 .O94 1989</t>
        </is>
      </c>
      <c r="C418" t="inlineStr">
        <is>
          <t>0                      DS 0126400O  94          1989</t>
        </is>
      </c>
      <c r="D418" t="inlineStr">
        <is>
          <t>Britain, the United States, and the end of the Palestine mandate, 1942-1948 / Ritchie Ovendale.</t>
        </is>
      </c>
      <c r="F418" t="inlineStr">
        <is>
          <t>No</t>
        </is>
      </c>
      <c r="G418" t="inlineStr">
        <is>
          <t>1</t>
        </is>
      </c>
      <c r="H418" t="inlineStr">
        <is>
          <t>No</t>
        </is>
      </c>
      <c r="I418" t="inlineStr">
        <is>
          <t>No</t>
        </is>
      </c>
      <c r="J418" t="inlineStr">
        <is>
          <t>0</t>
        </is>
      </c>
      <c r="K418" t="inlineStr">
        <is>
          <t>Ovendale, Ritchie.</t>
        </is>
      </c>
      <c r="L418" t="inlineStr">
        <is>
          <t>[London] : Royal Historical Society ; Woodbridge, Suffolk [England] ; Wolfeboro, N.H., USA : Boydell Press, 1989.</t>
        </is>
      </c>
      <c r="M418" t="inlineStr">
        <is>
          <t>1989</t>
        </is>
      </c>
      <c r="O418" t="inlineStr">
        <is>
          <t>eng</t>
        </is>
      </c>
      <c r="P418" t="inlineStr">
        <is>
          <t>enk</t>
        </is>
      </c>
      <c r="Q418" t="inlineStr">
        <is>
          <t>Royal Historical Society studies in history, 0269-2244 ; 57</t>
        </is>
      </c>
      <c r="R418" t="inlineStr">
        <is>
          <t xml:space="preserve">DS </t>
        </is>
      </c>
      <c r="S418" t="n">
        <v>2</v>
      </c>
      <c r="T418" t="n">
        <v>2</v>
      </c>
      <c r="U418" t="inlineStr">
        <is>
          <t>2004-03-31</t>
        </is>
      </c>
      <c r="V418" t="inlineStr">
        <is>
          <t>2004-03-31</t>
        </is>
      </c>
      <c r="W418" t="inlineStr">
        <is>
          <t>1990-10-03</t>
        </is>
      </c>
      <c r="X418" t="inlineStr">
        <is>
          <t>1990-10-03</t>
        </is>
      </c>
      <c r="Y418" t="n">
        <v>260</v>
      </c>
      <c r="Z418" t="n">
        <v>154</v>
      </c>
      <c r="AA418" t="n">
        <v>154</v>
      </c>
      <c r="AB418" t="n">
        <v>2</v>
      </c>
      <c r="AC418" t="n">
        <v>2</v>
      </c>
      <c r="AD418" t="n">
        <v>5</v>
      </c>
      <c r="AE418" t="n">
        <v>5</v>
      </c>
      <c r="AF418" t="n">
        <v>0</v>
      </c>
      <c r="AG418" t="n">
        <v>0</v>
      </c>
      <c r="AH418" t="n">
        <v>3</v>
      </c>
      <c r="AI418" t="n">
        <v>3</v>
      </c>
      <c r="AJ418" t="n">
        <v>3</v>
      </c>
      <c r="AK418" t="n">
        <v>3</v>
      </c>
      <c r="AL418" t="n">
        <v>1</v>
      </c>
      <c r="AM418" t="n">
        <v>1</v>
      </c>
      <c r="AN418" t="n">
        <v>0</v>
      </c>
      <c r="AO418" t="n">
        <v>0</v>
      </c>
      <c r="AP418" t="inlineStr">
        <is>
          <t>No</t>
        </is>
      </c>
      <c r="AQ418" t="inlineStr">
        <is>
          <t>No</t>
        </is>
      </c>
      <c r="AS418">
        <f>HYPERLINK("https://creighton-primo.hosted.exlibrisgroup.com/primo-explore/search?tab=default_tab&amp;search_scope=EVERYTHING&amp;vid=01CRU&amp;lang=en_US&amp;offset=0&amp;query=any,contains,991001467469702656","Catalog Record")</f>
        <v/>
      </c>
      <c r="AT418">
        <f>HYPERLINK("http://www.worldcat.org/oclc/19515129","WorldCat Record")</f>
        <v/>
      </c>
      <c r="AU418" t="inlineStr">
        <is>
          <t>21361573:eng</t>
        </is>
      </c>
      <c r="AV418" t="inlineStr">
        <is>
          <t>19515129</t>
        </is>
      </c>
      <c r="AW418" t="inlineStr">
        <is>
          <t>991001467469702656</t>
        </is>
      </c>
      <c r="AX418" t="inlineStr">
        <is>
          <t>991001467469702656</t>
        </is>
      </c>
      <c r="AY418" t="inlineStr">
        <is>
          <t>2261327670002656</t>
        </is>
      </c>
      <c r="AZ418" t="inlineStr">
        <is>
          <t>BOOK</t>
        </is>
      </c>
      <c r="BB418" t="inlineStr">
        <is>
          <t>9780861932146</t>
        </is>
      </c>
      <c r="BC418" t="inlineStr">
        <is>
          <t>32285000279025</t>
        </is>
      </c>
      <c r="BD418" t="inlineStr">
        <is>
          <t>893528955</t>
        </is>
      </c>
    </row>
    <row r="419">
      <c r="A419" t="inlineStr">
        <is>
          <t>No</t>
        </is>
      </c>
      <c r="B419" t="inlineStr">
        <is>
          <t>DS126.4 .R6 1971</t>
        </is>
      </c>
      <c r="C419" t="inlineStr">
        <is>
          <t>0                      DS 0126400R  6           1971</t>
        </is>
      </c>
      <c r="D419" t="inlineStr">
        <is>
          <t>Palestine and the United Nations; prelude to solution.</t>
        </is>
      </c>
      <c r="F419" t="inlineStr">
        <is>
          <t>No</t>
        </is>
      </c>
      <c r="G419" t="inlineStr">
        <is>
          <t>1</t>
        </is>
      </c>
      <c r="H419" t="inlineStr">
        <is>
          <t>No</t>
        </is>
      </c>
      <c r="I419" t="inlineStr">
        <is>
          <t>No</t>
        </is>
      </c>
      <c r="J419" t="inlineStr">
        <is>
          <t>0</t>
        </is>
      </c>
      <c r="K419" t="inlineStr">
        <is>
          <t>Robinson, Jacob, 1889-1977.</t>
        </is>
      </c>
      <c r="L419" t="inlineStr">
        <is>
          <t>Westport, Conn., Greenwood Press [1971, c1947]</t>
        </is>
      </c>
      <c r="M419" t="inlineStr">
        <is>
          <t>1971</t>
        </is>
      </c>
      <c r="O419" t="inlineStr">
        <is>
          <t>eng</t>
        </is>
      </c>
      <c r="P419" t="inlineStr">
        <is>
          <t>ctu</t>
        </is>
      </c>
      <c r="R419" t="inlineStr">
        <is>
          <t xml:space="preserve">DS </t>
        </is>
      </c>
      <c r="S419" t="n">
        <v>1</v>
      </c>
      <c r="T419" t="n">
        <v>1</v>
      </c>
      <c r="U419" t="inlineStr">
        <is>
          <t>2004-03-31</t>
        </is>
      </c>
      <c r="V419" t="inlineStr">
        <is>
          <t>2004-03-31</t>
        </is>
      </c>
      <c r="W419" t="inlineStr">
        <is>
          <t>1997-02-26</t>
        </is>
      </c>
      <c r="X419" t="inlineStr">
        <is>
          <t>1997-02-26</t>
        </is>
      </c>
      <c r="Y419" t="n">
        <v>162</v>
      </c>
      <c r="Z419" t="n">
        <v>130</v>
      </c>
      <c r="AA419" t="n">
        <v>297</v>
      </c>
      <c r="AB419" t="n">
        <v>2</v>
      </c>
      <c r="AC419" t="n">
        <v>4</v>
      </c>
      <c r="AD419" t="n">
        <v>8</v>
      </c>
      <c r="AE419" t="n">
        <v>12</v>
      </c>
      <c r="AF419" t="n">
        <v>2</v>
      </c>
      <c r="AG419" t="n">
        <v>2</v>
      </c>
      <c r="AH419" t="n">
        <v>3</v>
      </c>
      <c r="AI419" t="n">
        <v>4</v>
      </c>
      <c r="AJ419" t="n">
        <v>3</v>
      </c>
      <c r="AK419" t="n">
        <v>4</v>
      </c>
      <c r="AL419" t="n">
        <v>1</v>
      </c>
      <c r="AM419" t="n">
        <v>3</v>
      </c>
      <c r="AN419" t="n">
        <v>0</v>
      </c>
      <c r="AO419" t="n">
        <v>1</v>
      </c>
      <c r="AP419" t="inlineStr">
        <is>
          <t>No</t>
        </is>
      </c>
      <c r="AQ419" t="inlineStr">
        <is>
          <t>No</t>
        </is>
      </c>
      <c r="AS419">
        <f>HYPERLINK("https://creighton-primo.hosted.exlibrisgroup.com/primo-explore/search?tab=default_tab&amp;search_scope=EVERYTHING&amp;vid=01CRU&amp;lang=en_US&amp;offset=0&amp;query=any,contains,991001237929702656","Catalog Record")</f>
        <v/>
      </c>
      <c r="AT419">
        <f>HYPERLINK("http://www.worldcat.org/oclc/207082","WorldCat Record")</f>
        <v/>
      </c>
      <c r="AU419" t="inlineStr">
        <is>
          <t>1271954:eng</t>
        </is>
      </c>
      <c r="AV419" t="inlineStr">
        <is>
          <t>207082</t>
        </is>
      </c>
      <c r="AW419" t="inlineStr">
        <is>
          <t>991001237929702656</t>
        </is>
      </c>
      <c r="AX419" t="inlineStr">
        <is>
          <t>991001237929702656</t>
        </is>
      </c>
      <c r="AY419" t="inlineStr">
        <is>
          <t>2267258800002656</t>
        </is>
      </c>
      <c r="AZ419" t="inlineStr">
        <is>
          <t>BOOK</t>
        </is>
      </c>
      <c r="BB419" t="inlineStr">
        <is>
          <t>9780837159867</t>
        </is>
      </c>
      <c r="BC419" t="inlineStr">
        <is>
          <t>32285002462538</t>
        </is>
      </c>
      <c r="BD419" t="inlineStr">
        <is>
          <t>893327990</t>
        </is>
      </c>
    </row>
    <row r="420">
      <c r="A420" t="inlineStr">
        <is>
          <t>No</t>
        </is>
      </c>
      <c r="B420" t="inlineStr">
        <is>
          <t>DS126.4 .S32 1983</t>
        </is>
      </c>
      <c r="C420" t="inlineStr">
        <is>
          <t>0                      DS 0126400S  32          1983</t>
        </is>
      </c>
      <c r="D420" t="inlineStr">
        <is>
          <t>The redemption of the unwanted : from the liberation of the death camps to the founding of Israel / Abram L. Sachar.</t>
        </is>
      </c>
      <c r="F420" t="inlineStr">
        <is>
          <t>No</t>
        </is>
      </c>
      <c r="G420" t="inlineStr">
        <is>
          <t>1</t>
        </is>
      </c>
      <c r="H420" t="inlineStr">
        <is>
          <t>No</t>
        </is>
      </c>
      <c r="I420" t="inlineStr">
        <is>
          <t>No</t>
        </is>
      </c>
      <c r="J420" t="inlineStr">
        <is>
          <t>0</t>
        </is>
      </c>
      <c r="K420" t="inlineStr">
        <is>
          <t>Sachar, Abram Leon, 1899-1993.</t>
        </is>
      </c>
      <c r="L420" t="inlineStr">
        <is>
          <t>New York : St. Martin's/Marek, c1983.</t>
        </is>
      </c>
      <c r="M420" t="inlineStr">
        <is>
          <t>1983</t>
        </is>
      </c>
      <c r="N420" t="inlineStr">
        <is>
          <t>1st ed.</t>
        </is>
      </c>
      <c r="O420" t="inlineStr">
        <is>
          <t>eng</t>
        </is>
      </c>
      <c r="P420" t="inlineStr">
        <is>
          <t>nyu</t>
        </is>
      </c>
      <c r="R420" t="inlineStr">
        <is>
          <t xml:space="preserve">DS </t>
        </is>
      </c>
      <c r="S420" t="n">
        <v>1</v>
      </c>
      <c r="T420" t="n">
        <v>1</v>
      </c>
      <c r="U420" t="inlineStr">
        <is>
          <t>2000-11-24</t>
        </is>
      </c>
      <c r="V420" t="inlineStr">
        <is>
          <t>2000-11-24</t>
        </is>
      </c>
      <c r="W420" t="inlineStr">
        <is>
          <t>1990-10-02</t>
        </is>
      </c>
      <c r="X420" t="inlineStr">
        <is>
          <t>1990-10-02</t>
        </is>
      </c>
      <c r="Y420" t="n">
        <v>754</v>
      </c>
      <c r="Z420" t="n">
        <v>681</v>
      </c>
      <c r="AA420" t="n">
        <v>688</v>
      </c>
      <c r="AB420" t="n">
        <v>5</v>
      </c>
      <c r="AC420" t="n">
        <v>5</v>
      </c>
      <c r="AD420" t="n">
        <v>21</v>
      </c>
      <c r="AE420" t="n">
        <v>22</v>
      </c>
      <c r="AF420" t="n">
        <v>8</v>
      </c>
      <c r="AG420" t="n">
        <v>9</v>
      </c>
      <c r="AH420" t="n">
        <v>4</v>
      </c>
      <c r="AI420" t="n">
        <v>4</v>
      </c>
      <c r="AJ420" t="n">
        <v>11</v>
      </c>
      <c r="AK420" t="n">
        <v>12</v>
      </c>
      <c r="AL420" t="n">
        <v>1</v>
      </c>
      <c r="AM420" t="n">
        <v>1</v>
      </c>
      <c r="AN420" t="n">
        <v>1</v>
      </c>
      <c r="AO420" t="n">
        <v>1</v>
      </c>
      <c r="AP420" t="inlineStr">
        <is>
          <t>No</t>
        </is>
      </c>
      <c r="AQ420" t="inlineStr">
        <is>
          <t>No</t>
        </is>
      </c>
      <c r="AS420">
        <f>HYPERLINK("https://creighton-primo.hosted.exlibrisgroup.com/primo-explore/search?tab=default_tab&amp;search_scope=EVERYTHING&amp;vid=01CRU&amp;lang=en_US&amp;offset=0&amp;query=any,contains,991000154139702656","Catalog Record")</f>
        <v/>
      </c>
      <c r="AT420">
        <f>HYPERLINK("http://www.worldcat.org/oclc/9219406","WorldCat Record")</f>
        <v/>
      </c>
      <c r="AU420" t="inlineStr">
        <is>
          <t>43010183:eng</t>
        </is>
      </c>
      <c r="AV420" t="inlineStr">
        <is>
          <t>9219406</t>
        </is>
      </c>
      <c r="AW420" t="inlineStr">
        <is>
          <t>991000154139702656</t>
        </is>
      </c>
      <c r="AX420" t="inlineStr">
        <is>
          <t>991000154139702656</t>
        </is>
      </c>
      <c r="AY420" t="inlineStr">
        <is>
          <t>2268347450002656</t>
        </is>
      </c>
      <c r="AZ420" t="inlineStr">
        <is>
          <t>BOOK</t>
        </is>
      </c>
      <c r="BB420" t="inlineStr">
        <is>
          <t>9780312667290</t>
        </is>
      </c>
      <c r="BC420" t="inlineStr">
        <is>
          <t>32285000293927</t>
        </is>
      </c>
      <c r="BD420" t="inlineStr">
        <is>
          <t>893495978</t>
        </is>
      </c>
    </row>
    <row r="421">
      <c r="A421" t="inlineStr">
        <is>
          <t>No</t>
        </is>
      </c>
      <c r="B421" t="inlineStr">
        <is>
          <t>DS126.5 .A919</t>
        </is>
      </c>
      <c r="C421" t="inlineStr">
        <is>
          <t>0                      DS 0126500A  919</t>
        </is>
      </c>
      <c r="D421" t="inlineStr">
        <is>
          <t>A crisis of identity : Israel and Zionism / Dan V. Segre.</t>
        </is>
      </c>
      <c r="F421" t="inlineStr">
        <is>
          <t>No</t>
        </is>
      </c>
      <c r="G421" t="inlineStr">
        <is>
          <t>1</t>
        </is>
      </c>
      <c r="H421" t="inlineStr">
        <is>
          <t>No</t>
        </is>
      </c>
      <c r="I421" t="inlineStr">
        <is>
          <t>No</t>
        </is>
      </c>
      <c r="J421" t="inlineStr">
        <is>
          <t>0</t>
        </is>
      </c>
      <c r="K421" t="inlineStr">
        <is>
          <t>Segre, Dan Vittorio, 1922-2014.</t>
        </is>
      </c>
      <c r="L421" t="inlineStr">
        <is>
          <t>Oxford ; New York : Oxford University Press, 1980.</t>
        </is>
      </c>
      <c r="M421" t="inlineStr">
        <is>
          <t>1980</t>
        </is>
      </c>
      <c r="O421" t="inlineStr">
        <is>
          <t>eng</t>
        </is>
      </c>
      <c r="P421" t="inlineStr">
        <is>
          <t>enk</t>
        </is>
      </c>
      <c r="R421" t="inlineStr">
        <is>
          <t xml:space="preserve">DS </t>
        </is>
      </c>
      <c r="S421" t="n">
        <v>4</v>
      </c>
      <c r="T421" t="n">
        <v>4</v>
      </c>
      <c r="U421" t="inlineStr">
        <is>
          <t>1998-05-01</t>
        </is>
      </c>
      <c r="V421" t="inlineStr">
        <is>
          <t>1998-05-01</t>
        </is>
      </c>
      <c r="W421" t="inlineStr">
        <is>
          <t>1990-10-02</t>
        </is>
      </c>
      <c r="X421" t="inlineStr">
        <is>
          <t>1990-10-02</t>
        </is>
      </c>
      <c r="Y421" t="n">
        <v>555</v>
      </c>
      <c r="Z421" t="n">
        <v>456</v>
      </c>
      <c r="AA421" t="n">
        <v>458</v>
      </c>
      <c r="AB421" t="n">
        <v>5</v>
      </c>
      <c r="AC421" t="n">
        <v>5</v>
      </c>
      <c r="AD421" t="n">
        <v>22</v>
      </c>
      <c r="AE421" t="n">
        <v>22</v>
      </c>
      <c r="AF421" t="n">
        <v>8</v>
      </c>
      <c r="AG421" t="n">
        <v>8</v>
      </c>
      <c r="AH421" t="n">
        <v>6</v>
      </c>
      <c r="AI421" t="n">
        <v>6</v>
      </c>
      <c r="AJ421" t="n">
        <v>9</v>
      </c>
      <c r="AK421" t="n">
        <v>9</v>
      </c>
      <c r="AL421" t="n">
        <v>4</v>
      </c>
      <c r="AM421" t="n">
        <v>4</v>
      </c>
      <c r="AN421" t="n">
        <v>1</v>
      </c>
      <c r="AO421" t="n">
        <v>1</v>
      </c>
      <c r="AP421" t="inlineStr">
        <is>
          <t>No</t>
        </is>
      </c>
      <c r="AQ421" t="inlineStr">
        <is>
          <t>Yes</t>
        </is>
      </c>
      <c r="AR421">
        <f>HYPERLINK("http://catalog.hathitrust.org/Record/000691373","HathiTrust Record")</f>
        <v/>
      </c>
      <c r="AS421">
        <f>HYPERLINK("https://creighton-primo.hosted.exlibrisgroup.com/primo-explore/search?tab=default_tab&amp;search_scope=EVERYTHING&amp;vid=01CRU&amp;lang=en_US&amp;offset=0&amp;query=any,contains,991004950889702656","Catalog Record")</f>
        <v/>
      </c>
      <c r="AT421">
        <f>HYPERLINK("http://www.worldcat.org/oclc/6249825","WorldCat Record")</f>
        <v/>
      </c>
      <c r="AU421" t="inlineStr">
        <is>
          <t>414251:eng</t>
        </is>
      </c>
      <c r="AV421" t="inlineStr">
        <is>
          <t>6249825</t>
        </is>
      </c>
      <c r="AW421" t="inlineStr">
        <is>
          <t>991004950889702656</t>
        </is>
      </c>
      <c r="AX421" t="inlineStr">
        <is>
          <t>991004950889702656</t>
        </is>
      </c>
      <c r="AY421" t="inlineStr">
        <is>
          <t>2263051720002656</t>
        </is>
      </c>
      <c r="AZ421" t="inlineStr">
        <is>
          <t>BOOK</t>
        </is>
      </c>
      <c r="BB421" t="inlineStr">
        <is>
          <t>9780192158628</t>
        </is>
      </c>
      <c r="BC421" t="inlineStr">
        <is>
          <t>32285000293935</t>
        </is>
      </c>
      <c r="BD421" t="inlineStr">
        <is>
          <t>893789261</t>
        </is>
      </c>
    </row>
    <row r="422">
      <c r="A422" t="inlineStr">
        <is>
          <t>No</t>
        </is>
      </c>
      <c r="B422" t="inlineStr">
        <is>
          <t>DS126.5 .B44513 1971</t>
        </is>
      </c>
      <c r="C422" t="inlineStr">
        <is>
          <t>0                      DS 0126500B  44513       1971</t>
        </is>
      </c>
      <c r="D422" t="inlineStr">
        <is>
          <t>Israel; a personal history. [Translated by Nechemia Meyers and Uzy Nystar]</t>
        </is>
      </c>
      <c r="F422" t="inlineStr">
        <is>
          <t>No</t>
        </is>
      </c>
      <c r="G422" t="inlineStr">
        <is>
          <t>1</t>
        </is>
      </c>
      <c r="H422" t="inlineStr">
        <is>
          <t>No</t>
        </is>
      </c>
      <c r="I422" t="inlineStr">
        <is>
          <t>No</t>
        </is>
      </c>
      <c r="J422" t="inlineStr">
        <is>
          <t>0</t>
        </is>
      </c>
      <c r="K422" t="inlineStr">
        <is>
          <t>Ben-Gurion, David, 1886-1973.</t>
        </is>
      </c>
      <c r="L422" t="inlineStr">
        <is>
          <t>New York, Funk &amp; Wagnalls; distributed by T. Y. Crowell Co. [1971]</t>
        </is>
      </c>
      <c r="M422" t="inlineStr">
        <is>
          <t>1971</t>
        </is>
      </c>
      <c r="O422" t="inlineStr">
        <is>
          <t>eng</t>
        </is>
      </c>
      <c r="P422" t="inlineStr">
        <is>
          <t>nyu</t>
        </is>
      </c>
      <c r="R422" t="inlineStr">
        <is>
          <t xml:space="preserve">DS </t>
        </is>
      </c>
      <c r="S422" t="n">
        <v>2</v>
      </c>
      <c r="T422" t="n">
        <v>2</v>
      </c>
      <c r="U422" t="inlineStr">
        <is>
          <t>2008-12-14</t>
        </is>
      </c>
      <c r="V422" t="inlineStr">
        <is>
          <t>2008-12-14</t>
        </is>
      </c>
      <c r="W422" t="inlineStr">
        <is>
          <t>1997-02-26</t>
        </is>
      </c>
      <c r="X422" t="inlineStr">
        <is>
          <t>1997-02-26</t>
        </is>
      </c>
      <c r="Y422" t="n">
        <v>1032</v>
      </c>
      <c r="Z422" t="n">
        <v>936</v>
      </c>
      <c r="AA422" t="n">
        <v>954</v>
      </c>
      <c r="AB422" t="n">
        <v>5</v>
      </c>
      <c r="AC422" t="n">
        <v>5</v>
      </c>
      <c r="AD422" t="n">
        <v>28</v>
      </c>
      <c r="AE422" t="n">
        <v>28</v>
      </c>
      <c r="AF422" t="n">
        <v>11</v>
      </c>
      <c r="AG422" t="n">
        <v>11</v>
      </c>
      <c r="AH422" t="n">
        <v>7</v>
      </c>
      <c r="AI422" t="n">
        <v>7</v>
      </c>
      <c r="AJ422" t="n">
        <v>12</v>
      </c>
      <c r="AK422" t="n">
        <v>12</v>
      </c>
      <c r="AL422" t="n">
        <v>4</v>
      </c>
      <c r="AM422" t="n">
        <v>4</v>
      </c>
      <c r="AN422" t="n">
        <v>0</v>
      </c>
      <c r="AO422" t="n">
        <v>0</v>
      </c>
      <c r="AP422" t="inlineStr">
        <is>
          <t>No</t>
        </is>
      </c>
      <c r="AQ422" t="inlineStr">
        <is>
          <t>Yes</t>
        </is>
      </c>
      <c r="AR422">
        <f>HYPERLINK("http://catalog.hathitrust.org/Record/003928768","HathiTrust Record")</f>
        <v/>
      </c>
      <c r="AS422">
        <f>HYPERLINK("https://creighton-primo.hosted.exlibrisgroup.com/primo-explore/search?tab=default_tab&amp;search_scope=EVERYTHING&amp;vid=01CRU&amp;lang=en_US&amp;offset=0&amp;query=any,contains,991001057769702656","Catalog Record")</f>
        <v/>
      </c>
      <c r="AT422">
        <f>HYPERLINK("http://www.worldcat.org/oclc/177703","WorldCat Record")</f>
        <v/>
      </c>
      <c r="AU422" t="inlineStr">
        <is>
          <t>1314820:eng</t>
        </is>
      </c>
      <c r="AV422" t="inlineStr">
        <is>
          <t>177703</t>
        </is>
      </c>
      <c r="AW422" t="inlineStr">
        <is>
          <t>991001057769702656</t>
        </is>
      </c>
      <c r="AX422" t="inlineStr">
        <is>
          <t>991001057769702656</t>
        </is>
      </c>
      <c r="AY422" t="inlineStr">
        <is>
          <t>2268158450002656</t>
        </is>
      </c>
      <c r="AZ422" t="inlineStr">
        <is>
          <t>BOOK</t>
        </is>
      </c>
      <c r="BC422" t="inlineStr">
        <is>
          <t>32285002462561</t>
        </is>
      </c>
      <c r="BD422" t="inlineStr">
        <is>
          <t>893225575</t>
        </is>
      </c>
    </row>
    <row r="423">
      <c r="A423" t="inlineStr">
        <is>
          <t>No</t>
        </is>
      </c>
      <c r="B423" t="inlineStr">
        <is>
          <t>DS126.5 .B45 1969</t>
        </is>
      </c>
      <c r="C423" t="inlineStr">
        <is>
          <t>0                      DS 0126500B  45          1969</t>
        </is>
      </c>
      <c r="D423" t="inlineStr">
        <is>
          <t>Our man in Damascus, Elie Cohn / by Eli Ben-Hanan.</t>
        </is>
      </c>
      <c r="F423" t="inlineStr">
        <is>
          <t>No</t>
        </is>
      </c>
      <c r="G423" t="inlineStr">
        <is>
          <t>1</t>
        </is>
      </c>
      <c r="H423" t="inlineStr">
        <is>
          <t>No</t>
        </is>
      </c>
      <c r="I423" t="inlineStr">
        <is>
          <t>No</t>
        </is>
      </c>
      <c r="J423" t="inlineStr">
        <is>
          <t>0</t>
        </is>
      </c>
      <c r="K423" t="inlineStr">
        <is>
          <t>Ben-Hanan, Eli.</t>
        </is>
      </c>
      <c r="L423" t="inlineStr">
        <is>
          <t>New York : Crown Publishers, [1969]</t>
        </is>
      </c>
      <c r="M423" t="inlineStr">
        <is>
          <t>1969</t>
        </is>
      </c>
      <c r="O423" t="inlineStr">
        <is>
          <t>eng</t>
        </is>
      </c>
      <c r="P423" t="inlineStr">
        <is>
          <t>nyu</t>
        </is>
      </c>
      <c r="R423" t="inlineStr">
        <is>
          <t xml:space="preserve">DS </t>
        </is>
      </c>
      <c r="S423" t="n">
        <v>2</v>
      </c>
      <c r="T423" t="n">
        <v>2</v>
      </c>
      <c r="U423" t="inlineStr">
        <is>
          <t>2001-02-18</t>
        </is>
      </c>
      <c r="V423" t="inlineStr">
        <is>
          <t>2001-02-18</t>
        </is>
      </c>
      <c r="W423" t="inlineStr">
        <is>
          <t>1990-10-02</t>
        </is>
      </c>
      <c r="X423" t="inlineStr">
        <is>
          <t>1990-10-02</t>
        </is>
      </c>
      <c r="Y423" t="n">
        <v>218</v>
      </c>
      <c r="Z423" t="n">
        <v>196</v>
      </c>
      <c r="AA423" t="n">
        <v>228</v>
      </c>
      <c r="AB423" t="n">
        <v>2</v>
      </c>
      <c r="AC423" t="n">
        <v>2</v>
      </c>
      <c r="AD423" t="n">
        <v>8</v>
      </c>
      <c r="AE423" t="n">
        <v>8</v>
      </c>
      <c r="AF423" t="n">
        <v>4</v>
      </c>
      <c r="AG423" t="n">
        <v>4</v>
      </c>
      <c r="AH423" t="n">
        <v>2</v>
      </c>
      <c r="AI423" t="n">
        <v>2</v>
      </c>
      <c r="AJ423" t="n">
        <v>3</v>
      </c>
      <c r="AK423" t="n">
        <v>3</v>
      </c>
      <c r="AL423" t="n">
        <v>1</v>
      </c>
      <c r="AM423" t="n">
        <v>1</v>
      </c>
      <c r="AN423" t="n">
        <v>0</v>
      </c>
      <c r="AO423" t="n">
        <v>0</v>
      </c>
      <c r="AP423" t="inlineStr">
        <is>
          <t>No</t>
        </is>
      </c>
      <c r="AQ423" t="inlineStr">
        <is>
          <t>No</t>
        </is>
      </c>
      <c r="AS423">
        <f>HYPERLINK("https://creighton-primo.hosted.exlibrisgroup.com/primo-explore/search?tab=default_tab&amp;search_scope=EVERYTHING&amp;vid=01CRU&amp;lang=en_US&amp;offset=0&amp;query=any,contains,991000130069702656","Catalog Record")</f>
        <v/>
      </c>
      <c r="AT423">
        <f>HYPERLINK("http://www.worldcat.org/oclc/53763","WorldCat Record")</f>
        <v/>
      </c>
      <c r="AU423" t="inlineStr">
        <is>
          <t>4820415862:eng</t>
        </is>
      </c>
      <c r="AV423" t="inlineStr">
        <is>
          <t>53763</t>
        </is>
      </c>
      <c r="AW423" t="inlineStr">
        <is>
          <t>991000130069702656</t>
        </is>
      </c>
      <c r="AX423" t="inlineStr">
        <is>
          <t>991000130069702656</t>
        </is>
      </c>
      <c r="AY423" t="inlineStr">
        <is>
          <t>2257441540002656</t>
        </is>
      </c>
      <c r="AZ423" t="inlineStr">
        <is>
          <t>BOOK</t>
        </is>
      </c>
      <c r="BC423" t="inlineStr">
        <is>
          <t>32285000293943</t>
        </is>
      </c>
      <c r="BD423" t="inlineStr">
        <is>
          <t>893595315</t>
        </is>
      </c>
    </row>
    <row r="424">
      <c r="A424" t="inlineStr">
        <is>
          <t>No</t>
        </is>
      </c>
      <c r="B424" t="inlineStr">
        <is>
          <t>DS126.5 .E44 1971b</t>
        </is>
      </c>
      <c r="C424" t="inlineStr">
        <is>
          <t>0                      DS 0126500E  44          1971b</t>
        </is>
      </c>
      <c r="D424" t="inlineStr">
        <is>
          <t>Israel: a survey and bibliography. Compiled and edited by Muriel Emanuel.</t>
        </is>
      </c>
      <c r="F424" t="inlineStr">
        <is>
          <t>No</t>
        </is>
      </c>
      <c r="G424" t="inlineStr">
        <is>
          <t>1</t>
        </is>
      </c>
      <c r="H424" t="inlineStr">
        <is>
          <t>No</t>
        </is>
      </c>
      <c r="I424" t="inlineStr">
        <is>
          <t>No</t>
        </is>
      </c>
      <c r="J424" t="inlineStr">
        <is>
          <t>0</t>
        </is>
      </c>
      <c r="K424" t="inlineStr">
        <is>
          <t>Emanuel, Muriel.</t>
        </is>
      </c>
      <c r="L424" t="inlineStr">
        <is>
          <t>New York, St. Martin's Press [1971]</t>
        </is>
      </c>
      <c r="M424" t="inlineStr">
        <is>
          <t>1971</t>
        </is>
      </c>
      <c r="O424" t="inlineStr">
        <is>
          <t>eng</t>
        </is>
      </c>
      <c r="P424" t="inlineStr">
        <is>
          <t>nyu</t>
        </is>
      </c>
      <c r="R424" t="inlineStr">
        <is>
          <t xml:space="preserve">DS </t>
        </is>
      </c>
      <c r="S424" t="n">
        <v>2</v>
      </c>
      <c r="T424" t="n">
        <v>2</v>
      </c>
      <c r="U424" t="inlineStr">
        <is>
          <t>2009-04-26</t>
        </is>
      </c>
      <c r="V424" t="inlineStr">
        <is>
          <t>2009-04-26</t>
        </is>
      </c>
      <c r="W424" t="inlineStr">
        <is>
          <t>1997-02-26</t>
        </is>
      </c>
      <c r="X424" t="inlineStr">
        <is>
          <t>1997-02-26</t>
        </is>
      </c>
      <c r="Y424" t="n">
        <v>166</v>
      </c>
      <c r="Z424" t="n">
        <v>154</v>
      </c>
      <c r="AA424" t="n">
        <v>213</v>
      </c>
      <c r="AB424" t="n">
        <v>1</v>
      </c>
      <c r="AC424" t="n">
        <v>1</v>
      </c>
      <c r="AD424" t="n">
        <v>5</v>
      </c>
      <c r="AE424" t="n">
        <v>6</v>
      </c>
      <c r="AF424" t="n">
        <v>3</v>
      </c>
      <c r="AG424" t="n">
        <v>3</v>
      </c>
      <c r="AH424" t="n">
        <v>2</v>
      </c>
      <c r="AI424" t="n">
        <v>3</v>
      </c>
      <c r="AJ424" t="n">
        <v>2</v>
      </c>
      <c r="AK424" t="n">
        <v>3</v>
      </c>
      <c r="AL424" t="n">
        <v>0</v>
      </c>
      <c r="AM424" t="n">
        <v>0</v>
      </c>
      <c r="AN424" t="n">
        <v>0</v>
      </c>
      <c r="AO424" t="n">
        <v>0</v>
      </c>
      <c r="AP424" t="inlineStr">
        <is>
          <t>No</t>
        </is>
      </c>
      <c r="AQ424" t="inlineStr">
        <is>
          <t>Yes</t>
        </is>
      </c>
      <c r="AR424">
        <f>HYPERLINK("http://catalog.hathitrust.org/Record/000003986","HathiTrust Record")</f>
        <v/>
      </c>
      <c r="AS424">
        <f>HYPERLINK("https://creighton-primo.hosted.exlibrisgroup.com/primo-explore/search?tab=default_tab&amp;search_scope=EVERYTHING&amp;vid=01CRU&amp;lang=en_US&amp;offset=0&amp;query=any,contains,991002174969702656","Catalog Record")</f>
        <v/>
      </c>
      <c r="AT424">
        <f>HYPERLINK("http://www.worldcat.org/oclc/277855","WorldCat Record")</f>
        <v/>
      </c>
      <c r="AU424" t="inlineStr">
        <is>
          <t>287964624:eng</t>
        </is>
      </c>
      <c r="AV424" t="inlineStr">
        <is>
          <t>277855</t>
        </is>
      </c>
      <c r="AW424" t="inlineStr">
        <is>
          <t>991002174969702656</t>
        </is>
      </c>
      <c r="AX424" t="inlineStr">
        <is>
          <t>991002174969702656</t>
        </is>
      </c>
      <c r="AY424" t="inlineStr">
        <is>
          <t>2260176330002656</t>
        </is>
      </c>
      <c r="AZ424" t="inlineStr">
        <is>
          <t>BOOK</t>
        </is>
      </c>
      <c r="BC424" t="inlineStr">
        <is>
          <t>32285002462603</t>
        </is>
      </c>
      <c r="BD424" t="inlineStr">
        <is>
          <t>893697444</t>
        </is>
      </c>
    </row>
    <row r="425">
      <c r="A425" t="inlineStr">
        <is>
          <t>No</t>
        </is>
      </c>
      <c r="B425" t="inlineStr">
        <is>
          <t>DS126.5 .F7 1980</t>
        </is>
      </c>
      <c r="C425" t="inlineStr">
        <is>
          <t>0                      DS 0126500F  7           1980</t>
        </is>
      </c>
      <c r="D425" t="inlineStr">
        <is>
          <t>Israel observed, an anatomy of the state / William Frankel</t>
        </is>
      </c>
      <c r="F425" t="inlineStr">
        <is>
          <t>No</t>
        </is>
      </c>
      <c r="G425" t="inlineStr">
        <is>
          <t>1</t>
        </is>
      </c>
      <c r="H425" t="inlineStr">
        <is>
          <t>No</t>
        </is>
      </c>
      <c r="I425" t="inlineStr">
        <is>
          <t>No</t>
        </is>
      </c>
      <c r="J425" t="inlineStr">
        <is>
          <t>0</t>
        </is>
      </c>
      <c r="K425" t="inlineStr">
        <is>
          <t>Frankel, William.</t>
        </is>
      </c>
      <c r="L425" t="inlineStr">
        <is>
          <t>London : Thames and Hudson, 1980.</t>
        </is>
      </c>
      <c r="M425" t="inlineStr">
        <is>
          <t>1980</t>
        </is>
      </c>
      <c r="O425" t="inlineStr">
        <is>
          <t>eng</t>
        </is>
      </c>
      <c r="P425" t="inlineStr">
        <is>
          <t>enk</t>
        </is>
      </c>
      <c r="R425" t="inlineStr">
        <is>
          <t xml:space="preserve">DS </t>
        </is>
      </c>
      <c r="S425" t="n">
        <v>5</v>
      </c>
      <c r="T425" t="n">
        <v>5</v>
      </c>
      <c r="U425" t="inlineStr">
        <is>
          <t>2008-11-22</t>
        </is>
      </c>
      <c r="V425" t="inlineStr">
        <is>
          <t>2008-11-22</t>
        </is>
      </c>
      <c r="W425" t="inlineStr">
        <is>
          <t>1990-05-07</t>
        </is>
      </c>
      <c r="X425" t="inlineStr">
        <is>
          <t>1990-05-07</t>
        </is>
      </c>
      <c r="Y425" t="n">
        <v>695</v>
      </c>
      <c r="Z425" t="n">
        <v>559</v>
      </c>
      <c r="AA425" t="n">
        <v>571</v>
      </c>
      <c r="AB425" t="n">
        <v>4</v>
      </c>
      <c r="AC425" t="n">
        <v>4</v>
      </c>
      <c r="AD425" t="n">
        <v>23</v>
      </c>
      <c r="AE425" t="n">
        <v>23</v>
      </c>
      <c r="AF425" t="n">
        <v>9</v>
      </c>
      <c r="AG425" t="n">
        <v>9</v>
      </c>
      <c r="AH425" t="n">
        <v>7</v>
      </c>
      <c r="AI425" t="n">
        <v>7</v>
      </c>
      <c r="AJ425" t="n">
        <v>10</v>
      </c>
      <c r="AK425" t="n">
        <v>10</v>
      </c>
      <c r="AL425" t="n">
        <v>3</v>
      </c>
      <c r="AM425" t="n">
        <v>3</v>
      </c>
      <c r="AN425" t="n">
        <v>0</v>
      </c>
      <c r="AO425" t="n">
        <v>0</v>
      </c>
      <c r="AP425" t="inlineStr">
        <is>
          <t>No</t>
        </is>
      </c>
      <c r="AQ425" t="inlineStr">
        <is>
          <t>No</t>
        </is>
      </c>
      <c r="AS425">
        <f>HYPERLINK("https://creighton-primo.hosted.exlibrisgroup.com/primo-explore/search?tab=default_tab&amp;search_scope=EVERYTHING&amp;vid=01CRU&amp;lang=en_US&amp;offset=0&amp;query=any,contains,991005065649702656","Catalog Record")</f>
        <v/>
      </c>
      <c r="AT425">
        <f>HYPERLINK("http://www.worldcat.org/oclc/7741803","WorldCat Record")</f>
        <v/>
      </c>
      <c r="AU425" t="inlineStr">
        <is>
          <t>12634243:eng</t>
        </is>
      </c>
      <c r="AV425" t="inlineStr">
        <is>
          <t>7741803</t>
        </is>
      </c>
      <c r="AW425" t="inlineStr">
        <is>
          <t>991005065649702656</t>
        </is>
      </c>
      <c r="AX425" t="inlineStr">
        <is>
          <t>991005065649702656</t>
        </is>
      </c>
      <c r="AY425" t="inlineStr">
        <is>
          <t>2258262370002656</t>
        </is>
      </c>
      <c r="AZ425" t="inlineStr">
        <is>
          <t>BOOK</t>
        </is>
      </c>
      <c r="BB425" t="inlineStr">
        <is>
          <t>9780500012475</t>
        </is>
      </c>
      <c r="BC425" t="inlineStr">
        <is>
          <t>32285000149715</t>
        </is>
      </c>
      <c r="BD425" t="inlineStr">
        <is>
          <t>893443340</t>
        </is>
      </c>
    </row>
    <row r="426">
      <c r="A426" t="inlineStr">
        <is>
          <t>No</t>
        </is>
      </c>
      <c r="B426" t="inlineStr">
        <is>
          <t>DS126.5 .F716 1994</t>
        </is>
      </c>
      <c r="C426" t="inlineStr">
        <is>
          <t>0                      DS 0126500F  716         1994</t>
        </is>
      </c>
      <c r="D426" t="inlineStr">
        <is>
          <t>Beyond the promised land : Jews and Arabs on the hard road to a new Israel / Glenn Frankel.</t>
        </is>
      </c>
      <c r="F426" t="inlineStr">
        <is>
          <t>No</t>
        </is>
      </c>
      <c r="G426" t="inlineStr">
        <is>
          <t>1</t>
        </is>
      </c>
      <c r="H426" t="inlineStr">
        <is>
          <t>No</t>
        </is>
      </c>
      <c r="I426" t="inlineStr">
        <is>
          <t>No</t>
        </is>
      </c>
      <c r="J426" t="inlineStr">
        <is>
          <t>0</t>
        </is>
      </c>
      <c r="K426" t="inlineStr">
        <is>
          <t>Frankel, Glenn.</t>
        </is>
      </c>
      <c r="L426" t="inlineStr">
        <is>
          <t>New York : Simon &amp; Schuster, c1994.</t>
        </is>
      </c>
      <c r="M426" t="inlineStr">
        <is>
          <t>1994</t>
        </is>
      </c>
      <c r="O426" t="inlineStr">
        <is>
          <t>eng</t>
        </is>
      </c>
      <c r="P426" t="inlineStr">
        <is>
          <t>nyu</t>
        </is>
      </c>
      <c r="R426" t="inlineStr">
        <is>
          <t xml:space="preserve">DS </t>
        </is>
      </c>
      <c r="S426" t="n">
        <v>3</v>
      </c>
      <c r="T426" t="n">
        <v>3</v>
      </c>
      <c r="U426" t="inlineStr">
        <is>
          <t>2008-11-22</t>
        </is>
      </c>
      <c r="V426" t="inlineStr">
        <is>
          <t>2008-11-22</t>
        </is>
      </c>
      <c r="W426" t="inlineStr">
        <is>
          <t>1996-03-12</t>
        </is>
      </c>
      <c r="X426" t="inlineStr">
        <is>
          <t>1996-03-12</t>
        </is>
      </c>
      <c r="Y426" t="n">
        <v>848</v>
      </c>
      <c r="Z426" t="n">
        <v>761</v>
      </c>
      <c r="AA426" t="n">
        <v>826</v>
      </c>
      <c r="AB426" t="n">
        <v>3</v>
      </c>
      <c r="AC426" t="n">
        <v>4</v>
      </c>
      <c r="AD426" t="n">
        <v>31</v>
      </c>
      <c r="AE426" t="n">
        <v>35</v>
      </c>
      <c r="AF426" t="n">
        <v>16</v>
      </c>
      <c r="AG426" t="n">
        <v>18</v>
      </c>
      <c r="AH426" t="n">
        <v>8</v>
      </c>
      <c r="AI426" t="n">
        <v>8</v>
      </c>
      <c r="AJ426" t="n">
        <v>15</v>
      </c>
      <c r="AK426" t="n">
        <v>17</v>
      </c>
      <c r="AL426" t="n">
        <v>2</v>
      </c>
      <c r="AM426" t="n">
        <v>3</v>
      </c>
      <c r="AN426" t="n">
        <v>0</v>
      </c>
      <c r="AO426" t="n">
        <v>0</v>
      </c>
      <c r="AP426" t="inlineStr">
        <is>
          <t>No</t>
        </is>
      </c>
      <c r="AQ426" t="inlineStr">
        <is>
          <t>Yes</t>
        </is>
      </c>
      <c r="AR426">
        <f>HYPERLINK("http://catalog.hathitrust.org/Record/002898906","HathiTrust Record")</f>
        <v/>
      </c>
      <c r="AS426">
        <f>HYPERLINK("https://creighton-primo.hosted.exlibrisgroup.com/primo-explore/search?tab=default_tab&amp;search_scope=EVERYTHING&amp;vid=01CRU&amp;lang=en_US&amp;offset=0&amp;query=any,contains,991002367399702656","Catalog Record")</f>
        <v/>
      </c>
      <c r="AT426">
        <f>HYPERLINK("http://www.worldcat.org/oclc/30778339","WorldCat Record")</f>
        <v/>
      </c>
      <c r="AU426" t="inlineStr">
        <is>
          <t>836902603:eng</t>
        </is>
      </c>
      <c r="AV426" t="inlineStr">
        <is>
          <t>30778339</t>
        </is>
      </c>
      <c r="AW426" t="inlineStr">
        <is>
          <t>991002367399702656</t>
        </is>
      </c>
      <c r="AX426" t="inlineStr">
        <is>
          <t>991002367399702656</t>
        </is>
      </c>
      <c r="AY426" t="inlineStr">
        <is>
          <t>2271119110002656</t>
        </is>
      </c>
      <c r="AZ426" t="inlineStr">
        <is>
          <t>BOOK</t>
        </is>
      </c>
      <c r="BB426" t="inlineStr">
        <is>
          <t>9780671796495</t>
        </is>
      </c>
      <c r="BC426" t="inlineStr">
        <is>
          <t>32285002141579</t>
        </is>
      </c>
      <c r="BD426" t="inlineStr">
        <is>
          <t>893498043</t>
        </is>
      </c>
    </row>
    <row r="427">
      <c r="A427" t="inlineStr">
        <is>
          <t>No</t>
        </is>
      </c>
      <c r="B427" t="inlineStr">
        <is>
          <t>DS126.5 .G53 1998</t>
        </is>
      </c>
      <c r="C427" t="inlineStr">
        <is>
          <t>0                      DS 0126500G  53          1998</t>
        </is>
      </c>
      <c r="D427" t="inlineStr">
        <is>
          <t>Israel : a history / Martin Gilbert.</t>
        </is>
      </c>
      <c r="F427" t="inlineStr">
        <is>
          <t>No</t>
        </is>
      </c>
      <c r="G427" t="inlineStr">
        <is>
          <t>1</t>
        </is>
      </c>
      <c r="H427" t="inlineStr">
        <is>
          <t>No</t>
        </is>
      </c>
      <c r="I427" t="inlineStr">
        <is>
          <t>No</t>
        </is>
      </c>
      <c r="J427" t="inlineStr">
        <is>
          <t>0</t>
        </is>
      </c>
      <c r="K427" t="inlineStr">
        <is>
          <t>Gilbert, Martin, 1936-2015.</t>
        </is>
      </c>
      <c r="L427" t="inlineStr">
        <is>
          <t>New York : Morrow, 1998.</t>
        </is>
      </c>
      <c r="M427" t="inlineStr">
        <is>
          <t>1998</t>
        </is>
      </c>
      <c r="N427" t="inlineStr">
        <is>
          <t>1st U.S. ed.</t>
        </is>
      </c>
      <c r="O427" t="inlineStr">
        <is>
          <t>eng</t>
        </is>
      </c>
      <c r="P427" t="inlineStr">
        <is>
          <t>nyu</t>
        </is>
      </c>
      <c r="R427" t="inlineStr">
        <is>
          <t xml:space="preserve">DS </t>
        </is>
      </c>
      <c r="S427" t="n">
        <v>5</v>
      </c>
      <c r="T427" t="n">
        <v>5</v>
      </c>
      <c r="U427" t="inlineStr">
        <is>
          <t>2008-11-22</t>
        </is>
      </c>
      <c r="V427" t="inlineStr">
        <is>
          <t>2008-11-22</t>
        </is>
      </c>
      <c r="W427" t="inlineStr">
        <is>
          <t>1998-05-11</t>
        </is>
      </c>
      <c r="X427" t="inlineStr">
        <is>
          <t>1998-05-11</t>
        </is>
      </c>
      <c r="Y427" t="n">
        <v>1345</v>
      </c>
      <c r="Z427" t="n">
        <v>1278</v>
      </c>
      <c r="AA427" t="n">
        <v>1713</v>
      </c>
      <c r="AB427" t="n">
        <v>9</v>
      </c>
      <c r="AC427" t="n">
        <v>13</v>
      </c>
      <c r="AD427" t="n">
        <v>31</v>
      </c>
      <c r="AE427" t="n">
        <v>45</v>
      </c>
      <c r="AF427" t="n">
        <v>12</v>
      </c>
      <c r="AG427" t="n">
        <v>17</v>
      </c>
      <c r="AH427" t="n">
        <v>7</v>
      </c>
      <c r="AI427" t="n">
        <v>9</v>
      </c>
      <c r="AJ427" t="n">
        <v>12</v>
      </c>
      <c r="AK427" t="n">
        <v>16</v>
      </c>
      <c r="AL427" t="n">
        <v>4</v>
      </c>
      <c r="AM427" t="n">
        <v>8</v>
      </c>
      <c r="AN427" t="n">
        <v>1</v>
      </c>
      <c r="AO427" t="n">
        <v>2</v>
      </c>
      <c r="AP427" t="inlineStr">
        <is>
          <t>No</t>
        </is>
      </c>
      <c r="AQ427" t="inlineStr">
        <is>
          <t>No</t>
        </is>
      </c>
      <c r="AS427">
        <f>HYPERLINK("https://creighton-primo.hosted.exlibrisgroup.com/primo-explore/search?tab=default_tab&amp;search_scope=EVERYTHING&amp;vid=01CRU&amp;lang=en_US&amp;offset=0&amp;query=any,contains,991002882619702656","Catalog Record")</f>
        <v/>
      </c>
      <c r="AT427">
        <f>HYPERLINK("http://www.worldcat.org/oclc/37987043","WorldCat Record")</f>
        <v/>
      </c>
      <c r="AU427" t="inlineStr">
        <is>
          <t>324840605:eng</t>
        </is>
      </c>
      <c r="AV427" t="inlineStr">
        <is>
          <t>37987043</t>
        </is>
      </c>
      <c r="AW427" t="inlineStr">
        <is>
          <t>991002882619702656</t>
        </is>
      </c>
      <c r="AX427" t="inlineStr">
        <is>
          <t>991002882619702656</t>
        </is>
      </c>
      <c r="AY427" t="inlineStr">
        <is>
          <t>2261962370002656</t>
        </is>
      </c>
      <c r="AZ427" t="inlineStr">
        <is>
          <t>BOOK</t>
        </is>
      </c>
      <c r="BB427" t="inlineStr">
        <is>
          <t>9780688123628</t>
        </is>
      </c>
      <c r="BC427" t="inlineStr">
        <is>
          <t>32285003407532</t>
        </is>
      </c>
      <c r="BD427" t="inlineStr">
        <is>
          <t>893517869</t>
        </is>
      </c>
    </row>
    <row r="428">
      <c r="A428" t="inlineStr">
        <is>
          <t>No</t>
        </is>
      </c>
      <c r="B428" t="inlineStr">
        <is>
          <t>DS126.5 .H357213 1989</t>
        </is>
      </c>
      <c r="C428" t="inlineStr">
        <is>
          <t>0                      DS 0126500H  357213      1989</t>
        </is>
      </c>
      <c r="D428" t="inlineStr">
        <is>
          <t>Israel's fateful hour / Yehoshafat Harkabi ; translated by Lenn Schramm.</t>
        </is>
      </c>
      <c r="F428" t="inlineStr">
        <is>
          <t>No</t>
        </is>
      </c>
      <c r="G428" t="inlineStr">
        <is>
          <t>1</t>
        </is>
      </c>
      <c r="H428" t="inlineStr">
        <is>
          <t>No</t>
        </is>
      </c>
      <c r="I428" t="inlineStr">
        <is>
          <t>No</t>
        </is>
      </c>
      <c r="J428" t="inlineStr">
        <is>
          <t>0</t>
        </is>
      </c>
      <c r="K428" t="inlineStr">
        <is>
          <t>Harkabi, Yehoshafat, 1921-1994.</t>
        </is>
      </c>
      <c r="L428" t="inlineStr">
        <is>
          <t>New York : Harper &amp; Row, c1989.</t>
        </is>
      </c>
      <c r="M428" t="inlineStr">
        <is>
          <t>1989</t>
        </is>
      </c>
      <c r="N428" t="inlineStr">
        <is>
          <t>1st Perennial Library ed.</t>
        </is>
      </c>
      <c r="O428" t="inlineStr">
        <is>
          <t>eng</t>
        </is>
      </c>
      <c r="P428" t="inlineStr">
        <is>
          <t>nyu</t>
        </is>
      </c>
      <c r="R428" t="inlineStr">
        <is>
          <t xml:space="preserve">DS </t>
        </is>
      </c>
      <c r="S428" t="n">
        <v>2</v>
      </c>
      <c r="T428" t="n">
        <v>2</v>
      </c>
      <c r="U428" t="inlineStr">
        <is>
          <t>2009-04-26</t>
        </is>
      </c>
      <c r="V428" t="inlineStr">
        <is>
          <t>2009-04-26</t>
        </is>
      </c>
      <c r="W428" t="inlineStr">
        <is>
          <t>2008-05-22</t>
        </is>
      </c>
      <c r="X428" t="inlineStr">
        <is>
          <t>2008-05-22</t>
        </is>
      </c>
      <c r="Y428" t="n">
        <v>100</v>
      </c>
      <c r="Z428" t="n">
        <v>92</v>
      </c>
      <c r="AA428" t="n">
        <v>752</v>
      </c>
      <c r="AB428" t="n">
        <v>1</v>
      </c>
      <c r="AC428" t="n">
        <v>3</v>
      </c>
      <c r="AD428" t="n">
        <v>5</v>
      </c>
      <c r="AE428" t="n">
        <v>30</v>
      </c>
      <c r="AF428" t="n">
        <v>2</v>
      </c>
      <c r="AG428" t="n">
        <v>13</v>
      </c>
      <c r="AH428" t="n">
        <v>0</v>
      </c>
      <c r="AI428" t="n">
        <v>7</v>
      </c>
      <c r="AJ428" t="n">
        <v>3</v>
      </c>
      <c r="AK428" t="n">
        <v>15</v>
      </c>
      <c r="AL428" t="n">
        <v>0</v>
      </c>
      <c r="AM428" t="n">
        <v>2</v>
      </c>
      <c r="AN428" t="n">
        <v>0</v>
      </c>
      <c r="AO428" t="n">
        <v>0</v>
      </c>
      <c r="AP428" t="inlineStr">
        <is>
          <t>No</t>
        </is>
      </c>
      <c r="AQ428" t="inlineStr">
        <is>
          <t>Yes</t>
        </is>
      </c>
      <c r="AR428">
        <f>HYPERLINK("http://catalog.hathitrust.org/Record/009440650","HathiTrust Record")</f>
        <v/>
      </c>
      <c r="AS428">
        <f>HYPERLINK("https://creighton-primo.hosted.exlibrisgroup.com/primo-explore/search?tab=default_tab&amp;search_scope=EVERYTHING&amp;vid=01CRU&amp;lang=en_US&amp;offset=0&amp;query=any,contains,991005226089702656","Catalog Record")</f>
        <v/>
      </c>
      <c r="AT428">
        <f>HYPERLINK("http://www.worldcat.org/oclc/20873761","WorldCat Record")</f>
        <v/>
      </c>
      <c r="AU428" t="inlineStr">
        <is>
          <t>103143255:eng</t>
        </is>
      </c>
      <c r="AV428" t="inlineStr">
        <is>
          <t>20873761</t>
        </is>
      </c>
      <c r="AW428" t="inlineStr">
        <is>
          <t>991005226089702656</t>
        </is>
      </c>
      <c r="AX428" t="inlineStr">
        <is>
          <t>991005226089702656</t>
        </is>
      </c>
      <c r="AY428" t="inlineStr">
        <is>
          <t>2260270210002656</t>
        </is>
      </c>
      <c r="AZ428" t="inlineStr">
        <is>
          <t>BOOK</t>
        </is>
      </c>
      <c r="BB428" t="inlineStr">
        <is>
          <t>9780060916138</t>
        </is>
      </c>
      <c r="BC428" t="inlineStr">
        <is>
          <t>32285005440408</t>
        </is>
      </c>
      <c r="BD428" t="inlineStr">
        <is>
          <t>893260764</t>
        </is>
      </c>
    </row>
    <row r="429">
      <c r="A429" t="inlineStr">
        <is>
          <t>No</t>
        </is>
      </c>
      <c r="B429" t="inlineStr">
        <is>
          <t>DS126.5 .K63 2002</t>
        </is>
      </c>
      <c r="C429" t="inlineStr">
        <is>
          <t>0                      DS 0126500K  63          2002</t>
        </is>
      </c>
      <c r="D429" t="inlineStr">
        <is>
          <t>Sticking together : the Israeli experiment in pluralism / Yaakov Kop, Robert E. Litan.</t>
        </is>
      </c>
      <c r="F429" t="inlineStr">
        <is>
          <t>No</t>
        </is>
      </c>
      <c r="G429" t="inlineStr">
        <is>
          <t>1</t>
        </is>
      </c>
      <c r="H429" t="inlineStr">
        <is>
          <t>No</t>
        </is>
      </c>
      <c r="I429" t="inlineStr">
        <is>
          <t>No</t>
        </is>
      </c>
      <c r="J429" t="inlineStr">
        <is>
          <t>0</t>
        </is>
      </c>
      <c r="K429" t="inlineStr">
        <is>
          <t>Kop, Yaakov.</t>
        </is>
      </c>
      <c r="L429" t="inlineStr">
        <is>
          <t>Washington, D.C. : Brookings Institution Press, c2002.</t>
        </is>
      </c>
      <c r="M429" t="inlineStr">
        <is>
          <t>2002</t>
        </is>
      </c>
      <c r="O429" t="inlineStr">
        <is>
          <t>eng</t>
        </is>
      </c>
      <c r="P429" t="inlineStr">
        <is>
          <t>dcu</t>
        </is>
      </c>
      <c r="R429" t="inlineStr">
        <is>
          <t xml:space="preserve">DS </t>
        </is>
      </c>
      <c r="S429" t="n">
        <v>3</v>
      </c>
      <c r="T429" t="n">
        <v>3</v>
      </c>
      <c r="U429" t="inlineStr">
        <is>
          <t>2002-06-02</t>
        </is>
      </c>
      <c r="V429" t="inlineStr">
        <is>
          <t>2002-06-02</t>
        </is>
      </c>
      <c r="W429" t="inlineStr">
        <is>
          <t>2002-05-09</t>
        </is>
      </c>
      <c r="X429" t="inlineStr">
        <is>
          <t>2002-05-09</t>
        </is>
      </c>
      <c r="Y429" t="n">
        <v>447</v>
      </c>
      <c r="Z429" t="n">
        <v>379</v>
      </c>
      <c r="AA429" t="n">
        <v>1392</v>
      </c>
      <c r="AB429" t="n">
        <v>4</v>
      </c>
      <c r="AC429" t="n">
        <v>29</v>
      </c>
      <c r="AD429" t="n">
        <v>25</v>
      </c>
      <c r="AE429" t="n">
        <v>50</v>
      </c>
      <c r="AF429" t="n">
        <v>10</v>
      </c>
      <c r="AG429" t="n">
        <v>19</v>
      </c>
      <c r="AH429" t="n">
        <v>5</v>
      </c>
      <c r="AI429" t="n">
        <v>8</v>
      </c>
      <c r="AJ429" t="n">
        <v>14</v>
      </c>
      <c r="AK429" t="n">
        <v>18</v>
      </c>
      <c r="AL429" t="n">
        <v>3</v>
      </c>
      <c r="AM429" t="n">
        <v>14</v>
      </c>
      <c r="AN429" t="n">
        <v>1</v>
      </c>
      <c r="AO429" t="n">
        <v>2</v>
      </c>
      <c r="AP429" t="inlineStr">
        <is>
          <t>No</t>
        </is>
      </c>
      <c r="AQ429" t="inlineStr">
        <is>
          <t>No</t>
        </is>
      </c>
      <c r="AS429">
        <f>HYPERLINK("https://creighton-primo.hosted.exlibrisgroup.com/primo-explore/search?tab=default_tab&amp;search_scope=EVERYTHING&amp;vid=01CRU&amp;lang=en_US&amp;offset=0&amp;query=any,contains,991003808839702656","Catalog Record")</f>
        <v/>
      </c>
      <c r="AT429">
        <f>HYPERLINK("http://www.worldcat.org/oclc/48241293","WorldCat Record")</f>
        <v/>
      </c>
      <c r="AU429" t="inlineStr">
        <is>
          <t>793898418:eng</t>
        </is>
      </c>
      <c r="AV429" t="inlineStr">
        <is>
          <t>48241293</t>
        </is>
      </c>
      <c r="AW429" t="inlineStr">
        <is>
          <t>991003808839702656</t>
        </is>
      </c>
      <c r="AX429" t="inlineStr">
        <is>
          <t>991003808839702656</t>
        </is>
      </c>
      <c r="AY429" t="inlineStr">
        <is>
          <t>2258448210002656</t>
        </is>
      </c>
      <c r="AZ429" t="inlineStr">
        <is>
          <t>BOOK</t>
        </is>
      </c>
      <c r="BB429" t="inlineStr">
        <is>
          <t>9780815702269</t>
        </is>
      </c>
      <c r="BC429" t="inlineStr">
        <is>
          <t>32285004487285</t>
        </is>
      </c>
      <c r="BD429" t="inlineStr">
        <is>
          <t>893718099</t>
        </is>
      </c>
    </row>
    <row r="430">
      <c r="A430" t="inlineStr">
        <is>
          <t>No</t>
        </is>
      </c>
      <c r="B430" t="inlineStr">
        <is>
          <t>DS126.5 .L82 1975</t>
        </is>
      </c>
      <c r="C430" t="inlineStr">
        <is>
          <t>0                      DS 0126500L  82          1975</t>
        </is>
      </c>
      <c r="D430" t="inlineStr">
        <is>
          <t>The modern history of Israel.</t>
        </is>
      </c>
      <c r="F430" t="inlineStr">
        <is>
          <t>No</t>
        </is>
      </c>
      <c r="G430" t="inlineStr">
        <is>
          <t>1</t>
        </is>
      </c>
      <c r="H430" t="inlineStr">
        <is>
          <t>No</t>
        </is>
      </c>
      <c r="I430" t="inlineStr">
        <is>
          <t>No</t>
        </is>
      </c>
      <c r="J430" t="inlineStr">
        <is>
          <t>0</t>
        </is>
      </c>
      <c r="K430" t="inlineStr">
        <is>
          <t>Lucas, Noah.</t>
        </is>
      </c>
      <c r="L430" t="inlineStr">
        <is>
          <t>New York : Praeger, [1975]</t>
        </is>
      </c>
      <c r="M430" t="inlineStr">
        <is>
          <t>1975</t>
        </is>
      </c>
      <c r="O430" t="inlineStr">
        <is>
          <t>eng</t>
        </is>
      </c>
      <c r="P430" t="inlineStr">
        <is>
          <t>nyu</t>
        </is>
      </c>
      <c r="R430" t="inlineStr">
        <is>
          <t xml:space="preserve">DS </t>
        </is>
      </c>
      <c r="S430" t="n">
        <v>5</v>
      </c>
      <c r="T430" t="n">
        <v>5</v>
      </c>
      <c r="U430" t="inlineStr">
        <is>
          <t>2009-11-12</t>
        </is>
      </c>
      <c r="V430" t="inlineStr">
        <is>
          <t>2009-11-12</t>
        </is>
      </c>
      <c r="W430" t="inlineStr">
        <is>
          <t>1991-09-09</t>
        </is>
      </c>
      <c r="X430" t="inlineStr">
        <is>
          <t>1991-09-09</t>
        </is>
      </c>
      <c r="Y430" t="n">
        <v>488</v>
      </c>
      <c r="Z430" t="n">
        <v>442</v>
      </c>
      <c r="AA430" t="n">
        <v>492</v>
      </c>
      <c r="AB430" t="n">
        <v>3</v>
      </c>
      <c r="AC430" t="n">
        <v>4</v>
      </c>
      <c r="AD430" t="n">
        <v>17</v>
      </c>
      <c r="AE430" t="n">
        <v>19</v>
      </c>
      <c r="AF430" t="n">
        <v>5</v>
      </c>
      <c r="AG430" t="n">
        <v>5</v>
      </c>
      <c r="AH430" t="n">
        <v>6</v>
      </c>
      <c r="AI430" t="n">
        <v>6</v>
      </c>
      <c r="AJ430" t="n">
        <v>9</v>
      </c>
      <c r="AK430" t="n">
        <v>10</v>
      </c>
      <c r="AL430" t="n">
        <v>2</v>
      </c>
      <c r="AM430" t="n">
        <v>3</v>
      </c>
      <c r="AN430" t="n">
        <v>0</v>
      </c>
      <c r="AO430" t="n">
        <v>0</v>
      </c>
      <c r="AP430" t="inlineStr">
        <is>
          <t>No</t>
        </is>
      </c>
      <c r="AQ430" t="inlineStr">
        <is>
          <t>Yes</t>
        </is>
      </c>
      <c r="AR430">
        <f>HYPERLINK("http://catalog.hathitrust.org/Record/001243453","HathiTrust Record")</f>
        <v/>
      </c>
      <c r="AS430">
        <f>HYPERLINK("https://creighton-primo.hosted.exlibrisgroup.com/primo-explore/search?tab=default_tab&amp;search_scope=EVERYTHING&amp;vid=01CRU&amp;lang=en_US&amp;offset=0&amp;query=any,contains,991003468469702656","Catalog Record")</f>
        <v/>
      </c>
      <c r="AT430">
        <f>HYPERLINK("http://www.worldcat.org/oclc/1009679","WorldCat Record")</f>
        <v/>
      </c>
      <c r="AU430" t="inlineStr">
        <is>
          <t>1929730:eng</t>
        </is>
      </c>
      <c r="AV430" t="inlineStr">
        <is>
          <t>1009679</t>
        </is>
      </c>
      <c r="AW430" t="inlineStr">
        <is>
          <t>991003468469702656</t>
        </is>
      </c>
      <c r="AX430" t="inlineStr">
        <is>
          <t>991003468469702656</t>
        </is>
      </c>
      <c r="AY430" t="inlineStr">
        <is>
          <t>2263885730002656</t>
        </is>
      </c>
      <c r="AZ430" t="inlineStr">
        <is>
          <t>BOOK</t>
        </is>
      </c>
      <c r="BB430" t="inlineStr">
        <is>
          <t>9780275334505</t>
        </is>
      </c>
      <c r="BC430" t="inlineStr">
        <is>
          <t>32285000733823</t>
        </is>
      </c>
      <c r="BD430" t="inlineStr">
        <is>
          <t>893721949</t>
        </is>
      </c>
    </row>
    <row r="431">
      <c r="A431" t="inlineStr">
        <is>
          <t>No</t>
        </is>
      </c>
      <c r="B431" t="inlineStr">
        <is>
          <t>DS126.5 .M485 1982</t>
        </is>
      </c>
      <c r="C431" t="inlineStr">
        <is>
          <t>0                      DS 0126500M  485         1982</t>
        </is>
      </c>
      <c r="D431" t="inlineStr">
        <is>
          <t>Israel now : portrait of a troubled land / Lawrence Meyer.</t>
        </is>
      </c>
      <c r="F431" t="inlineStr">
        <is>
          <t>No</t>
        </is>
      </c>
      <c r="G431" t="inlineStr">
        <is>
          <t>1</t>
        </is>
      </c>
      <c r="H431" t="inlineStr">
        <is>
          <t>No</t>
        </is>
      </c>
      <c r="I431" t="inlineStr">
        <is>
          <t>No</t>
        </is>
      </c>
      <c r="J431" t="inlineStr">
        <is>
          <t>0</t>
        </is>
      </c>
      <c r="K431" t="inlineStr">
        <is>
          <t>Meyer, Lawrence, 1941-</t>
        </is>
      </c>
      <c r="L431" t="inlineStr">
        <is>
          <t>New York : Delacorte Press, c1982.</t>
        </is>
      </c>
      <c r="M431" t="inlineStr">
        <is>
          <t>1982</t>
        </is>
      </c>
      <c r="O431" t="inlineStr">
        <is>
          <t>eng</t>
        </is>
      </c>
      <c r="P431" t="inlineStr">
        <is>
          <t>nyu</t>
        </is>
      </c>
      <c r="R431" t="inlineStr">
        <is>
          <t xml:space="preserve">DS </t>
        </is>
      </c>
      <c r="S431" t="n">
        <v>3</v>
      </c>
      <c r="T431" t="n">
        <v>3</v>
      </c>
      <c r="U431" t="inlineStr">
        <is>
          <t>1999-11-30</t>
        </is>
      </c>
      <c r="V431" t="inlineStr">
        <is>
          <t>1999-11-30</t>
        </is>
      </c>
      <c r="W431" t="inlineStr">
        <is>
          <t>1990-06-20</t>
        </is>
      </c>
      <c r="X431" t="inlineStr">
        <is>
          <t>1990-06-20</t>
        </is>
      </c>
      <c r="Y431" t="n">
        <v>691</v>
      </c>
      <c r="Z431" t="n">
        <v>632</v>
      </c>
      <c r="AA431" t="n">
        <v>648</v>
      </c>
      <c r="AB431" t="n">
        <v>1</v>
      </c>
      <c r="AC431" t="n">
        <v>1</v>
      </c>
      <c r="AD431" t="n">
        <v>14</v>
      </c>
      <c r="AE431" t="n">
        <v>16</v>
      </c>
      <c r="AF431" t="n">
        <v>5</v>
      </c>
      <c r="AG431" t="n">
        <v>6</v>
      </c>
      <c r="AH431" t="n">
        <v>3</v>
      </c>
      <c r="AI431" t="n">
        <v>4</v>
      </c>
      <c r="AJ431" t="n">
        <v>11</v>
      </c>
      <c r="AK431" t="n">
        <v>11</v>
      </c>
      <c r="AL431" t="n">
        <v>0</v>
      </c>
      <c r="AM431" t="n">
        <v>0</v>
      </c>
      <c r="AN431" t="n">
        <v>0</v>
      </c>
      <c r="AO431" t="n">
        <v>0</v>
      </c>
      <c r="AP431" t="inlineStr">
        <is>
          <t>No</t>
        </is>
      </c>
      <c r="AQ431" t="inlineStr">
        <is>
          <t>Yes</t>
        </is>
      </c>
      <c r="AR431">
        <f>HYPERLINK("http://catalog.hathitrust.org/Record/000764259","HathiTrust Record")</f>
        <v/>
      </c>
      <c r="AS431">
        <f>HYPERLINK("https://creighton-primo.hosted.exlibrisgroup.com/primo-explore/search?tab=default_tab&amp;search_scope=EVERYTHING&amp;vid=01CRU&amp;lang=en_US&amp;offset=0&amp;query=any,contains,991005211549702656","Catalog Record")</f>
        <v/>
      </c>
      <c r="AT431">
        <f>HYPERLINK("http://www.worldcat.org/oclc/8169529","WorldCat Record")</f>
        <v/>
      </c>
      <c r="AU431" t="inlineStr">
        <is>
          <t>44022595:eng</t>
        </is>
      </c>
      <c r="AV431" t="inlineStr">
        <is>
          <t>8169529</t>
        </is>
      </c>
      <c r="AW431" t="inlineStr">
        <is>
          <t>991005211549702656</t>
        </is>
      </c>
      <c r="AX431" t="inlineStr">
        <is>
          <t>991005211549702656</t>
        </is>
      </c>
      <c r="AY431" t="inlineStr">
        <is>
          <t>2269789000002656</t>
        </is>
      </c>
      <c r="AZ431" t="inlineStr">
        <is>
          <t>BOOK</t>
        </is>
      </c>
      <c r="BB431" t="inlineStr">
        <is>
          <t>9780440041795</t>
        </is>
      </c>
      <c r="BC431" t="inlineStr">
        <is>
          <t>32285000210210</t>
        </is>
      </c>
      <c r="BD431" t="inlineStr">
        <is>
          <t>893701209</t>
        </is>
      </c>
    </row>
    <row r="432">
      <c r="A432" t="inlineStr">
        <is>
          <t>No</t>
        </is>
      </c>
      <c r="B432" t="inlineStr">
        <is>
          <t>DS126.5 .P29 2005</t>
        </is>
      </c>
      <c r="C432" t="inlineStr">
        <is>
          <t>0                      DS 0126500P  29          2005</t>
        </is>
      </c>
      <c r="D432" t="inlineStr">
        <is>
          <t>End of an exile : Israel, the Jews and the gentile world / James Parkes ; editors, Eugene B. Korn, Roberta Kalechofsky.</t>
        </is>
      </c>
      <c r="F432" t="inlineStr">
        <is>
          <t>No</t>
        </is>
      </c>
      <c r="G432" t="inlineStr">
        <is>
          <t>1</t>
        </is>
      </c>
      <c r="H432" t="inlineStr">
        <is>
          <t>No</t>
        </is>
      </c>
      <c r="I432" t="inlineStr">
        <is>
          <t>No</t>
        </is>
      </c>
      <c r="J432" t="inlineStr">
        <is>
          <t>0</t>
        </is>
      </c>
      <c r="K432" t="inlineStr">
        <is>
          <t>Parkes, James, 1896-1981.</t>
        </is>
      </c>
      <c r="L432" t="inlineStr">
        <is>
          <t>Marblehead, Mass. : Micah, c2005.</t>
        </is>
      </c>
      <c r="M432" t="inlineStr">
        <is>
          <t>2005</t>
        </is>
      </c>
      <c r="N432" t="inlineStr">
        <is>
          <t>3rd ed.</t>
        </is>
      </c>
      <c r="O432" t="inlineStr">
        <is>
          <t>eng</t>
        </is>
      </c>
      <c r="P432" t="inlineStr">
        <is>
          <t>mau</t>
        </is>
      </c>
      <c r="R432" t="inlineStr">
        <is>
          <t xml:space="preserve">DS </t>
        </is>
      </c>
      <c r="S432" t="n">
        <v>2</v>
      </c>
      <c r="T432" t="n">
        <v>2</v>
      </c>
      <c r="U432" t="inlineStr">
        <is>
          <t>2010-04-21</t>
        </is>
      </c>
      <c r="V432" t="inlineStr">
        <is>
          <t>2010-04-21</t>
        </is>
      </c>
      <c r="W432" t="inlineStr">
        <is>
          <t>2005-07-26</t>
        </is>
      </c>
      <c r="X432" t="inlineStr">
        <is>
          <t>2005-07-26</t>
        </is>
      </c>
      <c r="Y432" t="n">
        <v>56</v>
      </c>
      <c r="Z432" t="n">
        <v>47</v>
      </c>
      <c r="AA432" t="n">
        <v>269</v>
      </c>
      <c r="AB432" t="n">
        <v>1</v>
      </c>
      <c r="AC432" t="n">
        <v>1</v>
      </c>
      <c r="AD432" t="n">
        <v>3</v>
      </c>
      <c r="AE432" t="n">
        <v>9</v>
      </c>
      <c r="AF432" t="n">
        <v>1</v>
      </c>
      <c r="AG432" t="n">
        <v>5</v>
      </c>
      <c r="AH432" t="n">
        <v>2</v>
      </c>
      <c r="AI432" t="n">
        <v>2</v>
      </c>
      <c r="AJ432" t="n">
        <v>1</v>
      </c>
      <c r="AK432" t="n">
        <v>4</v>
      </c>
      <c r="AL432" t="n">
        <v>0</v>
      </c>
      <c r="AM432" t="n">
        <v>0</v>
      </c>
      <c r="AN432" t="n">
        <v>0</v>
      </c>
      <c r="AO432" t="n">
        <v>0</v>
      </c>
      <c r="AP432" t="inlineStr">
        <is>
          <t>No</t>
        </is>
      </c>
      <c r="AQ432" t="inlineStr">
        <is>
          <t>Yes</t>
        </is>
      </c>
      <c r="AR432">
        <f>HYPERLINK("http://catalog.hathitrust.org/Record/012264305","HathiTrust Record")</f>
        <v/>
      </c>
      <c r="AS432">
        <f>HYPERLINK("https://creighton-primo.hosted.exlibrisgroup.com/primo-explore/search?tab=default_tab&amp;search_scope=EVERYTHING&amp;vid=01CRU&amp;lang=en_US&amp;offset=0&amp;query=any,contains,991004602239702656","Catalog Record")</f>
        <v/>
      </c>
      <c r="AT432">
        <f>HYPERLINK("http://www.worldcat.org/oclc/56567429","WorldCat Record")</f>
        <v/>
      </c>
      <c r="AU432" t="inlineStr">
        <is>
          <t>1126550421:eng</t>
        </is>
      </c>
      <c r="AV432" t="inlineStr">
        <is>
          <t>56567429</t>
        </is>
      </c>
      <c r="AW432" t="inlineStr">
        <is>
          <t>991004602239702656</t>
        </is>
      </c>
      <c r="AX432" t="inlineStr">
        <is>
          <t>991004602239702656</t>
        </is>
      </c>
      <c r="AY432" t="inlineStr">
        <is>
          <t>2270013120002656</t>
        </is>
      </c>
      <c r="AZ432" t="inlineStr">
        <is>
          <t>BOOK</t>
        </is>
      </c>
      <c r="BB432" t="inlineStr">
        <is>
          <t>9780916288501</t>
        </is>
      </c>
      <c r="BC432" t="inlineStr">
        <is>
          <t>32285005098040</t>
        </is>
      </c>
      <c r="BD432" t="inlineStr">
        <is>
          <t>893719122</t>
        </is>
      </c>
    </row>
    <row r="433">
      <c r="A433" t="inlineStr">
        <is>
          <t>No</t>
        </is>
      </c>
      <c r="B433" t="inlineStr">
        <is>
          <t>DS126.5 .P45 1978</t>
        </is>
      </c>
      <c r="C433" t="inlineStr">
        <is>
          <t>0                      DS 0126500P  45          1978</t>
        </is>
      </c>
      <c r="D433" t="inlineStr">
        <is>
          <t>Politics and the military in Israel 1967-1977 / Amos Perlmutter.</t>
        </is>
      </c>
      <c r="F433" t="inlineStr">
        <is>
          <t>No</t>
        </is>
      </c>
      <c r="G433" t="inlineStr">
        <is>
          <t>1</t>
        </is>
      </c>
      <c r="H433" t="inlineStr">
        <is>
          <t>No</t>
        </is>
      </c>
      <c r="I433" t="inlineStr">
        <is>
          <t>No</t>
        </is>
      </c>
      <c r="J433" t="inlineStr">
        <is>
          <t>0</t>
        </is>
      </c>
      <c r="K433" t="inlineStr">
        <is>
          <t>Perlmutter, Amos.</t>
        </is>
      </c>
      <c r="L433" t="inlineStr">
        <is>
          <t>London ; Totowa, N.J. : F. Cass, 1978.</t>
        </is>
      </c>
      <c r="M433" t="inlineStr">
        <is>
          <t>1978</t>
        </is>
      </c>
      <c r="O433" t="inlineStr">
        <is>
          <t>eng</t>
        </is>
      </c>
      <c r="P433" t="inlineStr">
        <is>
          <t>enk</t>
        </is>
      </c>
      <c r="R433" t="inlineStr">
        <is>
          <t xml:space="preserve">DS </t>
        </is>
      </c>
      <c r="S433" t="n">
        <v>2</v>
      </c>
      <c r="T433" t="n">
        <v>2</v>
      </c>
      <c r="U433" t="inlineStr">
        <is>
          <t>2003-02-16</t>
        </is>
      </c>
      <c r="V433" t="inlineStr">
        <is>
          <t>2003-02-16</t>
        </is>
      </c>
      <c r="W433" t="inlineStr">
        <is>
          <t>1990-04-03</t>
        </is>
      </c>
      <c r="X433" t="inlineStr">
        <is>
          <t>1990-04-03</t>
        </is>
      </c>
      <c r="Y433" t="n">
        <v>470</v>
      </c>
      <c r="Z433" t="n">
        <v>345</v>
      </c>
      <c r="AA433" t="n">
        <v>347</v>
      </c>
      <c r="AB433" t="n">
        <v>4</v>
      </c>
      <c r="AC433" t="n">
        <v>4</v>
      </c>
      <c r="AD433" t="n">
        <v>17</v>
      </c>
      <c r="AE433" t="n">
        <v>17</v>
      </c>
      <c r="AF433" t="n">
        <v>4</v>
      </c>
      <c r="AG433" t="n">
        <v>4</v>
      </c>
      <c r="AH433" t="n">
        <v>7</v>
      </c>
      <c r="AI433" t="n">
        <v>7</v>
      </c>
      <c r="AJ433" t="n">
        <v>8</v>
      </c>
      <c r="AK433" t="n">
        <v>8</v>
      </c>
      <c r="AL433" t="n">
        <v>3</v>
      </c>
      <c r="AM433" t="n">
        <v>3</v>
      </c>
      <c r="AN433" t="n">
        <v>0</v>
      </c>
      <c r="AO433" t="n">
        <v>0</v>
      </c>
      <c r="AP433" t="inlineStr">
        <is>
          <t>No</t>
        </is>
      </c>
      <c r="AQ433" t="inlineStr">
        <is>
          <t>Yes</t>
        </is>
      </c>
      <c r="AR433">
        <f>HYPERLINK("http://catalog.hathitrust.org/Record/000090794","HathiTrust Record")</f>
        <v/>
      </c>
      <c r="AS433">
        <f>HYPERLINK("https://creighton-primo.hosted.exlibrisgroup.com/primo-explore/search?tab=default_tab&amp;search_scope=EVERYTHING&amp;vid=01CRU&amp;lang=en_US&amp;offset=0&amp;query=any,contains,991004469879702656","Catalog Record")</f>
        <v/>
      </c>
      <c r="AT433">
        <f>HYPERLINK("http://www.worldcat.org/oclc/3590344","WorldCat Record")</f>
        <v/>
      </c>
      <c r="AU433" t="inlineStr">
        <is>
          <t>11384577:eng</t>
        </is>
      </c>
      <c r="AV433" t="inlineStr">
        <is>
          <t>3590344</t>
        </is>
      </c>
      <c r="AW433" t="inlineStr">
        <is>
          <t>991004469879702656</t>
        </is>
      </c>
      <c r="AX433" t="inlineStr">
        <is>
          <t>991004469879702656</t>
        </is>
      </c>
      <c r="AY433" t="inlineStr">
        <is>
          <t>2263960150002656</t>
        </is>
      </c>
      <c r="AZ433" t="inlineStr">
        <is>
          <t>BOOK</t>
        </is>
      </c>
      <c r="BB433" t="inlineStr">
        <is>
          <t>9780714630793</t>
        </is>
      </c>
      <c r="BC433" t="inlineStr">
        <is>
          <t>32285000109453</t>
        </is>
      </c>
      <c r="BD433" t="inlineStr">
        <is>
          <t>893241474</t>
        </is>
      </c>
    </row>
    <row r="434">
      <c r="A434" t="inlineStr">
        <is>
          <t>No</t>
        </is>
      </c>
      <c r="B434" t="inlineStr">
        <is>
          <t>DS126.5 .S198</t>
        </is>
      </c>
      <c r="C434" t="inlineStr">
        <is>
          <t>0                      DS 0126500S  198</t>
        </is>
      </c>
      <c r="D434" t="inlineStr">
        <is>
          <t>Israel: promised land to modern state.</t>
        </is>
      </c>
      <c r="F434" t="inlineStr">
        <is>
          <t>No</t>
        </is>
      </c>
      <c r="G434" t="inlineStr">
        <is>
          <t>1</t>
        </is>
      </c>
      <c r="H434" t="inlineStr">
        <is>
          <t>No</t>
        </is>
      </c>
      <c r="I434" t="inlineStr">
        <is>
          <t>No</t>
        </is>
      </c>
      <c r="J434" t="inlineStr">
        <is>
          <t>0</t>
        </is>
      </c>
      <c r="K434" t="inlineStr">
        <is>
          <t>Samuel, Rinna.</t>
        </is>
      </c>
      <c r="L434" t="inlineStr">
        <is>
          <t>New York, Golden Press [1969]</t>
        </is>
      </c>
      <c r="M434" t="inlineStr">
        <is>
          <t>1969</t>
        </is>
      </c>
      <c r="O434" t="inlineStr">
        <is>
          <t>eng</t>
        </is>
      </c>
      <c r="P434" t="inlineStr">
        <is>
          <t>nyu</t>
        </is>
      </c>
      <c r="R434" t="inlineStr">
        <is>
          <t xml:space="preserve">DS </t>
        </is>
      </c>
      <c r="S434" t="n">
        <v>3</v>
      </c>
      <c r="T434" t="n">
        <v>3</v>
      </c>
      <c r="U434" t="inlineStr">
        <is>
          <t>2001-04-17</t>
        </is>
      </c>
      <c r="V434" t="inlineStr">
        <is>
          <t>2001-04-17</t>
        </is>
      </c>
      <c r="W434" t="inlineStr">
        <is>
          <t>1997-02-26</t>
        </is>
      </c>
      <c r="X434" t="inlineStr">
        <is>
          <t>1997-02-26</t>
        </is>
      </c>
      <c r="Y434" t="n">
        <v>112</v>
      </c>
      <c r="Z434" t="n">
        <v>105</v>
      </c>
      <c r="AA434" t="n">
        <v>127</v>
      </c>
      <c r="AB434" t="n">
        <v>1</v>
      </c>
      <c r="AC434" t="n">
        <v>1</v>
      </c>
      <c r="AD434" t="n">
        <v>2</v>
      </c>
      <c r="AE434" t="n">
        <v>2</v>
      </c>
      <c r="AF434" t="n">
        <v>0</v>
      </c>
      <c r="AG434" t="n">
        <v>0</v>
      </c>
      <c r="AH434" t="n">
        <v>1</v>
      </c>
      <c r="AI434" t="n">
        <v>1</v>
      </c>
      <c r="AJ434" t="n">
        <v>2</v>
      </c>
      <c r="AK434" t="n">
        <v>2</v>
      </c>
      <c r="AL434" t="n">
        <v>0</v>
      </c>
      <c r="AM434" t="n">
        <v>0</v>
      </c>
      <c r="AN434" t="n">
        <v>0</v>
      </c>
      <c r="AO434" t="n">
        <v>0</v>
      </c>
      <c r="AP434" t="inlineStr">
        <is>
          <t>No</t>
        </is>
      </c>
      <c r="AQ434" t="inlineStr">
        <is>
          <t>No</t>
        </is>
      </c>
      <c r="AS434">
        <f>HYPERLINK("https://creighton-primo.hosted.exlibrisgroup.com/primo-explore/search?tab=default_tab&amp;search_scope=EVERYTHING&amp;vid=01CRU&amp;lang=en_US&amp;offset=0&amp;query=any,contains,991000446959702656","Catalog Record")</f>
        <v/>
      </c>
      <c r="AT434">
        <f>HYPERLINK("http://www.worldcat.org/oclc/76787","WorldCat Record")</f>
        <v/>
      </c>
      <c r="AU434" t="inlineStr">
        <is>
          <t>1250802:eng</t>
        </is>
      </c>
      <c r="AV434" t="inlineStr">
        <is>
          <t>76787</t>
        </is>
      </c>
      <c r="AW434" t="inlineStr">
        <is>
          <t>991000446959702656</t>
        </is>
      </c>
      <c r="AX434" t="inlineStr">
        <is>
          <t>991000446959702656</t>
        </is>
      </c>
      <c r="AY434" t="inlineStr">
        <is>
          <t>2257184010002656</t>
        </is>
      </c>
      <c r="AZ434" t="inlineStr">
        <is>
          <t>BOOK</t>
        </is>
      </c>
      <c r="BC434" t="inlineStr">
        <is>
          <t>32285002462686</t>
        </is>
      </c>
      <c r="BD434" t="inlineStr">
        <is>
          <t>893231112</t>
        </is>
      </c>
    </row>
    <row r="435">
      <c r="A435" t="inlineStr">
        <is>
          <t>No</t>
        </is>
      </c>
      <c r="B435" t="inlineStr">
        <is>
          <t>DS126.5 .S4 1986</t>
        </is>
      </c>
      <c r="C435" t="inlineStr">
        <is>
          <t>0                      DS 0126500S  4           1986</t>
        </is>
      </c>
      <c r="D435" t="inlineStr">
        <is>
          <t>Israel the peaceful belligerent, 1967-79 / Amnon Sella and Yael Yishai.</t>
        </is>
      </c>
      <c r="F435" t="inlineStr">
        <is>
          <t>No</t>
        </is>
      </c>
      <c r="G435" t="inlineStr">
        <is>
          <t>1</t>
        </is>
      </c>
      <c r="H435" t="inlineStr">
        <is>
          <t>No</t>
        </is>
      </c>
      <c r="I435" t="inlineStr">
        <is>
          <t>No</t>
        </is>
      </c>
      <c r="J435" t="inlineStr">
        <is>
          <t>0</t>
        </is>
      </c>
      <c r="K435" t="inlineStr">
        <is>
          <t>Sella, Amnon.</t>
        </is>
      </c>
      <c r="L435" t="inlineStr">
        <is>
          <t>London : Macmillan in association with St Antony's College, Oxford, 1986.</t>
        </is>
      </c>
      <c r="M435" t="inlineStr">
        <is>
          <t>1986</t>
        </is>
      </c>
      <c r="O435" t="inlineStr">
        <is>
          <t>eng</t>
        </is>
      </c>
      <c r="P435" t="inlineStr">
        <is>
          <t>enk</t>
        </is>
      </c>
      <c r="Q435" t="inlineStr">
        <is>
          <t>St Antony's/Macmillan series</t>
        </is>
      </c>
      <c r="R435" t="inlineStr">
        <is>
          <t xml:space="preserve">DS </t>
        </is>
      </c>
      <c r="S435" t="n">
        <v>1</v>
      </c>
      <c r="T435" t="n">
        <v>1</v>
      </c>
      <c r="U435" t="inlineStr">
        <is>
          <t>1992-11-12</t>
        </is>
      </c>
      <c r="V435" t="inlineStr">
        <is>
          <t>1992-11-12</t>
        </is>
      </c>
      <c r="W435" t="inlineStr">
        <is>
          <t>1990-10-02</t>
        </is>
      </c>
      <c r="X435" t="inlineStr">
        <is>
          <t>1990-10-02</t>
        </is>
      </c>
      <c r="Y435" t="n">
        <v>124</v>
      </c>
      <c r="Z435" t="n">
        <v>68</v>
      </c>
      <c r="AA435" t="n">
        <v>268</v>
      </c>
      <c r="AB435" t="n">
        <v>2</v>
      </c>
      <c r="AC435" t="n">
        <v>2</v>
      </c>
      <c r="AD435" t="n">
        <v>3</v>
      </c>
      <c r="AE435" t="n">
        <v>12</v>
      </c>
      <c r="AF435" t="n">
        <v>0</v>
      </c>
      <c r="AG435" t="n">
        <v>5</v>
      </c>
      <c r="AH435" t="n">
        <v>1</v>
      </c>
      <c r="AI435" t="n">
        <v>4</v>
      </c>
      <c r="AJ435" t="n">
        <v>2</v>
      </c>
      <c r="AK435" t="n">
        <v>8</v>
      </c>
      <c r="AL435" t="n">
        <v>1</v>
      </c>
      <c r="AM435" t="n">
        <v>1</v>
      </c>
      <c r="AN435" t="n">
        <v>0</v>
      </c>
      <c r="AO435" t="n">
        <v>0</v>
      </c>
      <c r="AP435" t="inlineStr">
        <is>
          <t>No</t>
        </is>
      </c>
      <c r="AQ435" t="inlineStr">
        <is>
          <t>Yes</t>
        </is>
      </c>
      <c r="AR435">
        <f>HYPERLINK("http://catalog.hathitrust.org/Record/000476840","HathiTrust Record")</f>
        <v/>
      </c>
      <c r="AS435">
        <f>HYPERLINK("https://creighton-primo.hosted.exlibrisgroup.com/primo-explore/search?tab=default_tab&amp;search_scope=EVERYTHING&amp;vid=01CRU&amp;lang=en_US&amp;offset=0&amp;query=any,contains,991000692619702656","Catalog Record")</f>
        <v/>
      </c>
      <c r="AT435">
        <f>HYPERLINK("http://www.worldcat.org/oclc/15628923","WorldCat Record")</f>
        <v/>
      </c>
      <c r="AU435" t="inlineStr">
        <is>
          <t>4460870:eng</t>
        </is>
      </c>
      <c r="AV435" t="inlineStr">
        <is>
          <t>15628923</t>
        </is>
      </c>
      <c r="AW435" t="inlineStr">
        <is>
          <t>991000692619702656</t>
        </is>
      </c>
      <c r="AX435" t="inlineStr">
        <is>
          <t>991000692619702656</t>
        </is>
      </c>
      <c r="AY435" t="inlineStr">
        <is>
          <t>2255551750002656</t>
        </is>
      </c>
      <c r="AZ435" t="inlineStr">
        <is>
          <t>BOOK</t>
        </is>
      </c>
      <c r="BB435" t="inlineStr">
        <is>
          <t>9780333387757</t>
        </is>
      </c>
      <c r="BC435" t="inlineStr">
        <is>
          <t>32285000293992</t>
        </is>
      </c>
      <c r="BD435" t="inlineStr">
        <is>
          <t>893521920</t>
        </is>
      </c>
    </row>
    <row r="436">
      <c r="A436" t="inlineStr">
        <is>
          <t>No</t>
        </is>
      </c>
      <c r="B436" t="inlineStr">
        <is>
          <t>DS126.5 .S444 1985</t>
        </is>
      </c>
      <c r="C436" t="inlineStr">
        <is>
          <t>0                      DS 0126500S  444         1985</t>
        </is>
      </c>
      <c r="D436" t="inlineStr">
        <is>
          <t>What makes Israel tick : how domestic policy-makers cope with constraints / Ira Sharkansky.</t>
        </is>
      </c>
      <c r="F436" t="inlineStr">
        <is>
          <t>No</t>
        </is>
      </c>
      <c r="G436" t="inlineStr">
        <is>
          <t>1</t>
        </is>
      </c>
      <c r="H436" t="inlineStr">
        <is>
          <t>No</t>
        </is>
      </c>
      <c r="I436" t="inlineStr">
        <is>
          <t>No</t>
        </is>
      </c>
      <c r="J436" t="inlineStr">
        <is>
          <t>0</t>
        </is>
      </c>
      <c r="K436" t="inlineStr">
        <is>
          <t>Sharkansky, Ira.</t>
        </is>
      </c>
      <c r="L436" t="inlineStr">
        <is>
          <t>Chicago : Nelson-Hall, c1985.</t>
        </is>
      </c>
      <c r="M436" t="inlineStr">
        <is>
          <t>1985</t>
        </is>
      </c>
      <c r="O436" t="inlineStr">
        <is>
          <t>eng</t>
        </is>
      </c>
      <c r="P436" t="inlineStr">
        <is>
          <t>ilu</t>
        </is>
      </c>
      <c r="R436" t="inlineStr">
        <is>
          <t xml:space="preserve">DS </t>
        </is>
      </c>
      <c r="S436" t="n">
        <v>6</v>
      </c>
      <c r="T436" t="n">
        <v>6</v>
      </c>
      <c r="U436" t="inlineStr">
        <is>
          <t>2009-04-26</t>
        </is>
      </c>
      <c r="V436" t="inlineStr">
        <is>
          <t>2009-04-26</t>
        </is>
      </c>
      <c r="W436" t="inlineStr">
        <is>
          <t>1990-10-02</t>
        </is>
      </c>
      <c r="X436" t="inlineStr">
        <is>
          <t>1990-10-02</t>
        </is>
      </c>
      <c r="Y436" t="n">
        <v>257</v>
      </c>
      <c r="Z436" t="n">
        <v>221</v>
      </c>
      <c r="AA436" t="n">
        <v>223</v>
      </c>
      <c r="AB436" t="n">
        <v>2</v>
      </c>
      <c r="AC436" t="n">
        <v>2</v>
      </c>
      <c r="AD436" t="n">
        <v>6</v>
      </c>
      <c r="AE436" t="n">
        <v>6</v>
      </c>
      <c r="AF436" t="n">
        <v>2</v>
      </c>
      <c r="AG436" t="n">
        <v>2</v>
      </c>
      <c r="AH436" t="n">
        <v>2</v>
      </c>
      <c r="AI436" t="n">
        <v>2</v>
      </c>
      <c r="AJ436" t="n">
        <v>3</v>
      </c>
      <c r="AK436" t="n">
        <v>3</v>
      </c>
      <c r="AL436" t="n">
        <v>1</v>
      </c>
      <c r="AM436" t="n">
        <v>1</v>
      </c>
      <c r="AN436" t="n">
        <v>0</v>
      </c>
      <c r="AO436" t="n">
        <v>0</v>
      </c>
      <c r="AP436" t="inlineStr">
        <is>
          <t>No</t>
        </is>
      </c>
      <c r="AQ436" t="inlineStr">
        <is>
          <t>Yes</t>
        </is>
      </c>
      <c r="AR436">
        <f>HYPERLINK("http://catalog.hathitrust.org/Record/000331435","HathiTrust Record")</f>
        <v/>
      </c>
      <c r="AS436">
        <f>HYPERLINK("https://creighton-primo.hosted.exlibrisgroup.com/primo-explore/search?tab=default_tab&amp;search_scope=EVERYTHING&amp;vid=01CRU&amp;lang=en_US&amp;offset=0&amp;query=any,contains,991000469709702656","Catalog Record")</f>
        <v/>
      </c>
      <c r="AT436">
        <f>HYPERLINK("http://www.worldcat.org/oclc/10996559","WorldCat Record")</f>
        <v/>
      </c>
      <c r="AU436" t="inlineStr">
        <is>
          <t>308750442:eng</t>
        </is>
      </c>
      <c r="AV436" t="inlineStr">
        <is>
          <t>10996559</t>
        </is>
      </c>
      <c r="AW436" t="inlineStr">
        <is>
          <t>991000469709702656</t>
        </is>
      </c>
      <c r="AX436" t="inlineStr">
        <is>
          <t>991000469709702656</t>
        </is>
      </c>
      <c r="AY436" t="inlineStr">
        <is>
          <t>2261918560002656</t>
        </is>
      </c>
      <c r="AZ436" t="inlineStr">
        <is>
          <t>BOOK</t>
        </is>
      </c>
      <c r="BB436" t="inlineStr">
        <is>
          <t>9780830411061</t>
        </is>
      </c>
      <c r="BC436" t="inlineStr">
        <is>
          <t>32285000294008</t>
        </is>
      </c>
      <c r="BD436" t="inlineStr">
        <is>
          <t>893896896</t>
        </is>
      </c>
    </row>
    <row r="437">
      <c r="A437" t="inlineStr">
        <is>
          <t>No</t>
        </is>
      </c>
      <c r="B437" t="inlineStr">
        <is>
          <t>DS126.5 T495 1999</t>
        </is>
      </c>
      <c r="C437" t="inlineStr">
        <is>
          <t>0                      DS 0126500T  495         1999</t>
        </is>
      </c>
      <c r="D437" t="inlineStr">
        <is>
          <t>How Israel was won : a concise history of the Arab-Israeli conflict / Baylis Thomas.</t>
        </is>
      </c>
      <c r="F437" t="inlineStr">
        <is>
          <t>No</t>
        </is>
      </c>
      <c r="G437" t="inlineStr">
        <is>
          <t>1</t>
        </is>
      </c>
      <c r="H437" t="inlineStr">
        <is>
          <t>No</t>
        </is>
      </c>
      <c r="I437" t="inlineStr">
        <is>
          <t>No</t>
        </is>
      </c>
      <c r="J437" t="inlineStr">
        <is>
          <t>0</t>
        </is>
      </c>
      <c r="K437" t="inlineStr">
        <is>
          <t>Thomas, Baylis, 1932-</t>
        </is>
      </c>
      <c r="L437" t="inlineStr">
        <is>
          <t>Lanham, Md. : Lexington Books, 1999.</t>
        </is>
      </c>
      <c r="M437" t="inlineStr">
        <is>
          <t>1999</t>
        </is>
      </c>
      <c r="O437" t="inlineStr">
        <is>
          <t>eng</t>
        </is>
      </c>
      <c r="P437" t="inlineStr">
        <is>
          <t>mdu</t>
        </is>
      </c>
      <c r="R437" t="inlineStr">
        <is>
          <t xml:space="preserve">DS </t>
        </is>
      </c>
      <c r="S437" t="n">
        <v>6</v>
      </c>
      <c r="T437" t="n">
        <v>6</v>
      </c>
      <c r="U437" t="inlineStr">
        <is>
          <t>2010-04-21</t>
        </is>
      </c>
      <c r="V437" t="inlineStr">
        <is>
          <t>2010-04-21</t>
        </is>
      </c>
      <c r="W437" t="inlineStr">
        <is>
          <t>1999-09-28</t>
        </is>
      </c>
      <c r="X437" t="inlineStr">
        <is>
          <t>1999-09-28</t>
        </is>
      </c>
      <c r="Y437" t="n">
        <v>951</v>
      </c>
      <c r="Z437" t="n">
        <v>840</v>
      </c>
      <c r="AA437" t="n">
        <v>846</v>
      </c>
      <c r="AB437" t="n">
        <v>5</v>
      </c>
      <c r="AC437" t="n">
        <v>5</v>
      </c>
      <c r="AD437" t="n">
        <v>41</v>
      </c>
      <c r="AE437" t="n">
        <v>41</v>
      </c>
      <c r="AF437" t="n">
        <v>20</v>
      </c>
      <c r="AG437" t="n">
        <v>20</v>
      </c>
      <c r="AH437" t="n">
        <v>11</v>
      </c>
      <c r="AI437" t="n">
        <v>11</v>
      </c>
      <c r="AJ437" t="n">
        <v>18</v>
      </c>
      <c r="AK437" t="n">
        <v>18</v>
      </c>
      <c r="AL437" t="n">
        <v>4</v>
      </c>
      <c r="AM437" t="n">
        <v>4</v>
      </c>
      <c r="AN437" t="n">
        <v>0</v>
      </c>
      <c r="AO437" t="n">
        <v>0</v>
      </c>
      <c r="AP437" t="inlineStr">
        <is>
          <t>No</t>
        </is>
      </c>
      <c r="AQ437" t="inlineStr">
        <is>
          <t>Yes</t>
        </is>
      </c>
      <c r="AR437">
        <f>HYPERLINK("http://catalog.hathitrust.org/Record/004073357","HathiTrust Record")</f>
        <v/>
      </c>
      <c r="AS437">
        <f>HYPERLINK("https://creighton-primo.hosted.exlibrisgroup.com/primo-explore/search?tab=default_tab&amp;search_scope=EVERYTHING&amp;vid=01CRU&amp;lang=en_US&amp;offset=0&amp;query=any,contains,991003001409702656","Catalog Record")</f>
        <v/>
      </c>
      <c r="AT437">
        <f>HYPERLINK("http://www.worldcat.org/oclc/40668082","WorldCat Record")</f>
        <v/>
      </c>
      <c r="AU437" t="inlineStr">
        <is>
          <t>138858339:eng</t>
        </is>
      </c>
      <c r="AV437" t="inlineStr">
        <is>
          <t>40668082</t>
        </is>
      </c>
      <c r="AW437" t="inlineStr">
        <is>
          <t>991003001409702656</t>
        </is>
      </c>
      <c r="AX437" t="inlineStr">
        <is>
          <t>991003001409702656</t>
        </is>
      </c>
      <c r="AY437" t="inlineStr">
        <is>
          <t>2255012770002656</t>
        </is>
      </c>
      <c r="AZ437" t="inlineStr">
        <is>
          <t>BOOK</t>
        </is>
      </c>
      <c r="BB437" t="inlineStr">
        <is>
          <t>9780739100639</t>
        </is>
      </c>
      <c r="BC437" t="inlineStr">
        <is>
          <t>32285003591160</t>
        </is>
      </c>
      <c r="BD437" t="inlineStr">
        <is>
          <t>893530753</t>
        </is>
      </c>
    </row>
    <row r="438">
      <c r="A438" t="inlineStr">
        <is>
          <t>No</t>
        </is>
      </c>
      <c r="B438" t="inlineStr">
        <is>
          <t>DS126.6.B33 P47 1987</t>
        </is>
      </c>
      <c r="C438" t="inlineStr">
        <is>
          <t>0                      DS 0126600B  33                 P  47          1987</t>
        </is>
      </c>
      <c r="D438" t="inlineStr">
        <is>
          <t>The life and times of Menachem Begin / Amos Perlmutter.</t>
        </is>
      </c>
      <c r="F438" t="inlineStr">
        <is>
          <t>No</t>
        </is>
      </c>
      <c r="G438" t="inlineStr">
        <is>
          <t>1</t>
        </is>
      </c>
      <c r="H438" t="inlineStr">
        <is>
          <t>No</t>
        </is>
      </c>
      <c r="I438" t="inlineStr">
        <is>
          <t>No</t>
        </is>
      </c>
      <c r="J438" t="inlineStr">
        <is>
          <t>0</t>
        </is>
      </c>
      <c r="K438" t="inlineStr">
        <is>
          <t>Perlmutter, Amos.</t>
        </is>
      </c>
      <c r="L438" t="inlineStr">
        <is>
          <t>Garden City, N.Y. : Doubleday, 1987.</t>
        </is>
      </c>
      <c r="M438" t="inlineStr">
        <is>
          <t>1987</t>
        </is>
      </c>
      <c r="N438" t="inlineStr">
        <is>
          <t>1st ed.</t>
        </is>
      </c>
      <c r="O438" t="inlineStr">
        <is>
          <t>eng</t>
        </is>
      </c>
      <c r="P438" t="inlineStr">
        <is>
          <t>nyu</t>
        </is>
      </c>
      <c r="R438" t="inlineStr">
        <is>
          <t xml:space="preserve">DS </t>
        </is>
      </c>
      <c r="S438" t="n">
        <v>5</v>
      </c>
      <c r="T438" t="n">
        <v>5</v>
      </c>
      <c r="U438" t="inlineStr">
        <is>
          <t>2008-04-07</t>
        </is>
      </c>
      <c r="V438" t="inlineStr">
        <is>
          <t>2008-04-07</t>
        </is>
      </c>
      <c r="W438" t="inlineStr">
        <is>
          <t>1990-10-02</t>
        </is>
      </c>
      <c r="X438" t="inlineStr">
        <is>
          <t>1990-10-02</t>
        </is>
      </c>
      <c r="Y438" t="n">
        <v>779</v>
      </c>
      <c r="Z438" t="n">
        <v>715</v>
      </c>
      <c r="AA438" t="n">
        <v>722</v>
      </c>
      <c r="AB438" t="n">
        <v>4</v>
      </c>
      <c r="AC438" t="n">
        <v>4</v>
      </c>
      <c r="AD438" t="n">
        <v>16</v>
      </c>
      <c r="AE438" t="n">
        <v>16</v>
      </c>
      <c r="AF438" t="n">
        <v>6</v>
      </c>
      <c r="AG438" t="n">
        <v>6</v>
      </c>
      <c r="AH438" t="n">
        <v>4</v>
      </c>
      <c r="AI438" t="n">
        <v>4</v>
      </c>
      <c r="AJ438" t="n">
        <v>9</v>
      </c>
      <c r="AK438" t="n">
        <v>9</v>
      </c>
      <c r="AL438" t="n">
        <v>1</v>
      </c>
      <c r="AM438" t="n">
        <v>1</v>
      </c>
      <c r="AN438" t="n">
        <v>0</v>
      </c>
      <c r="AO438" t="n">
        <v>0</v>
      </c>
      <c r="AP438" t="inlineStr">
        <is>
          <t>No</t>
        </is>
      </c>
      <c r="AQ438" t="inlineStr">
        <is>
          <t>Yes</t>
        </is>
      </c>
      <c r="AR438">
        <f>HYPERLINK("http://catalog.hathitrust.org/Record/000831350","HathiTrust Record")</f>
        <v/>
      </c>
      <c r="AS438">
        <f>HYPERLINK("https://creighton-primo.hosted.exlibrisgroup.com/primo-explore/search?tab=default_tab&amp;search_scope=EVERYTHING&amp;vid=01CRU&amp;lang=en_US&amp;offset=0&amp;query=any,contains,991000910709702656","Catalog Record")</f>
        <v/>
      </c>
      <c r="AT438">
        <f>HYPERLINK("http://www.worldcat.org/oclc/14132961","WorldCat Record")</f>
        <v/>
      </c>
      <c r="AU438" t="inlineStr">
        <is>
          <t>7597679:eng</t>
        </is>
      </c>
      <c r="AV438" t="inlineStr">
        <is>
          <t>14132961</t>
        </is>
      </c>
      <c r="AW438" t="inlineStr">
        <is>
          <t>991000910709702656</t>
        </is>
      </c>
      <c r="AX438" t="inlineStr">
        <is>
          <t>991000910709702656</t>
        </is>
      </c>
      <c r="AY438" t="inlineStr">
        <is>
          <t>2266812360002656</t>
        </is>
      </c>
      <c r="AZ438" t="inlineStr">
        <is>
          <t>BOOK</t>
        </is>
      </c>
      <c r="BB438" t="inlineStr">
        <is>
          <t>9780385189262</t>
        </is>
      </c>
      <c r="BC438" t="inlineStr">
        <is>
          <t>32285000294016</t>
        </is>
      </c>
      <c r="BD438" t="inlineStr">
        <is>
          <t>893231527</t>
        </is>
      </c>
    </row>
    <row r="439">
      <c r="A439" t="inlineStr">
        <is>
          <t>No</t>
        </is>
      </c>
      <c r="B439" t="inlineStr">
        <is>
          <t>DS126.6.D3 T4213 1973</t>
        </is>
      </c>
      <c r="C439" t="inlineStr">
        <is>
          <t>0                      DS 0126600D  3                  T  4213        1973</t>
        </is>
      </c>
      <c r="D439" t="inlineStr">
        <is>
          <t>Moshe Dayan, the soldier, the man, the legend. Translated from the Hebrew by Leah and David Zinder.</t>
        </is>
      </c>
      <c r="F439" t="inlineStr">
        <is>
          <t>No</t>
        </is>
      </c>
      <c r="G439" t="inlineStr">
        <is>
          <t>1</t>
        </is>
      </c>
      <c r="H439" t="inlineStr">
        <is>
          <t>No</t>
        </is>
      </c>
      <c r="I439" t="inlineStr">
        <is>
          <t>No</t>
        </is>
      </c>
      <c r="J439" t="inlineStr">
        <is>
          <t>0</t>
        </is>
      </c>
      <c r="K439" t="inlineStr">
        <is>
          <t>Teveth, Shabtai, 1925-2014.</t>
        </is>
      </c>
      <c r="L439" t="inlineStr">
        <is>
          <t>Boston, Houghton Mifflin, 1973 [c1972]</t>
        </is>
      </c>
      <c r="M439" t="inlineStr">
        <is>
          <t>1973</t>
        </is>
      </c>
      <c r="N439" t="inlineStr">
        <is>
          <t>[1st American ed.] Illustrated with photos.</t>
        </is>
      </c>
      <c r="O439" t="inlineStr">
        <is>
          <t>eng</t>
        </is>
      </c>
      <c r="P439" t="inlineStr">
        <is>
          <t>mau</t>
        </is>
      </c>
      <c r="R439" t="inlineStr">
        <is>
          <t xml:space="preserve">DS </t>
        </is>
      </c>
      <c r="S439" t="n">
        <v>2</v>
      </c>
      <c r="T439" t="n">
        <v>2</v>
      </c>
      <c r="U439" t="inlineStr">
        <is>
          <t>2003-04-02</t>
        </is>
      </c>
      <c r="V439" t="inlineStr">
        <is>
          <t>2003-04-02</t>
        </is>
      </c>
      <c r="W439" t="inlineStr">
        <is>
          <t>1997-02-26</t>
        </is>
      </c>
      <c r="X439" t="inlineStr">
        <is>
          <t>1997-02-26</t>
        </is>
      </c>
      <c r="Y439" t="n">
        <v>756</v>
      </c>
      <c r="Z439" t="n">
        <v>716</v>
      </c>
      <c r="AA439" t="n">
        <v>744</v>
      </c>
      <c r="AB439" t="n">
        <v>5</v>
      </c>
      <c r="AC439" t="n">
        <v>5</v>
      </c>
      <c r="AD439" t="n">
        <v>12</v>
      </c>
      <c r="AE439" t="n">
        <v>12</v>
      </c>
      <c r="AF439" t="n">
        <v>1</v>
      </c>
      <c r="AG439" t="n">
        <v>1</v>
      </c>
      <c r="AH439" t="n">
        <v>4</v>
      </c>
      <c r="AI439" t="n">
        <v>4</v>
      </c>
      <c r="AJ439" t="n">
        <v>6</v>
      </c>
      <c r="AK439" t="n">
        <v>6</v>
      </c>
      <c r="AL439" t="n">
        <v>2</v>
      </c>
      <c r="AM439" t="n">
        <v>2</v>
      </c>
      <c r="AN439" t="n">
        <v>1</v>
      </c>
      <c r="AO439" t="n">
        <v>1</v>
      </c>
      <c r="AP439" t="inlineStr">
        <is>
          <t>No</t>
        </is>
      </c>
      <c r="AQ439" t="inlineStr">
        <is>
          <t>Yes</t>
        </is>
      </c>
      <c r="AR439">
        <f>HYPERLINK("http://catalog.hathitrust.org/Record/001243519","HathiTrust Record")</f>
        <v/>
      </c>
      <c r="AS439">
        <f>HYPERLINK("https://creighton-primo.hosted.exlibrisgroup.com/primo-explore/search?tab=default_tab&amp;search_scope=EVERYTHING&amp;vid=01CRU&amp;lang=en_US&amp;offset=0&amp;query=any,contains,991003002359702656","Catalog Record")</f>
        <v/>
      </c>
      <c r="AT439">
        <f>HYPERLINK("http://www.worldcat.org/oclc/569861","WorldCat Record")</f>
        <v/>
      </c>
      <c r="AU439" t="inlineStr">
        <is>
          <t>9490346347:eng</t>
        </is>
      </c>
      <c r="AV439" t="inlineStr">
        <is>
          <t>569861</t>
        </is>
      </c>
      <c r="AW439" t="inlineStr">
        <is>
          <t>991003002359702656</t>
        </is>
      </c>
      <c r="AX439" t="inlineStr">
        <is>
          <t>991003002359702656</t>
        </is>
      </c>
      <c r="AY439" t="inlineStr">
        <is>
          <t>2261312580002656</t>
        </is>
      </c>
      <c r="AZ439" t="inlineStr">
        <is>
          <t>BOOK</t>
        </is>
      </c>
      <c r="BB439" t="inlineStr">
        <is>
          <t>9780395154755</t>
        </is>
      </c>
      <c r="BC439" t="inlineStr">
        <is>
          <t>32285002462710</t>
        </is>
      </c>
      <c r="BD439" t="inlineStr">
        <is>
          <t>893422060</t>
        </is>
      </c>
    </row>
    <row r="440">
      <c r="A440" t="inlineStr">
        <is>
          <t>No</t>
        </is>
      </c>
      <c r="B440" t="inlineStr">
        <is>
          <t>DS126.6.M42 A37 1975</t>
        </is>
      </c>
      <c r="C440" t="inlineStr">
        <is>
          <t>0                      DS 0126600M  42                 A  37          1975</t>
        </is>
      </c>
      <c r="D440" t="inlineStr">
        <is>
          <t>My life / by Golda Meir.</t>
        </is>
      </c>
      <c r="F440" t="inlineStr">
        <is>
          <t>No</t>
        </is>
      </c>
      <c r="G440" t="inlineStr">
        <is>
          <t>1</t>
        </is>
      </c>
      <c r="H440" t="inlineStr">
        <is>
          <t>No</t>
        </is>
      </c>
      <c r="I440" t="inlineStr">
        <is>
          <t>No</t>
        </is>
      </c>
      <c r="J440" t="inlineStr">
        <is>
          <t>0</t>
        </is>
      </c>
      <c r="K440" t="inlineStr">
        <is>
          <t>Meir, Golda, 1898-1978.</t>
        </is>
      </c>
      <c r="L440" t="inlineStr">
        <is>
          <t>New York : Putnam, 1975.</t>
        </is>
      </c>
      <c r="M440" t="inlineStr">
        <is>
          <t>1975</t>
        </is>
      </c>
      <c r="N440" t="inlineStr">
        <is>
          <t>1st American ed.</t>
        </is>
      </c>
      <c r="O440" t="inlineStr">
        <is>
          <t>eng</t>
        </is>
      </c>
      <c r="P440" t="inlineStr">
        <is>
          <t>nyu</t>
        </is>
      </c>
      <c r="R440" t="inlineStr">
        <is>
          <t xml:space="preserve">DS </t>
        </is>
      </c>
      <c r="S440" t="n">
        <v>8</v>
      </c>
      <c r="T440" t="n">
        <v>8</v>
      </c>
      <c r="U440" t="inlineStr">
        <is>
          <t>2008-11-18</t>
        </is>
      </c>
      <c r="V440" t="inlineStr">
        <is>
          <t>2008-11-18</t>
        </is>
      </c>
      <c r="W440" t="inlineStr">
        <is>
          <t>1993-01-05</t>
        </is>
      </c>
      <c r="X440" t="inlineStr">
        <is>
          <t>1993-01-05</t>
        </is>
      </c>
      <c r="Y440" t="n">
        <v>2348</v>
      </c>
      <c r="Z440" t="n">
        <v>2260</v>
      </c>
      <c r="AA440" t="n">
        <v>2450</v>
      </c>
      <c r="AB440" t="n">
        <v>29</v>
      </c>
      <c r="AC440" t="n">
        <v>29</v>
      </c>
      <c r="AD440" t="n">
        <v>56</v>
      </c>
      <c r="AE440" t="n">
        <v>60</v>
      </c>
      <c r="AF440" t="n">
        <v>22</v>
      </c>
      <c r="AG440" t="n">
        <v>23</v>
      </c>
      <c r="AH440" t="n">
        <v>9</v>
      </c>
      <c r="AI440" t="n">
        <v>10</v>
      </c>
      <c r="AJ440" t="n">
        <v>21</v>
      </c>
      <c r="AK440" t="n">
        <v>24</v>
      </c>
      <c r="AL440" t="n">
        <v>13</v>
      </c>
      <c r="AM440" t="n">
        <v>13</v>
      </c>
      <c r="AN440" t="n">
        <v>1</v>
      </c>
      <c r="AO440" t="n">
        <v>1</v>
      </c>
      <c r="AP440" t="inlineStr">
        <is>
          <t>No</t>
        </is>
      </c>
      <c r="AQ440" t="inlineStr">
        <is>
          <t>Yes</t>
        </is>
      </c>
      <c r="AR440">
        <f>HYPERLINK("http://catalog.hathitrust.org/Record/000692150","HathiTrust Record")</f>
        <v/>
      </c>
      <c r="AS440">
        <f>HYPERLINK("https://creighton-primo.hosted.exlibrisgroup.com/primo-explore/search?tab=default_tab&amp;search_scope=EVERYTHING&amp;vid=01CRU&amp;lang=en_US&amp;offset=0&amp;query=any,contains,991000605559702656","Catalog Record")</f>
        <v/>
      </c>
      <c r="AT440">
        <f>HYPERLINK("http://www.worldcat.org/oclc/11866342","WorldCat Record")</f>
        <v/>
      </c>
      <c r="AU440" t="inlineStr">
        <is>
          <t>140556707:eng</t>
        </is>
      </c>
      <c r="AV440" t="inlineStr">
        <is>
          <t>11866342</t>
        </is>
      </c>
      <c r="AW440" t="inlineStr">
        <is>
          <t>991000605559702656</t>
        </is>
      </c>
      <c r="AX440" t="inlineStr">
        <is>
          <t>991000605559702656</t>
        </is>
      </c>
      <c r="AY440" t="inlineStr">
        <is>
          <t>2264649750002656</t>
        </is>
      </c>
      <c r="AZ440" t="inlineStr">
        <is>
          <t>BOOK</t>
        </is>
      </c>
      <c r="BB440" t="inlineStr">
        <is>
          <t>9780399116698</t>
        </is>
      </c>
      <c r="BC440" t="inlineStr">
        <is>
          <t>32285001472371</t>
        </is>
      </c>
      <c r="BD440" t="inlineStr">
        <is>
          <t>893714729</t>
        </is>
      </c>
    </row>
    <row r="441">
      <c r="A441" t="inlineStr">
        <is>
          <t>No</t>
        </is>
      </c>
      <c r="B441" t="inlineStr">
        <is>
          <t>DS126.6.M42 A5</t>
        </is>
      </c>
      <c r="C441" t="inlineStr">
        <is>
          <t>0                      DS 0126600M  42                 A  5</t>
        </is>
      </c>
      <c r="D441" t="inlineStr">
        <is>
          <t>This is our strength; selected papers. Edited and with an introd. by Henry M. Christman. Foreword by Eleanor Roosevelt.</t>
        </is>
      </c>
      <c r="F441" t="inlineStr">
        <is>
          <t>No</t>
        </is>
      </c>
      <c r="G441" t="inlineStr">
        <is>
          <t>1</t>
        </is>
      </c>
      <c r="H441" t="inlineStr">
        <is>
          <t>No</t>
        </is>
      </c>
      <c r="I441" t="inlineStr">
        <is>
          <t>No</t>
        </is>
      </c>
      <c r="J441" t="inlineStr">
        <is>
          <t>0</t>
        </is>
      </c>
      <c r="K441" t="inlineStr">
        <is>
          <t>Meir, Golda, 1898-1978.</t>
        </is>
      </c>
      <c r="L441" t="inlineStr">
        <is>
          <t>New York, Macmillan [1962]</t>
        </is>
      </c>
      <c r="M441" t="inlineStr">
        <is>
          <t>1962</t>
        </is>
      </c>
      <c r="O441" t="inlineStr">
        <is>
          <t>eng</t>
        </is>
      </c>
      <c r="P441" t="inlineStr">
        <is>
          <t>nyu</t>
        </is>
      </c>
      <c r="R441" t="inlineStr">
        <is>
          <t xml:space="preserve">DS </t>
        </is>
      </c>
      <c r="S441" t="n">
        <v>3</v>
      </c>
      <c r="T441" t="n">
        <v>3</v>
      </c>
      <c r="U441" t="inlineStr">
        <is>
          <t>2000-09-16</t>
        </is>
      </c>
      <c r="V441" t="inlineStr">
        <is>
          <t>2000-09-16</t>
        </is>
      </c>
      <c r="W441" t="inlineStr">
        <is>
          <t>1997-02-26</t>
        </is>
      </c>
      <c r="X441" t="inlineStr">
        <is>
          <t>1997-02-26</t>
        </is>
      </c>
      <c r="Y441" t="n">
        <v>301</v>
      </c>
      <c r="Z441" t="n">
        <v>281</v>
      </c>
      <c r="AA441" t="n">
        <v>286</v>
      </c>
      <c r="AB441" t="n">
        <v>4</v>
      </c>
      <c r="AC441" t="n">
        <v>4</v>
      </c>
      <c r="AD441" t="n">
        <v>11</v>
      </c>
      <c r="AE441" t="n">
        <v>11</v>
      </c>
      <c r="AF441" t="n">
        <v>3</v>
      </c>
      <c r="AG441" t="n">
        <v>3</v>
      </c>
      <c r="AH441" t="n">
        <v>2</v>
      </c>
      <c r="AI441" t="n">
        <v>2</v>
      </c>
      <c r="AJ441" t="n">
        <v>5</v>
      </c>
      <c r="AK441" t="n">
        <v>5</v>
      </c>
      <c r="AL441" t="n">
        <v>3</v>
      </c>
      <c r="AM441" t="n">
        <v>3</v>
      </c>
      <c r="AN441" t="n">
        <v>0</v>
      </c>
      <c r="AO441" t="n">
        <v>0</v>
      </c>
      <c r="AP441" t="inlineStr">
        <is>
          <t>No</t>
        </is>
      </c>
      <c r="AQ441" t="inlineStr">
        <is>
          <t>Yes</t>
        </is>
      </c>
      <c r="AR441">
        <f>HYPERLINK("http://catalog.hathitrust.org/Record/001243533","HathiTrust Record")</f>
        <v/>
      </c>
      <c r="AS441">
        <f>HYPERLINK("https://creighton-primo.hosted.exlibrisgroup.com/primo-explore/search?tab=default_tab&amp;search_scope=EVERYTHING&amp;vid=01CRU&amp;lang=en_US&amp;offset=0&amp;query=any,contains,991002825019702656","Catalog Record")</f>
        <v/>
      </c>
      <c r="AT441">
        <f>HYPERLINK("http://www.worldcat.org/oclc/475112","WorldCat Record")</f>
        <v/>
      </c>
      <c r="AU441" t="inlineStr">
        <is>
          <t>1545994:eng</t>
        </is>
      </c>
      <c r="AV441" t="inlineStr">
        <is>
          <t>475112</t>
        </is>
      </c>
      <c r="AW441" t="inlineStr">
        <is>
          <t>991002825019702656</t>
        </is>
      </c>
      <c r="AX441" t="inlineStr">
        <is>
          <t>991002825019702656</t>
        </is>
      </c>
      <c r="AY441" t="inlineStr">
        <is>
          <t>2254937520002656</t>
        </is>
      </c>
      <c r="AZ441" t="inlineStr">
        <is>
          <t>BOOK</t>
        </is>
      </c>
      <c r="BC441" t="inlineStr">
        <is>
          <t>32285002462728</t>
        </is>
      </c>
      <c r="BD441" t="inlineStr">
        <is>
          <t>893799069</t>
        </is>
      </c>
    </row>
    <row r="442">
      <c r="A442" t="inlineStr">
        <is>
          <t>No</t>
        </is>
      </c>
      <c r="B442" t="inlineStr">
        <is>
          <t>DS126.6.M42 M32 1988</t>
        </is>
      </c>
      <c r="C442" t="inlineStr">
        <is>
          <t>0                      DS 0126600M  42                 M  32          1988</t>
        </is>
      </c>
      <c r="D442" t="inlineStr">
        <is>
          <t>Golda : Golda Meir, the romantic years / Ralph G. Martin.</t>
        </is>
      </c>
      <c r="F442" t="inlineStr">
        <is>
          <t>No</t>
        </is>
      </c>
      <c r="G442" t="inlineStr">
        <is>
          <t>1</t>
        </is>
      </c>
      <c r="H442" t="inlineStr">
        <is>
          <t>No</t>
        </is>
      </c>
      <c r="I442" t="inlineStr">
        <is>
          <t>No</t>
        </is>
      </c>
      <c r="J442" t="inlineStr">
        <is>
          <t>0</t>
        </is>
      </c>
      <c r="K442" t="inlineStr">
        <is>
          <t>Martin, Ralph G., 1920-2013.</t>
        </is>
      </c>
      <c r="L442" t="inlineStr">
        <is>
          <t>New York : Scribner, c1988.</t>
        </is>
      </c>
      <c r="M442" t="inlineStr">
        <is>
          <t>1988</t>
        </is>
      </c>
      <c r="O442" t="inlineStr">
        <is>
          <t>eng</t>
        </is>
      </c>
      <c r="P442" t="inlineStr">
        <is>
          <t>nyu</t>
        </is>
      </c>
      <c r="R442" t="inlineStr">
        <is>
          <t xml:space="preserve">DS </t>
        </is>
      </c>
      <c r="S442" t="n">
        <v>9</v>
      </c>
      <c r="T442" t="n">
        <v>9</v>
      </c>
      <c r="U442" t="inlineStr">
        <is>
          <t>2008-11-18</t>
        </is>
      </c>
      <c r="V442" t="inlineStr">
        <is>
          <t>2008-11-18</t>
        </is>
      </c>
      <c r="W442" t="inlineStr">
        <is>
          <t>1990-10-02</t>
        </is>
      </c>
      <c r="X442" t="inlineStr">
        <is>
          <t>1990-10-02</t>
        </is>
      </c>
      <c r="Y442" t="n">
        <v>1164</v>
      </c>
      <c r="Z442" t="n">
        <v>1098</v>
      </c>
      <c r="AA442" t="n">
        <v>1113</v>
      </c>
      <c r="AB442" t="n">
        <v>9</v>
      </c>
      <c r="AC442" t="n">
        <v>9</v>
      </c>
      <c r="AD442" t="n">
        <v>22</v>
      </c>
      <c r="AE442" t="n">
        <v>23</v>
      </c>
      <c r="AF442" t="n">
        <v>7</v>
      </c>
      <c r="AG442" t="n">
        <v>8</v>
      </c>
      <c r="AH442" t="n">
        <v>6</v>
      </c>
      <c r="AI442" t="n">
        <v>6</v>
      </c>
      <c r="AJ442" t="n">
        <v>11</v>
      </c>
      <c r="AK442" t="n">
        <v>11</v>
      </c>
      <c r="AL442" t="n">
        <v>3</v>
      </c>
      <c r="AM442" t="n">
        <v>3</v>
      </c>
      <c r="AN442" t="n">
        <v>0</v>
      </c>
      <c r="AO442" t="n">
        <v>0</v>
      </c>
      <c r="AP442" t="inlineStr">
        <is>
          <t>No</t>
        </is>
      </c>
      <c r="AQ442" t="inlineStr">
        <is>
          <t>Yes</t>
        </is>
      </c>
      <c r="AR442">
        <f>HYPERLINK("http://catalog.hathitrust.org/Record/001072312","HathiTrust Record")</f>
        <v/>
      </c>
      <c r="AS442">
        <f>HYPERLINK("https://creighton-primo.hosted.exlibrisgroup.com/primo-explore/search?tab=default_tab&amp;search_scope=EVERYTHING&amp;vid=01CRU&amp;lang=en_US&amp;offset=0&amp;query=any,contains,991001293789702656","Catalog Record")</f>
        <v/>
      </c>
      <c r="AT442">
        <f>HYPERLINK("http://www.worldcat.org/oclc/18017635","WorldCat Record")</f>
        <v/>
      </c>
      <c r="AU442" t="inlineStr">
        <is>
          <t>196071189:eng</t>
        </is>
      </c>
      <c r="AV442" t="inlineStr">
        <is>
          <t>18017635</t>
        </is>
      </c>
      <c r="AW442" t="inlineStr">
        <is>
          <t>991001293789702656</t>
        </is>
      </c>
      <c r="AX442" t="inlineStr">
        <is>
          <t>991001293789702656</t>
        </is>
      </c>
      <c r="AY442" t="inlineStr">
        <is>
          <t>2271857350002656</t>
        </is>
      </c>
      <c r="AZ442" t="inlineStr">
        <is>
          <t>BOOK</t>
        </is>
      </c>
      <c r="BB442" t="inlineStr">
        <is>
          <t>9780684190174</t>
        </is>
      </c>
      <c r="BC442" t="inlineStr">
        <is>
          <t>32285000294032</t>
        </is>
      </c>
      <c r="BD442" t="inlineStr">
        <is>
          <t>893256163</t>
        </is>
      </c>
    </row>
    <row r="443">
      <c r="A443" t="inlineStr">
        <is>
          <t>No</t>
        </is>
      </c>
      <c r="B443" t="inlineStr">
        <is>
          <t>DS126.6.R32 A87 2000</t>
        </is>
      </c>
      <c r="C443" t="inlineStr">
        <is>
          <t>0                      DS 0126600R  32                 A  87          2000</t>
        </is>
      </c>
      <c r="D443" t="inlineStr">
        <is>
          <t>The assassination of Yitzhak Rabin / edited by Yoram Peri.</t>
        </is>
      </c>
      <c r="F443" t="inlineStr">
        <is>
          <t>No</t>
        </is>
      </c>
      <c r="G443" t="inlineStr">
        <is>
          <t>1</t>
        </is>
      </c>
      <c r="H443" t="inlineStr">
        <is>
          <t>No</t>
        </is>
      </c>
      <c r="I443" t="inlineStr">
        <is>
          <t>No</t>
        </is>
      </c>
      <c r="J443" t="inlineStr">
        <is>
          <t>0</t>
        </is>
      </c>
      <c r="L443" t="inlineStr">
        <is>
          <t>Stanford, CA : Stanford University Press, c2000.</t>
        </is>
      </c>
      <c r="M443" t="inlineStr">
        <is>
          <t>2000</t>
        </is>
      </c>
      <c r="O443" t="inlineStr">
        <is>
          <t>eng</t>
        </is>
      </c>
      <c r="P443" t="inlineStr">
        <is>
          <t>cau</t>
        </is>
      </c>
      <c r="R443" t="inlineStr">
        <is>
          <t xml:space="preserve">DS </t>
        </is>
      </c>
      <c r="S443" t="n">
        <v>1</v>
      </c>
      <c r="T443" t="n">
        <v>1</v>
      </c>
      <c r="U443" t="inlineStr">
        <is>
          <t>2000-12-04</t>
        </is>
      </c>
      <c r="V443" t="inlineStr">
        <is>
          <t>2000-12-04</t>
        </is>
      </c>
      <c r="W443" t="inlineStr">
        <is>
          <t>2000-12-04</t>
        </is>
      </c>
      <c r="X443" t="inlineStr">
        <is>
          <t>2000-12-04</t>
        </is>
      </c>
      <c r="Y443" t="n">
        <v>498</v>
      </c>
      <c r="Z443" t="n">
        <v>404</v>
      </c>
      <c r="AA443" t="n">
        <v>409</v>
      </c>
      <c r="AB443" t="n">
        <v>2</v>
      </c>
      <c r="AC443" t="n">
        <v>2</v>
      </c>
      <c r="AD443" t="n">
        <v>20</v>
      </c>
      <c r="AE443" t="n">
        <v>20</v>
      </c>
      <c r="AF443" t="n">
        <v>8</v>
      </c>
      <c r="AG443" t="n">
        <v>8</v>
      </c>
      <c r="AH443" t="n">
        <v>6</v>
      </c>
      <c r="AI443" t="n">
        <v>6</v>
      </c>
      <c r="AJ443" t="n">
        <v>12</v>
      </c>
      <c r="AK443" t="n">
        <v>12</v>
      </c>
      <c r="AL443" t="n">
        <v>1</v>
      </c>
      <c r="AM443" t="n">
        <v>1</v>
      </c>
      <c r="AN443" t="n">
        <v>0</v>
      </c>
      <c r="AO443" t="n">
        <v>0</v>
      </c>
      <c r="AP443" t="inlineStr">
        <is>
          <t>No</t>
        </is>
      </c>
      <c r="AQ443" t="inlineStr">
        <is>
          <t>No</t>
        </is>
      </c>
      <c r="AS443">
        <f>HYPERLINK("https://creighton-primo.hosted.exlibrisgroup.com/primo-explore/search?tab=default_tab&amp;search_scope=EVERYTHING&amp;vid=01CRU&amp;lang=en_US&amp;offset=0&amp;query=any,contains,991003304689702656","Catalog Record")</f>
        <v/>
      </c>
      <c r="AT443">
        <f>HYPERLINK("http://www.worldcat.org/oclc/43784977","WorldCat Record")</f>
        <v/>
      </c>
      <c r="AU443" t="inlineStr">
        <is>
          <t>20672052:eng</t>
        </is>
      </c>
      <c r="AV443" t="inlineStr">
        <is>
          <t>43784977</t>
        </is>
      </c>
      <c r="AW443" t="inlineStr">
        <is>
          <t>991003304689702656</t>
        </is>
      </c>
      <c r="AX443" t="inlineStr">
        <is>
          <t>991003304689702656</t>
        </is>
      </c>
      <c r="AY443" t="inlineStr">
        <is>
          <t>2258141050002656</t>
        </is>
      </c>
      <c r="AZ443" t="inlineStr">
        <is>
          <t>BOOK</t>
        </is>
      </c>
      <c r="BB443" t="inlineStr">
        <is>
          <t>9780804738354</t>
        </is>
      </c>
      <c r="BC443" t="inlineStr">
        <is>
          <t>32285004268719</t>
        </is>
      </c>
      <c r="BD443" t="inlineStr">
        <is>
          <t>893258291</t>
        </is>
      </c>
    </row>
    <row r="444">
      <c r="A444" t="inlineStr">
        <is>
          <t>No</t>
        </is>
      </c>
      <c r="B444" t="inlineStr">
        <is>
          <t>DS126.6.R32 I63 1999</t>
        </is>
      </c>
      <c r="C444" t="inlineStr">
        <is>
          <t>0                      DS 0126600R  32                 I  63          1999</t>
        </is>
      </c>
      <c r="D444" t="inlineStr">
        <is>
          <t>Rabin and Israel's national security / Efraim Inbar.</t>
        </is>
      </c>
      <c r="F444" t="inlineStr">
        <is>
          <t>No</t>
        </is>
      </c>
      <c r="G444" t="inlineStr">
        <is>
          <t>1</t>
        </is>
      </c>
      <c r="H444" t="inlineStr">
        <is>
          <t>No</t>
        </is>
      </c>
      <c r="I444" t="inlineStr">
        <is>
          <t>No</t>
        </is>
      </c>
      <c r="J444" t="inlineStr">
        <is>
          <t>0</t>
        </is>
      </c>
      <c r="K444" t="inlineStr">
        <is>
          <t>Inbar, Efraim, 1947-</t>
        </is>
      </c>
      <c r="L444" t="inlineStr">
        <is>
          <t>Washington, D.C. : Woodrow Wilson Center Press ; Baltimore : Johns Hopkins University Press, c1999.</t>
        </is>
      </c>
      <c r="M444" t="inlineStr">
        <is>
          <t>1999</t>
        </is>
      </c>
      <c r="O444" t="inlineStr">
        <is>
          <t>eng</t>
        </is>
      </c>
      <c r="P444" t="inlineStr">
        <is>
          <t>dcu</t>
        </is>
      </c>
      <c r="R444" t="inlineStr">
        <is>
          <t xml:space="preserve">DS </t>
        </is>
      </c>
      <c r="S444" t="n">
        <v>1</v>
      </c>
      <c r="T444" t="n">
        <v>1</v>
      </c>
      <c r="U444" t="inlineStr">
        <is>
          <t>2002-10-21</t>
        </is>
      </c>
      <c r="V444" t="inlineStr">
        <is>
          <t>2002-10-21</t>
        </is>
      </c>
      <c r="W444" t="inlineStr">
        <is>
          <t>2002-10-21</t>
        </is>
      </c>
      <c r="X444" t="inlineStr">
        <is>
          <t>2002-10-21</t>
        </is>
      </c>
      <c r="Y444" t="n">
        <v>289</v>
      </c>
      <c r="Z444" t="n">
        <v>229</v>
      </c>
      <c r="AA444" t="n">
        <v>231</v>
      </c>
      <c r="AB444" t="n">
        <v>4</v>
      </c>
      <c r="AC444" t="n">
        <v>4</v>
      </c>
      <c r="AD444" t="n">
        <v>14</v>
      </c>
      <c r="AE444" t="n">
        <v>14</v>
      </c>
      <c r="AF444" t="n">
        <v>2</v>
      </c>
      <c r="AG444" t="n">
        <v>2</v>
      </c>
      <c r="AH444" t="n">
        <v>4</v>
      </c>
      <c r="AI444" t="n">
        <v>4</v>
      </c>
      <c r="AJ444" t="n">
        <v>6</v>
      </c>
      <c r="AK444" t="n">
        <v>6</v>
      </c>
      <c r="AL444" t="n">
        <v>3</v>
      </c>
      <c r="AM444" t="n">
        <v>3</v>
      </c>
      <c r="AN444" t="n">
        <v>1</v>
      </c>
      <c r="AO444" t="n">
        <v>1</v>
      </c>
      <c r="AP444" t="inlineStr">
        <is>
          <t>No</t>
        </is>
      </c>
      <c r="AQ444" t="inlineStr">
        <is>
          <t>Yes</t>
        </is>
      </c>
      <c r="AR444">
        <f>HYPERLINK("http://catalog.hathitrust.org/Record/004049029","HathiTrust Record")</f>
        <v/>
      </c>
      <c r="AS444">
        <f>HYPERLINK("https://creighton-primo.hosted.exlibrisgroup.com/primo-explore/search?tab=default_tab&amp;search_scope=EVERYTHING&amp;vid=01CRU&amp;lang=en_US&amp;offset=0&amp;query=any,contains,991003874529702656","Catalog Record")</f>
        <v/>
      </c>
      <c r="AT444">
        <f>HYPERLINK("http://www.worldcat.org/oclc/41096111","WorldCat Record")</f>
        <v/>
      </c>
      <c r="AU444" t="inlineStr">
        <is>
          <t>3901335976:eng</t>
        </is>
      </c>
      <c r="AV444" t="inlineStr">
        <is>
          <t>41096111</t>
        </is>
      </c>
      <c r="AW444" t="inlineStr">
        <is>
          <t>991003874529702656</t>
        </is>
      </c>
      <c r="AX444" t="inlineStr">
        <is>
          <t>991003874529702656</t>
        </is>
      </c>
      <c r="AY444" t="inlineStr">
        <is>
          <t>2265404270002656</t>
        </is>
      </c>
      <c r="AZ444" t="inlineStr">
        <is>
          <t>BOOK</t>
        </is>
      </c>
      <c r="BB444" t="inlineStr">
        <is>
          <t>9780801862175</t>
        </is>
      </c>
      <c r="BC444" t="inlineStr">
        <is>
          <t>32285004656558</t>
        </is>
      </c>
      <c r="BD444" t="inlineStr">
        <is>
          <t>893705725</t>
        </is>
      </c>
    </row>
    <row r="445">
      <c r="A445" t="inlineStr">
        <is>
          <t>No</t>
        </is>
      </c>
      <c r="B445" t="inlineStr">
        <is>
          <t>DS126.6.R32 K87 1998</t>
        </is>
      </c>
      <c r="C445" t="inlineStr">
        <is>
          <t>0                      DS 0126600R  32                 K  87          1998</t>
        </is>
      </c>
      <c r="D445" t="inlineStr">
        <is>
          <t>Soldier of peace : the life of Yitzhak Rabin, 1922-1995 / Dan Kurzman.</t>
        </is>
      </c>
      <c r="F445" t="inlineStr">
        <is>
          <t>No</t>
        </is>
      </c>
      <c r="G445" t="inlineStr">
        <is>
          <t>1</t>
        </is>
      </c>
      <c r="H445" t="inlineStr">
        <is>
          <t>No</t>
        </is>
      </c>
      <c r="I445" t="inlineStr">
        <is>
          <t>No</t>
        </is>
      </c>
      <c r="J445" t="inlineStr">
        <is>
          <t>0</t>
        </is>
      </c>
      <c r="K445" t="inlineStr">
        <is>
          <t>Kurzman, Dan.</t>
        </is>
      </c>
      <c r="L445" t="inlineStr">
        <is>
          <t>New York : HarperCollins Publishers, c1998.</t>
        </is>
      </c>
      <c r="M445" t="inlineStr">
        <is>
          <t>1998</t>
        </is>
      </c>
      <c r="N445" t="inlineStr">
        <is>
          <t>1st ed.</t>
        </is>
      </c>
      <c r="O445" t="inlineStr">
        <is>
          <t>eng</t>
        </is>
      </c>
      <c r="P445" t="inlineStr">
        <is>
          <t>nyu</t>
        </is>
      </c>
      <c r="R445" t="inlineStr">
        <is>
          <t xml:space="preserve">DS </t>
        </is>
      </c>
      <c r="S445" t="n">
        <v>3</v>
      </c>
      <c r="T445" t="n">
        <v>3</v>
      </c>
      <c r="U445" t="inlineStr">
        <is>
          <t>1999-04-13</t>
        </is>
      </c>
      <c r="V445" t="inlineStr">
        <is>
          <t>1999-04-13</t>
        </is>
      </c>
      <c r="W445" t="inlineStr">
        <is>
          <t>1998-07-21</t>
        </is>
      </c>
      <c r="X445" t="inlineStr">
        <is>
          <t>1998-07-21</t>
        </is>
      </c>
      <c r="Y445" t="n">
        <v>583</v>
      </c>
      <c r="Z445" t="n">
        <v>505</v>
      </c>
      <c r="AA445" t="n">
        <v>521</v>
      </c>
      <c r="AB445" t="n">
        <v>3</v>
      </c>
      <c r="AC445" t="n">
        <v>3</v>
      </c>
      <c r="AD445" t="n">
        <v>21</v>
      </c>
      <c r="AE445" t="n">
        <v>21</v>
      </c>
      <c r="AF445" t="n">
        <v>7</v>
      </c>
      <c r="AG445" t="n">
        <v>7</v>
      </c>
      <c r="AH445" t="n">
        <v>6</v>
      </c>
      <c r="AI445" t="n">
        <v>6</v>
      </c>
      <c r="AJ445" t="n">
        <v>10</v>
      </c>
      <c r="AK445" t="n">
        <v>10</v>
      </c>
      <c r="AL445" t="n">
        <v>2</v>
      </c>
      <c r="AM445" t="n">
        <v>2</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HYPERLINK("https://creighton-primo.hosted.exlibrisgroup.com/primo-explore/search?tab=default_tab&amp;search_scope=EVERYTHING&amp;vid=01CRU&amp;lang=en_US&amp;offset=0&amp;query=any,contains,991002892639702656","Catalog Record")</f>
        <v/>
      </c>
      <c r="AT445">
        <f>HYPERLINK("http://www.worldcat.org/oclc/38112801","WorldCat Record")</f>
        <v/>
      </c>
      <c r="AU445" t="inlineStr">
        <is>
          <t>587251:eng</t>
        </is>
      </c>
      <c r="AV445" t="inlineStr">
        <is>
          <t>38112801</t>
        </is>
      </c>
      <c r="AW445" t="inlineStr">
        <is>
          <t>991002892639702656</t>
        </is>
      </c>
      <c r="AX445" t="inlineStr">
        <is>
          <t>991002892639702656</t>
        </is>
      </c>
      <c r="AY445" t="inlineStr">
        <is>
          <t>2271826210002656</t>
        </is>
      </c>
      <c r="AZ445" t="inlineStr">
        <is>
          <t>BOOK</t>
        </is>
      </c>
      <c r="BB445" t="inlineStr">
        <is>
          <t>9780060186845</t>
        </is>
      </c>
      <c r="BC445" t="inlineStr">
        <is>
          <t>32285003433876</t>
        </is>
      </c>
      <c r="BD445" t="inlineStr">
        <is>
          <t>893498680</t>
        </is>
      </c>
    </row>
    <row r="446">
      <c r="A446" t="inlineStr">
        <is>
          <t>No</t>
        </is>
      </c>
      <c r="B446" t="inlineStr">
        <is>
          <t>DS126.6.R32 R34 1997</t>
        </is>
      </c>
      <c r="C446" t="inlineStr">
        <is>
          <t>0                      DS 0126600R  32                 R  34          1997</t>
        </is>
      </c>
      <c r="D446" t="inlineStr">
        <is>
          <t>Rabin : our life, his legacy / Leah Rabin.</t>
        </is>
      </c>
      <c r="F446" t="inlineStr">
        <is>
          <t>No</t>
        </is>
      </c>
      <c r="G446" t="inlineStr">
        <is>
          <t>1</t>
        </is>
      </c>
      <c r="H446" t="inlineStr">
        <is>
          <t>No</t>
        </is>
      </c>
      <c r="I446" t="inlineStr">
        <is>
          <t>No</t>
        </is>
      </c>
      <c r="J446" t="inlineStr">
        <is>
          <t>0</t>
        </is>
      </c>
      <c r="K446" t="inlineStr">
        <is>
          <t>Rabin, Lea.</t>
        </is>
      </c>
      <c r="L446" t="inlineStr">
        <is>
          <t>New York : G.P. Putnam's Sons, c1997.</t>
        </is>
      </c>
      <c r="M446" t="inlineStr">
        <is>
          <t>1997</t>
        </is>
      </c>
      <c r="O446" t="inlineStr">
        <is>
          <t>eng</t>
        </is>
      </c>
      <c r="P446" t="inlineStr">
        <is>
          <t>nyu</t>
        </is>
      </c>
      <c r="R446" t="inlineStr">
        <is>
          <t xml:space="preserve">DS </t>
        </is>
      </c>
      <c r="S446" t="n">
        <v>5</v>
      </c>
      <c r="T446" t="n">
        <v>5</v>
      </c>
      <c r="U446" t="inlineStr">
        <is>
          <t>1999-04-13</t>
        </is>
      </c>
      <c r="V446" t="inlineStr">
        <is>
          <t>1999-04-13</t>
        </is>
      </c>
      <c r="W446" t="inlineStr">
        <is>
          <t>1997-07-01</t>
        </is>
      </c>
      <c r="X446" t="inlineStr">
        <is>
          <t>1997-07-01</t>
        </is>
      </c>
      <c r="Y446" t="n">
        <v>959</v>
      </c>
      <c r="Z446" t="n">
        <v>897</v>
      </c>
      <c r="AA446" t="n">
        <v>911</v>
      </c>
      <c r="AB446" t="n">
        <v>6</v>
      </c>
      <c r="AC446" t="n">
        <v>6</v>
      </c>
      <c r="AD446" t="n">
        <v>22</v>
      </c>
      <c r="AE446" t="n">
        <v>23</v>
      </c>
      <c r="AF446" t="n">
        <v>6</v>
      </c>
      <c r="AG446" t="n">
        <v>7</v>
      </c>
      <c r="AH446" t="n">
        <v>5</v>
      </c>
      <c r="AI446" t="n">
        <v>5</v>
      </c>
      <c r="AJ446" t="n">
        <v>13</v>
      </c>
      <c r="AK446" t="n">
        <v>13</v>
      </c>
      <c r="AL446" t="n">
        <v>3</v>
      </c>
      <c r="AM446" t="n">
        <v>3</v>
      </c>
      <c r="AN446" t="n">
        <v>0</v>
      </c>
      <c r="AO446" t="n">
        <v>0</v>
      </c>
      <c r="AP446" t="inlineStr">
        <is>
          <t>No</t>
        </is>
      </c>
      <c r="AQ446" t="inlineStr">
        <is>
          <t>Yes</t>
        </is>
      </c>
      <c r="AR446">
        <f>HYPERLINK("http://catalog.hathitrust.org/Record/003150611","HathiTrust Record")</f>
        <v/>
      </c>
      <c r="AS446">
        <f>HYPERLINK("https://creighton-primo.hosted.exlibrisgroup.com/primo-explore/search?tab=default_tab&amp;search_scope=EVERYTHING&amp;vid=01CRU&amp;lang=en_US&amp;offset=0&amp;query=any,contains,991002719649702656","Catalog Record")</f>
        <v/>
      </c>
      <c r="AT446">
        <f>HYPERLINK("http://www.worldcat.org/oclc/35657826","WorldCat Record")</f>
        <v/>
      </c>
      <c r="AU446" t="inlineStr">
        <is>
          <t>196637006:eng</t>
        </is>
      </c>
      <c r="AV446" t="inlineStr">
        <is>
          <t>35657826</t>
        </is>
      </c>
      <c r="AW446" t="inlineStr">
        <is>
          <t>991002719649702656</t>
        </is>
      </c>
      <c r="AX446" t="inlineStr">
        <is>
          <t>991002719649702656</t>
        </is>
      </c>
      <c r="AY446" t="inlineStr">
        <is>
          <t>2255481860002656</t>
        </is>
      </c>
      <c r="AZ446" t="inlineStr">
        <is>
          <t>BOOK</t>
        </is>
      </c>
      <c r="BB446" t="inlineStr">
        <is>
          <t>9780399142178</t>
        </is>
      </c>
      <c r="BC446" t="inlineStr">
        <is>
          <t>32285002754942</t>
        </is>
      </c>
      <c r="BD446" t="inlineStr">
        <is>
          <t>893773952</t>
        </is>
      </c>
    </row>
    <row r="447">
      <c r="A447" t="inlineStr">
        <is>
          <t>No</t>
        </is>
      </c>
      <c r="B447" t="inlineStr">
        <is>
          <t>DS126.6.R32 S53 1996</t>
        </is>
      </c>
      <c r="C447" t="inlineStr">
        <is>
          <t>0                      DS 0126600R  32                 S  53          1996</t>
        </is>
      </c>
      <c r="D447" t="inlineStr">
        <is>
          <t>Shalom, friend : the life and legacy of Yitzhak Rabin / the Jerusalem report staff ; edited by David Horovitz ; prologue by Hirsh Goodman.</t>
        </is>
      </c>
      <c r="F447" t="inlineStr">
        <is>
          <t>No</t>
        </is>
      </c>
      <c r="G447" t="inlineStr">
        <is>
          <t>1</t>
        </is>
      </c>
      <c r="H447" t="inlineStr">
        <is>
          <t>No</t>
        </is>
      </c>
      <c r="I447" t="inlineStr">
        <is>
          <t>No</t>
        </is>
      </c>
      <c r="J447" t="inlineStr">
        <is>
          <t>0</t>
        </is>
      </c>
      <c r="L447" t="inlineStr">
        <is>
          <t>New York : NewMarket Press, c1996.</t>
        </is>
      </c>
      <c r="M447" t="inlineStr">
        <is>
          <t>1996</t>
        </is>
      </c>
      <c r="N447" t="inlineStr">
        <is>
          <t>1st ed.</t>
        </is>
      </c>
      <c r="O447" t="inlineStr">
        <is>
          <t>eng</t>
        </is>
      </c>
      <c r="P447" t="inlineStr">
        <is>
          <t>nyu</t>
        </is>
      </c>
      <c r="R447" t="inlineStr">
        <is>
          <t xml:space="preserve">DS </t>
        </is>
      </c>
      <c r="S447" t="n">
        <v>3</v>
      </c>
      <c r="T447" t="n">
        <v>3</v>
      </c>
      <c r="U447" t="inlineStr">
        <is>
          <t>1999-04-13</t>
        </is>
      </c>
      <c r="V447" t="inlineStr">
        <is>
          <t>1999-04-13</t>
        </is>
      </c>
      <c r="W447" t="inlineStr">
        <is>
          <t>1996-05-21</t>
        </is>
      </c>
      <c r="X447" t="inlineStr">
        <is>
          <t>1996-05-21</t>
        </is>
      </c>
      <c r="Y447" t="n">
        <v>716</v>
      </c>
      <c r="Z447" t="n">
        <v>667</v>
      </c>
      <c r="AA447" t="n">
        <v>678</v>
      </c>
      <c r="AB447" t="n">
        <v>3</v>
      </c>
      <c r="AC447" t="n">
        <v>3</v>
      </c>
      <c r="AD447" t="n">
        <v>14</v>
      </c>
      <c r="AE447" t="n">
        <v>14</v>
      </c>
      <c r="AF447" t="n">
        <v>3</v>
      </c>
      <c r="AG447" t="n">
        <v>3</v>
      </c>
      <c r="AH447" t="n">
        <v>3</v>
      </c>
      <c r="AI447" t="n">
        <v>3</v>
      </c>
      <c r="AJ447" t="n">
        <v>8</v>
      </c>
      <c r="AK447" t="n">
        <v>8</v>
      </c>
      <c r="AL447" t="n">
        <v>2</v>
      </c>
      <c r="AM447" t="n">
        <v>2</v>
      </c>
      <c r="AN447" t="n">
        <v>0</v>
      </c>
      <c r="AO447" t="n">
        <v>0</v>
      </c>
      <c r="AP447" t="inlineStr">
        <is>
          <t>No</t>
        </is>
      </c>
      <c r="AQ447" t="inlineStr">
        <is>
          <t>Yes</t>
        </is>
      </c>
      <c r="AR447">
        <f>HYPERLINK("http://catalog.hathitrust.org/Record/003088946","HathiTrust Record")</f>
        <v/>
      </c>
      <c r="AS447">
        <f>HYPERLINK("https://creighton-primo.hosted.exlibrisgroup.com/primo-explore/search?tab=default_tab&amp;search_scope=EVERYTHING&amp;vid=01CRU&amp;lang=en_US&amp;offset=0&amp;query=any,contains,991002610039702656","Catalog Record")</f>
        <v/>
      </c>
      <c r="AT447">
        <f>HYPERLINK("http://www.worldcat.org/oclc/34191826","WorldCat Record")</f>
        <v/>
      </c>
      <c r="AU447" t="inlineStr">
        <is>
          <t>39908573:eng</t>
        </is>
      </c>
      <c r="AV447" t="inlineStr">
        <is>
          <t>34191826</t>
        </is>
      </c>
      <c r="AW447" t="inlineStr">
        <is>
          <t>991002610039702656</t>
        </is>
      </c>
      <c r="AX447" t="inlineStr">
        <is>
          <t>991002610039702656</t>
        </is>
      </c>
      <c r="AY447" t="inlineStr">
        <is>
          <t>2258906140002656</t>
        </is>
      </c>
      <c r="AZ447" t="inlineStr">
        <is>
          <t>BOOK</t>
        </is>
      </c>
      <c r="BB447" t="inlineStr">
        <is>
          <t>9781557042873</t>
        </is>
      </c>
      <c r="BC447" t="inlineStr">
        <is>
          <t>32285002176500</t>
        </is>
      </c>
      <c r="BD447" t="inlineStr">
        <is>
          <t>893440312</t>
        </is>
      </c>
    </row>
    <row r="448">
      <c r="A448" t="inlineStr">
        <is>
          <t>No</t>
        </is>
      </c>
      <c r="B448" t="inlineStr">
        <is>
          <t>DS126.99.J4 P48</t>
        </is>
      </c>
      <c r="C448" t="inlineStr">
        <is>
          <t>0                      DS 0126990J  4                  P  48</t>
        </is>
      </c>
      <c r="D448" t="inlineStr">
        <is>
          <t>A will to survive / text and photos by John Phillips ; foreword by Golda Meir ; afterword by Teddy Kollek with J. Robert Moskin.</t>
        </is>
      </c>
      <c r="F448" t="inlineStr">
        <is>
          <t>No</t>
        </is>
      </c>
      <c r="G448" t="inlineStr">
        <is>
          <t>1</t>
        </is>
      </c>
      <c r="H448" t="inlineStr">
        <is>
          <t>No</t>
        </is>
      </c>
      <c r="I448" t="inlineStr">
        <is>
          <t>No</t>
        </is>
      </c>
      <c r="J448" t="inlineStr">
        <is>
          <t>0</t>
        </is>
      </c>
      <c r="K448" t="inlineStr">
        <is>
          <t>Phillips, John, 1914-1996.</t>
        </is>
      </c>
      <c r="L448" t="inlineStr">
        <is>
          <t>New York : Dial Press, c1977.</t>
        </is>
      </c>
      <c r="M448" t="inlineStr">
        <is>
          <t>1977</t>
        </is>
      </c>
      <c r="O448" t="inlineStr">
        <is>
          <t>eng</t>
        </is>
      </c>
      <c r="P448" t="inlineStr">
        <is>
          <t>nyu</t>
        </is>
      </c>
      <c r="R448" t="inlineStr">
        <is>
          <t xml:space="preserve">DS </t>
        </is>
      </c>
      <c r="S448" t="n">
        <v>4</v>
      </c>
      <c r="T448" t="n">
        <v>4</v>
      </c>
      <c r="U448" t="inlineStr">
        <is>
          <t>1998-08-18</t>
        </is>
      </c>
      <c r="V448" t="inlineStr">
        <is>
          <t>1998-08-18</t>
        </is>
      </c>
      <c r="W448" t="inlineStr">
        <is>
          <t>1997-02-26</t>
        </is>
      </c>
      <c r="X448" t="inlineStr">
        <is>
          <t>1997-02-26</t>
        </is>
      </c>
      <c r="Y448" t="n">
        <v>389</v>
      </c>
      <c r="Z448" t="n">
        <v>354</v>
      </c>
      <c r="AA448" t="n">
        <v>361</v>
      </c>
      <c r="AB448" t="n">
        <v>4</v>
      </c>
      <c r="AC448" t="n">
        <v>4</v>
      </c>
      <c r="AD448" t="n">
        <v>8</v>
      </c>
      <c r="AE448" t="n">
        <v>8</v>
      </c>
      <c r="AF448" t="n">
        <v>1</v>
      </c>
      <c r="AG448" t="n">
        <v>1</v>
      </c>
      <c r="AH448" t="n">
        <v>3</v>
      </c>
      <c r="AI448" t="n">
        <v>3</v>
      </c>
      <c r="AJ448" t="n">
        <v>5</v>
      </c>
      <c r="AK448" t="n">
        <v>5</v>
      </c>
      <c r="AL448" t="n">
        <v>2</v>
      </c>
      <c r="AM448" t="n">
        <v>2</v>
      </c>
      <c r="AN448" t="n">
        <v>0</v>
      </c>
      <c r="AO448" t="n">
        <v>0</v>
      </c>
      <c r="AP448" t="inlineStr">
        <is>
          <t>No</t>
        </is>
      </c>
      <c r="AQ448" t="inlineStr">
        <is>
          <t>No</t>
        </is>
      </c>
      <c r="AS448">
        <f>HYPERLINK("https://creighton-primo.hosted.exlibrisgroup.com/primo-explore/search?tab=default_tab&amp;search_scope=EVERYTHING&amp;vid=01CRU&amp;lang=en_US&amp;offset=0&amp;query=any,contains,991004244609702656","Catalog Record")</f>
        <v/>
      </c>
      <c r="AT448">
        <f>HYPERLINK("http://www.worldcat.org/oclc/2797939","WorldCat Record")</f>
        <v/>
      </c>
      <c r="AU448" t="inlineStr">
        <is>
          <t>345951672:eng</t>
        </is>
      </c>
      <c r="AV448" t="inlineStr">
        <is>
          <t>2797939</t>
        </is>
      </c>
      <c r="AW448" t="inlineStr">
        <is>
          <t>991004244609702656</t>
        </is>
      </c>
      <c r="AX448" t="inlineStr">
        <is>
          <t>991004244609702656</t>
        </is>
      </c>
      <c r="AY448" t="inlineStr">
        <is>
          <t>2266143590002656</t>
        </is>
      </c>
      <c r="AZ448" t="inlineStr">
        <is>
          <t>BOOK</t>
        </is>
      </c>
      <c r="BB448" t="inlineStr">
        <is>
          <t>9780803701762</t>
        </is>
      </c>
      <c r="BC448" t="inlineStr">
        <is>
          <t>32285002462751</t>
        </is>
      </c>
      <c r="BD448" t="inlineStr">
        <is>
          <t>893605803</t>
        </is>
      </c>
    </row>
    <row r="449">
      <c r="A449" t="inlineStr">
        <is>
          <t>No</t>
        </is>
      </c>
      <c r="B449" t="inlineStr">
        <is>
          <t>DS126.99.J6 B37 1987</t>
        </is>
      </c>
      <c r="C449" t="inlineStr">
        <is>
          <t>0                      DS 0126990J  6                  B  37          1987</t>
        </is>
      </c>
      <c r="D449" t="inlineStr">
        <is>
          <t>The best of enemies : Israel and Transjordan in the war of 1948 / Uri Bar-Joseph.</t>
        </is>
      </c>
      <c r="F449" t="inlineStr">
        <is>
          <t>No</t>
        </is>
      </c>
      <c r="G449" t="inlineStr">
        <is>
          <t>1</t>
        </is>
      </c>
      <c r="H449" t="inlineStr">
        <is>
          <t>No</t>
        </is>
      </c>
      <c r="I449" t="inlineStr">
        <is>
          <t>No</t>
        </is>
      </c>
      <c r="J449" t="inlineStr">
        <is>
          <t>0</t>
        </is>
      </c>
      <c r="K449" t="inlineStr">
        <is>
          <t>Bar-Joseph, Uri.</t>
        </is>
      </c>
      <c r="L449" t="inlineStr">
        <is>
          <t>London ; Totowa, N.J. : F. Cass, 1987.</t>
        </is>
      </c>
      <c r="M449" t="inlineStr">
        <is>
          <t>1987</t>
        </is>
      </c>
      <c r="O449" t="inlineStr">
        <is>
          <t>eng</t>
        </is>
      </c>
      <c r="P449" t="inlineStr">
        <is>
          <t>enk</t>
        </is>
      </c>
      <c r="R449" t="inlineStr">
        <is>
          <t xml:space="preserve">DS </t>
        </is>
      </c>
      <c r="S449" t="n">
        <v>4</v>
      </c>
      <c r="T449" t="n">
        <v>4</v>
      </c>
      <c r="U449" t="inlineStr">
        <is>
          <t>1992-05-02</t>
        </is>
      </c>
      <c r="V449" t="inlineStr">
        <is>
          <t>1992-05-02</t>
        </is>
      </c>
      <c r="W449" t="inlineStr">
        <is>
          <t>1990-10-02</t>
        </is>
      </c>
      <c r="X449" t="inlineStr">
        <is>
          <t>1990-10-02</t>
        </is>
      </c>
      <c r="Y449" t="n">
        <v>313</v>
      </c>
      <c r="Z449" t="n">
        <v>238</v>
      </c>
      <c r="AA449" t="n">
        <v>257</v>
      </c>
      <c r="AB449" t="n">
        <v>3</v>
      </c>
      <c r="AC449" t="n">
        <v>3</v>
      </c>
      <c r="AD449" t="n">
        <v>11</v>
      </c>
      <c r="AE449" t="n">
        <v>11</v>
      </c>
      <c r="AF449" t="n">
        <v>2</v>
      </c>
      <c r="AG449" t="n">
        <v>2</v>
      </c>
      <c r="AH449" t="n">
        <v>4</v>
      </c>
      <c r="AI449" t="n">
        <v>4</v>
      </c>
      <c r="AJ449" t="n">
        <v>6</v>
      </c>
      <c r="AK449" t="n">
        <v>6</v>
      </c>
      <c r="AL449" t="n">
        <v>2</v>
      </c>
      <c r="AM449" t="n">
        <v>2</v>
      </c>
      <c r="AN449" t="n">
        <v>0</v>
      </c>
      <c r="AO449" t="n">
        <v>0</v>
      </c>
      <c r="AP449" t="inlineStr">
        <is>
          <t>No</t>
        </is>
      </c>
      <c r="AQ449" t="inlineStr">
        <is>
          <t>No</t>
        </is>
      </c>
      <c r="AS449">
        <f>HYPERLINK("https://creighton-primo.hosted.exlibrisgroup.com/primo-explore/search?tab=default_tab&amp;search_scope=EVERYTHING&amp;vid=01CRU&amp;lang=en_US&amp;offset=0&amp;query=any,contains,991000973169702656","Catalog Record")</f>
        <v/>
      </c>
      <c r="AT449">
        <f>HYPERLINK("http://www.worldcat.org/oclc/14967101","WorldCat Record")</f>
        <v/>
      </c>
      <c r="AU449" t="inlineStr">
        <is>
          <t>795419325:eng</t>
        </is>
      </c>
      <c r="AV449" t="inlineStr">
        <is>
          <t>14967101</t>
        </is>
      </c>
      <c r="AW449" t="inlineStr">
        <is>
          <t>991000973169702656</t>
        </is>
      </c>
      <c r="AX449" t="inlineStr">
        <is>
          <t>991000973169702656</t>
        </is>
      </c>
      <c r="AY449" t="inlineStr">
        <is>
          <t>2262345000002656</t>
        </is>
      </c>
      <c r="AZ449" t="inlineStr">
        <is>
          <t>BOOK</t>
        </is>
      </c>
      <c r="BB449" t="inlineStr">
        <is>
          <t>9780714632117</t>
        </is>
      </c>
      <c r="BC449" t="inlineStr">
        <is>
          <t>32285000294073</t>
        </is>
      </c>
      <c r="BD449" t="inlineStr">
        <is>
          <t>893791046</t>
        </is>
      </c>
    </row>
    <row r="450">
      <c r="A450" t="inlineStr">
        <is>
          <t>No</t>
        </is>
      </c>
      <c r="B450" t="inlineStr">
        <is>
          <t>DS127 .C48</t>
        </is>
      </c>
      <c r="C450" t="inlineStr">
        <is>
          <t>0                      DS 0127000C  48</t>
        </is>
      </c>
      <c r="D450" t="inlineStr">
        <is>
          <t>The six day war / by Randolph S. Churchill and Winston S. Churchill.</t>
        </is>
      </c>
      <c r="F450" t="inlineStr">
        <is>
          <t>No</t>
        </is>
      </c>
      <c r="G450" t="inlineStr">
        <is>
          <t>1</t>
        </is>
      </c>
      <c r="H450" t="inlineStr">
        <is>
          <t>No</t>
        </is>
      </c>
      <c r="I450" t="inlineStr">
        <is>
          <t>No</t>
        </is>
      </c>
      <c r="J450" t="inlineStr">
        <is>
          <t>0</t>
        </is>
      </c>
      <c r="K450" t="inlineStr">
        <is>
          <t>Churchill, Randolph S. (Randolph Spencer), 1911-1968.</t>
        </is>
      </c>
      <c r="L450" t="inlineStr">
        <is>
          <t>Boston : Houghton Mifflin, 1967.</t>
        </is>
      </c>
      <c r="M450" t="inlineStr">
        <is>
          <t>1967</t>
        </is>
      </c>
      <c r="O450" t="inlineStr">
        <is>
          <t>eng</t>
        </is>
      </c>
      <c r="P450" t="inlineStr">
        <is>
          <t>mau</t>
        </is>
      </c>
      <c r="R450" t="inlineStr">
        <is>
          <t xml:space="preserve">DS </t>
        </is>
      </c>
      <c r="S450" t="n">
        <v>10</v>
      </c>
      <c r="T450" t="n">
        <v>10</v>
      </c>
      <c r="U450" t="inlineStr">
        <is>
          <t>2008-04-22</t>
        </is>
      </c>
      <c r="V450" t="inlineStr">
        <is>
          <t>2008-04-22</t>
        </is>
      </c>
      <c r="W450" t="inlineStr">
        <is>
          <t>1990-02-16</t>
        </is>
      </c>
      <c r="X450" t="inlineStr">
        <is>
          <t>1990-02-16</t>
        </is>
      </c>
      <c r="Y450" t="n">
        <v>972</v>
      </c>
      <c r="Z450" t="n">
        <v>927</v>
      </c>
      <c r="AA450" t="n">
        <v>1035</v>
      </c>
      <c r="AB450" t="n">
        <v>3</v>
      </c>
      <c r="AC450" t="n">
        <v>4</v>
      </c>
      <c r="AD450" t="n">
        <v>26</v>
      </c>
      <c r="AE450" t="n">
        <v>30</v>
      </c>
      <c r="AF450" t="n">
        <v>12</v>
      </c>
      <c r="AG450" t="n">
        <v>14</v>
      </c>
      <c r="AH450" t="n">
        <v>5</v>
      </c>
      <c r="AI450" t="n">
        <v>7</v>
      </c>
      <c r="AJ450" t="n">
        <v>11</v>
      </c>
      <c r="AK450" t="n">
        <v>11</v>
      </c>
      <c r="AL450" t="n">
        <v>2</v>
      </c>
      <c r="AM450" t="n">
        <v>3</v>
      </c>
      <c r="AN450" t="n">
        <v>0</v>
      </c>
      <c r="AO450" t="n">
        <v>0</v>
      </c>
      <c r="AP450" t="inlineStr">
        <is>
          <t>No</t>
        </is>
      </c>
      <c r="AQ450" t="inlineStr">
        <is>
          <t>Yes</t>
        </is>
      </c>
      <c r="AR450">
        <f>HYPERLINK("http://catalog.hathitrust.org/Record/001243638","HathiTrust Record")</f>
        <v/>
      </c>
      <c r="AS450">
        <f>HYPERLINK("https://creighton-primo.hosted.exlibrisgroup.com/primo-explore/search?tab=default_tab&amp;search_scope=EVERYTHING&amp;vid=01CRU&amp;lang=en_US&amp;offset=0&amp;query=any,contains,991003524679702656","Catalog Record")</f>
        <v/>
      </c>
      <c r="AT450">
        <f>HYPERLINK("http://www.worldcat.org/oclc/1086582","WorldCat Record")</f>
        <v/>
      </c>
      <c r="AU450" t="inlineStr">
        <is>
          <t>1777060:eng</t>
        </is>
      </c>
      <c r="AV450" t="inlineStr">
        <is>
          <t>1086582</t>
        </is>
      </c>
      <c r="AW450" t="inlineStr">
        <is>
          <t>991003524679702656</t>
        </is>
      </c>
      <c r="AX450" t="inlineStr">
        <is>
          <t>991003524679702656</t>
        </is>
      </c>
      <c r="AY450" t="inlineStr">
        <is>
          <t>2269051610002656</t>
        </is>
      </c>
      <c r="AZ450" t="inlineStr">
        <is>
          <t>BOOK</t>
        </is>
      </c>
      <c r="BC450" t="inlineStr">
        <is>
          <t>32285000044544</t>
        </is>
      </c>
      <c r="BD450" t="inlineStr">
        <is>
          <t>893246441</t>
        </is>
      </c>
    </row>
    <row r="451">
      <c r="A451" t="inlineStr">
        <is>
          <t>No</t>
        </is>
      </c>
      <c r="B451" t="inlineStr">
        <is>
          <t>DS127 .D7</t>
        </is>
      </c>
      <c r="C451" t="inlineStr">
        <is>
          <t>0                      DS 0127000D  7</t>
        </is>
      </c>
      <c r="D451" t="inlineStr">
        <is>
          <t>Israel and world politics : roots of the third Arab-Israeli war.</t>
        </is>
      </c>
      <c r="F451" t="inlineStr">
        <is>
          <t>No</t>
        </is>
      </c>
      <c r="G451" t="inlineStr">
        <is>
          <t>1</t>
        </is>
      </c>
      <c r="H451" t="inlineStr">
        <is>
          <t>No</t>
        </is>
      </c>
      <c r="I451" t="inlineStr">
        <is>
          <t>No</t>
        </is>
      </c>
      <c r="J451" t="inlineStr">
        <is>
          <t>0</t>
        </is>
      </c>
      <c r="K451" t="inlineStr">
        <is>
          <t>Draper, Theodore, 1912-2006.</t>
        </is>
      </c>
      <c r="L451" t="inlineStr">
        <is>
          <t>New York : Viking Press, [1968]</t>
        </is>
      </c>
      <c r="M451" t="inlineStr">
        <is>
          <t>1968</t>
        </is>
      </c>
      <c r="O451" t="inlineStr">
        <is>
          <t>eng</t>
        </is>
      </c>
      <c r="P451" t="inlineStr">
        <is>
          <t>nyu</t>
        </is>
      </c>
      <c r="R451" t="inlineStr">
        <is>
          <t xml:space="preserve">DS </t>
        </is>
      </c>
      <c r="S451" t="n">
        <v>3</v>
      </c>
      <c r="T451" t="n">
        <v>3</v>
      </c>
      <c r="U451" t="inlineStr">
        <is>
          <t>2008-04-22</t>
        </is>
      </c>
      <c r="V451" t="inlineStr">
        <is>
          <t>2008-04-22</t>
        </is>
      </c>
      <c r="W451" t="inlineStr">
        <is>
          <t>1992-11-20</t>
        </is>
      </c>
      <c r="X451" t="inlineStr">
        <is>
          <t>1992-11-20</t>
        </is>
      </c>
      <c r="Y451" t="n">
        <v>976</v>
      </c>
      <c r="Z451" t="n">
        <v>888</v>
      </c>
      <c r="AA451" t="n">
        <v>909</v>
      </c>
      <c r="AB451" t="n">
        <v>7</v>
      </c>
      <c r="AC451" t="n">
        <v>7</v>
      </c>
      <c r="AD451" t="n">
        <v>40</v>
      </c>
      <c r="AE451" t="n">
        <v>40</v>
      </c>
      <c r="AF451" t="n">
        <v>16</v>
      </c>
      <c r="AG451" t="n">
        <v>16</v>
      </c>
      <c r="AH451" t="n">
        <v>8</v>
      </c>
      <c r="AI451" t="n">
        <v>8</v>
      </c>
      <c r="AJ451" t="n">
        <v>18</v>
      </c>
      <c r="AK451" t="n">
        <v>18</v>
      </c>
      <c r="AL451" t="n">
        <v>6</v>
      </c>
      <c r="AM451" t="n">
        <v>6</v>
      </c>
      <c r="AN451" t="n">
        <v>0</v>
      </c>
      <c r="AO451" t="n">
        <v>0</v>
      </c>
      <c r="AP451" t="inlineStr">
        <is>
          <t>No</t>
        </is>
      </c>
      <c r="AQ451" t="inlineStr">
        <is>
          <t>Yes</t>
        </is>
      </c>
      <c r="AR451">
        <f>HYPERLINK("http://catalog.hathitrust.org/Record/001243643","HathiTrust Record")</f>
        <v/>
      </c>
      <c r="AS451">
        <f>HYPERLINK("https://creighton-primo.hosted.exlibrisgroup.com/primo-explore/search?tab=default_tab&amp;search_scope=EVERYTHING&amp;vid=01CRU&amp;lang=en_US&amp;offset=0&amp;query=any,contains,991002772999702656","Catalog Record")</f>
        <v/>
      </c>
      <c r="AT451">
        <f>HYPERLINK("http://www.worldcat.org/oclc/437723","WorldCat Record")</f>
        <v/>
      </c>
      <c r="AU451" t="inlineStr">
        <is>
          <t>48252776:eng</t>
        </is>
      </c>
      <c r="AV451" t="inlineStr">
        <is>
          <t>437723</t>
        </is>
      </c>
      <c r="AW451" t="inlineStr">
        <is>
          <t>991002772999702656</t>
        </is>
      </c>
      <c r="AX451" t="inlineStr">
        <is>
          <t>991002772999702656</t>
        </is>
      </c>
      <c r="AY451" t="inlineStr">
        <is>
          <t>2267929960002656</t>
        </is>
      </c>
      <c r="AZ451" t="inlineStr">
        <is>
          <t>BOOK</t>
        </is>
      </c>
      <c r="BC451" t="inlineStr">
        <is>
          <t>32285001407013</t>
        </is>
      </c>
      <c r="BD451" t="inlineStr">
        <is>
          <t>893535189</t>
        </is>
      </c>
    </row>
    <row r="452">
      <c r="A452" t="inlineStr">
        <is>
          <t>No</t>
        </is>
      </c>
      <c r="B452" t="inlineStr">
        <is>
          <t>DS127 .O23</t>
        </is>
      </c>
      <c r="C452" t="inlineStr">
        <is>
          <t>0                      DS 0127000O  23</t>
        </is>
      </c>
      <c r="D452" t="inlineStr">
        <is>
          <t>The third Arab-Israeli war.</t>
        </is>
      </c>
      <c r="F452" t="inlineStr">
        <is>
          <t>No</t>
        </is>
      </c>
      <c r="G452" t="inlineStr">
        <is>
          <t>1</t>
        </is>
      </c>
      <c r="H452" t="inlineStr">
        <is>
          <t>No</t>
        </is>
      </c>
      <c r="I452" t="inlineStr">
        <is>
          <t>No</t>
        </is>
      </c>
      <c r="J452" t="inlineStr">
        <is>
          <t>0</t>
        </is>
      </c>
      <c r="K452" t="inlineStr">
        <is>
          <t>O'Ballance, Edgar.</t>
        </is>
      </c>
      <c r="L452" t="inlineStr">
        <is>
          <t>Hamden, Conn. : Archon Books, 1972.</t>
        </is>
      </c>
      <c r="M452" t="inlineStr">
        <is>
          <t>1972</t>
        </is>
      </c>
      <c r="O452" t="inlineStr">
        <is>
          <t>eng</t>
        </is>
      </c>
      <c r="P452" t="inlineStr">
        <is>
          <t>ctu</t>
        </is>
      </c>
      <c r="R452" t="inlineStr">
        <is>
          <t xml:space="preserve">DS </t>
        </is>
      </c>
      <c r="S452" t="n">
        <v>7</v>
      </c>
      <c r="T452" t="n">
        <v>7</v>
      </c>
      <c r="U452" t="inlineStr">
        <is>
          <t>2007-11-26</t>
        </is>
      </c>
      <c r="V452" t="inlineStr">
        <is>
          <t>2007-11-26</t>
        </is>
      </c>
      <c r="W452" t="inlineStr">
        <is>
          <t>1990-02-16</t>
        </is>
      </c>
      <c r="X452" t="inlineStr">
        <is>
          <t>1990-02-16</t>
        </is>
      </c>
      <c r="Y452" t="n">
        <v>357</v>
      </c>
      <c r="Z452" t="n">
        <v>337</v>
      </c>
      <c r="AA452" t="n">
        <v>381</v>
      </c>
      <c r="AB452" t="n">
        <v>4</v>
      </c>
      <c r="AC452" t="n">
        <v>4</v>
      </c>
      <c r="AD452" t="n">
        <v>11</v>
      </c>
      <c r="AE452" t="n">
        <v>12</v>
      </c>
      <c r="AF452" t="n">
        <v>3</v>
      </c>
      <c r="AG452" t="n">
        <v>3</v>
      </c>
      <c r="AH452" t="n">
        <v>4</v>
      </c>
      <c r="AI452" t="n">
        <v>4</v>
      </c>
      <c r="AJ452" t="n">
        <v>4</v>
      </c>
      <c r="AK452" t="n">
        <v>5</v>
      </c>
      <c r="AL452" t="n">
        <v>3</v>
      </c>
      <c r="AM452" t="n">
        <v>3</v>
      </c>
      <c r="AN452" t="n">
        <v>0</v>
      </c>
      <c r="AO452" t="n">
        <v>0</v>
      </c>
      <c r="AP452" t="inlineStr">
        <is>
          <t>No</t>
        </is>
      </c>
      <c r="AQ452" t="inlineStr">
        <is>
          <t>No</t>
        </is>
      </c>
      <c r="AS452">
        <f>HYPERLINK("https://creighton-primo.hosted.exlibrisgroup.com/primo-explore/search?tab=default_tab&amp;search_scope=EVERYTHING&amp;vid=01CRU&amp;lang=en_US&amp;offset=0&amp;query=any,contains,991002177479702656","Catalog Record")</f>
        <v/>
      </c>
      <c r="AT452">
        <f>HYPERLINK("http://www.worldcat.org/oclc/278308","WorldCat Record")</f>
        <v/>
      </c>
      <c r="AU452" t="inlineStr">
        <is>
          <t>1419519:eng</t>
        </is>
      </c>
      <c r="AV452" t="inlineStr">
        <is>
          <t>278308</t>
        </is>
      </c>
      <c r="AW452" t="inlineStr">
        <is>
          <t>991002177479702656</t>
        </is>
      </c>
      <c r="AX452" t="inlineStr">
        <is>
          <t>991002177479702656</t>
        </is>
      </c>
      <c r="AY452" t="inlineStr">
        <is>
          <t>2261198430002656</t>
        </is>
      </c>
      <c r="AZ452" t="inlineStr">
        <is>
          <t>BOOK</t>
        </is>
      </c>
      <c r="BB452" t="inlineStr">
        <is>
          <t>9780208012920</t>
        </is>
      </c>
      <c r="BC452" t="inlineStr">
        <is>
          <t>32285000044536</t>
        </is>
      </c>
      <c r="BD452" t="inlineStr">
        <is>
          <t>893603278</t>
        </is>
      </c>
    </row>
    <row r="453">
      <c r="A453" t="inlineStr">
        <is>
          <t>No</t>
        </is>
      </c>
      <c r="B453" t="inlineStr">
        <is>
          <t>DS127.2 .K5 1971</t>
        </is>
      </c>
      <c r="C453" t="inlineStr">
        <is>
          <t>0                      DS 0127200K  5           1971</t>
        </is>
      </c>
      <c r="D453" t="inlineStr">
        <is>
          <t>The six-day war; prologue and aftermath [by] David Kimche and Dan Bawly.</t>
        </is>
      </c>
      <c r="F453" t="inlineStr">
        <is>
          <t>No</t>
        </is>
      </c>
      <c r="G453" t="inlineStr">
        <is>
          <t>1</t>
        </is>
      </c>
      <c r="H453" t="inlineStr">
        <is>
          <t>No</t>
        </is>
      </c>
      <c r="I453" t="inlineStr">
        <is>
          <t>No</t>
        </is>
      </c>
      <c r="J453" t="inlineStr">
        <is>
          <t>0</t>
        </is>
      </c>
      <c r="K453" t="inlineStr">
        <is>
          <t>Kimche, David.</t>
        </is>
      </c>
      <c r="L453" t="inlineStr">
        <is>
          <t>New York, Stein and Day [1971, c1968]</t>
        </is>
      </c>
      <c r="M453" t="inlineStr">
        <is>
          <t>1971</t>
        </is>
      </c>
      <c r="O453" t="inlineStr">
        <is>
          <t>eng</t>
        </is>
      </c>
      <c r="P453" t="inlineStr">
        <is>
          <t>___</t>
        </is>
      </c>
      <c r="Q453" t="inlineStr">
        <is>
          <t>Stein and Day paperbacks</t>
        </is>
      </c>
      <c r="R453" t="inlineStr">
        <is>
          <t xml:space="preserve">DS </t>
        </is>
      </c>
      <c r="S453" t="n">
        <v>10</v>
      </c>
      <c r="T453" t="n">
        <v>10</v>
      </c>
      <c r="U453" t="inlineStr">
        <is>
          <t>2008-04-22</t>
        </is>
      </c>
      <c r="V453" t="inlineStr">
        <is>
          <t>2008-04-22</t>
        </is>
      </c>
      <c r="W453" t="inlineStr">
        <is>
          <t>1990-02-14</t>
        </is>
      </c>
      <c r="X453" t="inlineStr">
        <is>
          <t>1990-02-14</t>
        </is>
      </c>
      <c r="Y453" t="n">
        <v>60</v>
      </c>
      <c r="Z453" t="n">
        <v>55</v>
      </c>
      <c r="AA453" t="n">
        <v>56</v>
      </c>
      <c r="AB453" t="n">
        <v>1</v>
      </c>
      <c r="AC453" t="n">
        <v>1</v>
      </c>
      <c r="AD453" t="n">
        <v>3</v>
      </c>
      <c r="AE453" t="n">
        <v>3</v>
      </c>
      <c r="AF453" t="n">
        <v>1</v>
      </c>
      <c r="AG453" t="n">
        <v>1</v>
      </c>
      <c r="AH453" t="n">
        <v>2</v>
      </c>
      <c r="AI453" t="n">
        <v>2</v>
      </c>
      <c r="AJ453" t="n">
        <v>1</v>
      </c>
      <c r="AK453" t="n">
        <v>1</v>
      </c>
      <c r="AL453" t="n">
        <v>0</v>
      </c>
      <c r="AM453" t="n">
        <v>0</v>
      </c>
      <c r="AN453" t="n">
        <v>0</v>
      </c>
      <c r="AO453" t="n">
        <v>0</v>
      </c>
      <c r="AP453" t="inlineStr">
        <is>
          <t>No</t>
        </is>
      </c>
      <c r="AQ453" t="inlineStr">
        <is>
          <t>No</t>
        </is>
      </c>
      <c r="AS453">
        <f>HYPERLINK("https://creighton-primo.hosted.exlibrisgroup.com/primo-explore/search?tab=default_tab&amp;search_scope=EVERYTHING&amp;vid=01CRU&amp;lang=en_US&amp;offset=0&amp;query=any,contains,991003629309702656","Catalog Record")</f>
        <v/>
      </c>
      <c r="AT453">
        <f>HYPERLINK("http://www.worldcat.org/oclc/1219745","WorldCat Record")</f>
        <v/>
      </c>
      <c r="AU453" t="inlineStr">
        <is>
          <t>867274873:eng</t>
        </is>
      </c>
      <c r="AV453" t="inlineStr">
        <is>
          <t>1219745</t>
        </is>
      </c>
      <c r="AW453" t="inlineStr">
        <is>
          <t>991003629309702656</t>
        </is>
      </c>
      <c r="AX453" t="inlineStr">
        <is>
          <t>991003629309702656</t>
        </is>
      </c>
      <c r="AY453" t="inlineStr">
        <is>
          <t>2271695860002656</t>
        </is>
      </c>
      <c r="AZ453" t="inlineStr">
        <is>
          <t>BOOK</t>
        </is>
      </c>
      <c r="BB453" t="inlineStr">
        <is>
          <t>9780812813906</t>
        </is>
      </c>
      <c r="BC453" t="inlineStr">
        <is>
          <t>32285000052976</t>
        </is>
      </c>
      <c r="BD453" t="inlineStr">
        <is>
          <t>893240421</t>
        </is>
      </c>
    </row>
    <row r="454">
      <c r="A454" t="inlineStr">
        <is>
          <t>No</t>
        </is>
      </c>
      <c r="B454" t="inlineStr">
        <is>
          <t>DS127.6.N3 C74 2002</t>
        </is>
      </c>
      <c r="C454" t="inlineStr">
        <is>
          <t>0                      DS 0127600N  3                  C  74          2002</t>
        </is>
      </c>
      <c r="D454" t="inlineStr">
        <is>
          <t>The liberty incident : the 1967 Israeli attack on the U.S. Navy spy ship / A. Jay Cristol.</t>
        </is>
      </c>
      <c r="F454" t="inlineStr">
        <is>
          <t>No</t>
        </is>
      </c>
      <c r="G454" t="inlineStr">
        <is>
          <t>1</t>
        </is>
      </c>
      <c r="H454" t="inlineStr">
        <is>
          <t>No</t>
        </is>
      </c>
      <c r="I454" t="inlineStr">
        <is>
          <t>No</t>
        </is>
      </c>
      <c r="J454" t="inlineStr">
        <is>
          <t>0</t>
        </is>
      </c>
      <c r="K454" t="inlineStr">
        <is>
          <t>Cristol, A. Jay, 1929-</t>
        </is>
      </c>
      <c r="L454" t="inlineStr">
        <is>
          <t>Washington, D.C. : Brassey's, c2002.</t>
        </is>
      </c>
      <c r="M454" t="inlineStr">
        <is>
          <t>2002</t>
        </is>
      </c>
      <c r="N454" t="inlineStr">
        <is>
          <t>1st ed.</t>
        </is>
      </c>
      <c r="O454" t="inlineStr">
        <is>
          <t>eng</t>
        </is>
      </c>
      <c r="P454" t="inlineStr">
        <is>
          <t>dcu</t>
        </is>
      </c>
      <c r="R454" t="inlineStr">
        <is>
          <t xml:space="preserve">DS </t>
        </is>
      </c>
      <c r="S454" t="n">
        <v>4</v>
      </c>
      <c r="T454" t="n">
        <v>4</v>
      </c>
      <c r="U454" t="inlineStr">
        <is>
          <t>2005-05-06</t>
        </is>
      </c>
      <c r="V454" t="inlineStr">
        <is>
          <t>2005-05-06</t>
        </is>
      </c>
      <c r="W454" t="inlineStr">
        <is>
          <t>2003-05-20</t>
        </is>
      </c>
      <c r="X454" t="inlineStr">
        <is>
          <t>2003-05-20</t>
        </is>
      </c>
      <c r="Y454" t="n">
        <v>751</v>
      </c>
      <c r="Z454" t="n">
        <v>718</v>
      </c>
      <c r="AA454" t="n">
        <v>725</v>
      </c>
      <c r="AB454" t="n">
        <v>7</v>
      </c>
      <c r="AC454" t="n">
        <v>7</v>
      </c>
      <c r="AD454" t="n">
        <v>26</v>
      </c>
      <c r="AE454" t="n">
        <v>26</v>
      </c>
      <c r="AF454" t="n">
        <v>9</v>
      </c>
      <c r="AG454" t="n">
        <v>9</v>
      </c>
      <c r="AH454" t="n">
        <v>7</v>
      </c>
      <c r="AI454" t="n">
        <v>7</v>
      </c>
      <c r="AJ454" t="n">
        <v>10</v>
      </c>
      <c r="AK454" t="n">
        <v>10</v>
      </c>
      <c r="AL454" t="n">
        <v>6</v>
      </c>
      <c r="AM454" t="n">
        <v>6</v>
      </c>
      <c r="AN454" t="n">
        <v>0</v>
      </c>
      <c r="AO454" t="n">
        <v>0</v>
      </c>
      <c r="AP454" t="inlineStr">
        <is>
          <t>No</t>
        </is>
      </c>
      <c r="AQ454" t="inlineStr">
        <is>
          <t>Yes</t>
        </is>
      </c>
      <c r="AR454">
        <f>HYPERLINK("http://catalog.hathitrust.org/Record/004259026","HathiTrust Record")</f>
        <v/>
      </c>
      <c r="AS454">
        <f>HYPERLINK("https://creighton-primo.hosted.exlibrisgroup.com/primo-explore/search?tab=default_tab&amp;search_scope=EVERYTHING&amp;vid=01CRU&amp;lang=en_US&amp;offset=0&amp;query=any,contains,991004055919702656","Catalog Record")</f>
        <v/>
      </c>
      <c r="AT454">
        <f>HYPERLINK("http://www.worldcat.org/oclc/49249144","WorldCat Record")</f>
        <v/>
      </c>
      <c r="AU454" t="inlineStr">
        <is>
          <t>1863039400:eng</t>
        </is>
      </c>
      <c r="AV454" t="inlineStr">
        <is>
          <t>49249144</t>
        </is>
      </c>
      <c r="AW454" t="inlineStr">
        <is>
          <t>991004055919702656</t>
        </is>
      </c>
      <c r="AX454" t="inlineStr">
        <is>
          <t>991004055919702656</t>
        </is>
      </c>
      <c r="AY454" t="inlineStr">
        <is>
          <t>2258351940002656</t>
        </is>
      </c>
      <c r="AZ454" t="inlineStr">
        <is>
          <t>BOOK</t>
        </is>
      </c>
      <c r="BB454" t="inlineStr">
        <is>
          <t>9781574884142</t>
        </is>
      </c>
      <c r="BC454" t="inlineStr">
        <is>
          <t>32285004747050</t>
        </is>
      </c>
      <c r="BD454" t="inlineStr">
        <is>
          <t>893888262</t>
        </is>
      </c>
    </row>
    <row r="455">
      <c r="A455" t="inlineStr">
        <is>
          <t>No</t>
        </is>
      </c>
      <c r="B455" t="inlineStr">
        <is>
          <t>DS127.6.O3 H38 1981</t>
        </is>
      </c>
      <c r="C455" t="inlineStr">
        <is>
          <t>0                      DS 0127600O  3                  H  38          1981</t>
        </is>
      </c>
      <c r="D455" t="inlineStr">
        <is>
          <t>Palestinian self-determination : a study of the West Bank and Gaza Strip / Hassan bin Talal.</t>
        </is>
      </c>
      <c r="F455" t="inlineStr">
        <is>
          <t>No</t>
        </is>
      </c>
      <c r="G455" t="inlineStr">
        <is>
          <t>1</t>
        </is>
      </c>
      <c r="H455" t="inlineStr">
        <is>
          <t>No</t>
        </is>
      </c>
      <c r="I455" t="inlineStr">
        <is>
          <t>No</t>
        </is>
      </c>
      <c r="J455" t="inlineStr">
        <is>
          <t>0</t>
        </is>
      </c>
      <c r="K455" t="inlineStr">
        <is>
          <t>Hassan bin Talal, Prince of Jordan</t>
        </is>
      </c>
      <c r="L455" t="inlineStr">
        <is>
          <t>New York : Quartet Books, 1981.</t>
        </is>
      </c>
      <c r="M455" t="inlineStr">
        <is>
          <t>1981</t>
        </is>
      </c>
      <c r="O455" t="inlineStr">
        <is>
          <t>eng</t>
        </is>
      </c>
      <c r="P455" t="inlineStr">
        <is>
          <t>nyu</t>
        </is>
      </c>
      <c r="R455" t="inlineStr">
        <is>
          <t xml:space="preserve">DS </t>
        </is>
      </c>
      <c r="S455" t="n">
        <v>3</v>
      </c>
      <c r="T455" t="n">
        <v>3</v>
      </c>
      <c r="U455" t="inlineStr">
        <is>
          <t>1994-04-08</t>
        </is>
      </c>
      <c r="V455" t="inlineStr">
        <is>
          <t>1994-04-08</t>
        </is>
      </c>
      <c r="W455" t="inlineStr">
        <is>
          <t>1990-06-20</t>
        </is>
      </c>
      <c r="X455" t="inlineStr">
        <is>
          <t>1990-06-20</t>
        </is>
      </c>
      <c r="Y455" t="n">
        <v>1029</v>
      </c>
      <c r="Z455" t="n">
        <v>939</v>
      </c>
      <c r="AA455" t="n">
        <v>952</v>
      </c>
      <c r="AB455" t="n">
        <v>8</v>
      </c>
      <c r="AC455" t="n">
        <v>8</v>
      </c>
      <c r="AD455" t="n">
        <v>47</v>
      </c>
      <c r="AE455" t="n">
        <v>47</v>
      </c>
      <c r="AF455" t="n">
        <v>22</v>
      </c>
      <c r="AG455" t="n">
        <v>22</v>
      </c>
      <c r="AH455" t="n">
        <v>8</v>
      </c>
      <c r="AI455" t="n">
        <v>8</v>
      </c>
      <c r="AJ455" t="n">
        <v>22</v>
      </c>
      <c r="AK455" t="n">
        <v>22</v>
      </c>
      <c r="AL455" t="n">
        <v>7</v>
      </c>
      <c r="AM455" t="n">
        <v>7</v>
      </c>
      <c r="AN455" t="n">
        <v>0</v>
      </c>
      <c r="AO455" t="n">
        <v>0</v>
      </c>
      <c r="AP455" t="inlineStr">
        <is>
          <t>No</t>
        </is>
      </c>
      <c r="AQ455" t="inlineStr">
        <is>
          <t>Yes</t>
        </is>
      </c>
      <c r="AR455">
        <f>HYPERLINK("http://catalog.hathitrust.org/Record/000182301","HathiTrust Record")</f>
        <v/>
      </c>
      <c r="AS455">
        <f>HYPERLINK("https://creighton-primo.hosted.exlibrisgroup.com/primo-explore/search?tab=default_tab&amp;search_scope=EVERYTHING&amp;vid=01CRU&amp;lang=en_US&amp;offset=0&amp;query=any,contains,991005162759702656","Catalog Record")</f>
        <v/>
      </c>
      <c r="AT455">
        <f>HYPERLINK("http://www.worldcat.org/oclc/7798284","WorldCat Record")</f>
        <v/>
      </c>
      <c r="AU455" t="inlineStr">
        <is>
          <t>29912409:eng</t>
        </is>
      </c>
      <c r="AV455" t="inlineStr">
        <is>
          <t>7798284</t>
        </is>
      </c>
      <c r="AW455" t="inlineStr">
        <is>
          <t>991005162759702656</t>
        </is>
      </c>
      <c r="AX455" t="inlineStr">
        <is>
          <t>991005162759702656</t>
        </is>
      </c>
      <c r="AY455" t="inlineStr">
        <is>
          <t>2262647520002656</t>
        </is>
      </c>
      <c r="AZ455" t="inlineStr">
        <is>
          <t>BOOK</t>
        </is>
      </c>
      <c r="BB455" t="inlineStr">
        <is>
          <t>9780704323124</t>
        </is>
      </c>
      <c r="BC455" t="inlineStr">
        <is>
          <t>32285000210228</t>
        </is>
      </c>
      <c r="BD455" t="inlineStr">
        <is>
          <t>893263643</t>
        </is>
      </c>
    </row>
    <row r="456">
      <c r="A456" t="inlineStr">
        <is>
          <t>No</t>
        </is>
      </c>
      <c r="B456" t="inlineStr">
        <is>
          <t>DS127.6.O3 P35</t>
        </is>
      </c>
      <c r="C456" t="inlineStr">
        <is>
          <t>0                      DS 0127600O  3                  P  35</t>
        </is>
      </c>
      <c r="D456" t="inlineStr">
        <is>
          <t>A Palestinian agenda for the West Bank and Gaza / edited by Emile A. Nakhleh.</t>
        </is>
      </c>
      <c r="F456" t="inlineStr">
        <is>
          <t>No</t>
        </is>
      </c>
      <c r="G456" t="inlineStr">
        <is>
          <t>1</t>
        </is>
      </c>
      <c r="H456" t="inlineStr">
        <is>
          <t>No</t>
        </is>
      </c>
      <c r="I456" t="inlineStr">
        <is>
          <t>No</t>
        </is>
      </c>
      <c r="J456" t="inlineStr">
        <is>
          <t>0</t>
        </is>
      </c>
      <c r="L456" t="inlineStr">
        <is>
          <t>Washington, D.C. : American Enterprise Institute for Public Policy Research, c1980.</t>
        </is>
      </c>
      <c r="M456" t="inlineStr">
        <is>
          <t>1980</t>
        </is>
      </c>
      <c r="O456" t="inlineStr">
        <is>
          <t>eng</t>
        </is>
      </c>
      <c r="P456" t="inlineStr">
        <is>
          <t>dcu</t>
        </is>
      </c>
      <c r="Q456" t="inlineStr">
        <is>
          <t>AEI studies ; 277</t>
        </is>
      </c>
      <c r="R456" t="inlineStr">
        <is>
          <t xml:space="preserve">DS </t>
        </is>
      </c>
      <c r="S456" t="n">
        <v>1</v>
      </c>
      <c r="T456" t="n">
        <v>1</v>
      </c>
      <c r="U456" t="inlineStr">
        <is>
          <t>1994-04-08</t>
        </is>
      </c>
      <c r="V456" t="inlineStr">
        <is>
          <t>1994-04-08</t>
        </is>
      </c>
      <c r="W456" t="inlineStr">
        <is>
          <t>1990-10-02</t>
        </is>
      </c>
      <c r="X456" t="inlineStr">
        <is>
          <t>1990-10-02</t>
        </is>
      </c>
      <c r="Y456" t="n">
        <v>567</v>
      </c>
      <c r="Z456" t="n">
        <v>500</v>
      </c>
      <c r="AA456" t="n">
        <v>513</v>
      </c>
      <c r="AB456" t="n">
        <v>5</v>
      </c>
      <c r="AC456" t="n">
        <v>5</v>
      </c>
      <c r="AD456" t="n">
        <v>23</v>
      </c>
      <c r="AE456" t="n">
        <v>24</v>
      </c>
      <c r="AF456" t="n">
        <v>6</v>
      </c>
      <c r="AG456" t="n">
        <v>6</v>
      </c>
      <c r="AH456" t="n">
        <v>7</v>
      </c>
      <c r="AI456" t="n">
        <v>7</v>
      </c>
      <c r="AJ456" t="n">
        <v>10</v>
      </c>
      <c r="AK456" t="n">
        <v>10</v>
      </c>
      <c r="AL456" t="n">
        <v>4</v>
      </c>
      <c r="AM456" t="n">
        <v>4</v>
      </c>
      <c r="AN456" t="n">
        <v>3</v>
      </c>
      <c r="AO456" t="n">
        <v>4</v>
      </c>
      <c r="AP456" t="inlineStr">
        <is>
          <t>No</t>
        </is>
      </c>
      <c r="AQ456" t="inlineStr">
        <is>
          <t>Yes</t>
        </is>
      </c>
      <c r="AR456">
        <f>HYPERLINK("http://catalog.hathitrust.org/Record/000724324","HathiTrust Record")</f>
        <v/>
      </c>
      <c r="AS456">
        <f>HYPERLINK("https://creighton-primo.hosted.exlibrisgroup.com/primo-explore/search?tab=default_tab&amp;search_scope=EVERYTHING&amp;vid=01CRU&amp;lang=en_US&amp;offset=0&amp;query=any,contains,991004969309702656","Catalog Record")</f>
        <v/>
      </c>
      <c r="AT456">
        <f>HYPERLINK("http://www.worldcat.org/oclc/6356294","WorldCat Record")</f>
        <v/>
      </c>
      <c r="AU456" t="inlineStr">
        <is>
          <t>21953382:eng</t>
        </is>
      </c>
      <c r="AV456" t="inlineStr">
        <is>
          <t>6356294</t>
        </is>
      </c>
      <c r="AW456" t="inlineStr">
        <is>
          <t>991004969309702656</t>
        </is>
      </c>
      <c r="AX456" t="inlineStr">
        <is>
          <t>991004969309702656</t>
        </is>
      </c>
      <c r="AY456" t="inlineStr">
        <is>
          <t>2255623010002656</t>
        </is>
      </c>
      <c r="AZ456" t="inlineStr">
        <is>
          <t>BOOK</t>
        </is>
      </c>
      <c r="BB456" t="inlineStr">
        <is>
          <t>9780844733807</t>
        </is>
      </c>
      <c r="BC456" t="inlineStr">
        <is>
          <t>32285000294107</t>
        </is>
      </c>
      <c r="BD456" t="inlineStr">
        <is>
          <t>893719608</t>
        </is>
      </c>
    </row>
    <row r="457">
      <c r="A457" t="inlineStr">
        <is>
          <t>No</t>
        </is>
      </c>
      <c r="B457" t="inlineStr">
        <is>
          <t>DS127.85 .C5</t>
        </is>
      </c>
      <c r="C457" t="inlineStr">
        <is>
          <t>0                      DS 0127850C  5</t>
        </is>
      </c>
      <c r="D457" t="inlineStr">
        <is>
          <t>Conflict in the Middle East.</t>
        </is>
      </c>
      <c r="F457" t="inlineStr">
        <is>
          <t>No</t>
        </is>
      </c>
      <c r="G457" t="inlineStr">
        <is>
          <t>1</t>
        </is>
      </c>
      <c r="H457" t="inlineStr">
        <is>
          <t>No</t>
        </is>
      </c>
      <c r="I457" t="inlineStr">
        <is>
          <t>No</t>
        </is>
      </c>
      <c r="J457" t="inlineStr">
        <is>
          <t>0</t>
        </is>
      </c>
      <c r="K457" t="inlineStr">
        <is>
          <t>Chace, James compiler.</t>
        </is>
      </c>
      <c r="L457" t="inlineStr">
        <is>
          <t>New York, H. W. Wilson, 1969.</t>
        </is>
      </c>
      <c r="M457" t="inlineStr">
        <is>
          <t>1969</t>
        </is>
      </c>
      <c r="O457" t="inlineStr">
        <is>
          <t>eng</t>
        </is>
      </c>
      <c r="P457" t="inlineStr">
        <is>
          <t>nyu</t>
        </is>
      </c>
      <c r="Q457" t="inlineStr">
        <is>
          <t>The Reference shelf, v. 40, no. 6</t>
        </is>
      </c>
      <c r="R457" t="inlineStr">
        <is>
          <t xml:space="preserve">DS </t>
        </is>
      </c>
      <c r="S457" t="n">
        <v>3</v>
      </c>
      <c r="T457" t="n">
        <v>3</v>
      </c>
      <c r="U457" t="inlineStr">
        <is>
          <t>2009-12-07</t>
        </is>
      </c>
      <c r="V457" t="inlineStr">
        <is>
          <t>2009-12-07</t>
        </is>
      </c>
      <c r="W457" t="inlineStr">
        <is>
          <t>1997-02-26</t>
        </is>
      </c>
      <c r="X457" t="inlineStr">
        <is>
          <t>1997-02-26</t>
        </is>
      </c>
      <c r="Y457" t="n">
        <v>1110</v>
      </c>
      <c r="Z457" t="n">
        <v>1045</v>
      </c>
      <c r="AA457" t="n">
        <v>1053</v>
      </c>
      <c r="AB457" t="n">
        <v>9</v>
      </c>
      <c r="AC457" t="n">
        <v>9</v>
      </c>
      <c r="AD457" t="n">
        <v>38</v>
      </c>
      <c r="AE457" t="n">
        <v>38</v>
      </c>
      <c r="AF457" t="n">
        <v>14</v>
      </c>
      <c r="AG457" t="n">
        <v>14</v>
      </c>
      <c r="AH457" t="n">
        <v>6</v>
      </c>
      <c r="AI457" t="n">
        <v>6</v>
      </c>
      <c r="AJ457" t="n">
        <v>17</v>
      </c>
      <c r="AK457" t="n">
        <v>17</v>
      </c>
      <c r="AL457" t="n">
        <v>7</v>
      </c>
      <c r="AM457" t="n">
        <v>7</v>
      </c>
      <c r="AN457" t="n">
        <v>1</v>
      </c>
      <c r="AO457" t="n">
        <v>1</v>
      </c>
      <c r="AP457" t="inlineStr">
        <is>
          <t>No</t>
        </is>
      </c>
      <c r="AQ457" t="inlineStr">
        <is>
          <t>Yes</t>
        </is>
      </c>
      <c r="AR457">
        <f>HYPERLINK("http://catalog.hathitrust.org/Record/001243576","HathiTrust Record")</f>
        <v/>
      </c>
      <c r="AS457">
        <f>HYPERLINK("https://creighton-primo.hosted.exlibrisgroup.com/primo-explore/search?tab=default_tab&amp;search_scope=EVERYTHING&amp;vid=01CRU&amp;lang=en_US&amp;offset=0&amp;query=any,contains,991005434089702656","Catalog Record")</f>
        <v/>
      </c>
      <c r="AT457">
        <f>HYPERLINK("http://www.worldcat.org/oclc/2282","WorldCat Record")</f>
        <v/>
      </c>
      <c r="AU457" t="inlineStr">
        <is>
          <t>1125551:eng</t>
        </is>
      </c>
      <c r="AV457" t="inlineStr">
        <is>
          <t>2282</t>
        </is>
      </c>
      <c r="AW457" t="inlineStr">
        <is>
          <t>991005434089702656</t>
        </is>
      </c>
      <c r="AX457" t="inlineStr">
        <is>
          <t>991005434089702656</t>
        </is>
      </c>
      <c r="AY457" t="inlineStr">
        <is>
          <t>2262802490002656</t>
        </is>
      </c>
      <c r="AZ457" t="inlineStr">
        <is>
          <t>BOOK</t>
        </is>
      </c>
      <c r="BC457" t="inlineStr">
        <is>
          <t>32285002462769</t>
        </is>
      </c>
      <c r="BD457" t="inlineStr">
        <is>
          <t>893412892</t>
        </is>
      </c>
    </row>
    <row r="458">
      <c r="A458" t="inlineStr">
        <is>
          <t>No</t>
        </is>
      </c>
      <c r="B458" t="inlineStr">
        <is>
          <t>DS128.1 .A64 1982</t>
        </is>
      </c>
      <c r="C458" t="inlineStr">
        <is>
          <t>0                      DS 0128100A  64          1982</t>
        </is>
      </c>
      <c r="D458" t="inlineStr">
        <is>
          <t>The Yom Kippur War / Peter Allen.</t>
        </is>
      </c>
      <c r="F458" t="inlineStr">
        <is>
          <t>No</t>
        </is>
      </c>
      <c r="G458" t="inlineStr">
        <is>
          <t>1</t>
        </is>
      </c>
      <c r="H458" t="inlineStr">
        <is>
          <t>No</t>
        </is>
      </c>
      <c r="I458" t="inlineStr">
        <is>
          <t>No</t>
        </is>
      </c>
      <c r="J458" t="inlineStr">
        <is>
          <t>0</t>
        </is>
      </c>
      <c r="K458" t="inlineStr">
        <is>
          <t>Allen, Peter, 1937-</t>
        </is>
      </c>
      <c r="L458" t="inlineStr">
        <is>
          <t>New York : Scribner, c1982.</t>
        </is>
      </c>
      <c r="M458" t="inlineStr">
        <is>
          <t>1982</t>
        </is>
      </c>
      <c r="O458" t="inlineStr">
        <is>
          <t>eng</t>
        </is>
      </c>
      <c r="P458" t="inlineStr">
        <is>
          <t>nyu</t>
        </is>
      </c>
      <c r="R458" t="inlineStr">
        <is>
          <t xml:space="preserve">DS </t>
        </is>
      </c>
      <c r="S458" t="n">
        <v>6</v>
      </c>
      <c r="T458" t="n">
        <v>6</v>
      </c>
      <c r="U458" t="inlineStr">
        <is>
          <t>2007-10-09</t>
        </is>
      </c>
      <c r="V458" t="inlineStr">
        <is>
          <t>2007-10-09</t>
        </is>
      </c>
      <c r="W458" t="inlineStr">
        <is>
          <t>1990-10-02</t>
        </is>
      </c>
      <c r="X458" t="inlineStr">
        <is>
          <t>1990-10-02</t>
        </is>
      </c>
      <c r="Y458" t="n">
        <v>537</v>
      </c>
      <c r="Z458" t="n">
        <v>498</v>
      </c>
      <c r="AA458" t="n">
        <v>557</v>
      </c>
      <c r="AB458" t="n">
        <v>3</v>
      </c>
      <c r="AC458" t="n">
        <v>3</v>
      </c>
      <c r="AD458" t="n">
        <v>12</v>
      </c>
      <c r="AE458" t="n">
        <v>12</v>
      </c>
      <c r="AF458" t="n">
        <v>7</v>
      </c>
      <c r="AG458" t="n">
        <v>7</v>
      </c>
      <c r="AH458" t="n">
        <v>0</v>
      </c>
      <c r="AI458" t="n">
        <v>0</v>
      </c>
      <c r="AJ458" t="n">
        <v>7</v>
      </c>
      <c r="AK458" t="n">
        <v>7</v>
      </c>
      <c r="AL458" t="n">
        <v>2</v>
      </c>
      <c r="AM458" t="n">
        <v>2</v>
      </c>
      <c r="AN458" t="n">
        <v>0</v>
      </c>
      <c r="AO458" t="n">
        <v>0</v>
      </c>
      <c r="AP458" t="inlineStr">
        <is>
          <t>No</t>
        </is>
      </c>
      <c r="AQ458" t="inlineStr">
        <is>
          <t>No</t>
        </is>
      </c>
      <c r="AS458">
        <f>HYPERLINK("https://creighton-primo.hosted.exlibrisgroup.com/primo-explore/search?tab=default_tab&amp;search_scope=EVERYTHING&amp;vid=01CRU&amp;lang=en_US&amp;offset=0&amp;query=any,contains,991005219399702656","Catalog Record")</f>
        <v/>
      </c>
      <c r="AT458">
        <f>HYPERLINK("http://www.worldcat.org/oclc/8219316","WorldCat Record")</f>
        <v/>
      </c>
      <c r="AU458" t="inlineStr">
        <is>
          <t>30928400:eng</t>
        </is>
      </c>
      <c r="AV458" t="inlineStr">
        <is>
          <t>8219316</t>
        </is>
      </c>
      <c r="AW458" t="inlineStr">
        <is>
          <t>991005219399702656</t>
        </is>
      </c>
      <c r="AX458" t="inlineStr">
        <is>
          <t>991005219399702656</t>
        </is>
      </c>
      <c r="AY458" t="inlineStr">
        <is>
          <t>2255198180002656</t>
        </is>
      </c>
      <c r="AZ458" t="inlineStr">
        <is>
          <t>BOOK</t>
        </is>
      </c>
      <c r="BB458" t="inlineStr">
        <is>
          <t>9780684174884</t>
        </is>
      </c>
      <c r="BC458" t="inlineStr">
        <is>
          <t>32285000294123</t>
        </is>
      </c>
      <c r="BD458" t="inlineStr">
        <is>
          <t>893625644</t>
        </is>
      </c>
    </row>
    <row r="459">
      <c r="A459" t="inlineStr">
        <is>
          <t>No</t>
        </is>
      </c>
      <c r="B459" t="inlineStr">
        <is>
          <t>DS128.1 .B66 2002</t>
        </is>
      </c>
      <c r="C459" t="inlineStr">
        <is>
          <t>0                      DS 0128100B  66          2002</t>
        </is>
      </c>
      <c r="D459" t="inlineStr">
        <is>
          <t>The two o'clock war : the 1973 Yom Kippur conflict and the airlift that saved Israel / Walter J. Boyne.</t>
        </is>
      </c>
      <c r="F459" t="inlineStr">
        <is>
          <t>No</t>
        </is>
      </c>
      <c r="G459" t="inlineStr">
        <is>
          <t>1</t>
        </is>
      </c>
      <c r="H459" t="inlineStr">
        <is>
          <t>No</t>
        </is>
      </c>
      <c r="I459" t="inlineStr">
        <is>
          <t>No</t>
        </is>
      </c>
      <c r="J459" t="inlineStr">
        <is>
          <t>0</t>
        </is>
      </c>
      <c r="K459" t="inlineStr">
        <is>
          <t>Boyne, Walter J., 1929-</t>
        </is>
      </c>
      <c r="L459" t="inlineStr">
        <is>
          <t>New York : Thomas Dunne Books, 2002.</t>
        </is>
      </c>
      <c r="M459" t="inlineStr">
        <is>
          <t>2002</t>
        </is>
      </c>
      <c r="N459" t="inlineStr">
        <is>
          <t>1st ed.</t>
        </is>
      </c>
      <c r="O459" t="inlineStr">
        <is>
          <t>eng</t>
        </is>
      </c>
      <c r="P459" t="inlineStr">
        <is>
          <t>nyu</t>
        </is>
      </c>
      <c r="R459" t="inlineStr">
        <is>
          <t xml:space="preserve">DS </t>
        </is>
      </c>
      <c r="S459" t="n">
        <v>9</v>
      </c>
      <c r="T459" t="n">
        <v>9</v>
      </c>
      <c r="U459" t="inlineStr">
        <is>
          <t>2009-04-17</t>
        </is>
      </c>
      <c r="V459" t="inlineStr">
        <is>
          <t>2009-04-17</t>
        </is>
      </c>
      <c r="W459" t="inlineStr">
        <is>
          <t>2002-10-29</t>
        </is>
      </c>
      <c r="X459" t="inlineStr">
        <is>
          <t>2002-10-29</t>
        </is>
      </c>
      <c r="Y459" t="n">
        <v>622</v>
      </c>
      <c r="Z459" t="n">
        <v>571</v>
      </c>
      <c r="AA459" t="n">
        <v>577</v>
      </c>
      <c r="AB459" t="n">
        <v>6</v>
      </c>
      <c r="AC459" t="n">
        <v>6</v>
      </c>
      <c r="AD459" t="n">
        <v>11</v>
      </c>
      <c r="AE459" t="n">
        <v>11</v>
      </c>
      <c r="AF459" t="n">
        <v>2</v>
      </c>
      <c r="AG459" t="n">
        <v>2</v>
      </c>
      <c r="AH459" t="n">
        <v>3</v>
      </c>
      <c r="AI459" t="n">
        <v>3</v>
      </c>
      <c r="AJ459" t="n">
        <v>4</v>
      </c>
      <c r="AK459" t="n">
        <v>4</v>
      </c>
      <c r="AL459" t="n">
        <v>4</v>
      </c>
      <c r="AM459" t="n">
        <v>4</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HYPERLINK("https://creighton-primo.hosted.exlibrisgroup.com/primo-explore/search?tab=default_tab&amp;search_scope=EVERYTHING&amp;vid=01CRU&amp;lang=en_US&amp;offset=0&amp;query=any,contains,991003911969702656","Catalog Record")</f>
        <v/>
      </c>
      <c r="AT459">
        <f>HYPERLINK("http://www.worldcat.org/oclc/49626116","WorldCat Record")</f>
        <v/>
      </c>
      <c r="AU459" t="inlineStr">
        <is>
          <t>676134:eng</t>
        </is>
      </c>
      <c r="AV459" t="inlineStr">
        <is>
          <t>49626116</t>
        </is>
      </c>
      <c r="AW459" t="inlineStr">
        <is>
          <t>991003911969702656</t>
        </is>
      </c>
      <c r="AX459" t="inlineStr">
        <is>
          <t>991003911969702656</t>
        </is>
      </c>
      <c r="AY459" t="inlineStr">
        <is>
          <t>2269076420002656</t>
        </is>
      </c>
      <c r="AZ459" t="inlineStr">
        <is>
          <t>BOOK</t>
        </is>
      </c>
      <c r="BB459" t="inlineStr">
        <is>
          <t>9780312273033</t>
        </is>
      </c>
      <c r="BC459" t="inlineStr">
        <is>
          <t>32285004659115</t>
        </is>
      </c>
      <c r="BD459" t="inlineStr">
        <is>
          <t>893525419</t>
        </is>
      </c>
    </row>
    <row r="460">
      <c r="A460" t="inlineStr">
        <is>
          <t>No</t>
        </is>
      </c>
      <c r="B460" t="inlineStr">
        <is>
          <t>DS128.1 .I87</t>
        </is>
      </c>
      <c r="C460" t="inlineStr">
        <is>
          <t>0                      DS 0128100I  87</t>
        </is>
      </c>
      <c r="D460" t="inlineStr">
        <is>
          <t>Israel &amp; the Arabs : the October 1973 war / edited by Lester A. Sobel. Contributing editor: Hal Kosut.</t>
        </is>
      </c>
      <c r="F460" t="inlineStr">
        <is>
          <t>No</t>
        </is>
      </c>
      <c r="G460" t="inlineStr">
        <is>
          <t>1</t>
        </is>
      </c>
      <c r="H460" t="inlineStr">
        <is>
          <t>No</t>
        </is>
      </c>
      <c r="I460" t="inlineStr">
        <is>
          <t>No</t>
        </is>
      </c>
      <c r="J460" t="inlineStr">
        <is>
          <t>0</t>
        </is>
      </c>
      <c r="L460" t="inlineStr">
        <is>
          <t>New York : Facts on File, inc., [1974]</t>
        </is>
      </c>
      <c r="M460" t="inlineStr">
        <is>
          <t>1974</t>
        </is>
      </c>
      <c r="O460" t="inlineStr">
        <is>
          <t>eng</t>
        </is>
      </c>
      <c r="P460" t="inlineStr">
        <is>
          <t>nyu</t>
        </is>
      </c>
      <c r="Q460" t="inlineStr">
        <is>
          <t>A Facts on File publication</t>
        </is>
      </c>
      <c r="R460" t="inlineStr">
        <is>
          <t xml:space="preserve">DS </t>
        </is>
      </c>
      <c r="S460" t="n">
        <v>4</v>
      </c>
      <c r="T460" t="n">
        <v>4</v>
      </c>
      <c r="U460" t="inlineStr">
        <is>
          <t>2007-10-09</t>
        </is>
      </c>
      <c r="V460" t="inlineStr">
        <is>
          <t>2007-10-09</t>
        </is>
      </c>
      <c r="W460" t="inlineStr">
        <is>
          <t>1995-05-23</t>
        </is>
      </c>
      <c r="X460" t="inlineStr">
        <is>
          <t>1995-05-23</t>
        </is>
      </c>
      <c r="Y460" t="n">
        <v>417</v>
      </c>
      <c r="Z460" t="n">
        <v>365</v>
      </c>
      <c r="AA460" t="n">
        <v>368</v>
      </c>
      <c r="AB460" t="n">
        <v>4</v>
      </c>
      <c r="AC460" t="n">
        <v>4</v>
      </c>
      <c r="AD460" t="n">
        <v>9</v>
      </c>
      <c r="AE460" t="n">
        <v>9</v>
      </c>
      <c r="AF460" t="n">
        <v>4</v>
      </c>
      <c r="AG460" t="n">
        <v>4</v>
      </c>
      <c r="AH460" t="n">
        <v>2</v>
      </c>
      <c r="AI460" t="n">
        <v>2</v>
      </c>
      <c r="AJ460" t="n">
        <v>3</v>
      </c>
      <c r="AK460" t="n">
        <v>3</v>
      </c>
      <c r="AL460" t="n">
        <v>3</v>
      </c>
      <c r="AM460" t="n">
        <v>3</v>
      </c>
      <c r="AN460" t="n">
        <v>0</v>
      </c>
      <c r="AO460" t="n">
        <v>0</v>
      </c>
      <c r="AP460" t="inlineStr">
        <is>
          <t>No</t>
        </is>
      </c>
      <c r="AQ460" t="inlineStr">
        <is>
          <t>Yes</t>
        </is>
      </c>
      <c r="AR460">
        <f>HYPERLINK("http://catalog.hathitrust.org/Record/000017710","HathiTrust Record")</f>
        <v/>
      </c>
      <c r="AS460">
        <f>HYPERLINK("https://creighton-primo.hosted.exlibrisgroup.com/primo-explore/search?tab=default_tab&amp;search_scope=EVERYTHING&amp;vid=01CRU&amp;lang=en_US&amp;offset=0&amp;query=any,contains,991003485249702656","Catalog Record")</f>
        <v/>
      </c>
      <c r="AT460">
        <f>HYPERLINK("http://www.worldcat.org/oclc/1032348","WorldCat Record")</f>
        <v/>
      </c>
      <c r="AU460" t="inlineStr">
        <is>
          <t>3943265668:eng</t>
        </is>
      </c>
      <c r="AV460" t="inlineStr">
        <is>
          <t>1032348</t>
        </is>
      </c>
      <c r="AW460" t="inlineStr">
        <is>
          <t>991003485249702656</t>
        </is>
      </c>
      <c r="AX460" t="inlineStr">
        <is>
          <t>991003485249702656</t>
        </is>
      </c>
      <c r="AY460" t="inlineStr">
        <is>
          <t>2268135960002656</t>
        </is>
      </c>
      <c r="AZ460" t="inlineStr">
        <is>
          <t>BOOK</t>
        </is>
      </c>
      <c r="BB460" t="inlineStr">
        <is>
          <t>9780871961730</t>
        </is>
      </c>
      <c r="BC460" t="inlineStr">
        <is>
          <t>32285002046620</t>
        </is>
      </c>
      <c r="BD460" t="inlineStr">
        <is>
          <t>893511992</t>
        </is>
      </c>
    </row>
    <row r="461">
      <c r="A461" t="inlineStr">
        <is>
          <t>No</t>
        </is>
      </c>
      <c r="B461" t="inlineStr">
        <is>
          <t>DS128.1 .O2</t>
        </is>
      </c>
      <c r="C461" t="inlineStr">
        <is>
          <t>0                      DS 0128100O  2</t>
        </is>
      </c>
      <c r="D461" t="inlineStr">
        <is>
          <t>No victor, no vanquished : the Yom Kippur War / Edgar O'Ballance.</t>
        </is>
      </c>
      <c r="F461" t="inlineStr">
        <is>
          <t>No</t>
        </is>
      </c>
      <c r="G461" t="inlineStr">
        <is>
          <t>1</t>
        </is>
      </c>
      <c r="H461" t="inlineStr">
        <is>
          <t>No</t>
        </is>
      </c>
      <c r="I461" t="inlineStr">
        <is>
          <t>No</t>
        </is>
      </c>
      <c r="J461" t="inlineStr">
        <is>
          <t>0</t>
        </is>
      </c>
      <c r="K461" t="inlineStr">
        <is>
          <t>O'Ballance, Edgar.</t>
        </is>
      </c>
      <c r="L461" t="inlineStr">
        <is>
          <t>San Rafael, Calif. : Presidio Press, c1978.</t>
        </is>
      </c>
      <c r="M461" t="inlineStr">
        <is>
          <t>1978</t>
        </is>
      </c>
      <c r="O461" t="inlineStr">
        <is>
          <t>eng</t>
        </is>
      </c>
      <c r="P461" t="inlineStr">
        <is>
          <t>cau</t>
        </is>
      </c>
      <c r="R461" t="inlineStr">
        <is>
          <t xml:space="preserve">DS </t>
        </is>
      </c>
      <c r="S461" t="n">
        <v>2</v>
      </c>
      <c r="T461" t="n">
        <v>2</v>
      </c>
      <c r="U461" t="inlineStr">
        <is>
          <t>2007-11-10</t>
        </is>
      </c>
      <c r="V461" t="inlineStr">
        <is>
          <t>2007-11-10</t>
        </is>
      </c>
      <c r="W461" t="inlineStr">
        <is>
          <t>1990-10-02</t>
        </is>
      </c>
      <c r="X461" t="inlineStr">
        <is>
          <t>1990-10-02</t>
        </is>
      </c>
      <c r="Y461" t="n">
        <v>646</v>
      </c>
      <c r="Z461" t="n">
        <v>576</v>
      </c>
      <c r="AA461" t="n">
        <v>578</v>
      </c>
      <c r="AB461" t="n">
        <v>4</v>
      </c>
      <c r="AC461" t="n">
        <v>4</v>
      </c>
      <c r="AD461" t="n">
        <v>14</v>
      </c>
      <c r="AE461" t="n">
        <v>14</v>
      </c>
      <c r="AF461" t="n">
        <v>7</v>
      </c>
      <c r="AG461" t="n">
        <v>7</v>
      </c>
      <c r="AH461" t="n">
        <v>5</v>
      </c>
      <c r="AI461" t="n">
        <v>5</v>
      </c>
      <c r="AJ461" t="n">
        <v>6</v>
      </c>
      <c r="AK461" t="n">
        <v>6</v>
      </c>
      <c r="AL461" t="n">
        <v>0</v>
      </c>
      <c r="AM461" t="n">
        <v>0</v>
      </c>
      <c r="AN461" t="n">
        <v>0</v>
      </c>
      <c r="AO461" t="n">
        <v>0</v>
      </c>
      <c r="AP461" t="inlineStr">
        <is>
          <t>No</t>
        </is>
      </c>
      <c r="AQ461" t="inlineStr">
        <is>
          <t>Yes</t>
        </is>
      </c>
      <c r="AR461">
        <f>HYPERLINK("http://catalog.hathitrust.org/Record/000029472","HathiTrust Record")</f>
        <v/>
      </c>
      <c r="AS461">
        <f>HYPERLINK("https://creighton-primo.hosted.exlibrisgroup.com/primo-explore/search?tab=default_tab&amp;search_scope=EVERYTHING&amp;vid=01CRU&amp;lang=en_US&amp;offset=0&amp;query=any,contains,991004524769702656","Catalog Record")</f>
        <v/>
      </c>
      <c r="AT461">
        <f>HYPERLINK("http://www.worldcat.org/oclc/3842812","WorldCat Record")</f>
        <v/>
      </c>
      <c r="AU461" t="inlineStr">
        <is>
          <t>548263:eng</t>
        </is>
      </c>
      <c r="AV461" t="inlineStr">
        <is>
          <t>3842812</t>
        </is>
      </c>
      <c r="AW461" t="inlineStr">
        <is>
          <t>991004524769702656</t>
        </is>
      </c>
      <c r="AX461" t="inlineStr">
        <is>
          <t>991004524769702656</t>
        </is>
      </c>
      <c r="AY461" t="inlineStr">
        <is>
          <t>2264429330002656</t>
        </is>
      </c>
      <c r="AZ461" t="inlineStr">
        <is>
          <t>BOOK</t>
        </is>
      </c>
      <c r="BB461" t="inlineStr">
        <is>
          <t>9780891410171</t>
        </is>
      </c>
      <c r="BC461" t="inlineStr">
        <is>
          <t>32285000294131</t>
        </is>
      </c>
      <c r="BD461" t="inlineStr">
        <is>
          <t>893247677</t>
        </is>
      </c>
    </row>
    <row r="462">
      <c r="A462" t="inlineStr">
        <is>
          <t>No</t>
        </is>
      </c>
      <c r="B462" t="inlineStr">
        <is>
          <t>DS128.1 .Y55 1974</t>
        </is>
      </c>
      <c r="C462" t="inlineStr">
        <is>
          <t>0                      DS 0128100Y  55          1974</t>
        </is>
      </c>
      <c r="D462" t="inlineStr">
        <is>
          <t>The Yom Kippur war / by the insight team of the London Sunday times.</t>
        </is>
      </c>
      <c r="F462" t="inlineStr">
        <is>
          <t>No</t>
        </is>
      </c>
      <c r="G462" t="inlineStr">
        <is>
          <t>1</t>
        </is>
      </c>
      <c r="H462" t="inlineStr">
        <is>
          <t>No</t>
        </is>
      </c>
      <c r="I462" t="inlineStr">
        <is>
          <t>No</t>
        </is>
      </c>
      <c r="J462" t="inlineStr">
        <is>
          <t>0</t>
        </is>
      </c>
      <c r="L462" t="inlineStr">
        <is>
          <t>Garden City, N.Y. : Doubleday, 1974.</t>
        </is>
      </c>
      <c r="M462" t="inlineStr">
        <is>
          <t>1974</t>
        </is>
      </c>
      <c r="N462" t="inlineStr">
        <is>
          <t>[1st ed. in the U.S.]</t>
        </is>
      </c>
      <c r="O462" t="inlineStr">
        <is>
          <t>eng</t>
        </is>
      </c>
      <c r="P462" t="inlineStr">
        <is>
          <t>nyu</t>
        </is>
      </c>
      <c r="R462" t="inlineStr">
        <is>
          <t xml:space="preserve">DS </t>
        </is>
      </c>
      <c r="S462" t="n">
        <v>3</v>
      </c>
      <c r="T462" t="n">
        <v>3</v>
      </c>
      <c r="U462" t="inlineStr">
        <is>
          <t>2007-10-09</t>
        </is>
      </c>
      <c r="V462" t="inlineStr">
        <is>
          <t>2007-10-09</t>
        </is>
      </c>
      <c r="W462" t="inlineStr">
        <is>
          <t>1990-06-28</t>
        </is>
      </c>
      <c r="X462" t="inlineStr">
        <is>
          <t>1990-06-28</t>
        </is>
      </c>
      <c r="Y462" t="n">
        <v>899</v>
      </c>
      <c r="Z462" t="n">
        <v>832</v>
      </c>
      <c r="AA462" t="n">
        <v>838</v>
      </c>
      <c r="AB462" t="n">
        <v>8</v>
      </c>
      <c r="AC462" t="n">
        <v>8</v>
      </c>
      <c r="AD462" t="n">
        <v>30</v>
      </c>
      <c r="AE462" t="n">
        <v>30</v>
      </c>
      <c r="AF462" t="n">
        <v>12</v>
      </c>
      <c r="AG462" t="n">
        <v>12</v>
      </c>
      <c r="AH462" t="n">
        <v>7</v>
      </c>
      <c r="AI462" t="n">
        <v>7</v>
      </c>
      <c r="AJ462" t="n">
        <v>11</v>
      </c>
      <c r="AK462" t="n">
        <v>11</v>
      </c>
      <c r="AL462" t="n">
        <v>7</v>
      </c>
      <c r="AM462" t="n">
        <v>7</v>
      </c>
      <c r="AN462" t="n">
        <v>0</v>
      </c>
      <c r="AO462" t="n">
        <v>0</v>
      </c>
      <c r="AP462" t="inlineStr">
        <is>
          <t>No</t>
        </is>
      </c>
      <c r="AQ462" t="inlineStr">
        <is>
          <t>Yes</t>
        </is>
      </c>
      <c r="AR462">
        <f>HYPERLINK("http://catalog.hathitrust.org/Record/001247004","HathiTrust Record")</f>
        <v/>
      </c>
      <c r="AS462">
        <f>HYPERLINK("https://creighton-primo.hosted.exlibrisgroup.com/primo-explore/search?tab=default_tab&amp;search_scope=EVERYTHING&amp;vid=01CRU&amp;lang=en_US&amp;offset=0&amp;query=any,contains,991003443009702656","Catalog Record")</f>
        <v/>
      </c>
      <c r="AT462">
        <f>HYPERLINK("http://www.worldcat.org/oclc/979159","WorldCat Record")</f>
        <v/>
      </c>
      <c r="AU462" t="inlineStr">
        <is>
          <t>8914067210:eng</t>
        </is>
      </c>
      <c r="AV462" t="inlineStr">
        <is>
          <t>979159</t>
        </is>
      </c>
      <c r="AW462" t="inlineStr">
        <is>
          <t>991003443009702656</t>
        </is>
      </c>
      <c r="AX462" t="inlineStr">
        <is>
          <t>991003443009702656</t>
        </is>
      </c>
      <c r="AY462" t="inlineStr">
        <is>
          <t>2261779750002656</t>
        </is>
      </c>
      <c r="AZ462" t="inlineStr">
        <is>
          <t>BOOK</t>
        </is>
      </c>
      <c r="BB462" t="inlineStr">
        <is>
          <t>9780385067386</t>
        </is>
      </c>
      <c r="BC462" t="inlineStr">
        <is>
          <t>32285000204072</t>
        </is>
      </c>
      <c r="BD462" t="inlineStr">
        <is>
          <t>893604787</t>
        </is>
      </c>
    </row>
    <row r="463">
      <c r="A463" t="inlineStr">
        <is>
          <t>No</t>
        </is>
      </c>
      <c r="B463" t="inlineStr">
        <is>
          <t>DS128.1.A1 S45 1973</t>
        </is>
      </c>
      <c r="C463" t="inlineStr">
        <is>
          <t>0                      DS 0128100A  1                  S  45          1973</t>
        </is>
      </c>
      <c r="D463" t="inlineStr">
        <is>
          <t>The Yom Kippur War : Israel and the Jewish people / edited by Moshe Davis.</t>
        </is>
      </c>
      <c r="F463" t="inlineStr">
        <is>
          <t>No</t>
        </is>
      </c>
      <c r="G463" t="inlineStr">
        <is>
          <t>1</t>
        </is>
      </c>
      <c r="H463" t="inlineStr">
        <is>
          <t>No</t>
        </is>
      </c>
      <c r="I463" t="inlineStr">
        <is>
          <t>No</t>
        </is>
      </c>
      <c r="J463" t="inlineStr">
        <is>
          <t>0</t>
        </is>
      </c>
      <c r="K463" t="inlineStr">
        <is>
          <t>Seminar on World Jewry and the Yom Kippur War (1973 : Jerusalem)</t>
        </is>
      </c>
      <c r="L463" t="inlineStr">
        <is>
          <t>[New York] : Arno Press, [1974]</t>
        </is>
      </c>
      <c r="M463" t="inlineStr">
        <is>
          <t>1974</t>
        </is>
      </c>
      <c r="O463" t="inlineStr">
        <is>
          <t>eng</t>
        </is>
      </c>
      <c r="P463" t="inlineStr">
        <is>
          <t>nyu</t>
        </is>
      </c>
      <c r="Q463" t="inlineStr">
        <is>
          <t>Publications of the Continuing Seminar on World Jewry ; vol. 1]</t>
        </is>
      </c>
      <c r="R463" t="inlineStr">
        <is>
          <t xml:space="preserve">DS </t>
        </is>
      </c>
      <c r="S463" t="n">
        <v>4</v>
      </c>
      <c r="T463" t="n">
        <v>4</v>
      </c>
      <c r="U463" t="inlineStr">
        <is>
          <t>2009-04-17</t>
        </is>
      </c>
      <c r="V463" t="inlineStr">
        <is>
          <t>2009-04-17</t>
        </is>
      </c>
      <c r="W463" t="inlineStr">
        <is>
          <t>1992-12-16</t>
        </is>
      </c>
      <c r="X463" t="inlineStr">
        <is>
          <t>1992-12-16</t>
        </is>
      </c>
      <c r="Y463" t="n">
        <v>650</v>
      </c>
      <c r="Z463" t="n">
        <v>555</v>
      </c>
      <c r="AA463" t="n">
        <v>567</v>
      </c>
      <c r="AB463" t="n">
        <v>4</v>
      </c>
      <c r="AC463" t="n">
        <v>4</v>
      </c>
      <c r="AD463" t="n">
        <v>13</v>
      </c>
      <c r="AE463" t="n">
        <v>13</v>
      </c>
      <c r="AF463" t="n">
        <v>4</v>
      </c>
      <c r="AG463" t="n">
        <v>4</v>
      </c>
      <c r="AH463" t="n">
        <v>6</v>
      </c>
      <c r="AI463" t="n">
        <v>6</v>
      </c>
      <c r="AJ463" t="n">
        <v>4</v>
      </c>
      <c r="AK463" t="n">
        <v>4</v>
      </c>
      <c r="AL463" t="n">
        <v>3</v>
      </c>
      <c r="AM463" t="n">
        <v>3</v>
      </c>
      <c r="AN463" t="n">
        <v>0</v>
      </c>
      <c r="AO463" t="n">
        <v>0</v>
      </c>
      <c r="AP463" t="inlineStr">
        <is>
          <t>No</t>
        </is>
      </c>
      <c r="AQ463" t="inlineStr">
        <is>
          <t>Yes</t>
        </is>
      </c>
      <c r="AR463">
        <f>HYPERLINK("http://catalog.hathitrust.org/Record/001243593","HathiTrust Record")</f>
        <v/>
      </c>
      <c r="AS463">
        <f>HYPERLINK("https://creighton-primo.hosted.exlibrisgroup.com/primo-explore/search?tab=default_tab&amp;search_scope=EVERYTHING&amp;vid=01CRU&amp;lang=en_US&amp;offset=0&amp;query=any,contains,991003557029702656","Catalog Record")</f>
        <v/>
      </c>
      <c r="AT463">
        <f>HYPERLINK("http://www.worldcat.org/oclc/1125798","WorldCat Record")</f>
        <v/>
      </c>
      <c r="AU463" t="inlineStr">
        <is>
          <t>864120836:eng</t>
        </is>
      </c>
      <c r="AV463" t="inlineStr">
        <is>
          <t>1125798</t>
        </is>
      </c>
      <c r="AW463" t="inlineStr">
        <is>
          <t>991003557029702656</t>
        </is>
      </c>
      <c r="AX463" t="inlineStr">
        <is>
          <t>991003557029702656</t>
        </is>
      </c>
      <c r="AY463" t="inlineStr">
        <is>
          <t>2268873370002656</t>
        </is>
      </c>
      <c r="AZ463" t="inlineStr">
        <is>
          <t>BOOK</t>
        </is>
      </c>
      <c r="BB463" t="inlineStr">
        <is>
          <t>9780405061929</t>
        </is>
      </c>
      <c r="BC463" t="inlineStr">
        <is>
          <t>32285001443091</t>
        </is>
      </c>
      <c r="BD463" t="inlineStr">
        <is>
          <t>893793735</t>
        </is>
      </c>
    </row>
    <row r="464">
      <c r="A464" t="inlineStr">
        <is>
          <t>No</t>
        </is>
      </c>
      <c r="B464" t="inlineStr">
        <is>
          <t>DS128.152 .I8</t>
        </is>
      </c>
      <c r="C464" t="inlineStr">
        <is>
          <t>0                      DS 0128152I  8</t>
        </is>
      </c>
      <c r="D464" t="inlineStr">
        <is>
          <t>Facts &amp; documents on the treatment of prisoners of war, Yom Kippur War, Syrian Front / Ministry of Defence, Israel. --</t>
        </is>
      </c>
      <c r="F464" t="inlineStr">
        <is>
          <t>No</t>
        </is>
      </c>
      <c r="G464" t="inlineStr">
        <is>
          <t>1</t>
        </is>
      </c>
      <c r="H464" t="inlineStr">
        <is>
          <t>No</t>
        </is>
      </c>
      <c r="I464" t="inlineStr">
        <is>
          <t>No</t>
        </is>
      </c>
      <c r="J464" t="inlineStr">
        <is>
          <t>0</t>
        </is>
      </c>
      <c r="K464" t="inlineStr">
        <is>
          <t>Israel. Miśrad ha-biṭaḥon.</t>
        </is>
      </c>
      <c r="L464" t="inlineStr">
        <is>
          <t>Jerusalem : [s.n.] 1977.</t>
        </is>
      </c>
      <c r="M464" t="inlineStr">
        <is>
          <t>1977</t>
        </is>
      </c>
      <c r="O464" t="inlineStr">
        <is>
          <t>eng</t>
        </is>
      </c>
      <c r="P464" t="inlineStr">
        <is>
          <t xml:space="preserve">is </t>
        </is>
      </c>
      <c r="R464" t="inlineStr">
        <is>
          <t xml:space="preserve">DS </t>
        </is>
      </c>
      <c r="S464" t="n">
        <v>4</v>
      </c>
      <c r="T464" t="n">
        <v>4</v>
      </c>
      <c r="U464" t="inlineStr">
        <is>
          <t>2007-10-09</t>
        </is>
      </c>
      <c r="V464" t="inlineStr">
        <is>
          <t>2007-10-09</t>
        </is>
      </c>
      <c r="W464" t="inlineStr">
        <is>
          <t>1990-10-02</t>
        </is>
      </c>
      <c r="X464" t="inlineStr">
        <is>
          <t>1990-10-02</t>
        </is>
      </c>
      <c r="Y464" t="n">
        <v>34</v>
      </c>
      <c r="Z464" t="n">
        <v>31</v>
      </c>
      <c r="AA464" t="n">
        <v>75</v>
      </c>
      <c r="AB464" t="n">
        <v>1</v>
      </c>
      <c r="AC464" t="n">
        <v>1</v>
      </c>
      <c r="AD464" t="n">
        <v>3</v>
      </c>
      <c r="AE464" t="n">
        <v>4</v>
      </c>
      <c r="AF464" t="n">
        <v>0</v>
      </c>
      <c r="AG464" t="n">
        <v>1</v>
      </c>
      <c r="AH464" t="n">
        <v>2</v>
      </c>
      <c r="AI464" t="n">
        <v>2</v>
      </c>
      <c r="AJ464" t="n">
        <v>3</v>
      </c>
      <c r="AK464" t="n">
        <v>3</v>
      </c>
      <c r="AL464" t="n">
        <v>0</v>
      </c>
      <c r="AM464" t="n">
        <v>0</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HYPERLINK("https://creighton-primo.hosted.exlibrisgroup.com/primo-explore/search?tab=default_tab&amp;search_scope=EVERYTHING&amp;vid=01CRU&amp;lang=en_US&amp;offset=0&amp;query=any,contains,991004598319702656","Catalog Record")</f>
        <v/>
      </c>
      <c r="AT464">
        <f>HYPERLINK("http://www.worldcat.org/oclc/4157859","WorldCat Record")</f>
        <v/>
      </c>
      <c r="AU464" t="inlineStr">
        <is>
          <t>19005450:eng</t>
        </is>
      </c>
      <c r="AV464" t="inlineStr">
        <is>
          <t>4157859</t>
        </is>
      </c>
      <c r="AW464" t="inlineStr">
        <is>
          <t>991004598319702656</t>
        </is>
      </c>
      <c r="AX464" t="inlineStr">
        <is>
          <t>991004598319702656</t>
        </is>
      </c>
      <c r="AY464" t="inlineStr">
        <is>
          <t>2255720120002656</t>
        </is>
      </c>
      <c r="AZ464" t="inlineStr">
        <is>
          <t>BOOK</t>
        </is>
      </c>
      <c r="BC464" t="inlineStr">
        <is>
          <t>32285000294164</t>
        </is>
      </c>
      <c r="BD464" t="inlineStr">
        <is>
          <t>893229533</t>
        </is>
      </c>
    </row>
    <row r="465">
      <c r="A465" t="inlineStr">
        <is>
          <t>No</t>
        </is>
      </c>
      <c r="B465" t="inlineStr">
        <is>
          <t>DS128.18 .G64 1976</t>
        </is>
      </c>
      <c r="C465" t="inlineStr">
        <is>
          <t>0                      DS 0128180G  64          1976</t>
        </is>
      </c>
      <c r="D465" t="inlineStr">
        <is>
          <t>The secret conversations of Henry Kissinger : step-by-step diplomacy in the Middle-East / by Matti Golan ; translated by Ruth Geyra Stern and Sol Stern.</t>
        </is>
      </c>
      <c r="F465" t="inlineStr">
        <is>
          <t>No</t>
        </is>
      </c>
      <c r="G465" t="inlineStr">
        <is>
          <t>1</t>
        </is>
      </c>
      <c r="H465" t="inlineStr">
        <is>
          <t>No</t>
        </is>
      </c>
      <c r="I465" t="inlineStr">
        <is>
          <t>No</t>
        </is>
      </c>
      <c r="J465" t="inlineStr">
        <is>
          <t>0</t>
        </is>
      </c>
      <c r="K465" t="inlineStr">
        <is>
          <t>Golan, Matti.</t>
        </is>
      </c>
      <c r="L465" t="inlineStr">
        <is>
          <t>New York : Quadrangle/New York Times Book Co., c1976.</t>
        </is>
      </c>
      <c r="M465" t="inlineStr">
        <is>
          <t>1976</t>
        </is>
      </c>
      <c r="O465" t="inlineStr">
        <is>
          <t>eng</t>
        </is>
      </c>
      <c r="P465" t="inlineStr">
        <is>
          <t>nyu</t>
        </is>
      </c>
      <c r="R465" t="inlineStr">
        <is>
          <t xml:space="preserve">DS </t>
        </is>
      </c>
      <c r="S465" t="n">
        <v>8</v>
      </c>
      <c r="T465" t="n">
        <v>8</v>
      </c>
      <c r="U465" t="inlineStr">
        <is>
          <t>2007-11-03</t>
        </is>
      </c>
      <c r="V465" t="inlineStr">
        <is>
          <t>2007-11-03</t>
        </is>
      </c>
      <c r="W465" t="inlineStr">
        <is>
          <t>1990-10-02</t>
        </is>
      </c>
      <c r="X465" t="inlineStr">
        <is>
          <t>1990-10-02</t>
        </is>
      </c>
      <c r="Y465" t="n">
        <v>1039</v>
      </c>
      <c r="Z465" t="n">
        <v>919</v>
      </c>
      <c r="AA465" t="n">
        <v>947</v>
      </c>
      <c r="AB465" t="n">
        <v>6</v>
      </c>
      <c r="AC465" t="n">
        <v>6</v>
      </c>
      <c r="AD465" t="n">
        <v>30</v>
      </c>
      <c r="AE465" t="n">
        <v>31</v>
      </c>
      <c r="AF465" t="n">
        <v>11</v>
      </c>
      <c r="AG465" t="n">
        <v>12</v>
      </c>
      <c r="AH465" t="n">
        <v>9</v>
      </c>
      <c r="AI465" t="n">
        <v>9</v>
      </c>
      <c r="AJ465" t="n">
        <v>13</v>
      </c>
      <c r="AK465" t="n">
        <v>14</v>
      </c>
      <c r="AL465" t="n">
        <v>5</v>
      </c>
      <c r="AM465" t="n">
        <v>5</v>
      </c>
      <c r="AN465" t="n">
        <v>1</v>
      </c>
      <c r="AO465" t="n">
        <v>1</v>
      </c>
      <c r="AP465" t="inlineStr">
        <is>
          <t>No</t>
        </is>
      </c>
      <c r="AQ465" t="inlineStr">
        <is>
          <t>No</t>
        </is>
      </c>
      <c r="AS465">
        <f>HYPERLINK("https://creighton-primo.hosted.exlibrisgroup.com/primo-explore/search?tab=default_tab&amp;search_scope=EVERYTHING&amp;vid=01CRU&amp;lang=en_US&amp;offset=0&amp;query=any,contains,991004001329702656","Catalog Record")</f>
        <v/>
      </c>
      <c r="AT465">
        <f>HYPERLINK("http://www.worldcat.org/oclc/2073972","WorldCat Record")</f>
        <v/>
      </c>
      <c r="AU465" t="inlineStr">
        <is>
          <t>836640776:eng</t>
        </is>
      </c>
      <c r="AV465" t="inlineStr">
        <is>
          <t>2073972</t>
        </is>
      </c>
      <c r="AW465" t="inlineStr">
        <is>
          <t>991004001329702656</t>
        </is>
      </c>
      <c r="AX465" t="inlineStr">
        <is>
          <t>991004001329702656</t>
        </is>
      </c>
      <c r="AY465" t="inlineStr">
        <is>
          <t>2255263060002656</t>
        </is>
      </c>
      <c r="AZ465" t="inlineStr">
        <is>
          <t>BOOK</t>
        </is>
      </c>
      <c r="BB465" t="inlineStr">
        <is>
          <t>9780812906080</t>
        </is>
      </c>
      <c r="BC465" t="inlineStr">
        <is>
          <t>32285000294172</t>
        </is>
      </c>
      <c r="BD465" t="inlineStr">
        <is>
          <t>893234935</t>
        </is>
      </c>
    </row>
    <row r="466">
      <c r="A466" t="inlineStr">
        <is>
          <t>No</t>
        </is>
      </c>
      <c r="B466" t="inlineStr">
        <is>
          <t>DS128.183 .P42</t>
        </is>
      </c>
      <c r="C466" t="inlineStr">
        <is>
          <t>0                      DS 0128183P  42</t>
        </is>
      </c>
      <c r="D466" t="inlineStr">
        <is>
          <t>Peace-making in the Middle East / edited by Lester A. Sobel, contributing editor, Hal Kosut.</t>
        </is>
      </c>
      <c r="F466" t="inlineStr">
        <is>
          <t>No</t>
        </is>
      </c>
      <c r="G466" t="inlineStr">
        <is>
          <t>1</t>
        </is>
      </c>
      <c r="H466" t="inlineStr">
        <is>
          <t>No</t>
        </is>
      </c>
      <c r="I466" t="inlineStr">
        <is>
          <t>No</t>
        </is>
      </c>
      <c r="J466" t="inlineStr">
        <is>
          <t>0</t>
        </is>
      </c>
      <c r="L466" t="inlineStr">
        <is>
          <t>New York : Facts on File Inc., c1980.</t>
        </is>
      </c>
      <c r="M466" t="inlineStr">
        <is>
          <t>1980</t>
        </is>
      </c>
      <c r="O466" t="inlineStr">
        <is>
          <t>eng</t>
        </is>
      </c>
      <c r="P466" t="inlineStr">
        <is>
          <t>nyu</t>
        </is>
      </c>
      <c r="Q466" t="inlineStr">
        <is>
          <t>Checkmark books</t>
        </is>
      </c>
      <c r="R466" t="inlineStr">
        <is>
          <t xml:space="preserve">DS </t>
        </is>
      </c>
      <c r="S466" t="n">
        <v>2</v>
      </c>
      <c r="T466" t="n">
        <v>2</v>
      </c>
      <c r="U466" t="inlineStr">
        <is>
          <t>1993-04-05</t>
        </is>
      </c>
      <c r="V466" t="inlineStr">
        <is>
          <t>1993-04-05</t>
        </is>
      </c>
      <c r="W466" t="inlineStr">
        <is>
          <t>1990-04-25</t>
        </is>
      </c>
      <c r="X466" t="inlineStr">
        <is>
          <t>1990-04-25</t>
        </is>
      </c>
      <c r="Y466" t="n">
        <v>539</v>
      </c>
      <c r="Z466" t="n">
        <v>463</v>
      </c>
      <c r="AA466" t="n">
        <v>466</v>
      </c>
      <c r="AB466" t="n">
        <v>2</v>
      </c>
      <c r="AC466" t="n">
        <v>2</v>
      </c>
      <c r="AD466" t="n">
        <v>15</v>
      </c>
      <c r="AE466" t="n">
        <v>15</v>
      </c>
      <c r="AF466" t="n">
        <v>5</v>
      </c>
      <c r="AG466" t="n">
        <v>5</v>
      </c>
      <c r="AH466" t="n">
        <v>6</v>
      </c>
      <c r="AI466" t="n">
        <v>6</v>
      </c>
      <c r="AJ466" t="n">
        <v>7</v>
      </c>
      <c r="AK466" t="n">
        <v>7</v>
      </c>
      <c r="AL466" t="n">
        <v>1</v>
      </c>
      <c r="AM466" t="n">
        <v>1</v>
      </c>
      <c r="AN466" t="n">
        <v>0</v>
      </c>
      <c r="AO466" t="n">
        <v>0</v>
      </c>
      <c r="AP466" t="inlineStr">
        <is>
          <t>No</t>
        </is>
      </c>
      <c r="AQ466" t="inlineStr">
        <is>
          <t>Yes</t>
        </is>
      </c>
      <c r="AR466">
        <f>HYPERLINK("http://catalog.hathitrust.org/Record/000763934","HathiTrust Record")</f>
        <v/>
      </c>
      <c r="AS466">
        <f>HYPERLINK("https://creighton-primo.hosted.exlibrisgroup.com/primo-explore/search?tab=default_tab&amp;search_scope=EVERYTHING&amp;vid=01CRU&amp;lang=en_US&amp;offset=0&amp;query=any,contains,991004952019702656","Catalog Record")</f>
        <v/>
      </c>
      <c r="AT466">
        <f>HYPERLINK("http://www.worldcat.org/oclc/6250905","WorldCat Record")</f>
        <v/>
      </c>
      <c r="AU466" t="inlineStr">
        <is>
          <t>350951862:eng</t>
        </is>
      </c>
      <c r="AV466" t="inlineStr">
        <is>
          <t>6250905</t>
        </is>
      </c>
      <c r="AW466" t="inlineStr">
        <is>
          <t>991004952019702656</t>
        </is>
      </c>
      <c r="AX466" t="inlineStr">
        <is>
          <t>991004952019702656</t>
        </is>
      </c>
      <c r="AY466" t="inlineStr">
        <is>
          <t>2265162920002656</t>
        </is>
      </c>
      <c r="AZ466" t="inlineStr">
        <is>
          <t>BOOK</t>
        </is>
      </c>
      <c r="BB466" t="inlineStr">
        <is>
          <t>9780871962676</t>
        </is>
      </c>
      <c r="BC466" t="inlineStr">
        <is>
          <t>32285000131846</t>
        </is>
      </c>
      <c r="BD466" t="inlineStr">
        <is>
          <t>893242014</t>
        </is>
      </c>
    </row>
    <row r="467">
      <c r="A467" t="inlineStr">
        <is>
          <t>No</t>
        </is>
      </c>
      <c r="B467" t="inlineStr">
        <is>
          <t>DS128.2 .G67 2009</t>
        </is>
      </c>
      <c r="C467" t="inlineStr">
        <is>
          <t>0                      DS 0128200G  67          2009</t>
        </is>
      </c>
      <c r="D467" t="inlineStr">
        <is>
          <t>Saving Israel : how the Jewish people can win a war that may never end / Daniel Gordis.</t>
        </is>
      </c>
      <c r="F467" t="inlineStr">
        <is>
          <t>No</t>
        </is>
      </c>
      <c r="G467" t="inlineStr">
        <is>
          <t>1</t>
        </is>
      </c>
      <c r="H467" t="inlineStr">
        <is>
          <t>No</t>
        </is>
      </c>
      <c r="I467" t="inlineStr">
        <is>
          <t>No</t>
        </is>
      </c>
      <c r="J467" t="inlineStr">
        <is>
          <t>0</t>
        </is>
      </c>
      <c r="K467" t="inlineStr">
        <is>
          <t>Gordis, Daniel.</t>
        </is>
      </c>
      <c r="L467" t="inlineStr">
        <is>
          <t>Hoboken, N.J. : John Wiley &amp; Sons, 2009.</t>
        </is>
      </c>
      <c r="M467" t="inlineStr">
        <is>
          <t>2009</t>
        </is>
      </c>
      <c r="O467" t="inlineStr">
        <is>
          <t>eng</t>
        </is>
      </c>
      <c r="P467" t="inlineStr">
        <is>
          <t>nju</t>
        </is>
      </c>
      <c r="R467" t="inlineStr">
        <is>
          <t xml:space="preserve">DS </t>
        </is>
      </c>
      <c r="S467" t="n">
        <v>1</v>
      </c>
      <c r="T467" t="n">
        <v>1</v>
      </c>
      <c r="U467" t="inlineStr">
        <is>
          <t>2010-11-18</t>
        </is>
      </c>
      <c r="V467" t="inlineStr">
        <is>
          <t>2010-11-18</t>
        </is>
      </c>
      <c r="W467" t="inlineStr">
        <is>
          <t>2010-11-18</t>
        </is>
      </c>
      <c r="X467" t="inlineStr">
        <is>
          <t>2010-11-18</t>
        </is>
      </c>
      <c r="Y467" t="n">
        <v>258</v>
      </c>
      <c r="Z467" t="n">
        <v>215</v>
      </c>
      <c r="AA467" t="n">
        <v>253</v>
      </c>
      <c r="AB467" t="n">
        <v>3</v>
      </c>
      <c r="AC467" t="n">
        <v>3</v>
      </c>
      <c r="AD467" t="n">
        <v>10</v>
      </c>
      <c r="AE467" t="n">
        <v>11</v>
      </c>
      <c r="AF467" t="n">
        <v>2</v>
      </c>
      <c r="AG467" t="n">
        <v>2</v>
      </c>
      <c r="AH467" t="n">
        <v>4</v>
      </c>
      <c r="AI467" t="n">
        <v>4</v>
      </c>
      <c r="AJ467" t="n">
        <v>6</v>
      </c>
      <c r="AK467" t="n">
        <v>7</v>
      </c>
      <c r="AL467" t="n">
        <v>2</v>
      </c>
      <c r="AM467" t="n">
        <v>2</v>
      </c>
      <c r="AN467" t="n">
        <v>0</v>
      </c>
      <c r="AO467" t="n">
        <v>0</v>
      </c>
      <c r="AP467" t="inlineStr">
        <is>
          <t>No</t>
        </is>
      </c>
      <c r="AQ467" t="inlineStr">
        <is>
          <t>No</t>
        </is>
      </c>
      <c r="AS467">
        <f>HYPERLINK("https://creighton-primo.hosted.exlibrisgroup.com/primo-explore/search?tab=default_tab&amp;search_scope=EVERYTHING&amp;vid=01CRU&amp;lang=en_US&amp;offset=0&amp;query=any,contains,991000222669702656","Catalog Record")</f>
        <v/>
      </c>
      <c r="AT467">
        <f>HYPERLINK("http://www.worldcat.org/oclc/244177268","WorldCat Record")</f>
        <v/>
      </c>
      <c r="AU467" t="inlineStr">
        <is>
          <t>864051326:eng</t>
        </is>
      </c>
      <c r="AV467" t="inlineStr">
        <is>
          <t>244177268</t>
        </is>
      </c>
      <c r="AW467" t="inlineStr">
        <is>
          <t>991000222669702656</t>
        </is>
      </c>
      <c r="AX467" t="inlineStr">
        <is>
          <t>991000222669702656</t>
        </is>
      </c>
      <c r="AY467" t="inlineStr">
        <is>
          <t>2257645540002656</t>
        </is>
      </c>
      <c r="AZ467" t="inlineStr">
        <is>
          <t>BOOK</t>
        </is>
      </c>
      <c r="BB467" t="inlineStr">
        <is>
          <t>9780470643907</t>
        </is>
      </c>
      <c r="BC467" t="inlineStr">
        <is>
          <t>32285005606925</t>
        </is>
      </c>
      <c r="BD467" t="inlineStr">
        <is>
          <t>893425537</t>
        </is>
      </c>
    </row>
    <row r="468">
      <c r="A468" t="inlineStr">
        <is>
          <t>No</t>
        </is>
      </c>
      <c r="B468" t="inlineStr">
        <is>
          <t>DS128.2 .Z45 2006</t>
        </is>
      </c>
      <c r="C468" t="inlineStr">
        <is>
          <t>0                      DS 0128200Z  45          2006</t>
        </is>
      </c>
      <c r="D468" t="inlineStr">
        <is>
          <t>Israel's unilaterialism : beyond Gaza / Robert Zelnick.</t>
        </is>
      </c>
      <c r="F468" t="inlineStr">
        <is>
          <t>No</t>
        </is>
      </c>
      <c r="G468" t="inlineStr">
        <is>
          <t>1</t>
        </is>
      </c>
      <c r="H468" t="inlineStr">
        <is>
          <t>No</t>
        </is>
      </c>
      <c r="I468" t="inlineStr">
        <is>
          <t>No</t>
        </is>
      </c>
      <c r="J468" t="inlineStr">
        <is>
          <t>0</t>
        </is>
      </c>
      <c r="K468" t="inlineStr">
        <is>
          <t>Zelnick, Robert, 1940-</t>
        </is>
      </c>
      <c r="L468" t="inlineStr">
        <is>
          <t>Stanford, Calif. : Hoover Institution Press, Stanford University, c2006.</t>
        </is>
      </c>
      <c r="M468" t="inlineStr">
        <is>
          <t>2006</t>
        </is>
      </c>
      <c r="O468" t="inlineStr">
        <is>
          <t>eng</t>
        </is>
      </c>
      <c r="P468" t="inlineStr">
        <is>
          <t>cau</t>
        </is>
      </c>
      <c r="Q468" t="inlineStr">
        <is>
          <t>Hoover Institution Press publication ; no. 550</t>
        </is>
      </c>
      <c r="R468" t="inlineStr">
        <is>
          <t xml:space="preserve">DS </t>
        </is>
      </c>
      <c r="S468" t="n">
        <v>1</v>
      </c>
      <c r="T468" t="n">
        <v>1</v>
      </c>
      <c r="U468" t="inlineStr">
        <is>
          <t>2006-11-06</t>
        </is>
      </c>
      <c r="V468" t="inlineStr">
        <is>
          <t>2006-11-06</t>
        </is>
      </c>
      <c r="W468" t="inlineStr">
        <is>
          <t>2006-11-06</t>
        </is>
      </c>
      <c r="X468" t="inlineStr">
        <is>
          <t>2006-11-06</t>
        </is>
      </c>
      <c r="Y468" t="n">
        <v>267</v>
      </c>
      <c r="Z468" t="n">
        <v>227</v>
      </c>
      <c r="AA468" t="n">
        <v>710</v>
      </c>
      <c r="AB468" t="n">
        <v>2</v>
      </c>
      <c r="AC468" t="n">
        <v>6</v>
      </c>
      <c r="AD468" t="n">
        <v>12</v>
      </c>
      <c r="AE468" t="n">
        <v>27</v>
      </c>
      <c r="AF468" t="n">
        <v>3</v>
      </c>
      <c r="AG468" t="n">
        <v>7</v>
      </c>
      <c r="AH468" t="n">
        <v>5</v>
      </c>
      <c r="AI468" t="n">
        <v>9</v>
      </c>
      <c r="AJ468" t="n">
        <v>7</v>
      </c>
      <c r="AK468" t="n">
        <v>11</v>
      </c>
      <c r="AL468" t="n">
        <v>1</v>
      </c>
      <c r="AM468" t="n">
        <v>5</v>
      </c>
      <c r="AN468" t="n">
        <v>0</v>
      </c>
      <c r="AO468" t="n">
        <v>1</v>
      </c>
      <c r="AP468" t="inlineStr">
        <is>
          <t>No</t>
        </is>
      </c>
      <c r="AQ468" t="inlineStr">
        <is>
          <t>No</t>
        </is>
      </c>
      <c r="AS468">
        <f>HYPERLINK("https://creighton-primo.hosted.exlibrisgroup.com/primo-explore/search?tab=default_tab&amp;search_scope=EVERYTHING&amp;vid=01CRU&amp;lang=en_US&amp;offset=0&amp;query=any,contains,991004954329702656","Catalog Record")</f>
        <v/>
      </c>
      <c r="AT468">
        <f>HYPERLINK("http://www.worldcat.org/oclc/64510857","WorldCat Record")</f>
        <v/>
      </c>
      <c r="AU468" t="inlineStr">
        <is>
          <t>48462920:eng</t>
        </is>
      </c>
      <c r="AV468" t="inlineStr">
        <is>
          <t>64510857</t>
        </is>
      </c>
      <c r="AW468" t="inlineStr">
        <is>
          <t>991004954329702656</t>
        </is>
      </c>
      <c r="AX468" t="inlineStr">
        <is>
          <t>991004954329702656</t>
        </is>
      </c>
      <c r="AY468" t="inlineStr">
        <is>
          <t>2255964670002656</t>
        </is>
      </c>
      <c r="AZ468" t="inlineStr">
        <is>
          <t>BOOK</t>
        </is>
      </c>
      <c r="BB468" t="inlineStr">
        <is>
          <t>9780817947729</t>
        </is>
      </c>
      <c r="BC468" t="inlineStr">
        <is>
          <t>32285005235881</t>
        </is>
      </c>
      <c r="BD468" t="inlineStr">
        <is>
          <t>893446476</t>
        </is>
      </c>
    </row>
    <row r="469">
      <c r="A469" t="inlineStr">
        <is>
          <t>No</t>
        </is>
      </c>
      <c r="B469" t="inlineStr">
        <is>
          <t>DS129 .A57 2002</t>
        </is>
      </c>
      <c r="C469" t="inlineStr">
        <is>
          <t>0                      DS 0129000A  57          2002</t>
        </is>
      </c>
      <c r="D469" t="inlineStr">
        <is>
          <t>The Keepers : an introduction to the history and culture of the Samaritans / Robert T. Anderson, Terry Giles.</t>
        </is>
      </c>
      <c r="F469" t="inlineStr">
        <is>
          <t>No</t>
        </is>
      </c>
      <c r="G469" t="inlineStr">
        <is>
          <t>1</t>
        </is>
      </c>
      <c r="H469" t="inlineStr">
        <is>
          <t>No</t>
        </is>
      </c>
      <c r="I469" t="inlineStr">
        <is>
          <t>No</t>
        </is>
      </c>
      <c r="J469" t="inlineStr">
        <is>
          <t>0</t>
        </is>
      </c>
      <c r="K469" t="inlineStr">
        <is>
          <t>Anderson, Robert T., 1928-</t>
        </is>
      </c>
      <c r="L469" t="inlineStr">
        <is>
          <t>Peabody, Mass. : Hendrickson Publishers, c2002.</t>
        </is>
      </c>
      <c r="M469" t="inlineStr">
        <is>
          <t>2002</t>
        </is>
      </c>
      <c r="O469" t="inlineStr">
        <is>
          <t>eng</t>
        </is>
      </c>
      <c r="P469" t="inlineStr">
        <is>
          <t>mau</t>
        </is>
      </c>
      <c r="R469" t="inlineStr">
        <is>
          <t xml:space="preserve">DS </t>
        </is>
      </c>
      <c r="S469" t="n">
        <v>2</v>
      </c>
      <c r="T469" t="n">
        <v>2</v>
      </c>
      <c r="U469" t="inlineStr">
        <is>
          <t>2002-09-27</t>
        </is>
      </c>
      <c r="V469" t="inlineStr">
        <is>
          <t>2002-09-27</t>
        </is>
      </c>
      <c r="W469" t="inlineStr">
        <is>
          <t>2002-08-27</t>
        </is>
      </c>
      <c r="X469" t="inlineStr">
        <is>
          <t>2002-08-27</t>
        </is>
      </c>
      <c r="Y469" t="n">
        <v>387</v>
      </c>
      <c r="Z469" t="n">
        <v>328</v>
      </c>
      <c r="AA469" t="n">
        <v>328</v>
      </c>
      <c r="AB469" t="n">
        <v>4</v>
      </c>
      <c r="AC469" t="n">
        <v>4</v>
      </c>
      <c r="AD469" t="n">
        <v>21</v>
      </c>
      <c r="AE469" t="n">
        <v>21</v>
      </c>
      <c r="AF469" t="n">
        <v>8</v>
      </c>
      <c r="AG469" t="n">
        <v>8</v>
      </c>
      <c r="AH469" t="n">
        <v>6</v>
      </c>
      <c r="AI469" t="n">
        <v>6</v>
      </c>
      <c r="AJ469" t="n">
        <v>7</v>
      </c>
      <c r="AK469" t="n">
        <v>7</v>
      </c>
      <c r="AL469" t="n">
        <v>3</v>
      </c>
      <c r="AM469" t="n">
        <v>3</v>
      </c>
      <c r="AN469" t="n">
        <v>0</v>
      </c>
      <c r="AO469" t="n">
        <v>0</v>
      </c>
      <c r="AP469" t="inlineStr">
        <is>
          <t>No</t>
        </is>
      </c>
      <c r="AQ469" t="inlineStr">
        <is>
          <t>No</t>
        </is>
      </c>
      <c r="AS469">
        <f>HYPERLINK("https://creighton-primo.hosted.exlibrisgroup.com/primo-explore/search?tab=default_tab&amp;search_scope=EVERYTHING&amp;vid=01CRU&amp;lang=en_US&amp;offset=0&amp;query=any,contains,991003861869702656","Catalog Record")</f>
        <v/>
      </c>
      <c r="AT469">
        <f>HYPERLINK("http://www.worldcat.org/oclc/48675606","WorldCat Record")</f>
        <v/>
      </c>
      <c r="AU469" t="inlineStr">
        <is>
          <t>1050444:eng</t>
        </is>
      </c>
      <c r="AV469" t="inlineStr">
        <is>
          <t>48675606</t>
        </is>
      </c>
      <c r="AW469" t="inlineStr">
        <is>
          <t>991003861869702656</t>
        </is>
      </c>
      <c r="AX469" t="inlineStr">
        <is>
          <t>991003861869702656</t>
        </is>
      </c>
      <c r="AY469" t="inlineStr">
        <is>
          <t>2261259720002656</t>
        </is>
      </c>
      <c r="AZ469" t="inlineStr">
        <is>
          <t>BOOK</t>
        </is>
      </c>
      <c r="BB469" t="inlineStr">
        <is>
          <t>9781565635197</t>
        </is>
      </c>
      <c r="BC469" t="inlineStr">
        <is>
          <t>32285004645189</t>
        </is>
      </c>
      <c r="BD469" t="inlineStr">
        <is>
          <t>893900466</t>
        </is>
      </c>
    </row>
    <row r="470">
      <c r="A470" t="inlineStr">
        <is>
          <t>No</t>
        </is>
      </c>
      <c r="B470" t="inlineStr">
        <is>
          <t>DS129 .K54 1971</t>
        </is>
      </c>
      <c r="C470" t="inlineStr">
        <is>
          <t>0                      DS 0129000K  54          1971</t>
        </is>
      </c>
      <c r="D470" t="inlineStr">
        <is>
          <t>Garizim und Synagoge : Traditionsgeschichtl. Untersuchungen z. samaritan Religion d. aramäischen Periode.</t>
        </is>
      </c>
      <c r="F470" t="inlineStr">
        <is>
          <t>No</t>
        </is>
      </c>
      <c r="G470" t="inlineStr">
        <is>
          <t>1</t>
        </is>
      </c>
      <c r="H470" t="inlineStr">
        <is>
          <t>No</t>
        </is>
      </c>
      <c r="I470" t="inlineStr">
        <is>
          <t>No</t>
        </is>
      </c>
      <c r="J470" t="inlineStr">
        <is>
          <t>0</t>
        </is>
      </c>
      <c r="K470" t="inlineStr">
        <is>
          <t>Kippenberg, Hans G. (Hans Gerhard)</t>
        </is>
      </c>
      <c r="L470" t="inlineStr">
        <is>
          <t>Berlin ; New York : de Gruyter, 1971.</t>
        </is>
      </c>
      <c r="M470" t="inlineStr">
        <is>
          <t>1971</t>
        </is>
      </c>
      <c r="O470" t="inlineStr">
        <is>
          <t>ger</t>
        </is>
      </c>
      <c r="P470" t="inlineStr">
        <is>
          <t xml:space="preserve">xx </t>
        </is>
      </c>
      <c r="Q470" t="inlineStr">
        <is>
          <t>Religionsgeschichtliche Versuche und Vorarbeiten ; Bd. 30</t>
        </is>
      </c>
      <c r="R470" t="inlineStr">
        <is>
          <t xml:space="preserve">DS </t>
        </is>
      </c>
      <c r="S470" t="n">
        <v>1</v>
      </c>
      <c r="T470" t="n">
        <v>1</v>
      </c>
      <c r="U470" t="inlineStr">
        <is>
          <t>1992-05-18</t>
        </is>
      </c>
      <c r="V470" t="inlineStr">
        <is>
          <t>1992-05-18</t>
        </is>
      </c>
      <c r="W470" t="inlineStr">
        <is>
          <t>1992-05-15</t>
        </is>
      </c>
      <c r="X470" t="inlineStr">
        <is>
          <t>1992-05-15</t>
        </is>
      </c>
      <c r="Y470" t="n">
        <v>172</v>
      </c>
      <c r="Z470" t="n">
        <v>107</v>
      </c>
      <c r="AA470" t="n">
        <v>126</v>
      </c>
      <c r="AB470" t="n">
        <v>1</v>
      </c>
      <c r="AC470" t="n">
        <v>1</v>
      </c>
      <c r="AD470" t="n">
        <v>8</v>
      </c>
      <c r="AE470" t="n">
        <v>8</v>
      </c>
      <c r="AF470" t="n">
        <v>1</v>
      </c>
      <c r="AG470" t="n">
        <v>1</v>
      </c>
      <c r="AH470" t="n">
        <v>2</v>
      </c>
      <c r="AI470" t="n">
        <v>2</v>
      </c>
      <c r="AJ470" t="n">
        <v>7</v>
      </c>
      <c r="AK470" t="n">
        <v>7</v>
      </c>
      <c r="AL470" t="n">
        <v>0</v>
      </c>
      <c r="AM470" t="n">
        <v>0</v>
      </c>
      <c r="AN470" t="n">
        <v>0</v>
      </c>
      <c r="AO470" t="n">
        <v>0</v>
      </c>
      <c r="AP470" t="inlineStr">
        <is>
          <t>No</t>
        </is>
      </c>
      <c r="AQ470" t="inlineStr">
        <is>
          <t>Yes</t>
        </is>
      </c>
      <c r="AR470">
        <f>HYPERLINK("http://catalog.hathitrust.org/Record/001672993","HathiTrust Record")</f>
        <v/>
      </c>
      <c r="AS470">
        <f>HYPERLINK("https://creighton-primo.hosted.exlibrisgroup.com/primo-explore/search?tab=default_tab&amp;search_scope=EVERYTHING&amp;vid=01CRU&amp;lang=en_US&amp;offset=0&amp;query=any,contains,991001951129702656","Catalog Record")</f>
        <v/>
      </c>
      <c r="AT470">
        <f>HYPERLINK("http://www.worldcat.org/oclc/252304","WorldCat Record")</f>
        <v/>
      </c>
      <c r="AU470" t="inlineStr">
        <is>
          <t>500513787:ger</t>
        </is>
      </c>
      <c r="AV470" t="inlineStr">
        <is>
          <t>252304</t>
        </is>
      </c>
      <c r="AW470" t="inlineStr">
        <is>
          <t>991001951129702656</t>
        </is>
      </c>
      <c r="AX470" t="inlineStr">
        <is>
          <t>991001951129702656</t>
        </is>
      </c>
      <c r="AY470" t="inlineStr">
        <is>
          <t>2270214240002656</t>
        </is>
      </c>
      <c r="AZ470" t="inlineStr">
        <is>
          <t>BOOK</t>
        </is>
      </c>
      <c r="BC470" t="inlineStr">
        <is>
          <t>32285001111235</t>
        </is>
      </c>
      <c r="BD470" t="inlineStr">
        <is>
          <t>893523011</t>
        </is>
      </c>
    </row>
    <row r="471">
      <c r="A471" t="inlineStr">
        <is>
          <t>No</t>
        </is>
      </c>
      <c r="B471" t="inlineStr">
        <is>
          <t>DS129 .M8 1968</t>
        </is>
      </c>
      <c r="C471" t="inlineStr">
        <is>
          <t>0                      DS 0129000M  8           1968</t>
        </is>
      </c>
      <c r="D471" t="inlineStr">
        <is>
          <t>The Samaritans, the earliest Jewish sect : their history, theology, and literature / Introd. by Abraham S. Halkin.</t>
        </is>
      </c>
      <c r="F471" t="inlineStr">
        <is>
          <t>No</t>
        </is>
      </c>
      <c r="G471" t="inlineStr">
        <is>
          <t>1</t>
        </is>
      </c>
      <c r="H471" t="inlineStr">
        <is>
          <t>No</t>
        </is>
      </c>
      <c r="I471" t="inlineStr">
        <is>
          <t>No</t>
        </is>
      </c>
      <c r="J471" t="inlineStr">
        <is>
          <t>0</t>
        </is>
      </c>
      <c r="K471" t="inlineStr">
        <is>
          <t>Montgomery, James A. (James Alan), 1866-1949.</t>
        </is>
      </c>
      <c r="L471" t="inlineStr">
        <is>
          <t>New York : Ktav Pub. House, [1968]</t>
        </is>
      </c>
      <c r="M471" t="inlineStr">
        <is>
          <t>1968</t>
        </is>
      </c>
      <c r="O471" t="inlineStr">
        <is>
          <t>eng</t>
        </is>
      </c>
      <c r="P471" t="inlineStr">
        <is>
          <t>nyu</t>
        </is>
      </c>
      <c r="Q471" t="inlineStr">
        <is>
          <t>The Bohlen lectures, 1906</t>
        </is>
      </c>
      <c r="R471" t="inlineStr">
        <is>
          <t xml:space="preserve">DS </t>
        </is>
      </c>
      <c r="S471" t="n">
        <v>1</v>
      </c>
      <c r="T471" t="n">
        <v>1</v>
      </c>
      <c r="U471" t="inlineStr">
        <is>
          <t>1992-05-18</t>
        </is>
      </c>
      <c r="V471" t="inlineStr">
        <is>
          <t>1992-05-18</t>
        </is>
      </c>
      <c r="W471" t="inlineStr">
        <is>
          <t>1992-05-15</t>
        </is>
      </c>
      <c r="X471" t="inlineStr">
        <is>
          <t>1992-05-15</t>
        </is>
      </c>
      <c r="Y471" t="n">
        <v>441</v>
      </c>
      <c r="Z471" t="n">
        <v>374</v>
      </c>
      <c r="AA471" t="n">
        <v>522</v>
      </c>
      <c r="AB471" t="n">
        <v>3</v>
      </c>
      <c r="AC471" t="n">
        <v>4</v>
      </c>
      <c r="AD471" t="n">
        <v>22</v>
      </c>
      <c r="AE471" t="n">
        <v>28</v>
      </c>
      <c r="AF471" t="n">
        <v>8</v>
      </c>
      <c r="AG471" t="n">
        <v>11</v>
      </c>
      <c r="AH471" t="n">
        <v>6</v>
      </c>
      <c r="AI471" t="n">
        <v>6</v>
      </c>
      <c r="AJ471" t="n">
        <v>13</v>
      </c>
      <c r="AK471" t="n">
        <v>15</v>
      </c>
      <c r="AL471" t="n">
        <v>2</v>
      </c>
      <c r="AM471" t="n">
        <v>3</v>
      </c>
      <c r="AN471" t="n">
        <v>0</v>
      </c>
      <c r="AO471" t="n">
        <v>0</v>
      </c>
      <c r="AP471" t="inlineStr">
        <is>
          <t>No</t>
        </is>
      </c>
      <c r="AQ471" t="inlineStr">
        <is>
          <t>Yes</t>
        </is>
      </c>
      <c r="AR471">
        <f>HYPERLINK("http://catalog.hathitrust.org/Record/001243732","HathiTrust Record")</f>
        <v/>
      </c>
      <c r="AS471">
        <f>HYPERLINK("https://creighton-primo.hosted.exlibrisgroup.com/primo-explore/search?tab=default_tab&amp;search_scope=EVERYTHING&amp;vid=01CRU&amp;lang=en_US&amp;offset=0&amp;query=any,contains,991003185959702656","Catalog Record")</f>
        <v/>
      </c>
      <c r="AT471">
        <f>HYPERLINK("http://www.worldcat.org/oclc/712670","WorldCat Record")</f>
        <v/>
      </c>
      <c r="AU471" t="inlineStr">
        <is>
          <t>9593957446:eng</t>
        </is>
      </c>
      <c r="AV471" t="inlineStr">
        <is>
          <t>712670</t>
        </is>
      </c>
      <c r="AW471" t="inlineStr">
        <is>
          <t>991003185959702656</t>
        </is>
      </c>
      <c r="AX471" t="inlineStr">
        <is>
          <t>991003185959702656</t>
        </is>
      </c>
      <c r="AY471" t="inlineStr">
        <is>
          <t>2256624460002656</t>
        </is>
      </c>
      <c r="AZ471" t="inlineStr">
        <is>
          <t>BOOK</t>
        </is>
      </c>
      <c r="BC471" t="inlineStr">
        <is>
          <t>32285001111227</t>
        </is>
      </c>
      <c r="BD471" t="inlineStr">
        <is>
          <t>893617076</t>
        </is>
      </c>
    </row>
    <row r="472">
      <c r="A472" t="inlineStr">
        <is>
          <t>No</t>
        </is>
      </c>
      <c r="B472" t="inlineStr">
        <is>
          <t>DS13 .G68 1997</t>
        </is>
      </c>
      <c r="C472" t="inlineStr">
        <is>
          <t>0                      DS 0013000G  68          1997</t>
        </is>
      </c>
      <c r="D472" t="inlineStr">
        <is>
          <t>Government policies and ethnic relations in Asia and the Pacific / editors, Michael E. Brown, Šumit Ganguly.</t>
        </is>
      </c>
      <c r="F472" t="inlineStr">
        <is>
          <t>No</t>
        </is>
      </c>
      <c r="G472" t="inlineStr">
        <is>
          <t>1</t>
        </is>
      </c>
      <c r="H472" t="inlineStr">
        <is>
          <t>No</t>
        </is>
      </c>
      <c r="I472" t="inlineStr">
        <is>
          <t>No</t>
        </is>
      </c>
      <c r="J472" t="inlineStr">
        <is>
          <t>0</t>
        </is>
      </c>
      <c r="L472" t="inlineStr">
        <is>
          <t>Cambridge, Mass. : MIT Press, c1997.</t>
        </is>
      </c>
      <c r="M472" t="inlineStr">
        <is>
          <t>1997</t>
        </is>
      </c>
      <c r="O472" t="inlineStr">
        <is>
          <t>eng</t>
        </is>
      </c>
      <c r="P472" t="inlineStr">
        <is>
          <t>mau</t>
        </is>
      </c>
      <c r="Q472" t="inlineStr">
        <is>
          <t>CSIA studies in international security</t>
        </is>
      </c>
      <c r="R472" t="inlineStr">
        <is>
          <t xml:space="preserve">DS </t>
        </is>
      </c>
      <c r="S472" t="n">
        <v>10</v>
      </c>
      <c r="T472" t="n">
        <v>10</v>
      </c>
      <c r="U472" t="inlineStr">
        <is>
          <t>2003-04-09</t>
        </is>
      </c>
      <c r="V472" t="inlineStr">
        <is>
          <t>2003-04-09</t>
        </is>
      </c>
      <c r="W472" t="inlineStr">
        <is>
          <t>1998-11-09</t>
        </is>
      </c>
      <c r="X472" t="inlineStr">
        <is>
          <t>1998-11-09</t>
        </is>
      </c>
      <c r="Y472" t="n">
        <v>485</v>
      </c>
      <c r="Z472" t="n">
        <v>359</v>
      </c>
      <c r="AA472" t="n">
        <v>359</v>
      </c>
      <c r="AB472" t="n">
        <v>3</v>
      </c>
      <c r="AC472" t="n">
        <v>3</v>
      </c>
      <c r="AD472" t="n">
        <v>20</v>
      </c>
      <c r="AE472" t="n">
        <v>20</v>
      </c>
      <c r="AF472" t="n">
        <v>5</v>
      </c>
      <c r="AG472" t="n">
        <v>5</v>
      </c>
      <c r="AH472" t="n">
        <v>8</v>
      </c>
      <c r="AI472" t="n">
        <v>8</v>
      </c>
      <c r="AJ472" t="n">
        <v>12</v>
      </c>
      <c r="AK472" t="n">
        <v>12</v>
      </c>
      <c r="AL472" t="n">
        <v>2</v>
      </c>
      <c r="AM472" t="n">
        <v>2</v>
      </c>
      <c r="AN472" t="n">
        <v>0</v>
      </c>
      <c r="AO472" t="n">
        <v>0</v>
      </c>
      <c r="AP472" t="inlineStr">
        <is>
          <t>No</t>
        </is>
      </c>
      <c r="AQ472" t="inlineStr">
        <is>
          <t>No</t>
        </is>
      </c>
      <c r="AS472">
        <f>HYPERLINK("https://creighton-primo.hosted.exlibrisgroup.com/primo-explore/search?tab=default_tab&amp;search_scope=EVERYTHING&amp;vid=01CRU&amp;lang=en_US&amp;offset=0&amp;query=any,contains,991002822479702656","Catalog Record")</f>
        <v/>
      </c>
      <c r="AT472">
        <f>HYPERLINK("http://www.worldcat.org/oclc/37141273","WorldCat Record")</f>
        <v/>
      </c>
      <c r="AU472" t="inlineStr">
        <is>
          <t>603717:eng</t>
        </is>
      </c>
      <c r="AV472" t="inlineStr">
        <is>
          <t>37141273</t>
        </is>
      </c>
      <c r="AW472" t="inlineStr">
        <is>
          <t>991002822479702656</t>
        </is>
      </c>
      <c r="AX472" t="inlineStr">
        <is>
          <t>991002822479702656</t>
        </is>
      </c>
      <c r="AY472" t="inlineStr">
        <is>
          <t>2267680620002656</t>
        </is>
      </c>
      <c r="AZ472" t="inlineStr">
        <is>
          <t>BOOK</t>
        </is>
      </c>
      <c r="BB472" t="inlineStr">
        <is>
          <t>9780262522458</t>
        </is>
      </c>
      <c r="BC472" t="inlineStr">
        <is>
          <t>32285003486858</t>
        </is>
      </c>
      <c r="BD472" t="inlineStr">
        <is>
          <t>893227322</t>
        </is>
      </c>
    </row>
    <row r="473">
      <c r="A473" t="inlineStr">
        <is>
          <t>No</t>
        </is>
      </c>
      <c r="B473" t="inlineStr">
        <is>
          <t>DS131 .G6 1974</t>
        </is>
      </c>
      <c r="C473" t="inlineStr">
        <is>
          <t>0                      DS 0131000G  6           1974</t>
        </is>
      </c>
      <c r="D473" t="inlineStr">
        <is>
          <t>The lost tribes a myth; suggestions towards rewriting Hebrew history. Prolegomenon by Morris Epstein.</t>
        </is>
      </c>
      <c r="F473" t="inlineStr">
        <is>
          <t>No</t>
        </is>
      </c>
      <c r="G473" t="inlineStr">
        <is>
          <t>1</t>
        </is>
      </c>
      <c r="H473" t="inlineStr">
        <is>
          <t>No</t>
        </is>
      </c>
      <c r="I473" t="inlineStr">
        <is>
          <t>No</t>
        </is>
      </c>
      <c r="J473" t="inlineStr">
        <is>
          <t>0</t>
        </is>
      </c>
      <c r="K473" t="inlineStr">
        <is>
          <t>Godbey, Allen Howard, 1864-1948.</t>
        </is>
      </c>
      <c r="L473" t="inlineStr">
        <is>
          <t>New York, Ktav [1974]</t>
        </is>
      </c>
      <c r="M473" t="inlineStr">
        <is>
          <t>1974</t>
        </is>
      </c>
      <c r="O473" t="inlineStr">
        <is>
          <t>eng</t>
        </is>
      </c>
      <c r="P473" t="inlineStr">
        <is>
          <t>nyu</t>
        </is>
      </c>
      <c r="Q473" t="inlineStr">
        <is>
          <t>The Library of Biblical studies</t>
        </is>
      </c>
      <c r="R473" t="inlineStr">
        <is>
          <t xml:space="preserve">DS </t>
        </is>
      </c>
      <c r="S473" t="n">
        <v>4</v>
      </c>
      <c r="T473" t="n">
        <v>4</v>
      </c>
      <c r="U473" t="inlineStr">
        <is>
          <t>2003-12-18</t>
        </is>
      </c>
      <c r="V473" t="inlineStr">
        <is>
          <t>2003-12-18</t>
        </is>
      </c>
      <c r="W473" t="inlineStr">
        <is>
          <t>1997-02-26</t>
        </is>
      </c>
      <c r="X473" t="inlineStr">
        <is>
          <t>1997-02-26</t>
        </is>
      </c>
      <c r="Y473" t="n">
        <v>179</v>
      </c>
      <c r="Z473" t="n">
        <v>149</v>
      </c>
      <c r="AA473" t="n">
        <v>272</v>
      </c>
      <c r="AB473" t="n">
        <v>1</v>
      </c>
      <c r="AC473" t="n">
        <v>1</v>
      </c>
      <c r="AD473" t="n">
        <v>3</v>
      </c>
      <c r="AE473" t="n">
        <v>7</v>
      </c>
      <c r="AF473" t="n">
        <v>0</v>
      </c>
      <c r="AG473" t="n">
        <v>1</v>
      </c>
      <c r="AH473" t="n">
        <v>1</v>
      </c>
      <c r="AI473" t="n">
        <v>2</v>
      </c>
      <c r="AJ473" t="n">
        <v>3</v>
      </c>
      <c r="AK473" t="n">
        <v>6</v>
      </c>
      <c r="AL473" t="n">
        <v>0</v>
      </c>
      <c r="AM473" t="n">
        <v>0</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HYPERLINK("https://creighton-primo.hosted.exlibrisgroup.com/primo-explore/search?tab=default_tab&amp;search_scope=EVERYTHING&amp;vid=01CRU&amp;lang=en_US&amp;offset=0&amp;query=any,contains,991003279759702656","Catalog Record")</f>
        <v/>
      </c>
      <c r="AT473">
        <f>HYPERLINK("http://www.worldcat.org/oclc/802721","WorldCat Record")</f>
        <v/>
      </c>
      <c r="AU473" t="inlineStr">
        <is>
          <t>905480762:eng</t>
        </is>
      </c>
      <c r="AV473" t="inlineStr">
        <is>
          <t>802721</t>
        </is>
      </c>
      <c r="AW473" t="inlineStr">
        <is>
          <t>991003279759702656</t>
        </is>
      </c>
      <c r="AX473" t="inlineStr">
        <is>
          <t>991003279759702656</t>
        </is>
      </c>
      <c r="AY473" t="inlineStr">
        <is>
          <t>2270554570002656</t>
        </is>
      </c>
      <c r="AZ473" t="inlineStr">
        <is>
          <t>BOOK</t>
        </is>
      </c>
      <c r="BC473" t="inlineStr">
        <is>
          <t>32285002462777</t>
        </is>
      </c>
      <c r="BD473" t="inlineStr">
        <is>
          <t>893434839</t>
        </is>
      </c>
    </row>
    <row r="474">
      <c r="A474" t="inlineStr">
        <is>
          <t>No</t>
        </is>
      </c>
      <c r="B474" t="inlineStr">
        <is>
          <t>DS131 .P37 2002</t>
        </is>
      </c>
      <c r="C474" t="inlineStr">
        <is>
          <t>0                      DS 0131000P  37          2002</t>
        </is>
      </c>
      <c r="D474" t="inlineStr">
        <is>
          <t>The lost tribes of Israel : the history of a myth / Tudor Parfitt.</t>
        </is>
      </c>
      <c r="F474" t="inlineStr">
        <is>
          <t>No</t>
        </is>
      </c>
      <c r="G474" t="inlineStr">
        <is>
          <t>1</t>
        </is>
      </c>
      <c r="H474" t="inlineStr">
        <is>
          <t>No</t>
        </is>
      </c>
      <c r="I474" t="inlineStr">
        <is>
          <t>No</t>
        </is>
      </c>
      <c r="J474" t="inlineStr">
        <is>
          <t>0</t>
        </is>
      </c>
      <c r="K474" t="inlineStr">
        <is>
          <t>Parfitt, Tudor.</t>
        </is>
      </c>
      <c r="L474" t="inlineStr">
        <is>
          <t>London : Weidenfeld &amp; Nicolson, 2002.</t>
        </is>
      </c>
      <c r="M474" t="inlineStr">
        <is>
          <t>2002</t>
        </is>
      </c>
      <c r="O474" t="inlineStr">
        <is>
          <t>eng</t>
        </is>
      </c>
      <c r="P474" t="inlineStr">
        <is>
          <t>enk</t>
        </is>
      </c>
      <c r="R474" t="inlineStr">
        <is>
          <t xml:space="preserve">DS </t>
        </is>
      </c>
      <c r="S474" t="n">
        <v>5</v>
      </c>
      <c r="T474" t="n">
        <v>5</v>
      </c>
      <c r="U474" t="inlineStr">
        <is>
          <t>2008-04-01</t>
        </is>
      </c>
      <c r="V474" t="inlineStr">
        <is>
          <t>2008-04-01</t>
        </is>
      </c>
      <c r="W474" t="inlineStr">
        <is>
          <t>2004-11-16</t>
        </is>
      </c>
      <c r="X474" t="inlineStr">
        <is>
          <t>2004-11-16</t>
        </is>
      </c>
      <c r="Y474" t="n">
        <v>200</v>
      </c>
      <c r="Z474" t="n">
        <v>97</v>
      </c>
      <c r="AA474" t="n">
        <v>167</v>
      </c>
      <c r="AB474" t="n">
        <v>1</v>
      </c>
      <c r="AC474" t="n">
        <v>1</v>
      </c>
      <c r="AD474" t="n">
        <v>4</v>
      </c>
      <c r="AE474" t="n">
        <v>6</v>
      </c>
      <c r="AF474" t="n">
        <v>0</v>
      </c>
      <c r="AG474" t="n">
        <v>2</v>
      </c>
      <c r="AH474" t="n">
        <v>2</v>
      </c>
      <c r="AI474" t="n">
        <v>2</v>
      </c>
      <c r="AJ474" t="n">
        <v>4</v>
      </c>
      <c r="AK474" t="n">
        <v>4</v>
      </c>
      <c r="AL474" t="n">
        <v>0</v>
      </c>
      <c r="AM474" t="n">
        <v>0</v>
      </c>
      <c r="AN474" t="n">
        <v>0</v>
      </c>
      <c r="AO474" t="n">
        <v>0</v>
      </c>
      <c r="AP474" t="inlineStr">
        <is>
          <t>No</t>
        </is>
      </c>
      <c r="AQ474" t="inlineStr">
        <is>
          <t>No</t>
        </is>
      </c>
      <c r="AS474">
        <f>HYPERLINK("https://creighton-primo.hosted.exlibrisgroup.com/primo-explore/search?tab=default_tab&amp;search_scope=EVERYTHING&amp;vid=01CRU&amp;lang=en_US&amp;offset=0&amp;query=any,contains,991004421919702656","Catalog Record")</f>
        <v/>
      </c>
      <c r="AT474">
        <f>HYPERLINK("http://www.worldcat.org/oclc/50054747","WorldCat Record")</f>
        <v/>
      </c>
      <c r="AU474" t="inlineStr">
        <is>
          <t>671093:eng</t>
        </is>
      </c>
      <c r="AV474" t="inlineStr">
        <is>
          <t>50054747</t>
        </is>
      </c>
      <c r="AW474" t="inlineStr">
        <is>
          <t>991004421919702656</t>
        </is>
      </c>
      <c r="AX474" t="inlineStr">
        <is>
          <t>991004421919702656</t>
        </is>
      </c>
      <c r="AY474" t="inlineStr">
        <is>
          <t>2256902750002656</t>
        </is>
      </c>
      <c r="AZ474" t="inlineStr">
        <is>
          <t>BOOK</t>
        </is>
      </c>
      <c r="BB474" t="inlineStr">
        <is>
          <t>9780297819349</t>
        </is>
      </c>
      <c r="BC474" t="inlineStr">
        <is>
          <t>32285005010557</t>
        </is>
      </c>
      <c r="BD474" t="inlineStr">
        <is>
          <t>893693933</t>
        </is>
      </c>
    </row>
    <row r="475">
      <c r="A475" t="inlineStr">
        <is>
          <t>No</t>
        </is>
      </c>
      <c r="B475" t="inlineStr">
        <is>
          <t>DS134 .J48 1992</t>
        </is>
      </c>
      <c r="C475" t="inlineStr">
        <is>
          <t>0                      DS 0134000J  48          1992</t>
        </is>
      </c>
      <c r="D475" t="inlineStr">
        <is>
          <t>Jews, Christians, and Muslims in the Mediterranean world after 1492 / edited by Alisa Meyuhas Ginio.</t>
        </is>
      </c>
      <c r="F475" t="inlineStr">
        <is>
          <t>No</t>
        </is>
      </c>
      <c r="G475" t="inlineStr">
        <is>
          <t>1</t>
        </is>
      </c>
      <c r="H475" t="inlineStr">
        <is>
          <t>No</t>
        </is>
      </c>
      <c r="I475" t="inlineStr">
        <is>
          <t>No</t>
        </is>
      </c>
      <c r="J475" t="inlineStr">
        <is>
          <t>0</t>
        </is>
      </c>
      <c r="L475" t="inlineStr">
        <is>
          <t>London [England] ; Portland, OR : Cass, 1992.</t>
        </is>
      </c>
      <c r="M475" t="inlineStr">
        <is>
          <t>1992</t>
        </is>
      </c>
      <c r="O475" t="inlineStr">
        <is>
          <t>eng</t>
        </is>
      </c>
      <c r="P475" t="inlineStr">
        <is>
          <t>enk</t>
        </is>
      </c>
      <c r="R475" t="inlineStr">
        <is>
          <t xml:space="preserve">DS </t>
        </is>
      </c>
      <c r="S475" t="n">
        <v>3</v>
      </c>
      <c r="T475" t="n">
        <v>3</v>
      </c>
      <c r="U475" t="inlineStr">
        <is>
          <t>2000-01-21</t>
        </is>
      </c>
      <c r="V475" t="inlineStr">
        <is>
          <t>2000-01-21</t>
        </is>
      </c>
      <c r="W475" t="inlineStr">
        <is>
          <t>1996-07-10</t>
        </is>
      </c>
      <c r="X475" t="inlineStr">
        <is>
          <t>1996-07-10</t>
        </is>
      </c>
      <c r="Y475" t="n">
        <v>214</v>
      </c>
      <c r="Z475" t="n">
        <v>144</v>
      </c>
      <c r="AA475" t="n">
        <v>188</v>
      </c>
      <c r="AB475" t="n">
        <v>1</v>
      </c>
      <c r="AC475" t="n">
        <v>1</v>
      </c>
      <c r="AD475" t="n">
        <v>5</v>
      </c>
      <c r="AE475" t="n">
        <v>5</v>
      </c>
      <c r="AF475" t="n">
        <v>1</v>
      </c>
      <c r="AG475" t="n">
        <v>1</v>
      </c>
      <c r="AH475" t="n">
        <v>2</v>
      </c>
      <c r="AI475" t="n">
        <v>2</v>
      </c>
      <c r="AJ475" t="n">
        <v>4</v>
      </c>
      <c r="AK475" t="n">
        <v>4</v>
      </c>
      <c r="AL475" t="n">
        <v>0</v>
      </c>
      <c r="AM475" t="n">
        <v>0</v>
      </c>
      <c r="AN475" t="n">
        <v>0</v>
      </c>
      <c r="AO475" t="n">
        <v>0</v>
      </c>
      <c r="AP475" t="inlineStr">
        <is>
          <t>No</t>
        </is>
      </c>
      <c r="AQ475" t="inlineStr">
        <is>
          <t>No</t>
        </is>
      </c>
      <c r="AS475">
        <f>HYPERLINK("https://creighton-primo.hosted.exlibrisgroup.com/primo-explore/search?tab=default_tab&amp;search_scope=EVERYTHING&amp;vid=01CRU&amp;lang=en_US&amp;offset=0&amp;query=any,contains,991002023199702656","Catalog Record")</f>
        <v/>
      </c>
      <c r="AT475">
        <f>HYPERLINK("http://www.worldcat.org/oclc/25746788","WorldCat Record")</f>
        <v/>
      </c>
      <c r="AU475" t="inlineStr">
        <is>
          <t>55582962:eng</t>
        </is>
      </c>
      <c r="AV475" t="inlineStr">
        <is>
          <t>25746788</t>
        </is>
      </c>
      <c r="AW475" t="inlineStr">
        <is>
          <t>991002023199702656</t>
        </is>
      </c>
      <c r="AX475" t="inlineStr">
        <is>
          <t>991002023199702656</t>
        </is>
      </c>
      <c r="AY475" t="inlineStr">
        <is>
          <t>2269672050002656</t>
        </is>
      </c>
      <c r="AZ475" t="inlineStr">
        <is>
          <t>BOOK</t>
        </is>
      </c>
      <c r="BB475" t="inlineStr">
        <is>
          <t>9780714634920</t>
        </is>
      </c>
      <c r="BC475" t="inlineStr">
        <is>
          <t>32285002211042</t>
        </is>
      </c>
      <c r="BD475" t="inlineStr">
        <is>
          <t>893703581</t>
        </is>
      </c>
    </row>
    <row r="476">
      <c r="A476" t="inlineStr">
        <is>
          <t>No</t>
        </is>
      </c>
      <c r="B476" t="inlineStr">
        <is>
          <t>DS134 .L655 2010</t>
        </is>
      </c>
      <c r="C476" t="inlineStr">
        <is>
          <t>0                      DS 0134000L  655         2010</t>
        </is>
      </c>
      <c r="D476" t="inlineStr">
        <is>
          <t>Far from Zion : in search of a global Jewish community / Charles London.</t>
        </is>
      </c>
      <c r="F476" t="inlineStr">
        <is>
          <t>No</t>
        </is>
      </c>
      <c r="G476" t="inlineStr">
        <is>
          <t>1</t>
        </is>
      </c>
      <c r="H476" t="inlineStr">
        <is>
          <t>No</t>
        </is>
      </c>
      <c r="I476" t="inlineStr">
        <is>
          <t>No</t>
        </is>
      </c>
      <c r="J476" t="inlineStr">
        <is>
          <t>0</t>
        </is>
      </c>
      <c r="K476" t="inlineStr">
        <is>
          <t>London, Charles, 1980-</t>
        </is>
      </c>
      <c r="L476" t="inlineStr">
        <is>
          <t>New York : Harper Perennial, 2010, c2009.</t>
        </is>
      </c>
      <c r="M476" t="inlineStr">
        <is>
          <t>2010</t>
        </is>
      </c>
      <c r="N476" t="inlineStr">
        <is>
          <t>1st Harper Perennial ed.</t>
        </is>
      </c>
      <c r="O476" t="inlineStr">
        <is>
          <t>eng</t>
        </is>
      </c>
      <c r="P476" t="inlineStr">
        <is>
          <t>nyu</t>
        </is>
      </c>
      <c r="R476" t="inlineStr">
        <is>
          <t xml:space="preserve">DS </t>
        </is>
      </c>
      <c r="S476" t="n">
        <v>2</v>
      </c>
      <c r="T476" t="n">
        <v>2</v>
      </c>
      <c r="U476" t="inlineStr">
        <is>
          <t>2010-11-22</t>
        </is>
      </c>
      <c r="V476" t="inlineStr">
        <is>
          <t>2010-11-22</t>
        </is>
      </c>
      <c r="W476" t="inlineStr">
        <is>
          <t>2010-11-22</t>
        </is>
      </c>
      <c r="X476" t="inlineStr">
        <is>
          <t>2010-11-22</t>
        </is>
      </c>
      <c r="Y476" t="n">
        <v>14</v>
      </c>
      <c r="Z476" t="n">
        <v>13</v>
      </c>
      <c r="AA476" t="n">
        <v>232</v>
      </c>
      <c r="AB476" t="n">
        <v>1</v>
      </c>
      <c r="AC476" t="n">
        <v>1</v>
      </c>
      <c r="AD476" t="n">
        <v>0</v>
      </c>
      <c r="AE476" t="n">
        <v>6</v>
      </c>
      <c r="AF476" t="n">
        <v>0</v>
      </c>
      <c r="AG476" t="n">
        <v>3</v>
      </c>
      <c r="AH476" t="n">
        <v>0</v>
      </c>
      <c r="AI476" t="n">
        <v>2</v>
      </c>
      <c r="AJ476" t="n">
        <v>0</v>
      </c>
      <c r="AK476" t="n">
        <v>5</v>
      </c>
      <c r="AL476" t="n">
        <v>0</v>
      </c>
      <c r="AM476" t="n">
        <v>0</v>
      </c>
      <c r="AN476" t="n">
        <v>0</v>
      </c>
      <c r="AO476" t="n">
        <v>0</v>
      </c>
      <c r="AP476" t="inlineStr">
        <is>
          <t>No</t>
        </is>
      </c>
      <c r="AQ476" t="inlineStr">
        <is>
          <t>No</t>
        </is>
      </c>
      <c r="AS476">
        <f>HYPERLINK("https://creighton-primo.hosted.exlibrisgroup.com/primo-explore/search?tab=default_tab&amp;search_scope=EVERYTHING&amp;vid=01CRU&amp;lang=en_US&amp;offset=0&amp;query=any,contains,991000222699702656","Catalog Record")</f>
        <v/>
      </c>
      <c r="AT476">
        <f>HYPERLINK("http://www.worldcat.org/oclc/526069012","WorldCat Record")</f>
        <v/>
      </c>
      <c r="AU476" t="inlineStr">
        <is>
          <t>189789357:eng</t>
        </is>
      </c>
      <c r="AV476" t="inlineStr">
        <is>
          <t>526069012</t>
        </is>
      </c>
      <c r="AW476" t="inlineStr">
        <is>
          <t>991000222699702656</t>
        </is>
      </c>
      <c r="AX476" t="inlineStr">
        <is>
          <t>991000222699702656</t>
        </is>
      </c>
      <c r="AY476" t="inlineStr">
        <is>
          <t>2272434470002656</t>
        </is>
      </c>
      <c r="AZ476" t="inlineStr">
        <is>
          <t>BOOK</t>
        </is>
      </c>
      <c r="BB476" t="inlineStr">
        <is>
          <t>9780061561085</t>
        </is>
      </c>
      <c r="BC476" t="inlineStr">
        <is>
          <t>32285005607279</t>
        </is>
      </c>
      <c r="BD476" t="inlineStr">
        <is>
          <t>893345495</t>
        </is>
      </c>
    </row>
    <row r="477">
      <c r="A477" t="inlineStr">
        <is>
          <t>No</t>
        </is>
      </c>
      <c r="B477" t="inlineStr">
        <is>
          <t>DS134 .S22 1986</t>
        </is>
      </c>
      <c r="C477" t="inlineStr">
        <is>
          <t>0                      DS 0134000S  22          1986</t>
        </is>
      </c>
      <c r="D477" t="inlineStr">
        <is>
          <t>Diaspora : an inquiry into the contemporary Jewish world / Howard M. Sachar.</t>
        </is>
      </c>
      <c r="F477" t="inlineStr">
        <is>
          <t>No</t>
        </is>
      </c>
      <c r="G477" t="inlineStr">
        <is>
          <t>1</t>
        </is>
      </c>
      <c r="H477" t="inlineStr">
        <is>
          <t>No</t>
        </is>
      </c>
      <c r="I477" t="inlineStr">
        <is>
          <t>No</t>
        </is>
      </c>
      <c r="J477" t="inlineStr">
        <is>
          <t>0</t>
        </is>
      </c>
      <c r="K477" t="inlineStr">
        <is>
          <t>Sachar, Howard Morley, 1928-2018.</t>
        </is>
      </c>
      <c r="L477" t="inlineStr">
        <is>
          <t>New York : Harper &amp; Row, 1986.</t>
        </is>
      </c>
      <c r="M477" t="inlineStr">
        <is>
          <t>1986</t>
        </is>
      </c>
      <c r="N477" t="inlineStr">
        <is>
          <t>1st Perennial Library ed.</t>
        </is>
      </c>
      <c r="O477" t="inlineStr">
        <is>
          <t>eng</t>
        </is>
      </c>
      <c r="P477" t="inlineStr">
        <is>
          <t>nyu</t>
        </is>
      </c>
      <c r="R477" t="inlineStr">
        <is>
          <t xml:space="preserve">DS </t>
        </is>
      </c>
      <c r="S477" t="n">
        <v>2</v>
      </c>
      <c r="T477" t="n">
        <v>2</v>
      </c>
      <c r="U477" t="inlineStr">
        <is>
          <t>1997-04-01</t>
        </is>
      </c>
      <c r="V477" t="inlineStr">
        <is>
          <t>1997-04-01</t>
        </is>
      </c>
      <c r="W477" t="inlineStr">
        <is>
          <t>1989-10-23</t>
        </is>
      </c>
      <c r="X477" t="inlineStr">
        <is>
          <t>1989-10-23</t>
        </is>
      </c>
      <c r="Y477" t="n">
        <v>61</v>
      </c>
      <c r="Z477" t="n">
        <v>52</v>
      </c>
      <c r="AA477" t="n">
        <v>790</v>
      </c>
      <c r="AB477" t="n">
        <v>1</v>
      </c>
      <c r="AC477" t="n">
        <v>5</v>
      </c>
      <c r="AD477" t="n">
        <v>3</v>
      </c>
      <c r="AE477" t="n">
        <v>32</v>
      </c>
      <c r="AF477" t="n">
        <v>1</v>
      </c>
      <c r="AG477" t="n">
        <v>12</v>
      </c>
      <c r="AH477" t="n">
        <v>0</v>
      </c>
      <c r="AI477" t="n">
        <v>7</v>
      </c>
      <c r="AJ477" t="n">
        <v>2</v>
      </c>
      <c r="AK477" t="n">
        <v>17</v>
      </c>
      <c r="AL477" t="n">
        <v>0</v>
      </c>
      <c r="AM477" t="n">
        <v>4</v>
      </c>
      <c r="AN477" t="n">
        <v>0</v>
      </c>
      <c r="AO477" t="n">
        <v>0</v>
      </c>
      <c r="AP477" t="inlineStr">
        <is>
          <t>No</t>
        </is>
      </c>
      <c r="AQ477" t="inlineStr">
        <is>
          <t>No</t>
        </is>
      </c>
      <c r="AS477">
        <f>HYPERLINK("https://creighton-primo.hosted.exlibrisgroup.com/primo-explore/search?tab=default_tab&amp;search_scope=EVERYTHING&amp;vid=01CRU&amp;lang=en_US&amp;offset=0&amp;query=any,contains,991000996019702656","Catalog Record")</f>
        <v/>
      </c>
      <c r="AT477">
        <f>HYPERLINK("http://www.worldcat.org/oclc/15144397","WorldCat Record")</f>
        <v/>
      </c>
      <c r="AU477" t="inlineStr">
        <is>
          <t>810949658:eng</t>
        </is>
      </c>
      <c r="AV477" t="inlineStr">
        <is>
          <t>15144397</t>
        </is>
      </c>
      <c r="AW477" t="inlineStr">
        <is>
          <t>991000996019702656</t>
        </is>
      </c>
      <c r="AX477" t="inlineStr">
        <is>
          <t>991000996019702656</t>
        </is>
      </c>
      <c r="AY477" t="inlineStr">
        <is>
          <t>2264624970002656</t>
        </is>
      </c>
      <c r="AZ477" t="inlineStr">
        <is>
          <t>BOOK</t>
        </is>
      </c>
      <c r="BB477" t="inlineStr">
        <is>
          <t>9780060913472</t>
        </is>
      </c>
      <c r="BC477" t="inlineStr">
        <is>
          <t>32285000002401</t>
        </is>
      </c>
      <c r="BD477" t="inlineStr">
        <is>
          <t>893438781</t>
        </is>
      </c>
    </row>
    <row r="478">
      <c r="A478" t="inlineStr">
        <is>
          <t>No</t>
        </is>
      </c>
      <c r="B478" t="inlineStr">
        <is>
          <t>DS135.A68 S75 1991</t>
        </is>
      </c>
      <c r="C478" t="inlineStr">
        <is>
          <t>0                      DS 0135000A  68                 S  75          1991</t>
        </is>
      </c>
      <c r="D478" t="inlineStr">
        <is>
          <t>The Jews of Arab lands in modern times / Norman A. Stillman.</t>
        </is>
      </c>
      <c r="F478" t="inlineStr">
        <is>
          <t>No</t>
        </is>
      </c>
      <c r="G478" t="inlineStr">
        <is>
          <t>1</t>
        </is>
      </c>
      <c r="H478" t="inlineStr">
        <is>
          <t>No</t>
        </is>
      </c>
      <c r="I478" t="inlineStr">
        <is>
          <t>No</t>
        </is>
      </c>
      <c r="J478" t="inlineStr">
        <is>
          <t>0</t>
        </is>
      </c>
      <c r="K478" t="inlineStr">
        <is>
          <t>Stillman, Norman A., 1945-</t>
        </is>
      </c>
      <c r="L478" t="inlineStr">
        <is>
          <t>Philadelphia : The Jewish Publication Society, 1991.</t>
        </is>
      </c>
      <c r="M478" t="inlineStr">
        <is>
          <t>1991</t>
        </is>
      </c>
      <c r="O478" t="inlineStr">
        <is>
          <t>eng</t>
        </is>
      </c>
      <c r="P478" t="inlineStr">
        <is>
          <t>pau</t>
        </is>
      </c>
      <c r="R478" t="inlineStr">
        <is>
          <t xml:space="preserve">DS </t>
        </is>
      </c>
      <c r="S478" t="n">
        <v>7</v>
      </c>
      <c r="T478" t="n">
        <v>7</v>
      </c>
      <c r="U478" t="inlineStr">
        <is>
          <t>2007-12-05</t>
        </is>
      </c>
      <c r="V478" t="inlineStr">
        <is>
          <t>2007-12-05</t>
        </is>
      </c>
      <c r="W478" t="inlineStr">
        <is>
          <t>1991-06-04</t>
        </is>
      </c>
      <c r="X478" t="inlineStr">
        <is>
          <t>1991-06-04</t>
        </is>
      </c>
      <c r="Y478" t="n">
        <v>567</v>
      </c>
      <c r="Z478" t="n">
        <v>478</v>
      </c>
      <c r="AA478" t="n">
        <v>509</v>
      </c>
      <c r="AB478" t="n">
        <v>2</v>
      </c>
      <c r="AC478" t="n">
        <v>2</v>
      </c>
      <c r="AD478" t="n">
        <v>19</v>
      </c>
      <c r="AE478" t="n">
        <v>20</v>
      </c>
      <c r="AF478" t="n">
        <v>6</v>
      </c>
      <c r="AG478" t="n">
        <v>7</v>
      </c>
      <c r="AH478" t="n">
        <v>6</v>
      </c>
      <c r="AI478" t="n">
        <v>6</v>
      </c>
      <c r="AJ478" t="n">
        <v>10</v>
      </c>
      <c r="AK478" t="n">
        <v>10</v>
      </c>
      <c r="AL478" t="n">
        <v>1</v>
      </c>
      <c r="AM478" t="n">
        <v>1</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HYPERLINK("https://creighton-primo.hosted.exlibrisgroup.com/primo-explore/search?tab=default_tab&amp;search_scope=EVERYTHING&amp;vid=01CRU&amp;lang=en_US&amp;offset=0&amp;query=any,contains,991001775899702656","Catalog Record")</f>
        <v/>
      </c>
      <c r="AT478">
        <f>HYPERLINK("http://www.worldcat.org/oclc/22421333","WorldCat Record")</f>
        <v/>
      </c>
      <c r="AU478" t="inlineStr">
        <is>
          <t>720560:eng</t>
        </is>
      </c>
      <c r="AV478" t="inlineStr">
        <is>
          <t>22421333</t>
        </is>
      </c>
      <c r="AW478" t="inlineStr">
        <is>
          <t>991001775899702656</t>
        </is>
      </c>
      <c r="AX478" t="inlineStr">
        <is>
          <t>991001775899702656</t>
        </is>
      </c>
      <c r="AY478" t="inlineStr">
        <is>
          <t>2268826460002656</t>
        </is>
      </c>
      <c r="AZ478" t="inlineStr">
        <is>
          <t>BOOK</t>
        </is>
      </c>
      <c r="BB478" t="inlineStr">
        <is>
          <t>9780827603707</t>
        </is>
      </c>
      <c r="BC478" t="inlineStr">
        <is>
          <t>32285000592484</t>
        </is>
      </c>
      <c r="BD478" t="inlineStr">
        <is>
          <t>893522833</t>
        </is>
      </c>
    </row>
    <row r="479">
      <c r="A479" t="inlineStr">
        <is>
          <t>No</t>
        </is>
      </c>
      <c r="B479" t="inlineStr">
        <is>
          <t>DS135.A92 V5213 1989</t>
        </is>
      </c>
      <c r="C479" t="inlineStr">
        <is>
          <t>0                      DS 0135000A  92                 V  5213        1989</t>
        </is>
      </c>
      <c r="D479" t="inlineStr">
        <is>
          <t>Vienna and the Jews, 1867-1938 : a cultural history / Steven Beller.</t>
        </is>
      </c>
      <c r="F479" t="inlineStr">
        <is>
          <t>No</t>
        </is>
      </c>
      <c r="G479" t="inlineStr">
        <is>
          <t>1</t>
        </is>
      </c>
      <c r="H479" t="inlineStr">
        <is>
          <t>No</t>
        </is>
      </c>
      <c r="I479" t="inlineStr">
        <is>
          <t>No</t>
        </is>
      </c>
      <c r="J479" t="inlineStr">
        <is>
          <t>0</t>
        </is>
      </c>
      <c r="K479" t="inlineStr">
        <is>
          <t>Beller, Steven, 1958-</t>
        </is>
      </c>
      <c r="L479" t="inlineStr">
        <is>
          <t>Cambridge [England] ; New York : Cambridge University Press, 1989.</t>
        </is>
      </c>
      <c r="M479" t="inlineStr">
        <is>
          <t>1989</t>
        </is>
      </c>
      <c r="O479" t="inlineStr">
        <is>
          <t>eng</t>
        </is>
      </c>
      <c r="P479" t="inlineStr">
        <is>
          <t>enk</t>
        </is>
      </c>
      <c r="R479" t="inlineStr">
        <is>
          <t xml:space="preserve">DS </t>
        </is>
      </c>
      <c r="S479" t="n">
        <v>2</v>
      </c>
      <c r="T479" t="n">
        <v>2</v>
      </c>
      <c r="U479" t="inlineStr">
        <is>
          <t>2006-01-16</t>
        </is>
      </c>
      <c r="V479" t="inlineStr">
        <is>
          <t>2006-01-16</t>
        </is>
      </c>
      <c r="W479" t="inlineStr">
        <is>
          <t>1991-09-17</t>
        </is>
      </c>
      <c r="X479" t="inlineStr">
        <is>
          <t>1991-09-17</t>
        </is>
      </c>
      <c r="Y479" t="n">
        <v>518</v>
      </c>
      <c r="Z479" t="n">
        <v>378</v>
      </c>
      <c r="AA479" t="n">
        <v>440</v>
      </c>
      <c r="AB479" t="n">
        <v>3</v>
      </c>
      <c r="AC479" t="n">
        <v>4</v>
      </c>
      <c r="AD479" t="n">
        <v>21</v>
      </c>
      <c r="AE479" t="n">
        <v>26</v>
      </c>
      <c r="AF479" t="n">
        <v>6</v>
      </c>
      <c r="AG479" t="n">
        <v>8</v>
      </c>
      <c r="AH479" t="n">
        <v>6</v>
      </c>
      <c r="AI479" t="n">
        <v>6</v>
      </c>
      <c r="AJ479" t="n">
        <v>14</v>
      </c>
      <c r="AK479" t="n">
        <v>17</v>
      </c>
      <c r="AL479" t="n">
        <v>2</v>
      </c>
      <c r="AM479" t="n">
        <v>3</v>
      </c>
      <c r="AN479" t="n">
        <v>0</v>
      </c>
      <c r="AO479" t="n">
        <v>0</v>
      </c>
      <c r="AP479" t="inlineStr">
        <is>
          <t>No</t>
        </is>
      </c>
      <c r="AQ479" t="inlineStr">
        <is>
          <t>No</t>
        </is>
      </c>
      <c r="AS479">
        <f>HYPERLINK("https://creighton-primo.hosted.exlibrisgroup.com/primo-explore/search?tab=default_tab&amp;search_scope=EVERYTHING&amp;vid=01CRU&amp;lang=en_US&amp;offset=0&amp;query=any,contains,991001367049702656","Catalog Record")</f>
        <v/>
      </c>
      <c r="AT479">
        <f>HYPERLINK("http://www.worldcat.org/oclc/18559264","WorldCat Record")</f>
        <v/>
      </c>
      <c r="AU479" t="inlineStr">
        <is>
          <t>17418615:eng</t>
        </is>
      </c>
      <c r="AV479" t="inlineStr">
        <is>
          <t>18559264</t>
        </is>
      </c>
      <c r="AW479" t="inlineStr">
        <is>
          <t>991001367049702656</t>
        </is>
      </c>
      <c r="AX479" t="inlineStr">
        <is>
          <t>991001367049702656</t>
        </is>
      </c>
      <c r="AY479" t="inlineStr">
        <is>
          <t>2260810050002656</t>
        </is>
      </c>
      <c r="AZ479" t="inlineStr">
        <is>
          <t>BOOK</t>
        </is>
      </c>
      <c r="BB479" t="inlineStr">
        <is>
          <t>9780521351805</t>
        </is>
      </c>
      <c r="BC479" t="inlineStr">
        <is>
          <t>32285000703271</t>
        </is>
      </c>
      <c r="BD479" t="inlineStr">
        <is>
          <t>893778743</t>
        </is>
      </c>
    </row>
    <row r="480">
      <c r="A480" t="inlineStr">
        <is>
          <t>No</t>
        </is>
      </c>
      <c r="B480" t="inlineStr">
        <is>
          <t>DS135.B383 D84 2003</t>
        </is>
      </c>
      <c r="C480" t="inlineStr">
        <is>
          <t>0                      DS 0135000B  383                D  84          2003</t>
        </is>
      </c>
      <c r="D480" t="inlineStr">
        <is>
          <t>The Bielski brothers : the true story of three men who defied the Nazis, saved 1,200 Jews, and built a village in the forest / Peter Duffy.</t>
        </is>
      </c>
      <c r="F480" t="inlineStr">
        <is>
          <t>No</t>
        </is>
      </c>
      <c r="G480" t="inlineStr">
        <is>
          <t>1</t>
        </is>
      </c>
      <c r="H480" t="inlineStr">
        <is>
          <t>No</t>
        </is>
      </c>
      <c r="I480" t="inlineStr">
        <is>
          <t>No</t>
        </is>
      </c>
      <c r="J480" t="inlineStr">
        <is>
          <t>0</t>
        </is>
      </c>
      <c r="K480" t="inlineStr">
        <is>
          <t>Duffy, Peter, 1969-</t>
        </is>
      </c>
      <c r="L480" t="inlineStr">
        <is>
          <t>New York : HarperCollins, c2003.</t>
        </is>
      </c>
      <c r="M480" t="inlineStr">
        <is>
          <t>2003</t>
        </is>
      </c>
      <c r="N480" t="inlineStr">
        <is>
          <t>1st ed.</t>
        </is>
      </c>
      <c r="O480" t="inlineStr">
        <is>
          <t>eng</t>
        </is>
      </c>
      <c r="P480" t="inlineStr">
        <is>
          <t>nyu</t>
        </is>
      </c>
      <c r="R480" t="inlineStr">
        <is>
          <t xml:space="preserve">DS </t>
        </is>
      </c>
      <c r="S480" t="n">
        <v>6</v>
      </c>
      <c r="T480" t="n">
        <v>6</v>
      </c>
      <c r="U480" t="inlineStr">
        <is>
          <t>2010-11-10</t>
        </is>
      </c>
      <c r="V480" t="inlineStr">
        <is>
          <t>2010-11-10</t>
        </is>
      </c>
      <c r="W480" t="inlineStr">
        <is>
          <t>2003-09-11</t>
        </is>
      </c>
      <c r="X480" t="inlineStr">
        <is>
          <t>2003-09-11</t>
        </is>
      </c>
      <c r="Y480" t="n">
        <v>1069</v>
      </c>
      <c r="Z480" t="n">
        <v>1013</v>
      </c>
      <c r="AA480" t="n">
        <v>1200</v>
      </c>
      <c r="AB480" t="n">
        <v>11</v>
      </c>
      <c r="AC480" t="n">
        <v>12</v>
      </c>
      <c r="AD480" t="n">
        <v>17</v>
      </c>
      <c r="AE480" t="n">
        <v>22</v>
      </c>
      <c r="AF480" t="n">
        <v>5</v>
      </c>
      <c r="AG480" t="n">
        <v>9</v>
      </c>
      <c r="AH480" t="n">
        <v>4</v>
      </c>
      <c r="AI480" t="n">
        <v>4</v>
      </c>
      <c r="AJ480" t="n">
        <v>8</v>
      </c>
      <c r="AK480" t="n">
        <v>9</v>
      </c>
      <c r="AL480" t="n">
        <v>5</v>
      </c>
      <c r="AM480" t="n">
        <v>6</v>
      </c>
      <c r="AN480" t="n">
        <v>0</v>
      </c>
      <c r="AO480" t="n">
        <v>0</v>
      </c>
      <c r="AP480" t="inlineStr">
        <is>
          <t>No</t>
        </is>
      </c>
      <c r="AQ480" t="inlineStr">
        <is>
          <t>No</t>
        </is>
      </c>
      <c r="AS480">
        <f>HYPERLINK("https://creighton-primo.hosted.exlibrisgroup.com/primo-explore/search?tab=default_tab&amp;search_scope=EVERYTHING&amp;vid=01CRU&amp;lang=en_US&amp;offset=0&amp;query=any,contains,991004114849702656","Catalog Record")</f>
        <v/>
      </c>
      <c r="AT480">
        <f>HYPERLINK("http://www.worldcat.org/oclc/51518311","WorldCat Record")</f>
        <v/>
      </c>
      <c r="AU480" t="inlineStr">
        <is>
          <t>1152807089:eng</t>
        </is>
      </c>
      <c r="AV480" t="inlineStr">
        <is>
          <t>51518311</t>
        </is>
      </c>
      <c r="AW480" t="inlineStr">
        <is>
          <t>991004114849702656</t>
        </is>
      </c>
      <c r="AX480" t="inlineStr">
        <is>
          <t>991004114849702656</t>
        </is>
      </c>
      <c r="AY480" t="inlineStr">
        <is>
          <t>2259879700002656</t>
        </is>
      </c>
      <c r="AZ480" t="inlineStr">
        <is>
          <t>BOOK</t>
        </is>
      </c>
      <c r="BB480" t="inlineStr">
        <is>
          <t>9780066210742</t>
        </is>
      </c>
      <c r="BC480" t="inlineStr">
        <is>
          <t>32285004782875</t>
        </is>
      </c>
      <c r="BD480" t="inlineStr">
        <is>
          <t>893900815</t>
        </is>
      </c>
    </row>
    <row r="481">
      <c r="A481" t="inlineStr">
        <is>
          <t>No</t>
        </is>
      </c>
      <c r="B481" t="inlineStr">
        <is>
          <t>DS135.D4 L4 2000</t>
        </is>
      </c>
      <c r="C481" t="inlineStr">
        <is>
          <t>0                      DS 0135000D  4                  L  4           2000</t>
        </is>
      </c>
      <c r="D481" t="inlineStr">
        <is>
          <t>Darkness over Denmark : the Danish resistance and the rescue of the Jews / Ellen Levine.</t>
        </is>
      </c>
      <c r="F481" t="inlineStr">
        <is>
          <t>No</t>
        </is>
      </c>
      <c r="G481" t="inlineStr">
        <is>
          <t>1</t>
        </is>
      </c>
      <c r="H481" t="inlineStr">
        <is>
          <t>No</t>
        </is>
      </c>
      <c r="I481" t="inlineStr">
        <is>
          <t>No</t>
        </is>
      </c>
      <c r="J481" t="inlineStr">
        <is>
          <t>0</t>
        </is>
      </c>
      <c r="K481" t="inlineStr">
        <is>
          <t>Levine, Ellen.</t>
        </is>
      </c>
      <c r="L481" t="inlineStr">
        <is>
          <t>New York : Holiday House, c2000.</t>
        </is>
      </c>
      <c r="M481" t="inlineStr">
        <is>
          <t>2000</t>
        </is>
      </c>
      <c r="O481" t="inlineStr">
        <is>
          <t>eng</t>
        </is>
      </c>
      <c r="P481" t="inlineStr">
        <is>
          <t>nyu</t>
        </is>
      </c>
      <c r="R481" t="inlineStr">
        <is>
          <t xml:space="preserve">DS </t>
        </is>
      </c>
      <c r="S481" t="n">
        <v>3</v>
      </c>
      <c r="T481" t="n">
        <v>3</v>
      </c>
      <c r="U481" t="inlineStr">
        <is>
          <t>2008-12-16</t>
        </is>
      </c>
      <c r="V481" t="inlineStr">
        <is>
          <t>2008-12-16</t>
        </is>
      </c>
      <c r="W481" t="inlineStr">
        <is>
          <t>2001-06-06</t>
        </is>
      </c>
      <c r="X481" t="inlineStr">
        <is>
          <t>2001-06-06</t>
        </is>
      </c>
      <c r="Y481" t="n">
        <v>1184</v>
      </c>
      <c r="Z481" t="n">
        <v>1133</v>
      </c>
      <c r="AA481" t="n">
        <v>1180</v>
      </c>
      <c r="AB481" t="n">
        <v>11</v>
      </c>
      <c r="AC481" t="n">
        <v>11</v>
      </c>
      <c r="AD481" t="n">
        <v>15</v>
      </c>
      <c r="AE481" t="n">
        <v>16</v>
      </c>
      <c r="AF481" t="n">
        <v>6</v>
      </c>
      <c r="AG481" t="n">
        <v>7</v>
      </c>
      <c r="AH481" t="n">
        <v>3</v>
      </c>
      <c r="AI481" t="n">
        <v>3</v>
      </c>
      <c r="AJ481" t="n">
        <v>6</v>
      </c>
      <c r="AK481" t="n">
        <v>7</v>
      </c>
      <c r="AL481" t="n">
        <v>3</v>
      </c>
      <c r="AM481" t="n">
        <v>3</v>
      </c>
      <c r="AN481" t="n">
        <v>0</v>
      </c>
      <c r="AO481" t="n">
        <v>0</v>
      </c>
      <c r="AP481" t="inlineStr">
        <is>
          <t>No</t>
        </is>
      </c>
      <c r="AQ481" t="inlineStr">
        <is>
          <t>Yes</t>
        </is>
      </c>
      <c r="AR481">
        <f>HYPERLINK("http://catalog.hathitrust.org/Record/004157872","HathiTrust Record")</f>
        <v/>
      </c>
      <c r="AS481">
        <f>HYPERLINK("https://creighton-primo.hosted.exlibrisgroup.com/primo-explore/search?tab=default_tab&amp;search_scope=EVERYTHING&amp;vid=01CRU&amp;lang=en_US&amp;offset=0&amp;query=any,contains,991003545849702656","Catalog Record")</f>
        <v/>
      </c>
      <c r="AT481">
        <f>HYPERLINK("http://www.worldcat.org/oclc/41142979","WorldCat Record")</f>
        <v/>
      </c>
      <c r="AU481" t="inlineStr">
        <is>
          <t>2801191:eng</t>
        </is>
      </c>
      <c r="AV481" t="inlineStr">
        <is>
          <t>41142979</t>
        </is>
      </c>
      <c r="AW481" t="inlineStr">
        <is>
          <t>991003545849702656</t>
        </is>
      </c>
      <c r="AX481" t="inlineStr">
        <is>
          <t>991003545849702656</t>
        </is>
      </c>
      <c r="AY481" t="inlineStr">
        <is>
          <t>2260660310002656</t>
        </is>
      </c>
      <c r="AZ481" t="inlineStr">
        <is>
          <t>BOOK</t>
        </is>
      </c>
      <c r="BB481" t="inlineStr">
        <is>
          <t>9780823414475</t>
        </is>
      </c>
      <c r="BC481" t="inlineStr">
        <is>
          <t>32285004325725</t>
        </is>
      </c>
      <c r="BD481" t="inlineStr">
        <is>
          <t>893308619</t>
        </is>
      </c>
    </row>
    <row r="482">
      <c r="A482" t="inlineStr">
        <is>
          <t>No</t>
        </is>
      </c>
      <c r="B482" t="inlineStr">
        <is>
          <t>DS135.E4 P48</t>
        </is>
      </c>
      <c r="C482" t="inlineStr">
        <is>
          <t>0                      DS 0135000E  4                  P  48</t>
        </is>
      </c>
      <c r="D482" t="inlineStr">
        <is>
          <t>Legatio ad Gaium / Philonis Alexandrini. Edited with an introd., translation and commentary by E. Mary Smallwood.</t>
        </is>
      </c>
      <c r="F482" t="inlineStr">
        <is>
          <t>No</t>
        </is>
      </c>
      <c r="G482" t="inlineStr">
        <is>
          <t>1</t>
        </is>
      </c>
      <c r="H482" t="inlineStr">
        <is>
          <t>No</t>
        </is>
      </c>
      <c r="I482" t="inlineStr">
        <is>
          <t>No</t>
        </is>
      </c>
      <c r="J482" t="inlineStr">
        <is>
          <t>0</t>
        </is>
      </c>
      <c r="K482" t="inlineStr">
        <is>
          <t>Philo, of Alexandria</t>
        </is>
      </c>
      <c r="L482" t="inlineStr">
        <is>
          <t>Leiden : E.J. Brill, 1961.</t>
        </is>
      </c>
      <c r="M482" t="inlineStr">
        <is>
          <t>1961</t>
        </is>
      </c>
      <c r="O482" t="inlineStr">
        <is>
          <t>gre</t>
        </is>
      </c>
      <c r="P482" t="inlineStr">
        <is>
          <t xml:space="preserve">ne </t>
        </is>
      </c>
      <c r="R482" t="inlineStr">
        <is>
          <t xml:space="preserve">DS </t>
        </is>
      </c>
      <c r="S482" t="n">
        <v>1</v>
      </c>
      <c r="T482" t="n">
        <v>1</v>
      </c>
      <c r="U482" t="inlineStr">
        <is>
          <t>2003-11-10</t>
        </is>
      </c>
      <c r="V482" t="inlineStr">
        <is>
          <t>2003-11-10</t>
        </is>
      </c>
      <c r="W482" t="inlineStr">
        <is>
          <t>1990-10-02</t>
        </is>
      </c>
      <c r="X482" t="inlineStr">
        <is>
          <t>1990-10-02</t>
        </is>
      </c>
      <c r="Y482" t="n">
        <v>176</v>
      </c>
      <c r="Z482" t="n">
        <v>117</v>
      </c>
      <c r="AA482" t="n">
        <v>209</v>
      </c>
      <c r="AB482" t="n">
        <v>2</v>
      </c>
      <c r="AC482" t="n">
        <v>2</v>
      </c>
      <c r="AD482" t="n">
        <v>8</v>
      </c>
      <c r="AE482" t="n">
        <v>13</v>
      </c>
      <c r="AF482" t="n">
        <v>0</v>
      </c>
      <c r="AG482" t="n">
        <v>1</v>
      </c>
      <c r="AH482" t="n">
        <v>1</v>
      </c>
      <c r="AI482" t="n">
        <v>4</v>
      </c>
      <c r="AJ482" t="n">
        <v>6</v>
      </c>
      <c r="AK482" t="n">
        <v>10</v>
      </c>
      <c r="AL482" t="n">
        <v>1</v>
      </c>
      <c r="AM482" t="n">
        <v>1</v>
      </c>
      <c r="AN482" t="n">
        <v>0</v>
      </c>
      <c r="AO482" t="n">
        <v>0</v>
      </c>
      <c r="AP482" t="inlineStr">
        <is>
          <t>No</t>
        </is>
      </c>
      <c r="AQ482" t="inlineStr">
        <is>
          <t>Yes</t>
        </is>
      </c>
      <c r="AR482">
        <f>HYPERLINK("http://catalog.hathitrust.org/Record/001227707","HathiTrust Record")</f>
        <v/>
      </c>
      <c r="AS482">
        <f>HYPERLINK("https://creighton-primo.hosted.exlibrisgroup.com/primo-explore/search?tab=default_tab&amp;search_scope=EVERYTHING&amp;vid=01CRU&amp;lang=en_US&amp;offset=0&amp;query=any,contains,991000699629702656","Catalog Record")</f>
        <v/>
      </c>
      <c r="AT482">
        <f>HYPERLINK("http://www.worldcat.org/oclc/12537166","WorldCat Record")</f>
        <v/>
      </c>
      <c r="AU482" t="inlineStr">
        <is>
          <t>1284790:eng</t>
        </is>
      </c>
      <c r="AV482" t="inlineStr">
        <is>
          <t>12537166</t>
        </is>
      </c>
      <c r="AW482" t="inlineStr">
        <is>
          <t>991000699629702656</t>
        </is>
      </c>
      <c r="AX482" t="inlineStr">
        <is>
          <t>991000699629702656</t>
        </is>
      </c>
      <c r="AY482" t="inlineStr">
        <is>
          <t>2263942880002656</t>
        </is>
      </c>
      <c r="AZ482" t="inlineStr">
        <is>
          <t>BOOK</t>
        </is>
      </c>
      <c r="BC482" t="inlineStr">
        <is>
          <t>32285000294248</t>
        </is>
      </c>
      <c r="BD482" t="inlineStr">
        <is>
          <t>893502724</t>
        </is>
      </c>
    </row>
    <row r="483">
      <c r="A483" t="inlineStr">
        <is>
          <t>No</t>
        </is>
      </c>
      <c r="B483" t="inlineStr">
        <is>
          <t>DS135.E5 F45 1999</t>
        </is>
      </c>
      <c r="C483" t="inlineStr">
        <is>
          <t>0                      DS 0135000E  5                  F  45          1999</t>
        </is>
      </c>
      <c r="D483" t="inlineStr">
        <is>
          <t>Anglo-Jewry in changing times : studies in diversity, 1840-1914 / Israel Finestein.</t>
        </is>
      </c>
      <c r="F483" t="inlineStr">
        <is>
          <t>No</t>
        </is>
      </c>
      <c r="G483" t="inlineStr">
        <is>
          <t>1</t>
        </is>
      </c>
      <c r="H483" t="inlineStr">
        <is>
          <t>No</t>
        </is>
      </c>
      <c r="I483" t="inlineStr">
        <is>
          <t>No</t>
        </is>
      </c>
      <c r="J483" t="inlineStr">
        <is>
          <t>0</t>
        </is>
      </c>
      <c r="K483" t="inlineStr">
        <is>
          <t>Finestein, I.</t>
        </is>
      </c>
      <c r="L483" t="inlineStr">
        <is>
          <t>London; Portland, OR : Vallentine Mitchell, 1999.</t>
        </is>
      </c>
      <c r="M483" t="inlineStr">
        <is>
          <t>1999</t>
        </is>
      </c>
      <c r="O483" t="inlineStr">
        <is>
          <t>eng</t>
        </is>
      </c>
      <c r="P483" t="inlineStr">
        <is>
          <t>enk</t>
        </is>
      </c>
      <c r="R483" t="inlineStr">
        <is>
          <t xml:space="preserve">DS </t>
        </is>
      </c>
      <c r="S483" t="n">
        <v>1</v>
      </c>
      <c r="T483" t="n">
        <v>1</v>
      </c>
      <c r="U483" t="inlineStr">
        <is>
          <t>2000-12-20</t>
        </is>
      </c>
      <c r="V483" t="inlineStr">
        <is>
          <t>2000-12-20</t>
        </is>
      </c>
      <c r="W483" t="inlineStr">
        <is>
          <t>2000-12-20</t>
        </is>
      </c>
      <c r="X483" t="inlineStr">
        <is>
          <t>2000-12-20</t>
        </is>
      </c>
      <c r="Y483" t="n">
        <v>155</v>
      </c>
      <c r="Z483" t="n">
        <v>123</v>
      </c>
      <c r="AA483" t="n">
        <v>125</v>
      </c>
      <c r="AB483" t="n">
        <v>2</v>
      </c>
      <c r="AC483" t="n">
        <v>2</v>
      </c>
      <c r="AD483" t="n">
        <v>5</v>
      </c>
      <c r="AE483" t="n">
        <v>5</v>
      </c>
      <c r="AF483" t="n">
        <v>0</v>
      </c>
      <c r="AG483" t="n">
        <v>0</v>
      </c>
      <c r="AH483" t="n">
        <v>2</v>
      </c>
      <c r="AI483" t="n">
        <v>2</v>
      </c>
      <c r="AJ483" t="n">
        <v>4</v>
      </c>
      <c r="AK483" t="n">
        <v>4</v>
      </c>
      <c r="AL483" t="n">
        <v>1</v>
      </c>
      <c r="AM483" t="n">
        <v>1</v>
      </c>
      <c r="AN483" t="n">
        <v>0</v>
      </c>
      <c r="AO483" t="n">
        <v>0</v>
      </c>
      <c r="AP483" t="inlineStr">
        <is>
          <t>No</t>
        </is>
      </c>
      <c r="AQ483" t="inlineStr">
        <is>
          <t>Yes</t>
        </is>
      </c>
      <c r="AR483">
        <f>HYPERLINK("http://catalog.hathitrust.org/Record/004104103","HathiTrust Record")</f>
        <v/>
      </c>
      <c r="AS483">
        <f>HYPERLINK("https://creighton-primo.hosted.exlibrisgroup.com/primo-explore/search?tab=default_tab&amp;search_scope=EVERYTHING&amp;vid=01CRU&amp;lang=en_US&amp;offset=0&amp;query=any,contains,991003340059702656","Catalog Record")</f>
        <v/>
      </c>
      <c r="AT483">
        <f>HYPERLINK("http://www.worldcat.org/oclc/40135287","WorldCat Record")</f>
        <v/>
      </c>
      <c r="AU483" t="inlineStr">
        <is>
          <t>202150220:eng</t>
        </is>
      </c>
      <c r="AV483" t="inlineStr">
        <is>
          <t>40135287</t>
        </is>
      </c>
      <c r="AW483" t="inlineStr">
        <is>
          <t>991003340059702656</t>
        </is>
      </c>
      <c r="AX483" t="inlineStr">
        <is>
          <t>991003340059702656</t>
        </is>
      </c>
      <c r="AY483" t="inlineStr">
        <is>
          <t>2262597590002656</t>
        </is>
      </c>
      <c r="AZ483" t="inlineStr">
        <is>
          <t>BOOK</t>
        </is>
      </c>
      <c r="BB483" t="inlineStr">
        <is>
          <t>9780853033547</t>
        </is>
      </c>
      <c r="BC483" t="inlineStr">
        <is>
          <t>32285004278320</t>
        </is>
      </c>
      <c r="BD483" t="inlineStr">
        <is>
          <t>893324005</t>
        </is>
      </c>
    </row>
    <row r="484">
      <c r="A484" t="inlineStr">
        <is>
          <t>No</t>
        </is>
      </c>
      <c r="B484" t="inlineStr">
        <is>
          <t>DS135.E75 B37 2002</t>
        </is>
      </c>
      <c r="C484" t="inlineStr">
        <is>
          <t>0                      DS 0135000E  75                 B  37          2002</t>
        </is>
      </c>
      <c r="D484" t="inlineStr">
        <is>
          <t>From tragedy to triumph : the politics behind the rescue of Ethiopian Jewry / Mitchell G. Bard.</t>
        </is>
      </c>
      <c r="F484" t="inlineStr">
        <is>
          <t>No</t>
        </is>
      </c>
      <c r="G484" t="inlineStr">
        <is>
          <t>1</t>
        </is>
      </c>
      <c r="H484" t="inlineStr">
        <is>
          <t>No</t>
        </is>
      </c>
      <c r="I484" t="inlineStr">
        <is>
          <t>No</t>
        </is>
      </c>
      <c r="J484" t="inlineStr">
        <is>
          <t>0</t>
        </is>
      </c>
      <c r="K484" t="inlineStr">
        <is>
          <t>Bard, Mitchell Geoffrey, 1959-</t>
        </is>
      </c>
      <c r="L484" t="inlineStr">
        <is>
          <t>Westport, Conn. : Praeger, 2002.</t>
        </is>
      </c>
      <c r="M484" t="inlineStr">
        <is>
          <t>2002</t>
        </is>
      </c>
      <c r="O484" t="inlineStr">
        <is>
          <t>eng</t>
        </is>
      </c>
      <c r="P484" t="inlineStr">
        <is>
          <t>ctu</t>
        </is>
      </c>
      <c r="R484" t="inlineStr">
        <is>
          <t xml:space="preserve">DS </t>
        </is>
      </c>
      <c r="S484" t="n">
        <v>2</v>
      </c>
      <c r="T484" t="n">
        <v>2</v>
      </c>
      <c r="U484" t="inlineStr">
        <is>
          <t>2002-09-25</t>
        </is>
      </c>
      <c r="V484" t="inlineStr">
        <is>
          <t>2002-09-25</t>
        </is>
      </c>
      <c r="W484" t="inlineStr">
        <is>
          <t>2002-09-25</t>
        </is>
      </c>
      <c r="X484" t="inlineStr">
        <is>
          <t>2002-09-25</t>
        </is>
      </c>
      <c r="Y484" t="n">
        <v>200</v>
      </c>
      <c r="Z484" t="n">
        <v>173</v>
      </c>
      <c r="AA484" t="n">
        <v>528</v>
      </c>
      <c r="AB484" t="n">
        <v>3</v>
      </c>
      <c r="AC484" t="n">
        <v>5</v>
      </c>
      <c r="AD484" t="n">
        <v>13</v>
      </c>
      <c r="AE484" t="n">
        <v>19</v>
      </c>
      <c r="AF484" t="n">
        <v>5</v>
      </c>
      <c r="AG484" t="n">
        <v>8</v>
      </c>
      <c r="AH484" t="n">
        <v>5</v>
      </c>
      <c r="AI484" t="n">
        <v>6</v>
      </c>
      <c r="AJ484" t="n">
        <v>8</v>
      </c>
      <c r="AK484" t="n">
        <v>9</v>
      </c>
      <c r="AL484" t="n">
        <v>2</v>
      </c>
      <c r="AM484" t="n">
        <v>4</v>
      </c>
      <c r="AN484" t="n">
        <v>0</v>
      </c>
      <c r="AO484" t="n">
        <v>0</v>
      </c>
      <c r="AP484" t="inlineStr">
        <is>
          <t>No</t>
        </is>
      </c>
      <c r="AQ484" t="inlineStr">
        <is>
          <t>Yes</t>
        </is>
      </c>
      <c r="AR484">
        <f>HYPERLINK("http://catalog.hathitrust.org/Record/004257567","HathiTrust Record")</f>
        <v/>
      </c>
      <c r="AS484">
        <f>HYPERLINK("https://creighton-primo.hosted.exlibrisgroup.com/primo-explore/search?tab=default_tab&amp;search_scope=EVERYTHING&amp;vid=01CRU&amp;lang=en_US&amp;offset=0&amp;query=any,contains,991003878409702656","Catalog Record")</f>
        <v/>
      </c>
      <c r="AT484">
        <f>HYPERLINK("http://www.worldcat.org/oclc/48579122","WorldCat Record")</f>
        <v/>
      </c>
      <c r="AU484" t="inlineStr">
        <is>
          <t>802653052:eng</t>
        </is>
      </c>
      <c r="AV484" t="inlineStr">
        <is>
          <t>48579122</t>
        </is>
      </c>
      <c r="AW484" t="inlineStr">
        <is>
          <t>991003878409702656</t>
        </is>
      </c>
      <c r="AX484" t="inlineStr">
        <is>
          <t>991003878409702656</t>
        </is>
      </c>
      <c r="AY484" t="inlineStr">
        <is>
          <t>2271920160002656</t>
        </is>
      </c>
      <c r="AZ484" t="inlineStr">
        <is>
          <t>BOOK</t>
        </is>
      </c>
      <c r="BB484" t="inlineStr">
        <is>
          <t>9780275970000</t>
        </is>
      </c>
      <c r="BC484" t="inlineStr">
        <is>
          <t>32285004649264</t>
        </is>
      </c>
      <c r="BD484" t="inlineStr">
        <is>
          <t>893693248</t>
        </is>
      </c>
    </row>
    <row r="485">
      <c r="A485" t="inlineStr">
        <is>
          <t>No</t>
        </is>
      </c>
      <c r="B485" t="inlineStr">
        <is>
          <t>DS135.E75 B46 1993</t>
        </is>
      </c>
      <c r="C485" t="inlineStr">
        <is>
          <t>0                      DS 0135000E  75                 B  46          1993</t>
        </is>
      </c>
      <c r="D485" t="inlineStr">
        <is>
          <t>We the Black Jews / by Yosef A.A. ben-Jochannan.</t>
        </is>
      </c>
      <c r="F485" t="inlineStr">
        <is>
          <t>No</t>
        </is>
      </c>
      <c r="G485" t="inlineStr">
        <is>
          <t>1</t>
        </is>
      </c>
      <c r="H485" t="inlineStr">
        <is>
          <t>No</t>
        </is>
      </c>
      <c r="I485" t="inlineStr">
        <is>
          <t>No</t>
        </is>
      </c>
      <c r="J485" t="inlineStr">
        <is>
          <t>0</t>
        </is>
      </c>
      <c r="K485" t="inlineStr">
        <is>
          <t>Ben-Jochannan, Yosef.</t>
        </is>
      </c>
      <c r="L485" t="inlineStr">
        <is>
          <t>Baltimore, MD : Black Classic Press, 1993.</t>
        </is>
      </c>
      <c r="M485" t="inlineStr">
        <is>
          <t>1993</t>
        </is>
      </c>
      <c r="O485" t="inlineStr">
        <is>
          <t>eng</t>
        </is>
      </c>
      <c r="P485" t="inlineStr">
        <is>
          <t>mdu</t>
        </is>
      </c>
      <c r="R485" t="inlineStr">
        <is>
          <t xml:space="preserve">DS </t>
        </is>
      </c>
      <c r="S485" t="n">
        <v>5</v>
      </c>
      <c r="T485" t="n">
        <v>5</v>
      </c>
      <c r="U485" t="inlineStr">
        <is>
          <t>2008-04-01</t>
        </is>
      </c>
      <c r="V485" t="inlineStr">
        <is>
          <t>2008-04-01</t>
        </is>
      </c>
      <c r="W485" t="inlineStr">
        <is>
          <t>1995-04-26</t>
        </is>
      </c>
      <c r="X485" t="inlineStr">
        <is>
          <t>1995-04-26</t>
        </is>
      </c>
      <c r="Y485" t="n">
        <v>176</v>
      </c>
      <c r="Z485" t="n">
        <v>159</v>
      </c>
      <c r="AA485" t="n">
        <v>162</v>
      </c>
      <c r="AB485" t="n">
        <v>1</v>
      </c>
      <c r="AC485" t="n">
        <v>1</v>
      </c>
      <c r="AD485" t="n">
        <v>0</v>
      </c>
      <c r="AE485" t="n">
        <v>0</v>
      </c>
      <c r="AF485" t="n">
        <v>0</v>
      </c>
      <c r="AG485" t="n">
        <v>0</v>
      </c>
      <c r="AH485" t="n">
        <v>0</v>
      </c>
      <c r="AI485" t="n">
        <v>0</v>
      </c>
      <c r="AJ485" t="n">
        <v>0</v>
      </c>
      <c r="AK485" t="n">
        <v>0</v>
      </c>
      <c r="AL485" t="n">
        <v>0</v>
      </c>
      <c r="AM485" t="n">
        <v>0</v>
      </c>
      <c r="AN485" t="n">
        <v>0</v>
      </c>
      <c r="AO485" t="n">
        <v>0</v>
      </c>
      <c r="AP485" t="inlineStr">
        <is>
          <t>No</t>
        </is>
      </c>
      <c r="AQ485" t="inlineStr">
        <is>
          <t>Yes</t>
        </is>
      </c>
      <c r="AR485">
        <f>HYPERLINK("http://catalog.hathitrust.org/Record/002911789","HathiTrust Record")</f>
        <v/>
      </c>
      <c r="AS485">
        <f>HYPERLINK("https://creighton-primo.hosted.exlibrisgroup.com/primo-explore/search?tab=default_tab&amp;search_scope=EVERYTHING&amp;vid=01CRU&amp;lang=en_US&amp;offset=0&amp;query=any,contains,991002207739702656","Catalog Record")</f>
        <v/>
      </c>
      <c r="AT485">
        <f>HYPERLINK("http://www.worldcat.org/oclc/28399509","WorldCat Record")</f>
        <v/>
      </c>
      <c r="AU485" t="inlineStr">
        <is>
          <t>382514:eng</t>
        </is>
      </c>
      <c r="AV485" t="inlineStr">
        <is>
          <t>28399509</t>
        </is>
      </c>
      <c r="AW485" t="inlineStr">
        <is>
          <t>991002207739702656</t>
        </is>
      </c>
      <c r="AX485" t="inlineStr">
        <is>
          <t>991002207739702656</t>
        </is>
      </c>
      <c r="AY485" t="inlineStr">
        <is>
          <t>2261136350002656</t>
        </is>
      </c>
      <c r="AZ485" t="inlineStr">
        <is>
          <t>BOOK</t>
        </is>
      </c>
      <c r="BB485" t="inlineStr">
        <is>
          <t>9780933121409</t>
        </is>
      </c>
      <c r="BC485" t="inlineStr">
        <is>
          <t>32285002036431</t>
        </is>
      </c>
      <c r="BD485" t="inlineStr">
        <is>
          <t>893703800</t>
        </is>
      </c>
    </row>
    <row r="486">
      <c r="A486" t="inlineStr">
        <is>
          <t>No</t>
        </is>
      </c>
      <c r="B486" t="inlineStr">
        <is>
          <t>DS135.E75 K35 1992</t>
        </is>
      </c>
      <c r="C486" t="inlineStr">
        <is>
          <t>0                      DS 0135000E  75                 K  35          1992</t>
        </is>
      </c>
      <c r="D486" t="inlineStr">
        <is>
          <t>The Beta Israel (Falasha) in Ethiopia : from earliest times to the twentieth century / Steven Kaplan.</t>
        </is>
      </c>
      <c r="F486" t="inlineStr">
        <is>
          <t>No</t>
        </is>
      </c>
      <c r="G486" t="inlineStr">
        <is>
          <t>1</t>
        </is>
      </c>
      <c r="H486" t="inlineStr">
        <is>
          <t>No</t>
        </is>
      </c>
      <c r="I486" t="inlineStr">
        <is>
          <t>No</t>
        </is>
      </c>
      <c r="J486" t="inlineStr">
        <is>
          <t>0</t>
        </is>
      </c>
      <c r="K486" t="inlineStr">
        <is>
          <t>Kaplan, Steven.</t>
        </is>
      </c>
      <c r="L486" t="inlineStr">
        <is>
          <t>New York : New York University Press, c1992.</t>
        </is>
      </c>
      <c r="M486" t="inlineStr">
        <is>
          <t>1992</t>
        </is>
      </c>
      <c r="O486" t="inlineStr">
        <is>
          <t>eng</t>
        </is>
      </c>
      <c r="P486" t="inlineStr">
        <is>
          <t>nyu</t>
        </is>
      </c>
      <c r="R486" t="inlineStr">
        <is>
          <t xml:space="preserve">DS </t>
        </is>
      </c>
      <c r="S486" t="n">
        <v>1</v>
      </c>
      <c r="T486" t="n">
        <v>1</v>
      </c>
      <c r="U486" t="inlineStr">
        <is>
          <t>2003-11-11</t>
        </is>
      </c>
      <c r="V486" t="inlineStr">
        <is>
          <t>2003-11-11</t>
        </is>
      </c>
      <c r="W486" t="inlineStr">
        <is>
          <t>1993-10-04</t>
        </is>
      </c>
      <c r="X486" t="inlineStr">
        <is>
          <t>1993-10-04</t>
        </is>
      </c>
      <c r="Y486" t="n">
        <v>413</v>
      </c>
      <c r="Z486" t="n">
        <v>340</v>
      </c>
      <c r="AA486" t="n">
        <v>939</v>
      </c>
      <c r="AB486" t="n">
        <v>2</v>
      </c>
      <c r="AC486" t="n">
        <v>5</v>
      </c>
      <c r="AD486" t="n">
        <v>16</v>
      </c>
      <c r="AE486" t="n">
        <v>32</v>
      </c>
      <c r="AF486" t="n">
        <v>6</v>
      </c>
      <c r="AG486" t="n">
        <v>17</v>
      </c>
      <c r="AH486" t="n">
        <v>7</v>
      </c>
      <c r="AI486" t="n">
        <v>9</v>
      </c>
      <c r="AJ486" t="n">
        <v>8</v>
      </c>
      <c r="AK486" t="n">
        <v>13</v>
      </c>
      <c r="AL486" t="n">
        <v>1</v>
      </c>
      <c r="AM486" t="n">
        <v>3</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HYPERLINK("https://creighton-primo.hosted.exlibrisgroup.com/primo-explore/search?tab=default_tab&amp;search_scope=EVERYTHING&amp;vid=01CRU&amp;lang=en_US&amp;offset=0&amp;query=any,contains,991001989649702656","Catalog Record")</f>
        <v/>
      </c>
      <c r="AT486">
        <f>HYPERLINK("http://www.worldcat.org/oclc/25281848","WorldCat Record")</f>
        <v/>
      </c>
      <c r="AU486" t="inlineStr">
        <is>
          <t>799758864:eng</t>
        </is>
      </c>
      <c r="AV486" t="inlineStr">
        <is>
          <t>25281848</t>
        </is>
      </c>
      <c r="AW486" t="inlineStr">
        <is>
          <t>991001989649702656</t>
        </is>
      </c>
      <c r="AX486" t="inlineStr">
        <is>
          <t>991001989649702656</t>
        </is>
      </c>
      <c r="AY486" t="inlineStr">
        <is>
          <t>2256073620002656</t>
        </is>
      </c>
      <c r="AZ486" t="inlineStr">
        <is>
          <t>BOOK</t>
        </is>
      </c>
      <c r="BB486" t="inlineStr">
        <is>
          <t>9780814746257</t>
        </is>
      </c>
      <c r="BC486" t="inlineStr">
        <is>
          <t>32285001769388</t>
        </is>
      </c>
      <c r="BD486" t="inlineStr">
        <is>
          <t>893785595</t>
        </is>
      </c>
    </row>
    <row r="487">
      <c r="A487" t="inlineStr">
        <is>
          <t>No</t>
        </is>
      </c>
      <c r="B487" t="inlineStr">
        <is>
          <t>DS135.E75 K47 1982</t>
        </is>
      </c>
      <c r="C487" t="inlineStr">
        <is>
          <t>0                      DS 0135000E  75                 K  47          1982</t>
        </is>
      </c>
      <c r="D487" t="inlineStr">
        <is>
          <t>The Falashas : the forgotten Jews of Ethiopia / David Kessler.</t>
        </is>
      </c>
      <c r="F487" t="inlineStr">
        <is>
          <t>No</t>
        </is>
      </c>
      <c r="G487" t="inlineStr">
        <is>
          <t>1</t>
        </is>
      </c>
      <c r="H487" t="inlineStr">
        <is>
          <t>No</t>
        </is>
      </c>
      <c r="I487" t="inlineStr">
        <is>
          <t>No</t>
        </is>
      </c>
      <c r="J487" t="inlineStr">
        <is>
          <t>0</t>
        </is>
      </c>
      <c r="K487" t="inlineStr">
        <is>
          <t>Kessler, David.</t>
        </is>
      </c>
      <c r="L487" t="inlineStr">
        <is>
          <t>New York : African Pub. Co., 1982.</t>
        </is>
      </c>
      <c r="M487" t="inlineStr">
        <is>
          <t>1982</t>
        </is>
      </c>
      <c r="O487" t="inlineStr">
        <is>
          <t>eng</t>
        </is>
      </c>
      <c r="P487" t="inlineStr">
        <is>
          <t>nyu</t>
        </is>
      </c>
      <c r="R487" t="inlineStr">
        <is>
          <t xml:space="preserve">DS </t>
        </is>
      </c>
      <c r="S487" t="n">
        <v>1</v>
      </c>
      <c r="T487" t="n">
        <v>1</v>
      </c>
      <c r="U487" t="inlineStr">
        <is>
          <t>2003-11-11</t>
        </is>
      </c>
      <c r="V487" t="inlineStr">
        <is>
          <t>2003-11-11</t>
        </is>
      </c>
      <c r="W487" t="inlineStr">
        <is>
          <t>1990-10-02</t>
        </is>
      </c>
      <c r="X487" t="inlineStr">
        <is>
          <t>1990-10-02</t>
        </is>
      </c>
      <c r="Y487" t="n">
        <v>179</v>
      </c>
      <c r="Z487" t="n">
        <v>152</v>
      </c>
      <c r="AA487" t="n">
        <v>245</v>
      </c>
      <c r="AB487" t="n">
        <v>1</v>
      </c>
      <c r="AC487" t="n">
        <v>1</v>
      </c>
      <c r="AD487" t="n">
        <v>4</v>
      </c>
      <c r="AE487" t="n">
        <v>6</v>
      </c>
      <c r="AF487" t="n">
        <v>1</v>
      </c>
      <c r="AG487" t="n">
        <v>2</v>
      </c>
      <c r="AH487" t="n">
        <v>3</v>
      </c>
      <c r="AI487" t="n">
        <v>4</v>
      </c>
      <c r="AJ487" t="n">
        <v>2</v>
      </c>
      <c r="AK487" t="n">
        <v>3</v>
      </c>
      <c r="AL487" t="n">
        <v>0</v>
      </c>
      <c r="AM487" t="n">
        <v>0</v>
      </c>
      <c r="AN487" t="n">
        <v>0</v>
      </c>
      <c r="AO487" t="n">
        <v>0</v>
      </c>
      <c r="AP487" t="inlineStr">
        <is>
          <t>No</t>
        </is>
      </c>
      <c r="AQ487" t="inlineStr">
        <is>
          <t>Yes</t>
        </is>
      </c>
      <c r="AR487">
        <f>HYPERLINK("http://catalog.hathitrust.org/Record/006037501","HathiTrust Record")</f>
        <v/>
      </c>
      <c r="AS487">
        <f>HYPERLINK("https://creighton-primo.hosted.exlibrisgroup.com/primo-explore/search?tab=default_tab&amp;search_scope=EVERYTHING&amp;vid=01CRU&amp;lang=en_US&amp;offset=0&amp;query=any,contains,991005214069702656","Catalog Record")</f>
        <v/>
      </c>
      <c r="AT487">
        <f>HYPERLINK("http://www.worldcat.org/oclc/8171916","WorldCat Record")</f>
        <v/>
      </c>
      <c r="AU487" t="inlineStr">
        <is>
          <t>3855367060:eng</t>
        </is>
      </c>
      <c r="AV487" t="inlineStr">
        <is>
          <t>8171916</t>
        </is>
      </c>
      <c r="AW487" t="inlineStr">
        <is>
          <t>991005214069702656</t>
        </is>
      </c>
      <c r="AX487" t="inlineStr">
        <is>
          <t>991005214069702656</t>
        </is>
      </c>
      <c r="AY487" t="inlineStr">
        <is>
          <t>2255510110002656</t>
        </is>
      </c>
      <c r="AZ487" t="inlineStr">
        <is>
          <t>BOOK</t>
        </is>
      </c>
      <c r="BB487" t="inlineStr">
        <is>
          <t>9780841907911</t>
        </is>
      </c>
      <c r="BC487" t="inlineStr">
        <is>
          <t>32285000294263</t>
        </is>
      </c>
      <c r="BD487" t="inlineStr">
        <is>
          <t>893889869</t>
        </is>
      </c>
    </row>
    <row r="488">
      <c r="A488" t="inlineStr">
        <is>
          <t>No</t>
        </is>
      </c>
      <c r="B488" t="inlineStr">
        <is>
          <t>DS135.E75 Q57 1992</t>
        </is>
      </c>
      <c r="C488" t="inlineStr">
        <is>
          <t>0                      DS 0135000E  75                 Q  57          1992</t>
        </is>
      </c>
      <c r="D488" t="inlineStr">
        <is>
          <t>The evolution of the Ethiopian Jews : a history of the Beta Israel (Falasha) to 1920 / James Quirin.</t>
        </is>
      </c>
      <c r="F488" t="inlineStr">
        <is>
          <t>No</t>
        </is>
      </c>
      <c r="G488" t="inlineStr">
        <is>
          <t>1</t>
        </is>
      </c>
      <c r="H488" t="inlineStr">
        <is>
          <t>No</t>
        </is>
      </c>
      <c r="I488" t="inlineStr">
        <is>
          <t>No</t>
        </is>
      </c>
      <c r="J488" t="inlineStr">
        <is>
          <t>0</t>
        </is>
      </c>
      <c r="K488" t="inlineStr">
        <is>
          <t>Quirin, James Arthur, 1943-</t>
        </is>
      </c>
      <c r="L488" t="inlineStr">
        <is>
          <t>Philadelphia : University of Pennsylvania Press, c1992.</t>
        </is>
      </c>
      <c r="M488" t="inlineStr">
        <is>
          <t>1992</t>
        </is>
      </c>
      <c r="O488" t="inlineStr">
        <is>
          <t>eng</t>
        </is>
      </c>
      <c r="P488" t="inlineStr">
        <is>
          <t>pau</t>
        </is>
      </c>
      <c r="Q488" t="inlineStr">
        <is>
          <t>The Ethnohistory series</t>
        </is>
      </c>
      <c r="R488" t="inlineStr">
        <is>
          <t xml:space="preserve">DS </t>
        </is>
      </c>
      <c r="S488" t="n">
        <v>1</v>
      </c>
      <c r="T488" t="n">
        <v>1</v>
      </c>
      <c r="U488" t="inlineStr">
        <is>
          <t>2003-11-11</t>
        </is>
      </c>
      <c r="V488" t="inlineStr">
        <is>
          <t>2003-11-11</t>
        </is>
      </c>
      <c r="W488" t="inlineStr">
        <is>
          <t>1993-10-04</t>
        </is>
      </c>
      <c r="X488" t="inlineStr">
        <is>
          <t>1993-10-04</t>
        </is>
      </c>
      <c r="Y488" t="n">
        <v>390</v>
      </c>
      <c r="Z488" t="n">
        <v>339</v>
      </c>
      <c r="AA488" t="n">
        <v>348</v>
      </c>
      <c r="AB488" t="n">
        <v>3</v>
      </c>
      <c r="AC488" t="n">
        <v>3</v>
      </c>
      <c r="AD488" t="n">
        <v>19</v>
      </c>
      <c r="AE488" t="n">
        <v>21</v>
      </c>
      <c r="AF488" t="n">
        <v>4</v>
      </c>
      <c r="AG488" t="n">
        <v>5</v>
      </c>
      <c r="AH488" t="n">
        <v>7</v>
      </c>
      <c r="AI488" t="n">
        <v>8</v>
      </c>
      <c r="AJ488" t="n">
        <v>11</v>
      </c>
      <c r="AK488" t="n">
        <v>13</v>
      </c>
      <c r="AL488" t="n">
        <v>2</v>
      </c>
      <c r="AM488" t="n">
        <v>2</v>
      </c>
      <c r="AN488" t="n">
        <v>0</v>
      </c>
      <c r="AO488" t="n">
        <v>0</v>
      </c>
      <c r="AP488" t="inlineStr">
        <is>
          <t>No</t>
        </is>
      </c>
      <c r="AQ488" t="inlineStr">
        <is>
          <t>Yes</t>
        </is>
      </c>
      <c r="AR488">
        <f>HYPERLINK("http://catalog.hathitrust.org/Record/002607841","HathiTrust Record")</f>
        <v/>
      </c>
      <c r="AS488">
        <f>HYPERLINK("https://creighton-primo.hosted.exlibrisgroup.com/primo-explore/search?tab=default_tab&amp;search_scope=EVERYTHING&amp;vid=01CRU&amp;lang=en_US&amp;offset=0&amp;query=any,contains,991001980569702656","Catalog Record")</f>
        <v/>
      </c>
      <c r="AT488">
        <f>HYPERLINK("http://www.worldcat.org/oclc/25131131","WorldCat Record")</f>
        <v/>
      </c>
      <c r="AU488" t="inlineStr">
        <is>
          <t>43741567:eng</t>
        </is>
      </c>
      <c r="AV488" t="inlineStr">
        <is>
          <t>25131131</t>
        </is>
      </c>
      <c r="AW488" t="inlineStr">
        <is>
          <t>991001980569702656</t>
        </is>
      </c>
      <c r="AX488" t="inlineStr">
        <is>
          <t>991001980569702656</t>
        </is>
      </c>
      <c r="AY488" t="inlineStr">
        <is>
          <t>2271210390002656</t>
        </is>
      </c>
      <c r="AZ488" t="inlineStr">
        <is>
          <t>BOOK</t>
        </is>
      </c>
      <c r="BB488" t="inlineStr">
        <is>
          <t>9780812231168</t>
        </is>
      </c>
      <c r="BC488" t="inlineStr">
        <is>
          <t>32285001769644</t>
        </is>
      </c>
      <c r="BD488" t="inlineStr">
        <is>
          <t>893232436</t>
        </is>
      </c>
    </row>
    <row r="489">
      <c r="A489" t="inlineStr">
        <is>
          <t>No</t>
        </is>
      </c>
      <c r="B489" t="inlineStr">
        <is>
          <t>DS135.E8 E5 1973</t>
        </is>
      </c>
      <c r="C489" t="inlineStr">
        <is>
          <t>0                      DS 0135000E  8                  E  5           1973</t>
        </is>
      </c>
      <c r="D489" t="inlineStr">
        <is>
          <t>The rise of the Jew in the Western World; a social and economic history of the Jewish people of Europe.</t>
        </is>
      </c>
      <c r="F489" t="inlineStr">
        <is>
          <t>No</t>
        </is>
      </c>
      <c r="G489" t="inlineStr">
        <is>
          <t>1</t>
        </is>
      </c>
      <c r="H489" t="inlineStr">
        <is>
          <t>No</t>
        </is>
      </c>
      <c r="I489" t="inlineStr">
        <is>
          <t>No</t>
        </is>
      </c>
      <c r="J489" t="inlineStr">
        <is>
          <t>0</t>
        </is>
      </c>
      <c r="K489" t="inlineStr">
        <is>
          <t>Engelman, Uriah Zevi.</t>
        </is>
      </c>
      <c r="L489" t="inlineStr">
        <is>
          <t>New York, Arno Press, 1973 [c1944]</t>
        </is>
      </c>
      <c r="M489" t="inlineStr">
        <is>
          <t>1973</t>
        </is>
      </c>
      <c r="O489" t="inlineStr">
        <is>
          <t>eng</t>
        </is>
      </c>
      <c r="P489" t="inlineStr">
        <is>
          <t>nyu</t>
        </is>
      </c>
      <c r="Q489" t="inlineStr">
        <is>
          <t>The Jewish people: history, religion, literature</t>
        </is>
      </c>
      <c r="R489" t="inlineStr">
        <is>
          <t xml:space="preserve">DS </t>
        </is>
      </c>
      <c r="S489" t="n">
        <v>1</v>
      </c>
      <c r="T489" t="n">
        <v>1</v>
      </c>
      <c r="U489" t="inlineStr">
        <is>
          <t>2000-09-05</t>
        </is>
      </c>
      <c r="V489" t="inlineStr">
        <is>
          <t>2000-09-05</t>
        </is>
      </c>
      <c r="W489" t="inlineStr">
        <is>
          <t>1997-02-26</t>
        </is>
      </c>
      <c r="X489" t="inlineStr">
        <is>
          <t>1997-02-26</t>
        </is>
      </c>
      <c r="Y489" t="n">
        <v>129</v>
      </c>
      <c r="Z489" t="n">
        <v>115</v>
      </c>
      <c r="AA489" t="n">
        <v>215</v>
      </c>
      <c r="AB489" t="n">
        <v>1</v>
      </c>
      <c r="AC489" t="n">
        <v>1</v>
      </c>
      <c r="AD489" t="n">
        <v>4</v>
      </c>
      <c r="AE489" t="n">
        <v>7</v>
      </c>
      <c r="AF489" t="n">
        <v>0</v>
      </c>
      <c r="AG489" t="n">
        <v>1</v>
      </c>
      <c r="AH489" t="n">
        <v>2</v>
      </c>
      <c r="AI489" t="n">
        <v>3</v>
      </c>
      <c r="AJ489" t="n">
        <v>2</v>
      </c>
      <c r="AK489" t="n">
        <v>3</v>
      </c>
      <c r="AL489" t="n">
        <v>0</v>
      </c>
      <c r="AM489" t="n">
        <v>0</v>
      </c>
      <c r="AN489" t="n">
        <v>0</v>
      </c>
      <c r="AO489" t="n">
        <v>0</v>
      </c>
      <c r="AP489" t="inlineStr">
        <is>
          <t>No</t>
        </is>
      </c>
      <c r="AQ489" t="inlineStr">
        <is>
          <t>Yes</t>
        </is>
      </c>
      <c r="AR489">
        <f>HYPERLINK("http://catalog.hathitrust.org/Record/007112671","HathiTrust Record")</f>
        <v/>
      </c>
      <c r="AS489">
        <f>HYPERLINK("https://creighton-primo.hosted.exlibrisgroup.com/primo-explore/search?tab=default_tab&amp;search_scope=EVERYTHING&amp;vid=01CRU&amp;lang=en_US&amp;offset=0&amp;query=any,contains,991003116519702656","Catalog Record")</f>
        <v/>
      </c>
      <c r="AT489">
        <f>HYPERLINK("http://www.worldcat.org/oclc/662052","WorldCat Record")</f>
        <v/>
      </c>
      <c r="AU489" t="inlineStr">
        <is>
          <t>906400969:eng</t>
        </is>
      </c>
      <c r="AV489" t="inlineStr">
        <is>
          <t>662052</t>
        </is>
      </c>
      <c r="AW489" t="inlineStr">
        <is>
          <t>991003116519702656</t>
        </is>
      </c>
      <c r="AX489" t="inlineStr">
        <is>
          <t>991003116519702656</t>
        </is>
      </c>
      <c r="AY489" t="inlineStr">
        <is>
          <t>2269586770002656</t>
        </is>
      </c>
      <c r="AZ489" t="inlineStr">
        <is>
          <t>BOOK</t>
        </is>
      </c>
      <c r="BB489" t="inlineStr">
        <is>
          <t>9780405052606</t>
        </is>
      </c>
      <c r="BC489" t="inlineStr">
        <is>
          <t>32285002462892</t>
        </is>
      </c>
      <c r="BD489" t="inlineStr">
        <is>
          <t>893692415</t>
        </is>
      </c>
    </row>
    <row r="490">
      <c r="A490" t="inlineStr">
        <is>
          <t>No</t>
        </is>
      </c>
      <c r="B490" t="inlineStr">
        <is>
          <t>DS135.E8 I87 1985</t>
        </is>
      </c>
      <c r="C490" t="inlineStr">
        <is>
          <t>0                      DS 0135000E  8                  I  87          1985</t>
        </is>
      </c>
      <c r="D490" t="inlineStr">
        <is>
          <t>European Jewry in the Age of Mercantilism, 1550-1750 / Jonathan I. Israel.</t>
        </is>
      </c>
      <c r="F490" t="inlineStr">
        <is>
          <t>No</t>
        </is>
      </c>
      <c r="G490" t="inlineStr">
        <is>
          <t>1</t>
        </is>
      </c>
      <c r="H490" t="inlineStr">
        <is>
          <t>No</t>
        </is>
      </c>
      <c r="I490" t="inlineStr">
        <is>
          <t>No</t>
        </is>
      </c>
      <c r="J490" t="inlineStr">
        <is>
          <t>0</t>
        </is>
      </c>
      <c r="K490" t="inlineStr">
        <is>
          <t>Israel, Jonathan I. (Jonathan Irvine), 1946-</t>
        </is>
      </c>
      <c r="L490" t="inlineStr">
        <is>
          <t>Oxford : Clarendon Press ; New York : Oxford University Press, 1985.</t>
        </is>
      </c>
      <c r="M490" t="inlineStr">
        <is>
          <t>1985</t>
        </is>
      </c>
      <c r="O490" t="inlineStr">
        <is>
          <t>eng</t>
        </is>
      </c>
      <c r="P490" t="inlineStr">
        <is>
          <t>enk</t>
        </is>
      </c>
      <c r="R490" t="inlineStr">
        <is>
          <t xml:space="preserve">DS </t>
        </is>
      </c>
      <c r="S490" t="n">
        <v>11</v>
      </c>
      <c r="T490" t="n">
        <v>11</v>
      </c>
      <c r="U490" t="inlineStr">
        <is>
          <t>2006-03-07</t>
        </is>
      </c>
      <c r="V490" t="inlineStr">
        <is>
          <t>2006-03-07</t>
        </is>
      </c>
      <c r="W490" t="inlineStr">
        <is>
          <t>1990-10-02</t>
        </is>
      </c>
      <c r="X490" t="inlineStr">
        <is>
          <t>1990-10-02</t>
        </is>
      </c>
      <c r="Y490" t="n">
        <v>440</v>
      </c>
      <c r="Z490" t="n">
        <v>328</v>
      </c>
      <c r="AA490" t="n">
        <v>824</v>
      </c>
      <c r="AB490" t="n">
        <v>3</v>
      </c>
      <c r="AC490" t="n">
        <v>6</v>
      </c>
      <c r="AD490" t="n">
        <v>13</v>
      </c>
      <c r="AE490" t="n">
        <v>43</v>
      </c>
      <c r="AF490" t="n">
        <v>2</v>
      </c>
      <c r="AG490" t="n">
        <v>19</v>
      </c>
      <c r="AH490" t="n">
        <v>4</v>
      </c>
      <c r="AI490" t="n">
        <v>10</v>
      </c>
      <c r="AJ490" t="n">
        <v>8</v>
      </c>
      <c r="AK490" t="n">
        <v>19</v>
      </c>
      <c r="AL490" t="n">
        <v>2</v>
      </c>
      <c r="AM490" t="n">
        <v>5</v>
      </c>
      <c r="AN490" t="n">
        <v>0</v>
      </c>
      <c r="AO490" t="n">
        <v>1</v>
      </c>
      <c r="AP490" t="inlineStr">
        <is>
          <t>No</t>
        </is>
      </c>
      <c r="AQ490" t="inlineStr">
        <is>
          <t>Yes</t>
        </is>
      </c>
      <c r="AR490">
        <f>HYPERLINK("http://catalog.hathitrust.org/Record/000379553","HathiTrust Record")</f>
        <v/>
      </c>
      <c r="AS490">
        <f>HYPERLINK("https://creighton-primo.hosted.exlibrisgroup.com/primo-explore/search?tab=default_tab&amp;search_scope=EVERYTHING&amp;vid=01CRU&amp;lang=en_US&amp;offset=0&amp;query=any,contains,991000655439702656","Catalog Record")</f>
        <v/>
      </c>
      <c r="AT490">
        <f>HYPERLINK("http://www.worldcat.org/oclc/12214677","WorldCat Record")</f>
        <v/>
      </c>
      <c r="AU490" t="inlineStr">
        <is>
          <t>4929963:eng</t>
        </is>
      </c>
      <c r="AV490" t="inlineStr">
        <is>
          <t>12214677</t>
        </is>
      </c>
      <c r="AW490" t="inlineStr">
        <is>
          <t>991000655439702656</t>
        </is>
      </c>
      <c r="AX490" t="inlineStr">
        <is>
          <t>991000655439702656</t>
        </is>
      </c>
      <c r="AY490" t="inlineStr">
        <is>
          <t>2266859310002656</t>
        </is>
      </c>
      <c r="AZ490" t="inlineStr">
        <is>
          <t>BOOK</t>
        </is>
      </c>
      <c r="BB490" t="inlineStr">
        <is>
          <t>9780198219286</t>
        </is>
      </c>
      <c r="BC490" t="inlineStr">
        <is>
          <t>32285000294271</t>
        </is>
      </c>
      <c r="BD490" t="inlineStr">
        <is>
          <t>893515478</t>
        </is>
      </c>
    </row>
    <row r="491">
      <c r="A491" t="inlineStr">
        <is>
          <t>No</t>
        </is>
      </c>
      <c r="B491" t="inlineStr">
        <is>
          <t>DS135.E8 P447 2003</t>
        </is>
      </c>
      <c r="C491" t="inlineStr">
        <is>
          <t>0                      DS 0135000E  8                  P  447         2003</t>
        </is>
      </c>
      <c r="D491" t="inlineStr">
        <is>
          <t>The Jews of Eastern Europe / editors, Leonard J. Greenspoon, Ronald A. Simkins, Brian J. Horowitz.</t>
        </is>
      </c>
      <c r="F491" t="inlineStr">
        <is>
          <t>No</t>
        </is>
      </c>
      <c r="G491" t="inlineStr">
        <is>
          <t>1</t>
        </is>
      </c>
      <c r="H491" t="inlineStr">
        <is>
          <t>No</t>
        </is>
      </c>
      <c r="I491" t="inlineStr">
        <is>
          <t>No</t>
        </is>
      </c>
      <c r="J491" t="inlineStr">
        <is>
          <t>0</t>
        </is>
      </c>
      <c r="K491" t="inlineStr">
        <is>
          <t>Philip M. and Ethel Klutznick Chair in Jewish Civilization. Symposium (16th : 2003 : Creighton University)</t>
        </is>
      </c>
      <c r="L491" t="inlineStr">
        <is>
          <t>Omaha, NE : Creighton University Press : Distributed by the University of Nebraska Press, c2005.</t>
        </is>
      </c>
      <c r="M491" t="inlineStr">
        <is>
          <t>2005</t>
        </is>
      </c>
      <c r="O491" t="inlineStr">
        <is>
          <t>eng</t>
        </is>
      </c>
      <c r="P491" t="inlineStr">
        <is>
          <t>nbu</t>
        </is>
      </c>
      <c r="R491" t="inlineStr">
        <is>
          <t xml:space="preserve">DS </t>
        </is>
      </c>
      <c r="S491" t="n">
        <v>1</v>
      </c>
      <c r="T491" t="n">
        <v>1</v>
      </c>
      <c r="U491" t="inlineStr">
        <is>
          <t>2005-12-13</t>
        </is>
      </c>
      <c r="V491" t="inlineStr">
        <is>
          <t>2005-12-13</t>
        </is>
      </c>
      <c r="W491" t="inlineStr">
        <is>
          <t>2005-12-13</t>
        </is>
      </c>
      <c r="X491" t="inlineStr">
        <is>
          <t>2005-12-13</t>
        </is>
      </c>
      <c r="Y491" t="n">
        <v>126</v>
      </c>
      <c r="Z491" t="n">
        <v>106</v>
      </c>
      <c r="AA491" t="n">
        <v>114</v>
      </c>
      <c r="AB491" t="n">
        <v>3</v>
      </c>
      <c r="AC491" t="n">
        <v>3</v>
      </c>
      <c r="AD491" t="n">
        <v>8</v>
      </c>
      <c r="AE491" t="n">
        <v>8</v>
      </c>
      <c r="AF491" t="n">
        <v>1</v>
      </c>
      <c r="AG491" t="n">
        <v>1</v>
      </c>
      <c r="AH491" t="n">
        <v>4</v>
      </c>
      <c r="AI491" t="n">
        <v>4</v>
      </c>
      <c r="AJ491" t="n">
        <v>4</v>
      </c>
      <c r="AK491" t="n">
        <v>4</v>
      </c>
      <c r="AL491" t="n">
        <v>1</v>
      </c>
      <c r="AM491" t="n">
        <v>1</v>
      </c>
      <c r="AN491" t="n">
        <v>0</v>
      </c>
      <c r="AO491" t="n">
        <v>0</v>
      </c>
      <c r="AP491" t="inlineStr">
        <is>
          <t>No</t>
        </is>
      </c>
      <c r="AQ491" t="inlineStr">
        <is>
          <t>Yes</t>
        </is>
      </c>
      <c r="AR491">
        <f>HYPERLINK("http://catalog.hathitrust.org/Record/005110388","HathiTrust Record")</f>
        <v/>
      </c>
      <c r="AS491">
        <f>HYPERLINK("https://creighton-primo.hosted.exlibrisgroup.com/primo-explore/search?tab=default_tab&amp;search_scope=EVERYTHING&amp;vid=01CRU&amp;lang=en_US&amp;offset=0&amp;query=any,contains,991004703449702656","Catalog Record")</f>
        <v/>
      </c>
      <c r="AT491">
        <f>HYPERLINK("http://www.worldcat.org/oclc/61478789","WorldCat Record")</f>
        <v/>
      </c>
      <c r="AU491" t="inlineStr">
        <is>
          <t>350282960:eng</t>
        </is>
      </c>
      <c r="AV491" t="inlineStr">
        <is>
          <t>61478789</t>
        </is>
      </c>
      <c r="AW491" t="inlineStr">
        <is>
          <t>991004703449702656</t>
        </is>
      </c>
      <c r="AX491" t="inlineStr">
        <is>
          <t>991004703449702656</t>
        </is>
      </c>
      <c r="AY491" t="inlineStr">
        <is>
          <t>2271256330002656</t>
        </is>
      </c>
      <c r="AZ491" t="inlineStr">
        <is>
          <t>BOOK</t>
        </is>
      </c>
      <c r="BB491" t="inlineStr">
        <is>
          <t>9781881871477</t>
        </is>
      </c>
      <c r="BC491" t="inlineStr">
        <is>
          <t>32285005152292</t>
        </is>
      </c>
      <c r="BD491" t="inlineStr">
        <is>
          <t>893338039</t>
        </is>
      </c>
    </row>
    <row r="492">
      <c r="A492" t="inlineStr">
        <is>
          <t>No</t>
        </is>
      </c>
      <c r="B492" t="inlineStr">
        <is>
          <t>DS135.E83 H5</t>
        </is>
      </c>
      <c r="C492" t="inlineStr">
        <is>
          <t>0                      DS 0135000E  83                 H  5</t>
        </is>
      </c>
      <c r="D492" t="inlineStr">
        <is>
          <t>The destruction of the European Jews.</t>
        </is>
      </c>
      <c r="F492" t="inlineStr">
        <is>
          <t>No</t>
        </is>
      </c>
      <c r="G492" t="inlineStr">
        <is>
          <t>1</t>
        </is>
      </c>
      <c r="H492" t="inlineStr">
        <is>
          <t>No</t>
        </is>
      </c>
      <c r="I492" t="inlineStr">
        <is>
          <t>Yes</t>
        </is>
      </c>
      <c r="J492" t="inlineStr">
        <is>
          <t>0</t>
        </is>
      </c>
      <c r="K492" t="inlineStr">
        <is>
          <t>Hilberg, Raul, 1926-2007.</t>
        </is>
      </c>
      <c r="L492" t="inlineStr">
        <is>
          <t>Chicago, Quadrangle Books [1961]</t>
        </is>
      </c>
      <c r="M492" t="inlineStr">
        <is>
          <t>1961</t>
        </is>
      </c>
      <c r="O492" t="inlineStr">
        <is>
          <t>eng</t>
        </is>
      </c>
      <c r="P492" t="inlineStr">
        <is>
          <t>ilu</t>
        </is>
      </c>
      <c r="R492" t="inlineStr">
        <is>
          <t xml:space="preserve">DS </t>
        </is>
      </c>
      <c r="S492" t="n">
        <v>24</v>
      </c>
      <c r="T492" t="n">
        <v>24</v>
      </c>
      <c r="U492" t="inlineStr">
        <is>
          <t>2008-03-27</t>
        </is>
      </c>
      <c r="V492" t="inlineStr">
        <is>
          <t>2008-03-27</t>
        </is>
      </c>
      <c r="W492" t="inlineStr">
        <is>
          <t>1997-02-26</t>
        </is>
      </c>
      <c r="X492" t="inlineStr">
        <is>
          <t>1997-02-26</t>
        </is>
      </c>
      <c r="Y492" t="n">
        <v>819</v>
      </c>
      <c r="Z492" t="n">
        <v>705</v>
      </c>
      <c r="AA492" t="n">
        <v>1878</v>
      </c>
      <c r="AB492" t="n">
        <v>4</v>
      </c>
      <c r="AC492" t="n">
        <v>16</v>
      </c>
      <c r="AD492" t="n">
        <v>35</v>
      </c>
      <c r="AE492" t="n">
        <v>65</v>
      </c>
      <c r="AF492" t="n">
        <v>14</v>
      </c>
      <c r="AG492" t="n">
        <v>28</v>
      </c>
      <c r="AH492" t="n">
        <v>7</v>
      </c>
      <c r="AI492" t="n">
        <v>11</v>
      </c>
      <c r="AJ492" t="n">
        <v>19</v>
      </c>
      <c r="AK492" t="n">
        <v>26</v>
      </c>
      <c r="AL492" t="n">
        <v>3</v>
      </c>
      <c r="AM492" t="n">
        <v>11</v>
      </c>
      <c r="AN492" t="n">
        <v>0</v>
      </c>
      <c r="AO492" t="n">
        <v>2</v>
      </c>
      <c r="AP492" t="inlineStr">
        <is>
          <t>No</t>
        </is>
      </c>
      <c r="AQ492" t="inlineStr">
        <is>
          <t>No</t>
        </is>
      </c>
      <c r="AS492">
        <f>HYPERLINK("https://creighton-primo.hosted.exlibrisgroup.com/primo-explore/search?tab=default_tab&amp;search_scope=EVERYTHING&amp;vid=01CRU&amp;lang=en_US&amp;offset=0&amp;query=any,contains,991002709809702656","Catalog Record")</f>
        <v/>
      </c>
      <c r="AT492">
        <f>HYPERLINK("http://www.worldcat.org/oclc/408733","WorldCat Record")</f>
        <v/>
      </c>
      <c r="AU492" t="inlineStr">
        <is>
          <t>110919546:eng</t>
        </is>
      </c>
      <c r="AV492" t="inlineStr">
        <is>
          <t>408733</t>
        </is>
      </c>
      <c r="AW492" t="inlineStr">
        <is>
          <t>991002709809702656</t>
        </is>
      </c>
      <c r="AX492" t="inlineStr">
        <is>
          <t>991002709809702656</t>
        </is>
      </c>
      <c r="AY492" t="inlineStr">
        <is>
          <t>2264235750002656</t>
        </is>
      </c>
      <c r="AZ492" t="inlineStr">
        <is>
          <t>BOOK</t>
        </is>
      </c>
      <c r="BC492" t="inlineStr">
        <is>
          <t>32285002462900</t>
        </is>
      </c>
      <c r="BD492" t="inlineStr">
        <is>
          <t>893239400</t>
        </is>
      </c>
    </row>
    <row r="493">
      <c r="A493" t="inlineStr">
        <is>
          <t>No</t>
        </is>
      </c>
      <c r="B493" t="inlineStr">
        <is>
          <t>DS135.E83 K38 1997</t>
        </is>
      </c>
      <c r="C493" t="inlineStr">
        <is>
          <t>0                      DS 0135000E  83                 K  38          1997</t>
        </is>
      </c>
      <c r="D493" t="inlineStr">
        <is>
          <t>A hole in the heart of the world : being Jewish in Eastern Europe / Jonathan Kaufman.</t>
        </is>
      </c>
      <c r="F493" t="inlineStr">
        <is>
          <t>No</t>
        </is>
      </c>
      <c r="G493" t="inlineStr">
        <is>
          <t>1</t>
        </is>
      </c>
      <c r="H493" t="inlineStr">
        <is>
          <t>No</t>
        </is>
      </c>
      <c r="I493" t="inlineStr">
        <is>
          <t>No</t>
        </is>
      </c>
      <c r="J493" t="inlineStr">
        <is>
          <t>0</t>
        </is>
      </c>
      <c r="K493" t="inlineStr">
        <is>
          <t>Kaufman, Jonathan.</t>
        </is>
      </c>
      <c r="L493" t="inlineStr">
        <is>
          <t>New York : Viking, 1997.</t>
        </is>
      </c>
      <c r="M493" t="inlineStr">
        <is>
          <t>1997</t>
        </is>
      </c>
      <c r="O493" t="inlineStr">
        <is>
          <t>eng</t>
        </is>
      </c>
      <c r="P493" t="inlineStr">
        <is>
          <t>nyu</t>
        </is>
      </c>
      <c r="R493" t="inlineStr">
        <is>
          <t xml:space="preserve">DS </t>
        </is>
      </c>
      <c r="S493" t="n">
        <v>3</v>
      </c>
      <c r="T493" t="n">
        <v>3</v>
      </c>
      <c r="U493" t="inlineStr">
        <is>
          <t>1997-04-17</t>
        </is>
      </c>
      <c r="V493" t="inlineStr">
        <is>
          <t>1997-04-17</t>
        </is>
      </c>
      <c r="W493" t="inlineStr">
        <is>
          <t>1997-01-24</t>
        </is>
      </c>
      <c r="X493" t="inlineStr">
        <is>
          <t>1997-01-24</t>
        </is>
      </c>
      <c r="Y493" t="n">
        <v>580</v>
      </c>
      <c r="Z493" t="n">
        <v>534</v>
      </c>
      <c r="AA493" t="n">
        <v>596</v>
      </c>
      <c r="AB493" t="n">
        <v>4</v>
      </c>
      <c r="AC493" t="n">
        <v>4</v>
      </c>
      <c r="AD493" t="n">
        <v>24</v>
      </c>
      <c r="AE493" t="n">
        <v>24</v>
      </c>
      <c r="AF493" t="n">
        <v>8</v>
      </c>
      <c r="AG493" t="n">
        <v>8</v>
      </c>
      <c r="AH493" t="n">
        <v>5</v>
      </c>
      <c r="AI493" t="n">
        <v>5</v>
      </c>
      <c r="AJ493" t="n">
        <v>14</v>
      </c>
      <c r="AK493" t="n">
        <v>14</v>
      </c>
      <c r="AL493" t="n">
        <v>3</v>
      </c>
      <c r="AM493" t="n">
        <v>3</v>
      </c>
      <c r="AN493" t="n">
        <v>0</v>
      </c>
      <c r="AO493" t="n">
        <v>0</v>
      </c>
      <c r="AP493" t="inlineStr">
        <is>
          <t>No</t>
        </is>
      </c>
      <c r="AQ493" t="inlineStr">
        <is>
          <t>Yes</t>
        </is>
      </c>
      <c r="AR493">
        <f>HYPERLINK("http://catalog.hathitrust.org/Record/003137572","HathiTrust Record")</f>
        <v/>
      </c>
      <c r="AS493">
        <f>HYPERLINK("https://creighton-primo.hosted.exlibrisgroup.com/primo-explore/search?tab=default_tab&amp;search_scope=EVERYTHING&amp;vid=01CRU&amp;lang=en_US&amp;offset=0&amp;query=any,contains,991002664999702656","Catalog Record")</f>
        <v/>
      </c>
      <c r="AT493">
        <f>HYPERLINK("http://www.worldcat.org/oclc/34850081","WorldCat Record")</f>
        <v/>
      </c>
      <c r="AU493" t="inlineStr">
        <is>
          <t>372228834:eng</t>
        </is>
      </c>
      <c r="AV493" t="inlineStr">
        <is>
          <t>34850081</t>
        </is>
      </c>
      <c r="AW493" t="inlineStr">
        <is>
          <t>991002664999702656</t>
        </is>
      </c>
      <c r="AX493" t="inlineStr">
        <is>
          <t>991002664999702656</t>
        </is>
      </c>
      <c r="AY493" t="inlineStr">
        <is>
          <t>2264342970002656</t>
        </is>
      </c>
      <c r="AZ493" t="inlineStr">
        <is>
          <t>BOOK</t>
        </is>
      </c>
      <c r="BB493" t="inlineStr">
        <is>
          <t>9780670867479</t>
        </is>
      </c>
      <c r="BC493" t="inlineStr">
        <is>
          <t>32285002411030</t>
        </is>
      </c>
      <c r="BD493" t="inlineStr">
        <is>
          <t>893886556</t>
        </is>
      </c>
    </row>
    <row r="494">
      <c r="A494" t="inlineStr">
        <is>
          <t>No</t>
        </is>
      </c>
      <c r="B494" t="inlineStr">
        <is>
          <t>DS135.E83 K8 1995</t>
        </is>
      </c>
      <c r="C494" t="inlineStr">
        <is>
          <t>0                      DS 0135000E  83                 K  8           1995</t>
        </is>
      </c>
      <c r="D494" t="inlineStr">
        <is>
          <t>A chosen few : the resurrection of European Jewry / Mark Kurlansky.</t>
        </is>
      </c>
      <c r="F494" t="inlineStr">
        <is>
          <t>No</t>
        </is>
      </c>
      <c r="G494" t="inlineStr">
        <is>
          <t>1</t>
        </is>
      </c>
      <c r="H494" t="inlineStr">
        <is>
          <t>No</t>
        </is>
      </c>
      <c r="I494" t="inlineStr">
        <is>
          <t>No</t>
        </is>
      </c>
      <c r="J494" t="inlineStr">
        <is>
          <t>0</t>
        </is>
      </c>
      <c r="K494" t="inlineStr">
        <is>
          <t>Kurlansky, Mark.</t>
        </is>
      </c>
      <c r="L494" t="inlineStr">
        <is>
          <t>Reading, Mass. : Addison-Wesley Pub. Co., c1995.</t>
        </is>
      </c>
      <c r="M494" t="inlineStr">
        <is>
          <t>1995</t>
        </is>
      </c>
      <c r="O494" t="inlineStr">
        <is>
          <t>eng</t>
        </is>
      </c>
      <c r="P494" t="inlineStr">
        <is>
          <t>mau</t>
        </is>
      </c>
      <c r="R494" t="inlineStr">
        <is>
          <t xml:space="preserve">DS </t>
        </is>
      </c>
      <c r="S494" t="n">
        <v>1</v>
      </c>
      <c r="T494" t="n">
        <v>1</v>
      </c>
      <c r="U494" t="inlineStr">
        <is>
          <t>2002-11-06</t>
        </is>
      </c>
      <c r="V494" t="inlineStr">
        <is>
          <t>2002-11-06</t>
        </is>
      </c>
      <c r="W494" t="inlineStr">
        <is>
          <t>1995-04-26</t>
        </is>
      </c>
      <c r="X494" t="inlineStr">
        <is>
          <t>1995-04-26</t>
        </is>
      </c>
      <c r="Y494" t="n">
        <v>375</v>
      </c>
      <c r="Z494" t="n">
        <v>325</v>
      </c>
      <c r="AA494" t="n">
        <v>427</v>
      </c>
      <c r="AB494" t="n">
        <v>3</v>
      </c>
      <c r="AC494" t="n">
        <v>3</v>
      </c>
      <c r="AD494" t="n">
        <v>15</v>
      </c>
      <c r="AE494" t="n">
        <v>17</v>
      </c>
      <c r="AF494" t="n">
        <v>4</v>
      </c>
      <c r="AG494" t="n">
        <v>5</v>
      </c>
      <c r="AH494" t="n">
        <v>4</v>
      </c>
      <c r="AI494" t="n">
        <v>4</v>
      </c>
      <c r="AJ494" t="n">
        <v>9</v>
      </c>
      <c r="AK494" t="n">
        <v>10</v>
      </c>
      <c r="AL494" t="n">
        <v>2</v>
      </c>
      <c r="AM494" t="n">
        <v>2</v>
      </c>
      <c r="AN494" t="n">
        <v>0</v>
      </c>
      <c r="AO494" t="n">
        <v>0</v>
      </c>
      <c r="AP494" t="inlineStr">
        <is>
          <t>No</t>
        </is>
      </c>
      <c r="AQ494" t="inlineStr">
        <is>
          <t>Yes</t>
        </is>
      </c>
      <c r="AR494">
        <f>HYPERLINK("http://catalog.hathitrust.org/Record/002936569","HathiTrust Record")</f>
        <v/>
      </c>
      <c r="AS494">
        <f>HYPERLINK("https://creighton-primo.hosted.exlibrisgroup.com/primo-explore/search?tab=default_tab&amp;search_scope=EVERYTHING&amp;vid=01CRU&amp;lang=en_US&amp;offset=0&amp;query=any,contains,991002339189702656","Catalog Record")</f>
        <v/>
      </c>
      <c r="AT494">
        <f>HYPERLINK("http://www.worldcat.org/oclc/30439106","WorldCat Record")</f>
        <v/>
      </c>
      <c r="AU494" t="inlineStr">
        <is>
          <t>17930961:eng</t>
        </is>
      </c>
      <c r="AV494" t="inlineStr">
        <is>
          <t>30439106</t>
        </is>
      </c>
      <c r="AW494" t="inlineStr">
        <is>
          <t>991002339189702656</t>
        </is>
      </c>
      <c r="AX494" t="inlineStr">
        <is>
          <t>991002339189702656</t>
        </is>
      </c>
      <c r="AY494" t="inlineStr">
        <is>
          <t>2269465010002656</t>
        </is>
      </c>
      <c r="AZ494" t="inlineStr">
        <is>
          <t>BOOK</t>
        </is>
      </c>
      <c r="BB494" t="inlineStr">
        <is>
          <t>9780201608984</t>
        </is>
      </c>
      <c r="BC494" t="inlineStr">
        <is>
          <t>32285002036282</t>
        </is>
      </c>
      <c r="BD494" t="inlineStr">
        <is>
          <t>893238920</t>
        </is>
      </c>
    </row>
    <row r="495">
      <c r="A495" t="inlineStr">
        <is>
          <t>No</t>
        </is>
      </c>
      <c r="B495" t="inlineStr">
        <is>
          <t>DS135.E83 R4 1961</t>
        </is>
      </c>
      <c r="C495" t="inlineStr">
        <is>
          <t>0                      DS 0135000E  83                 R  4           1961</t>
        </is>
      </c>
      <c r="D495" t="inlineStr">
        <is>
          <t>The final solution : the attempt to exterminate the Jews of Europe, 1939-1945 / Gerald Reitlinger.</t>
        </is>
      </c>
      <c r="F495" t="inlineStr">
        <is>
          <t>No</t>
        </is>
      </c>
      <c r="G495" t="inlineStr">
        <is>
          <t>1</t>
        </is>
      </c>
      <c r="H495" t="inlineStr">
        <is>
          <t>No</t>
        </is>
      </c>
      <c r="I495" t="inlineStr">
        <is>
          <t>No</t>
        </is>
      </c>
      <c r="J495" t="inlineStr">
        <is>
          <t>0</t>
        </is>
      </c>
      <c r="K495" t="inlineStr">
        <is>
          <t>Reitlinger, Gerald, 1900-1979.</t>
        </is>
      </c>
      <c r="L495" t="inlineStr">
        <is>
          <t>New York : A.S. Barnes, 1961.</t>
        </is>
      </c>
      <c r="M495" t="inlineStr">
        <is>
          <t>1961</t>
        </is>
      </c>
      <c r="N495" t="inlineStr">
        <is>
          <t>Perpetua ed.</t>
        </is>
      </c>
      <c r="O495" t="inlineStr">
        <is>
          <t>eng</t>
        </is>
      </c>
      <c r="P495" t="inlineStr">
        <is>
          <t>nyu</t>
        </is>
      </c>
      <c r="Q495" t="inlineStr">
        <is>
          <t>Perpetua book ; P-4021</t>
        </is>
      </c>
      <c r="R495" t="inlineStr">
        <is>
          <t xml:space="preserve">DS </t>
        </is>
      </c>
      <c r="S495" t="n">
        <v>4</v>
      </c>
      <c r="T495" t="n">
        <v>4</v>
      </c>
      <c r="U495" t="inlineStr">
        <is>
          <t>2008-06-24</t>
        </is>
      </c>
      <c r="V495" t="inlineStr">
        <is>
          <t>2008-06-24</t>
        </is>
      </c>
      <c r="W495" t="inlineStr">
        <is>
          <t>2003-02-12</t>
        </is>
      </c>
      <c r="X495" t="inlineStr">
        <is>
          <t>2003-02-12</t>
        </is>
      </c>
      <c r="Y495" t="n">
        <v>331</v>
      </c>
      <c r="Z495" t="n">
        <v>302</v>
      </c>
      <c r="AA495" t="n">
        <v>925</v>
      </c>
      <c r="AB495" t="n">
        <v>4</v>
      </c>
      <c r="AC495" t="n">
        <v>8</v>
      </c>
      <c r="AD495" t="n">
        <v>14</v>
      </c>
      <c r="AE495" t="n">
        <v>41</v>
      </c>
      <c r="AF495" t="n">
        <v>4</v>
      </c>
      <c r="AG495" t="n">
        <v>16</v>
      </c>
      <c r="AH495" t="n">
        <v>3</v>
      </c>
      <c r="AI495" t="n">
        <v>9</v>
      </c>
      <c r="AJ495" t="n">
        <v>8</v>
      </c>
      <c r="AK495" t="n">
        <v>16</v>
      </c>
      <c r="AL495" t="n">
        <v>3</v>
      </c>
      <c r="AM495" t="n">
        <v>6</v>
      </c>
      <c r="AN495" t="n">
        <v>0</v>
      </c>
      <c r="AO495" t="n">
        <v>5</v>
      </c>
      <c r="AP495" t="inlineStr">
        <is>
          <t>No</t>
        </is>
      </c>
      <c r="AQ495" t="inlineStr">
        <is>
          <t>Yes</t>
        </is>
      </c>
      <c r="AR495">
        <f>HYPERLINK("http://catalog.hathitrust.org/Record/001864802","HathiTrust Record")</f>
        <v/>
      </c>
      <c r="AS495">
        <f>HYPERLINK("https://creighton-primo.hosted.exlibrisgroup.com/primo-explore/search?tab=default_tab&amp;search_scope=EVERYTHING&amp;vid=01CRU&amp;lang=en_US&amp;offset=0&amp;query=any,contains,991003994779702656","Catalog Record")</f>
        <v/>
      </c>
      <c r="AT495">
        <f>HYPERLINK("http://www.worldcat.org/oclc/410743","WorldCat Record")</f>
        <v/>
      </c>
      <c r="AU495" t="inlineStr">
        <is>
          <t>377400719:eng</t>
        </is>
      </c>
      <c r="AV495" t="inlineStr">
        <is>
          <t>410743</t>
        </is>
      </c>
      <c r="AW495" t="inlineStr">
        <is>
          <t>991003994779702656</t>
        </is>
      </c>
      <c r="AX495" t="inlineStr">
        <is>
          <t>991003994779702656</t>
        </is>
      </c>
      <c r="AY495" t="inlineStr">
        <is>
          <t>2262577560002656</t>
        </is>
      </c>
      <c r="AZ495" t="inlineStr">
        <is>
          <t>BOOK</t>
        </is>
      </c>
      <c r="BC495" t="inlineStr">
        <is>
          <t>32285005446744</t>
        </is>
      </c>
      <c r="BD495" t="inlineStr">
        <is>
          <t>893499973</t>
        </is>
      </c>
    </row>
    <row r="496">
      <c r="A496" t="inlineStr">
        <is>
          <t>No</t>
        </is>
      </c>
      <c r="B496" t="inlineStr">
        <is>
          <t>DS135.F83 A87 1995</t>
        </is>
      </c>
      <c r="C496" t="inlineStr">
        <is>
          <t>0                      DS 0135000F  83                 A  87          1995</t>
        </is>
      </c>
      <c r="D496" t="inlineStr">
        <is>
          <t>Auschwitz and after : race, culture, and "the Jewish question" in France / edited by Lawrence D. Kritzman.</t>
        </is>
      </c>
      <c r="F496" t="inlineStr">
        <is>
          <t>No</t>
        </is>
      </c>
      <c r="G496" t="inlineStr">
        <is>
          <t>1</t>
        </is>
      </c>
      <c r="H496" t="inlineStr">
        <is>
          <t>No</t>
        </is>
      </c>
      <c r="I496" t="inlineStr">
        <is>
          <t>No</t>
        </is>
      </c>
      <c r="J496" t="inlineStr">
        <is>
          <t>0</t>
        </is>
      </c>
      <c r="L496" t="inlineStr">
        <is>
          <t>New York : Routledge, 1995.</t>
        </is>
      </c>
      <c r="M496" t="inlineStr">
        <is>
          <t>1995</t>
        </is>
      </c>
      <c r="O496" t="inlineStr">
        <is>
          <t>eng</t>
        </is>
      </c>
      <c r="P496" t="inlineStr">
        <is>
          <t>nyu</t>
        </is>
      </c>
      <c r="R496" t="inlineStr">
        <is>
          <t xml:space="preserve">DS </t>
        </is>
      </c>
      <c r="S496" t="n">
        <v>5</v>
      </c>
      <c r="T496" t="n">
        <v>5</v>
      </c>
      <c r="U496" t="inlineStr">
        <is>
          <t>2008-10-08</t>
        </is>
      </c>
      <c r="V496" t="inlineStr">
        <is>
          <t>2008-10-08</t>
        </is>
      </c>
      <c r="W496" t="inlineStr">
        <is>
          <t>1996-06-06</t>
        </is>
      </c>
      <c r="X496" t="inlineStr">
        <is>
          <t>1996-06-06</t>
        </is>
      </c>
      <c r="Y496" t="n">
        <v>407</v>
      </c>
      <c r="Z496" t="n">
        <v>280</v>
      </c>
      <c r="AA496" t="n">
        <v>313</v>
      </c>
      <c r="AB496" t="n">
        <v>2</v>
      </c>
      <c r="AC496" t="n">
        <v>2</v>
      </c>
      <c r="AD496" t="n">
        <v>17</v>
      </c>
      <c r="AE496" t="n">
        <v>17</v>
      </c>
      <c r="AF496" t="n">
        <v>5</v>
      </c>
      <c r="AG496" t="n">
        <v>5</v>
      </c>
      <c r="AH496" t="n">
        <v>6</v>
      </c>
      <c r="AI496" t="n">
        <v>6</v>
      </c>
      <c r="AJ496" t="n">
        <v>11</v>
      </c>
      <c r="AK496" t="n">
        <v>11</v>
      </c>
      <c r="AL496" t="n">
        <v>1</v>
      </c>
      <c r="AM496" t="n">
        <v>1</v>
      </c>
      <c r="AN496" t="n">
        <v>0</v>
      </c>
      <c r="AO496" t="n">
        <v>0</v>
      </c>
      <c r="AP496" t="inlineStr">
        <is>
          <t>No</t>
        </is>
      </c>
      <c r="AQ496" t="inlineStr">
        <is>
          <t>No</t>
        </is>
      </c>
      <c r="AS496">
        <f>HYPERLINK("https://creighton-primo.hosted.exlibrisgroup.com/primo-explore/search?tab=default_tab&amp;search_scope=EVERYTHING&amp;vid=01CRU&amp;lang=en_US&amp;offset=0&amp;query=any,contains,991002362379702656","Catalog Record")</f>
        <v/>
      </c>
      <c r="AT496">
        <f>HYPERLINK("http://www.worldcat.org/oclc/30733539","WorldCat Record")</f>
        <v/>
      </c>
      <c r="AU496" t="inlineStr">
        <is>
          <t>809527712:eng</t>
        </is>
      </c>
      <c r="AV496" t="inlineStr">
        <is>
          <t>30733539</t>
        </is>
      </c>
      <c r="AW496" t="inlineStr">
        <is>
          <t>991002362379702656</t>
        </is>
      </c>
      <c r="AX496" t="inlineStr">
        <is>
          <t>991002362379702656</t>
        </is>
      </c>
      <c r="AY496" t="inlineStr">
        <is>
          <t>2265137010002656</t>
        </is>
      </c>
      <c r="AZ496" t="inlineStr">
        <is>
          <t>BOOK</t>
        </is>
      </c>
      <c r="BB496" t="inlineStr">
        <is>
          <t>9780415904407</t>
        </is>
      </c>
      <c r="BC496" t="inlineStr">
        <is>
          <t>32285005462550</t>
        </is>
      </c>
      <c r="BD496" t="inlineStr">
        <is>
          <t>893792367</t>
        </is>
      </c>
    </row>
    <row r="497">
      <c r="A497" t="inlineStr">
        <is>
          <t>No</t>
        </is>
      </c>
      <c r="B497" t="inlineStr">
        <is>
          <t>DS135.F83 H95</t>
        </is>
      </c>
      <c r="C497" t="inlineStr">
        <is>
          <t>0                      DS 0135000F  83                 H  95</t>
        </is>
      </c>
      <c r="D497" t="inlineStr">
        <is>
          <t>From Dreyfus to Vichy : the remaking of French Jewry, 1906-1939 / Paula Hyman.</t>
        </is>
      </c>
      <c r="F497" t="inlineStr">
        <is>
          <t>No</t>
        </is>
      </c>
      <c r="G497" t="inlineStr">
        <is>
          <t>1</t>
        </is>
      </c>
      <c r="H497" t="inlineStr">
        <is>
          <t>No</t>
        </is>
      </c>
      <c r="I497" t="inlineStr">
        <is>
          <t>No</t>
        </is>
      </c>
      <c r="J497" t="inlineStr">
        <is>
          <t>0</t>
        </is>
      </c>
      <c r="K497" t="inlineStr">
        <is>
          <t>Hyman, Paula, 1946-2011.</t>
        </is>
      </c>
      <c r="L497" t="inlineStr">
        <is>
          <t>New York : Columbia University Press, 1979.</t>
        </is>
      </c>
      <c r="M497" t="inlineStr">
        <is>
          <t>1979</t>
        </is>
      </c>
      <c r="O497" t="inlineStr">
        <is>
          <t>eng</t>
        </is>
      </c>
      <c r="P497" t="inlineStr">
        <is>
          <t>nyu</t>
        </is>
      </c>
      <c r="R497" t="inlineStr">
        <is>
          <t xml:space="preserve">DS </t>
        </is>
      </c>
      <c r="S497" t="n">
        <v>2</v>
      </c>
      <c r="T497" t="n">
        <v>2</v>
      </c>
      <c r="U497" t="inlineStr">
        <is>
          <t>1994-07-18</t>
        </is>
      </c>
      <c r="V497" t="inlineStr">
        <is>
          <t>1994-07-18</t>
        </is>
      </c>
      <c r="W497" t="inlineStr">
        <is>
          <t>1990-10-02</t>
        </is>
      </c>
      <c r="X497" t="inlineStr">
        <is>
          <t>1990-10-02</t>
        </is>
      </c>
      <c r="Y497" t="n">
        <v>726</v>
      </c>
      <c r="Z497" t="n">
        <v>570</v>
      </c>
      <c r="AA497" t="n">
        <v>576</v>
      </c>
      <c r="AB497" t="n">
        <v>4</v>
      </c>
      <c r="AC497" t="n">
        <v>4</v>
      </c>
      <c r="AD497" t="n">
        <v>31</v>
      </c>
      <c r="AE497" t="n">
        <v>31</v>
      </c>
      <c r="AF497" t="n">
        <v>14</v>
      </c>
      <c r="AG497" t="n">
        <v>14</v>
      </c>
      <c r="AH497" t="n">
        <v>7</v>
      </c>
      <c r="AI497" t="n">
        <v>7</v>
      </c>
      <c r="AJ497" t="n">
        <v>18</v>
      </c>
      <c r="AK497" t="n">
        <v>18</v>
      </c>
      <c r="AL497" t="n">
        <v>3</v>
      </c>
      <c r="AM497" t="n">
        <v>3</v>
      </c>
      <c r="AN497" t="n">
        <v>0</v>
      </c>
      <c r="AO497" t="n">
        <v>0</v>
      </c>
      <c r="AP497" t="inlineStr">
        <is>
          <t>No</t>
        </is>
      </c>
      <c r="AQ497" t="inlineStr">
        <is>
          <t>No</t>
        </is>
      </c>
      <c r="AS497">
        <f>HYPERLINK("https://creighton-primo.hosted.exlibrisgroup.com/primo-explore/search?tab=default_tab&amp;search_scope=EVERYTHING&amp;vid=01CRU&amp;lang=en_US&amp;offset=0&amp;query=any,contains,991004764689702656","Catalog Record")</f>
        <v/>
      </c>
      <c r="AT497">
        <f>HYPERLINK("http://www.worldcat.org/oclc/5027487","WorldCat Record")</f>
        <v/>
      </c>
      <c r="AU497" t="inlineStr">
        <is>
          <t>420224:eng</t>
        </is>
      </c>
      <c r="AV497" t="inlineStr">
        <is>
          <t>5027487</t>
        </is>
      </c>
      <c r="AW497" t="inlineStr">
        <is>
          <t>991004764689702656</t>
        </is>
      </c>
      <c r="AX497" t="inlineStr">
        <is>
          <t>991004764689702656</t>
        </is>
      </c>
      <c r="AY497" t="inlineStr">
        <is>
          <t>2270170040002656</t>
        </is>
      </c>
      <c r="AZ497" t="inlineStr">
        <is>
          <t>BOOK</t>
        </is>
      </c>
      <c r="BB497" t="inlineStr">
        <is>
          <t>9780231047227</t>
        </is>
      </c>
      <c r="BC497" t="inlineStr">
        <is>
          <t>32285000294305</t>
        </is>
      </c>
      <c r="BD497" t="inlineStr">
        <is>
          <t>893625092</t>
        </is>
      </c>
    </row>
    <row r="498">
      <c r="A498" t="inlineStr">
        <is>
          <t>No</t>
        </is>
      </c>
      <c r="B498" t="inlineStr">
        <is>
          <t>DS135.F83 Z83 1993</t>
        </is>
      </c>
      <c r="C498" t="inlineStr">
        <is>
          <t>0                      DS 0135000F  83                 Z  83          1993</t>
        </is>
      </c>
      <c r="D498" t="inlineStr">
        <is>
          <t>The Holocaust, the French, and the Jews / Susan Zuccotti.</t>
        </is>
      </c>
      <c r="F498" t="inlineStr">
        <is>
          <t>No</t>
        </is>
      </c>
      <c r="G498" t="inlineStr">
        <is>
          <t>1</t>
        </is>
      </c>
      <c r="H498" t="inlineStr">
        <is>
          <t>No</t>
        </is>
      </c>
      <c r="I498" t="inlineStr">
        <is>
          <t>No</t>
        </is>
      </c>
      <c r="J498" t="inlineStr">
        <is>
          <t>0</t>
        </is>
      </c>
      <c r="K498" t="inlineStr">
        <is>
          <t>Zuccotti, Susan, 1940-</t>
        </is>
      </c>
      <c r="L498" t="inlineStr">
        <is>
          <t>New York, NY : BasicBooks, c1993.</t>
        </is>
      </c>
      <c r="M498" t="inlineStr">
        <is>
          <t>1993</t>
        </is>
      </c>
      <c r="O498" t="inlineStr">
        <is>
          <t>eng</t>
        </is>
      </c>
      <c r="P498" t="inlineStr">
        <is>
          <t>nyu</t>
        </is>
      </c>
      <c r="R498" t="inlineStr">
        <is>
          <t xml:space="preserve">DS </t>
        </is>
      </c>
      <c r="S498" t="n">
        <v>9</v>
      </c>
      <c r="T498" t="n">
        <v>9</v>
      </c>
      <c r="U498" t="inlineStr">
        <is>
          <t>2008-12-16</t>
        </is>
      </c>
      <c r="V498" t="inlineStr">
        <is>
          <t>2008-12-16</t>
        </is>
      </c>
      <c r="W498" t="inlineStr">
        <is>
          <t>1994-03-11</t>
        </is>
      </c>
      <c r="X498" t="inlineStr">
        <is>
          <t>1994-03-11</t>
        </is>
      </c>
      <c r="Y498" t="n">
        <v>936</v>
      </c>
      <c r="Z498" t="n">
        <v>828</v>
      </c>
      <c r="AA498" t="n">
        <v>903</v>
      </c>
      <c r="AB498" t="n">
        <v>6</v>
      </c>
      <c r="AC498" t="n">
        <v>9</v>
      </c>
      <c r="AD498" t="n">
        <v>35</v>
      </c>
      <c r="AE498" t="n">
        <v>39</v>
      </c>
      <c r="AF498" t="n">
        <v>16</v>
      </c>
      <c r="AG498" t="n">
        <v>17</v>
      </c>
      <c r="AH498" t="n">
        <v>7</v>
      </c>
      <c r="AI498" t="n">
        <v>8</v>
      </c>
      <c r="AJ498" t="n">
        <v>19</v>
      </c>
      <c r="AK498" t="n">
        <v>19</v>
      </c>
      <c r="AL498" t="n">
        <v>4</v>
      </c>
      <c r="AM498" t="n">
        <v>6</v>
      </c>
      <c r="AN498" t="n">
        <v>0</v>
      </c>
      <c r="AO498" t="n">
        <v>0</v>
      </c>
      <c r="AP498" t="inlineStr">
        <is>
          <t>No</t>
        </is>
      </c>
      <c r="AQ498" t="inlineStr">
        <is>
          <t>Yes</t>
        </is>
      </c>
      <c r="AR498">
        <f>HYPERLINK("http://catalog.hathitrust.org/Record/002782033","HathiTrust Record")</f>
        <v/>
      </c>
      <c r="AS498">
        <f>HYPERLINK("https://creighton-primo.hosted.exlibrisgroup.com/primo-explore/search?tab=default_tab&amp;search_scope=EVERYTHING&amp;vid=01CRU&amp;lang=en_US&amp;offset=0&amp;query=any,contains,991002108849702656","Catalog Record")</f>
        <v/>
      </c>
      <c r="AT498">
        <f>HYPERLINK("http://www.worldcat.org/oclc/27035183","WorldCat Record")</f>
        <v/>
      </c>
      <c r="AU498" t="inlineStr">
        <is>
          <t>339900:eng</t>
        </is>
      </c>
      <c r="AV498" t="inlineStr">
        <is>
          <t>27035183</t>
        </is>
      </c>
      <c r="AW498" t="inlineStr">
        <is>
          <t>991002108849702656</t>
        </is>
      </c>
      <c r="AX498" t="inlineStr">
        <is>
          <t>991002108849702656</t>
        </is>
      </c>
      <c r="AY498" t="inlineStr">
        <is>
          <t>2270308000002656</t>
        </is>
      </c>
      <c r="AZ498" t="inlineStr">
        <is>
          <t>BOOK</t>
        </is>
      </c>
      <c r="BB498" t="inlineStr">
        <is>
          <t>9780465030347</t>
        </is>
      </c>
      <c r="BC498" t="inlineStr">
        <is>
          <t>32285001844736</t>
        </is>
      </c>
      <c r="BD498" t="inlineStr">
        <is>
          <t>893785734</t>
        </is>
      </c>
    </row>
    <row r="499">
      <c r="A499" t="inlineStr">
        <is>
          <t>No</t>
        </is>
      </c>
      <c r="B499" t="inlineStr">
        <is>
          <t>DS135.F85 N675 1998</t>
        </is>
      </c>
      <c r="C499" t="inlineStr">
        <is>
          <t>0                      DS 0135000F  85                 N  675         1998</t>
        </is>
      </c>
      <c r="D499" t="inlineStr">
        <is>
          <t>The Jews in medieval Normandy : a social and intellectual history / Norman Golb.</t>
        </is>
      </c>
      <c r="F499" t="inlineStr">
        <is>
          <t>No</t>
        </is>
      </c>
      <c r="G499" t="inlineStr">
        <is>
          <t>1</t>
        </is>
      </c>
      <c r="H499" t="inlineStr">
        <is>
          <t>No</t>
        </is>
      </c>
      <c r="I499" t="inlineStr">
        <is>
          <t>No</t>
        </is>
      </c>
      <c r="J499" t="inlineStr">
        <is>
          <t>0</t>
        </is>
      </c>
      <c r="K499" t="inlineStr">
        <is>
          <t>Golb, Norman.</t>
        </is>
      </c>
      <c r="L499" t="inlineStr">
        <is>
          <t>New York : Cambridge University Press, 1998.</t>
        </is>
      </c>
      <c r="M499" t="inlineStr">
        <is>
          <t>1998</t>
        </is>
      </c>
      <c r="O499" t="inlineStr">
        <is>
          <t>eng</t>
        </is>
      </c>
      <c r="P499" t="inlineStr">
        <is>
          <t>nyu</t>
        </is>
      </c>
      <c r="R499" t="inlineStr">
        <is>
          <t xml:space="preserve">DS </t>
        </is>
      </c>
      <c r="S499" t="n">
        <v>1</v>
      </c>
      <c r="T499" t="n">
        <v>1</v>
      </c>
      <c r="U499" t="inlineStr">
        <is>
          <t>2002-03-19</t>
        </is>
      </c>
      <c r="V499" t="inlineStr">
        <is>
          <t>2002-03-19</t>
        </is>
      </c>
      <c r="W499" t="inlineStr">
        <is>
          <t>1999-10-18</t>
        </is>
      </c>
      <c r="X499" t="inlineStr">
        <is>
          <t>1999-10-18</t>
        </is>
      </c>
      <c r="Y499" t="n">
        <v>316</v>
      </c>
      <c r="Z499" t="n">
        <v>254</v>
      </c>
      <c r="AA499" t="n">
        <v>254</v>
      </c>
      <c r="AB499" t="n">
        <v>2</v>
      </c>
      <c r="AC499" t="n">
        <v>2</v>
      </c>
      <c r="AD499" t="n">
        <v>13</v>
      </c>
      <c r="AE499" t="n">
        <v>13</v>
      </c>
      <c r="AF499" t="n">
        <v>4</v>
      </c>
      <c r="AG499" t="n">
        <v>4</v>
      </c>
      <c r="AH499" t="n">
        <v>4</v>
      </c>
      <c r="AI499" t="n">
        <v>4</v>
      </c>
      <c r="AJ499" t="n">
        <v>9</v>
      </c>
      <c r="AK499" t="n">
        <v>9</v>
      </c>
      <c r="AL499" t="n">
        <v>1</v>
      </c>
      <c r="AM499" t="n">
        <v>1</v>
      </c>
      <c r="AN499" t="n">
        <v>0</v>
      </c>
      <c r="AO499" t="n">
        <v>0</v>
      </c>
      <c r="AP499" t="inlineStr">
        <is>
          <t>No</t>
        </is>
      </c>
      <c r="AQ499" t="inlineStr">
        <is>
          <t>No</t>
        </is>
      </c>
      <c r="AS499">
        <f>HYPERLINK("https://creighton-primo.hosted.exlibrisgroup.com/primo-explore/search?tab=default_tab&amp;search_scope=EVERYTHING&amp;vid=01CRU&amp;lang=en_US&amp;offset=0&amp;query=any,contains,991002776639702656","Catalog Record")</f>
        <v/>
      </c>
      <c r="AT499">
        <f>HYPERLINK("http://www.worldcat.org/oclc/36461619","WorldCat Record")</f>
        <v/>
      </c>
      <c r="AU499" t="inlineStr">
        <is>
          <t>784457421:eng</t>
        </is>
      </c>
      <c r="AV499" t="inlineStr">
        <is>
          <t>36461619</t>
        </is>
      </c>
      <c r="AW499" t="inlineStr">
        <is>
          <t>991002776639702656</t>
        </is>
      </c>
      <c r="AX499" t="inlineStr">
        <is>
          <t>991002776639702656</t>
        </is>
      </c>
      <c r="AY499" t="inlineStr">
        <is>
          <t>2258954990002656</t>
        </is>
      </c>
      <c r="AZ499" t="inlineStr">
        <is>
          <t>BOOK</t>
        </is>
      </c>
      <c r="BB499" t="inlineStr">
        <is>
          <t>9780521580328</t>
        </is>
      </c>
      <c r="BC499" t="inlineStr">
        <is>
          <t>32285003611190</t>
        </is>
      </c>
      <c r="BD499" t="inlineStr">
        <is>
          <t>893511180</t>
        </is>
      </c>
    </row>
    <row r="500">
      <c r="A500" t="inlineStr">
        <is>
          <t>No</t>
        </is>
      </c>
      <c r="B500" t="inlineStr">
        <is>
          <t>DS135.F85 P24313 1987</t>
        </is>
      </c>
      <c r="C500" t="inlineStr">
        <is>
          <t>0                      DS 0135000F  85                 P  24313       1987</t>
        </is>
      </c>
      <c r="D500" t="inlineStr">
        <is>
          <t>The Jews of Paris and the final solution : communal response and internal conflicts, 1940-1944 / Jacques Adler.</t>
        </is>
      </c>
      <c r="F500" t="inlineStr">
        <is>
          <t>No</t>
        </is>
      </c>
      <c r="G500" t="inlineStr">
        <is>
          <t>1</t>
        </is>
      </c>
      <c r="H500" t="inlineStr">
        <is>
          <t>No</t>
        </is>
      </c>
      <c r="I500" t="inlineStr">
        <is>
          <t>No</t>
        </is>
      </c>
      <c r="J500" t="inlineStr">
        <is>
          <t>0</t>
        </is>
      </c>
      <c r="K500" t="inlineStr">
        <is>
          <t>Adler, Jacques, 1927-</t>
        </is>
      </c>
      <c r="L500" t="inlineStr">
        <is>
          <t>New York : Oxford University Press, 1987, c1985.</t>
        </is>
      </c>
      <c r="M500" t="inlineStr">
        <is>
          <t>1987</t>
        </is>
      </c>
      <c r="O500" t="inlineStr">
        <is>
          <t>eng</t>
        </is>
      </c>
      <c r="P500" t="inlineStr">
        <is>
          <t>nyu</t>
        </is>
      </c>
      <c r="Q500" t="inlineStr">
        <is>
          <t>Studies in Jewish history</t>
        </is>
      </c>
      <c r="R500" t="inlineStr">
        <is>
          <t xml:space="preserve">DS </t>
        </is>
      </c>
      <c r="S500" t="n">
        <v>1</v>
      </c>
      <c r="T500" t="n">
        <v>1</v>
      </c>
      <c r="U500" t="inlineStr">
        <is>
          <t>2003-02-13</t>
        </is>
      </c>
      <c r="V500" t="inlineStr">
        <is>
          <t>2003-02-13</t>
        </is>
      </c>
      <c r="W500" t="inlineStr">
        <is>
          <t>2003-02-13</t>
        </is>
      </c>
      <c r="X500" t="inlineStr">
        <is>
          <t>2003-02-13</t>
        </is>
      </c>
      <c r="Y500" t="n">
        <v>760</v>
      </c>
      <c r="Z500" t="n">
        <v>623</v>
      </c>
      <c r="AA500" t="n">
        <v>652</v>
      </c>
      <c r="AB500" t="n">
        <v>2</v>
      </c>
      <c r="AC500" t="n">
        <v>2</v>
      </c>
      <c r="AD500" t="n">
        <v>27</v>
      </c>
      <c r="AE500" t="n">
        <v>28</v>
      </c>
      <c r="AF500" t="n">
        <v>10</v>
      </c>
      <c r="AG500" t="n">
        <v>11</v>
      </c>
      <c r="AH500" t="n">
        <v>10</v>
      </c>
      <c r="AI500" t="n">
        <v>10</v>
      </c>
      <c r="AJ500" t="n">
        <v>15</v>
      </c>
      <c r="AK500" t="n">
        <v>15</v>
      </c>
      <c r="AL500" t="n">
        <v>1</v>
      </c>
      <c r="AM500" t="n">
        <v>1</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HYPERLINK("https://creighton-primo.hosted.exlibrisgroup.com/primo-explore/search?tab=default_tab&amp;search_scope=EVERYTHING&amp;vid=01CRU&amp;lang=en_US&amp;offset=0&amp;query=any,contains,991003995309702656","Catalog Record")</f>
        <v/>
      </c>
      <c r="AT500">
        <f>HYPERLINK("http://www.worldcat.org/oclc/15016501","WorldCat Record")</f>
        <v/>
      </c>
      <c r="AU500" t="inlineStr">
        <is>
          <t>5427704:eng</t>
        </is>
      </c>
      <c r="AV500" t="inlineStr">
        <is>
          <t>15016501</t>
        </is>
      </c>
      <c r="AW500" t="inlineStr">
        <is>
          <t>991003995309702656</t>
        </is>
      </c>
      <c r="AX500" t="inlineStr">
        <is>
          <t>991003995309702656</t>
        </is>
      </c>
      <c r="AY500" t="inlineStr">
        <is>
          <t>2264344060002656</t>
        </is>
      </c>
      <c r="AZ500" t="inlineStr">
        <is>
          <t>BOOK</t>
        </is>
      </c>
      <c r="BB500" t="inlineStr">
        <is>
          <t>9780195043051</t>
        </is>
      </c>
      <c r="BC500" t="inlineStr">
        <is>
          <t>32285004698816</t>
        </is>
      </c>
      <c r="BD500" t="inlineStr">
        <is>
          <t>893794358</t>
        </is>
      </c>
    </row>
    <row r="501">
      <c r="A501" t="inlineStr">
        <is>
          <t>No</t>
        </is>
      </c>
      <c r="B501" t="inlineStr">
        <is>
          <t>DS135.F9 F74513</t>
        </is>
      </c>
      <c r="C501" t="inlineStr">
        <is>
          <t>0                      DS 0135000F  9                  F  74513</t>
        </is>
      </c>
      <c r="D501" t="inlineStr">
        <is>
          <t>When memory comes / Saul Friedländer ; translated from the French by Helen R. Lane.</t>
        </is>
      </c>
      <c r="F501" t="inlineStr">
        <is>
          <t>No</t>
        </is>
      </c>
      <c r="G501" t="inlineStr">
        <is>
          <t>1</t>
        </is>
      </c>
      <c r="H501" t="inlineStr">
        <is>
          <t>No</t>
        </is>
      </c>
      <c r="I501" t="inlineStr">
        <is>
          <t>No</t>
        </is>
      </c>
      <c r="J501" t="inlineStr">
        <is>
          <t>0</t>
        </is>
      </c>
      <c r="K501" t="inlineStr">
        <is>
          <t>Friedländer, Saul, 1932-</t>
        </is>
      </c>
      <c r="L501" t="inlineStr">
        <is>
          <t>New York : Farrar, Straus, Giroux, [1979]</t>
        </is>
      </c>
      <c r="M501" t="inlineStr">
        <is>
          <t>1979</t>
        </is>
      </c>
      <c r="O501" t="inlineStr">
        <is>
          <t>eng</t>
        </is>
      </c>
      <c r="P501" t="inlineStr">
        <is>
          <t>nyu</t>
        </is>
      </c>
      <c r="R501" t="inlineStr">
        <is>
          <t xml:space="preserve">DS </t>
        </is>
      </c>
      <c r="S501" t="n">
        <v>2</v>
      </c>
      <c r="T501" t="n">
        <v>2</v>
      </c>
      <c r="U501" t="inlineStr">
        <is>
          <t>2006-10-31</t>
        </is>
      </c>
      <c r="V501" t="inlineStr">
        <is>
          <t>2006-10-31</t>
        </is>
      </c>
      <c r="W501" t="inlineStr">
        <is>
          <t>1990-10-02</t>
        </is>
      </c>
      <c r="X501" t="inlineStr">
        <is>
          <t>1990-10-02</t>
        </is>
      </c>
      <c r="Y501" t="n">
        <v>728</v>
      </c>
      <c r="Z501" t="n">
        <v>649</v>
      </c>
      <c r="AA501" t="n">
        <v>871</v>
      </c>
      <c r="AB501" t="n">
        <v>4</v>
      </c>
      <c r="AC501" t="n">
        <v>5</v>
      </c>
      <c r="AD501" t="n">
        <v>25</v>
      </c>
      <c r="AE501" t="n">
        <v>30</v>
      </c>
      <c r="AF501" t="n">
        <v>13</v>
      </c>
      <c r="AG501" t="n">
        <v>14</v>
      </c>
      <c r="AH501" t="n">
        <v>6</v>
      </c>
      <c r="AI501" t="n">
        <v>7</v>
      </c>
      <c r="AJ501" t="n">
        <v>11</v>
      </c>
      <c r="AK501" t="n">
        <v>15</v>
      </c>
      <c r="AL501" t="n">
        <v>2</v>
      </c>
      <c r="AM501" t="n">
        <v>2</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HYPERLINK("https://creighton-primo.hosted.exlibrisgroup.com/primo-explore/search?tab=default_tab&amp;search_scope=EVERYTHING&amp;vid=01CRU&amp;lang=en_US&amp;offset=0&amp;query=any,contains,991004736379702656","Catalog Record")</f>
        <v/>
      </c>
      <c r="AT501">
        <f>HYPERLINK("http://www.worldcat.org/oclc/4857796","WorldCat Record")</f>
        <v/>
      </c>
      <c r="AU501" t="inlineStr">
        <is>
          <t>1080177085:eng</t>
        </is>
      </c>
      <c r="AV501" t="inlineStr">
        <is>
          <t>4857796</t>
        </is>
      </c>
      <c r="AW501" t="inlineStr">
        <is>
          <t>991004736379702656</t>
        </is>
      </c>
      <c r="AX501" t="inlineStr">
        <is>
          <t>991004736379702656</t>
        </is>
      </c>
      <c r="AY501" t="inlineStr">
        <is>
          <t>2266687960002656</t>
        </is>
      </c>
      <c r="AZ501" t="inlineStr">
        <is>
          <t>BOOK</t>
        </is>
      </c>
      <c r="BB501" t="inlineStr">
        <is>
          <t>9780374288983</t>
        </is>
      </c>
      <c r="BC501" t="inlineStr">
        <is>
          <t>32285000294347</t>
        </is>
      </c>
      <c r="BD501" t="inlineStr">
        <is>
          <t>893619025</t>
        </is>
      </c>
    </row>
    <row r="502">
      <c r="A502" t="inlineStr">
        <is>
          <t>No</t>
        </is>
      </c>
      <c r="B502" t="inlineStr">
        <is>
          <t>DS135.G3 G38 2003</t>
        </is>
      </c>
      <c r="C502" t="inlineStr">
        <is>
          <t>0                      DS 0135000G  3                  G  38          2003</t>
        </is>
      </c>
      <c r="D502" t="inlineStr">
        <is>
          <t>Geschichte des jüdischen Alltags in Deutschland : vom 17. Jahrhundert bis 1945 / herausgegeben im Auftrag des Leo Baeck Instituts von Marion Kaplan ; mit Beiträgen von Marion Kaplan ... [et al.] ; übersetzt aus dem Englischen von Friedrich Griese, Georgia Hanenberg und Alice Jakubeit.</t>
        </is>
      </c>
      <c r="F502" t="inlineStr">
        <is>
          <t>No</t>
        </is>
      </c>
      <c r="G502" t="inlineStr">
        <is>
          <t>1</t>
        </is>
      </c>
      <c r="H502" t="inlineStr">
        <is>
          <t>No</t>
        </is>
      </c>
      <c r="I502" t="inlineStr">
        <is>
          <t>No</t>
        </is>
      </c>
      <c r="J502" t="inlineStr">
        <is>
          <t>0</t>
        </is>
      </c>
      <c r="L502" t="inlineStr">
        <is>
          <t>München : Beck, 2003.</t>
        </is>
      </c>
      <c r="M502" t="inlineStr">
        <is>
          <t>2003</t>
        </is>
      </c>
      <c r="O502" t="inlineStr">
        <is>
          <t>ger</t>
        </is>
      </c>
      <c r="P502" t="inlineStr">
        <is>
          <t xml:space="preserve">gw </t>
        </is>
      </c>
      <c r="R502" t="inlineStr">
        <is>
          <t xml:space="preserve">DS </t>
        </is>
      </c>
      <c r="S502" t="n">
        <v>1</v>
      </c>
      <c r="T502" t="n">
        <v>1</v>
      </c>
      <c r="U502" t="inlineStr">
        <is>
          <t>2003-09-24</t>
        </is>
      </c>
      <c r="V502" t="inlineStr">
        <is>
          <t>2003-09-24</t>
        </is>
      </c>
      <c r="W502" t="inlineStr">
        <is>
          <t>2003-09-24</t>
        </is>
      </c>
      <c r="X502" t="inlineStr">
        <is>
          <t>2003-09-24</t>
        </is>
      </c>
      <c r="Y502" t="n">
        <v>140</v>
      </c>
      <c r="Z502" t="n">
        <v>35</v>
      </c>
      <c r="AA502" t="n">
        <v>38</v>
      </c>
      <c r="AB502" t="n">
        <v>1</v>
      </c>
      <c r="AC502" t="n">
        <v>1</v>
      </c>
      <c r="AD502" t="n">
        <v>0</v>
      </c>
      <c r="AE502" t="n">
        <v>0</v>
      </c>
      <c r="AF502" t="n">
        <v>0</v>
      </c>
      <c r="AG502" t="n">
        <v>0</v>
      </c>
      <c r="AH502" t="n">
        <v>0</v>
      </c>
      <c r="AI502" t="n">
        <v>0</v>
      </c>
      <c r="AJ502" t="n">
        <v>0</v>
      </c>
      <c r="AK502" t="n">
        <v>0</v>
      </c>
      <c r="AL502" t="n">
        <v>0</v>
      </c>
      <c r="AM502" t="n">
        <v>0</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HYPERLINK("https://creighton-primo.hosted.exlibrisgroup.com/primo-explore/search?tab=default_tab&amp;search_scope=EVERYTHING&amp;vid=01CRU&amp;lang=en_US&amp;offset=0&amp;query=any,contains,991004133719702656","Catalog Record")</f>
        <v/>
      </c>
      <c r="AT502">
        <f>HYPERLINK("http://www.worldcat.org/oclc/52048365","WorldCat Record")</f>
        <v/>
      </c>
      <c r="AU502" t="inlineStr">
        <is>
          <t>478624542:ger</t>
        </is>
      </c>
      <c r="AV502" t="inlineStr">
        <is>
          <t>52048365</t>
        </is>
      </c>
      <c r="AW502" t="inlineStr">
        <is>
          <t>991004133719702656</t>
        </is>
      </c>
      <c r="AX502" t="inlineStr">
        <is>
          <t>991004133719702656</t>
        </is>
      </c>
      <c r="AY502" t="inlineStr">
        <is>
          <t>2272275210002656</t>
        </is>
      </c>
      <c r="AZ502" t="inlineStr">
        <is>
          <t>BOOK</t>
        </is>
      </c>
      <c r="BB502" t="inlineStr">
        <is>
          <t>9783406502057</t>
        </is>
      </c>
      <c r="BC502" t="inlineStr">
        <is>
          <t>32285004784780</t>
        </is>
      </c>
      <c r="BD502" t="inlineStr">
        <is>
          <t>893894599</t>
        </is>
      </c>
    </row>
    <row r="503">
      <c r="A503" t="inlineStr">
        <is>
          <t>No</t>
        </is>
      </c>
      <c r="B503" t="inlineStr">
        <is>
          <t>DS135.G3 G5313 1998</t>
        </is>
      </c>
      <c r="C503" t="inlineStr">
        <is>
          <t>0                      DS 0135000G  3                  G  5313        1998</t>
        </is>
      </c>
      <c r="D503" t="inlineStr">
        <is>
          <t>Jews in Germany from Roman times to the Weimar Republic / Nachum T. Gidal ; with a preface by Marion Greafin Deonhoff.</t>
        </is>
      </c>
      <c r="F503" t="inlineStr">
        <is>
          <t>No</t>
        </is>
      </c>
      <c r="G503" t="inlineStr">
        <is>
          <t>1</t>
        </is>
      </c>
      <c r="H503" t="inlineStr">
        <is>
          <t>No</t>
        </is>
      </c>
      <c r="I503" t="inlineStr">
        <is>
          <t>No</t>
        </is>
      </c>
      <c r="J503" t="inlineStr">
        <is>
          <t>0</t>
        </is>
      </c>
      <c r="K503" t="inlineStr">
        <is>
          <t>Gidal, Tim, 1909-1996.</t>
        </is>
      </c>
      <c r="L503" t="inlineStr">
        <is>
          <t>Keoln : Keonemann, c1998.</t>
        </is>
      </c>
      <c r="M503" t="inlineStr">
        <is>
          <t>1998</t>
        </is>
      </c>
      <c r="N503" t="inlineStr">
        <is>
          <t>English language ed.</t>
        </is>
      </c>
      <c r="O503" t="inlineStr">
        <is>
          <t>eng</t>
        </is>
      </c>
      <c r="P503" t="inlineStr">
        <is>
          <t xml:space="preserve">gw </t>
        </is>
      </c>
      <c r="R503" t="inlineStr">
        <is>
          <t xml:space="preserve">DS </t>
        </is>
      </c>
      <c r="S503" t="n">
        <v>2</v>
      </c>
      <c r="T503" t="n">
        <v>2</v>
      </c>
      <c r="U503" t="inlineStr">
        <is>
          <t>2006-01-30</t>
        </is>
      </c>
      <c r="V503" t="inlineStr">
        <is>
          <t>2006-01-30</t>
        </is>
      </c>
      <c r="W503" t="inlineStr">
        <is>
          <t>2004-09-14</t>
        </is>
      </c>
      <c r="X503" t="inlineStr">
        <is>
          <t>2004-09-14</t>
        </is>
      </c>
      <c r="Y503" t="n">
        <v>167</v>
      </c>
      <c r="Z503" t="n">
        <v>146</v>
      </c>
      <c r="AA503" t="n">
        <v>149</v>
      </c>
      <c r="AB503" t="n">
        <v>3</v>
      </c>
      <c r="AC503" t="n">
        <v>3</v>
      </c>
      <c r="AD503" t="n">
        <v>7</v>
      </c>
      <c r="AE503" t="n">
        <v>7</v>
      </c>
      <c r="AF503" t="n">
        <v>2</v>
      </c>
      <c r="AG503" t="n">
        <v>2</v>
      </c>
      <c r="AH503" t="n">
        <v>2</v>
      </c>
      <c r="AI503" t="n">
        <v>2</v>
      </c>
      <c r="AJ503" t="n">
        <v>2</v>
      </c>
      <c r="AK503" t="n">
        <v>2</v>
      </c>
      <c r="AL503" t="n">
        <v>2</v>
      </c>
      <c r="AM503" t="n">
        <v>2</v>
      </c>
      <c r="AN503" t="n">
        <v>0</v>
      </c>
      <c r="AO503" t="n">
        <v>0</v>
      </c>
      <c r="AP503" t="inlineStr">
        <is>
          <t>No</t>
        </is>
      </c>
      <c r="AQ503" t="inlineStr">
        <is>
          <t>No</t>
        </is>
      </c>
      <c r="AS503">
        <f>HYPERLINK("https://creighton-primo.hosted.exlibrisgroup.com/primo-explore/search?tab=default_tab&amp;search_scope=EVERYTHING&amp;vid=01CRU&amp;lang=en_US&amp;offset=0&amp;query=any,contains,991004370209702656","Catalog Record")</f>
        <v/>
      </c>
      <c r="AT503">
        <f>HYPERLINK("http://www.worldcat.org/oclc/40478319","WorldCat Record")</f>
        <v/>
      </c>
      <c r="AU503" t="inlineStr">
        <is>
          <t>4714750835:eng</t>
        </is>
      </c>
      <c r="AV503" t="inlineStr">
        <is>
          <t>40478319</t>
        </is>
      </c>
      <c r="AW503" t="inlineStr">
        <is>
          <t>991004370209702656</t>
        </is>
      </c>
      <c r="AX503" t="inlineStr">
        <is>
          <t>991004370209702656</t>
        </is>
      </c>
      <c r="AY503" t="inlineStr">
        <is>
          <t>2262906960002656</t>
        </is>
      </c>
      <c r="AZ503" t="inlineStr">
        <is>
          <t>BOOK</t>
        </is>
      </c>
      <c r="BB503" t="inlineStr">
        <is>
          <t>9783829004916</t>
        </is>
      </c>
      <c r="BC503" t="inlineStr">
        <is>
          <t>32285004986914</t>
        </is>
      </c>
      <c r="BD503" t="inlineStr">
        <is>
          <t>893247514</t>
        </is>
      </c>
    </row>
    <row r="504">
      <c r="A504" t="inlineStr">
        <is>
          <t>No</t>
        </is>
      </c>
      <c r="B504" t="inlineStr">
        <is>
          <t>DS135.G3 W53 1975</t>
        </is>
      </c>
      <c r="C504" t="inlineStr">
        <is>
          <t>0                      DS 0135000G  3                  W  53          1975</t>
        </is>
      </c>
      <c r="D504" t="inlineStr">
        <is>
          <t>German Jewry : its history, life, and culture / [edited by Ilse R. Wolff].</t>
        </is>
      </c>
      <c r="F504" t="inlineStr">
        <is>
          <t>No</t>
        </is>
      </c>
      <c r="G504" t="inlineStr">
        <is>
          <t>1</t>
        </is>
      </c>
      <c r="H504" t="inlineStr">
        <is>
          <t>No</t>
        </is>
      </c>
      <c r="I504" t="inlineStr">
        <is>
          <t>No</t>
        </is>
      </c>
      <c r="J504" t="inlineStr">
        <is>
          <t>0</t>
        </is>
      </c>
      <c r="K504" t="inlineStr">
        <is>
          <t>Wiener Library.</t>
        </is>
      </c>
      <c r="L504" t="inlineStr">
        <is>
          <t>Westport, Conn. : Greenwood Press, 1975.</t>
        </is>
      </c>
      <c r="M504" t="inlineStr">
        <is>
          <t>1975</t>
        </is>
      </c>
      <c r="O504" t="inlineStr">
        <is>
          <t>eng</t>
        </is>
      </c>
      <c r="P504" t="inlineStr">
        <is>
          <t>ctu</t>
        </is>
      </c>
      <c r="R504" t="inlineStr">
        <is>
          <t xml:space="preserve">DS </t>
        </is>
      </c>
      <c r="S504" t="n">
        <v>2</v>
      </c>
      <c r="T504" t="n">
        <v>2</v>
      </c>
      <c r="U504" t="inlineStr">
        <is>
          <t>1998-02-02</t>
        </is>
      </c>
      <c r="V504" t="inlineStr">
        <is>
          <t>1998-02-02</t>
        </is>
      </c>
      <c r="W504" t="inlineStr">
        <is>
          <t>1997-02-27</t>
        </is>
      </c>
      <c r="X504" t="inlineStr">
        <is>
          <t>1997-02-27</t>
        </is>
      </c>
      <c r="Y504" t="n">
        <v>87</v>
      </c>
      <c r="Z504" t="n">
        <v>78</v>
      </c>
      <c r="AA504" t="n">
        <v>79</v>
      </c>
      <c r="AB504" t="n">
        <v>1</v>
      </c>
      <c r="AC504" t="n">
        <v>1</v>
      </c>
      <c r="AD504" t="n">
        <v>2</v>
      </c>
      <c r="AE504" t="n">
        <v>2</v>
      </c>
      <c r="AF504" t="n">
        <v>1</v>
      </c>
      <c r="AG504" t="n">
        <v>1</v>
      </c>
      <c r="AH504" t="n">
        <v>1</v>
      </c>
      <c r="AI504" t="n">
        <v>1</v>
      </c>
      <c r="AJ504" t="n">
        <v>2</v>
      </c>
      <c r="AK504" t="n">
        <v>2</v>
      </c>
      <c r="AL504" t="n">
        <v>0</v>
      </c>
      <c r="AM504" t="n">
        <v>0</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HYPERLINK("https://creighton-primo.hosted.exlibrisgroup.com/primo-explore/search?tab=default_tab&amp;search_scope=EVERYTHING&amp;vid=01CRU&amp;lang=en_US&amp;offset=0&amp;query=any,contains,991003805929702656","Catalog Record")</f>
        <v/>
      </c>
      <c r="AT504">
        <f>HYPERLINK("http://www.worldcat.org/oclc/1530668","WorldCat Record")</f>
        <v/>
      </c>
      <c r="AU504" t="inlineStr">
        <is>
          <t>3754885136:eng</t>
        </is>
      </c>
      <c r="AV504" t="inlineStr">
        <is>
          <t>1530668</t>
        </is>
      </c>
      <c r="AW504" t="inlineStr">
        <is>
          <t>991003805929702656</t>
        </is>
      </c>
      <c r="AX504" t="inlineStr">
        <is>
          <t>991003805929702656</t>
        </is>
      </c>
      <c r="AY504" t="inlineStr">
        <is>
          <t>2269694950002656</t>
        </is>
      </c>
      <c r="AZ504" t="inlineStr">
        <is>
          <t>BOOK</t>
        </is>
      </c>
      <c r="BB504" t="inlineStr">
        <is>
          <t>9780837182926</t>
        </is>
      </c>
      <c r="BC504" t="inlineStr">
        <is>
          <t>32285002463205</t>
        </is>
      </c>
      <c r="BD504" t="inlineStr">
        <is>
          <t>893343041</t>
        </is>
      </c>
    </row>
    <row r="505">
      <c r="A505" t="inlineStr">
        <is>
          <t>No</t>
        </is>
      </c>
      <c r="B505" t="inlineStr">
        <is>
          <t>DS135.G32 J49 2005</t>
        </is>
      </c>
      <c r="C505" t="inlineStr">
        <is>
          <t>0                      DS 0135000G  32                 J  49          2005</t>
        </is>
      </c>
      <c r="D505" t="inlineStr">
        <is>
          <t>Jewish daily life in Germany, 1618-1945 / edited by Marion A. Kaplan.</t>
        </is>
      </c>
      <c r="F505" t="inlineStr">
        <is>
          <t>No</t>
        </is>
      </c>
      <c r="G505" t="inlineStr">
        <is>
          <t>1</t>
        </is>
      </c>
      <c r="H505" t="inlineStr">
        <is>
          <t>No</t>
        </is>
      </c>
      <c r="I505" t="inlineStr">
        <is>
          <t>No</t>
        </is>
      </c>
      <c r="J505" t="inlineStr">
        <is>
          <t>0</t>
        </is>
      </c>
      <c r="L505" t="inlineStr">
        <is>
          <t>Oxford ; New York : Oxford University Press, 2005.</t>
        </is>
      </c>
      <c r="M505" t="inlineStr">
        <is>
          <t>2005</t>
        </is>
      </c>
      <c r="O505" t="inlineStr">
        <is>
          <t>eng</t>
        </is>
      </c>
      <c r="P505" t="inlineStr">
        <is>
          <t>enk</t>
        </is>
      </c>
      <c r="R505" t="inlineStr">
        <is>
          <t xml:space="preserve">DS </t>
        </is>
      </c>
      <c r="S505" t="n">
        <v>1</v>
      </c>
      <c r="T505" t="n">
        <v>1</v>
      </c>
      <c r="U505" t="inlineStr">
        <is>
          <t>2007-02-15</t>
        </is>
      </c>
      <c r="V505" t="inlineStr">
        <is>
          <t>2007-02-15</t>
        </is>
      </c>
      <c r="W505" t="inlineStr">
        <is>
          <t>2007-02-15</t>
        </is>
      </c>
      <c r="X505" t="inlineStr">
        <is>
          <t>2007-02-15</t>
        </is>
      </c>
      <c r="Y505" t="n">
        <v>454</v>
      </c>
      <c r="Z505" t="n">
        <v>365</v>
      </c>
      <c r="AA505" t="n">
        <v>855</v>
      </c>
      <c r="AB505" t="n">
        <v>2</v>
      </c>
      <c r="AC505" t="n">
        <v>16</v>
      </c>
      <c r="AD505" t="n">
        <v>26</v>
      </c>
      <c r="AE505" t="n">
        <v>38</v>
      </c>
      <c r="AF505" t="n">
        <v>15</v>
      </c>
      <c r="AG505" t="n">
        <v>18</v>
      </c>
      <c r="AH505" t="n">
        <v>7</v>
      </c>
      <c r="AI505" t="n">
        <v>9</v>
      </c>
      <c r="AJ505" t="n">
        <v>12</v>
      </c>
      <c r="AK505" t="n">
        <v>14</v>
      </c>
      <c r="AL505" t="n">
        <v>1</v>
      </c>
      <c r="AM505" t="n">
        <v>8</v>
      </c>
      <c r="AN505" t="n">
        <v>0</v>
      </c>
      <c r="AO505" t="n">
        <v>0</v>
      </c>
      <c r="AP505" t="inlineStr">
        <is>
          <t>No</t>
        </is>
      </c>
      <c r="AQ505" t="inlineStr">
        <is>
          <t>Yes</t>
        </is>
      </c>
      <c r="AR505">
        <f>HYPERLINK("http://catalog.hathitrust.org/Record/004959371","HathiTrust Record")</f>
        <v/>
      </c>
      <c r="AS505">
        <f>HYPERLINK("https://creighton-primo.hosted.exlibrisgroup.com/primo-explore/search?tab=default_tab&amp;search_scope=EVERYTHING&amp;vid=01CRU&amp;lang=en_US&amp;offset=0&amp;query=any,contains,991005030949702656","Catalog Record")</f>
        <v/>
      </c>
      <c r="AT505">
        <f>HYPERLINK("http://www.worldcat.org/oclc/54046409","WorldCat Record")</f>
        <v/>
      </c>
      <c r="AU505" t="inlineStr">
        <is>
          <t>1078401389:eng</t>
        </is>
      </c>
      <c r="AV505" t="inlineStr">
        <is>
          <t>54046409</t>
        </is>
      </c>
      <c r="AW505" t="inlineStr">
        <is>
          <t>991005030949702656</t>
        </is>
      </c>
      <c r="AX505" t="inlineStr">
        <is>
          <t>991005030949702656</t>
        </is>
      </c>
      <c r="AY505" t="inlineStr">
        <is>
          <t>2259485350002656</t>
        </is>
      </c>
      <c r="AZ505" t="inlineStr">
        <is>
          <t>BOOK</t>
        </is>
      </c>
      <c r="BB505" t="inlineStr">
        <is>
          <t>9780195171648</t>
        </is>
      </c>
      <c r="BC505" t="inlineStr">
        <is>
          <t>32285005277263</t>
        </is>
      </c>
      <c r="BD505" t="inlineStr">
        <is>
          <t>893242094</t>
        </is>
      </c>
    </row>
    <row r="506">
      <c r="A506" t="inlineStr">
        <is>
          <t>No</t>
        </is>
      </c>
      <c r="B506" t="inlineStr">
        <is>
          <t>DS135.G33 C32</t>
        </is>
      </c>
      <c r="C506" t="inlineStr">
        <is>
          <t>0                      DS 0135000G  33                 C  32</t>
        </is>
      </c>
      <c r="D506" t="inlineStr">
        <is>
          <t>Karl Marx and the radical critique of Judaism / Julius Carlebach.</t>
        </is>
      </c>
      <c r="F506" t="inlineStr">
        <is>
          <t>No</t>
        </is>
      </c>
      <c r="G506" t="inlineStr">
        <is>
          <t>1</t>
        </is>
      </c>
      <c r="H506" t="inlineStr">
        <is>
          <t>No</t>
        </is>
      </c>
      <c r="I506" t="inlineStr">
        <is>
          <t>No</t>
        </is>
      </c>
      <c r="J506" t="inlineStr">
        <is>
          <t>0</t>
        </is>
      </c>
      <c r="K506" t="inlineStr">
        <is>
          <t>Carlebach, Julius.</t>
        </is>
      </c>
      <c r="L506" t="inlineStr">
        <is>
          <t>London ; Boston : Routledge and Kegan Paul, 1978.</t>
        </is>
      </c>
      <c r="M506" t="inlineStr">
        <is>
          <t>1978</t>
        </is>
      </c>
      <c r="O506" t="inlineStr">
        <is>
          <t>eng</t>
        </is>
      </c>
      <c r="P506" t="inlineStr">
        <is>
          <t>enk</t>
        </is>
      </c>
      <c r="Q506" t="inlineStr">
        <is>
          <t>The Littman library of Jewish civilization</t>
        </is>
      </c>
      <c r="R506" t="inlineStr">
        <is>
          <t xml:space="preserve">DS </t>
        </is>
      </c>
      <c r="S506" t="n">
        <v>2</v>
      </c>
      <c r="T506" t="n">
        <v>2</v>
      </c>
      <c r="U506" t="inlineStr">
        <is>
          <t>2000-04-25</t>
        </is>
      </c>
      <c r="V506" t="inlineStr">
        <is>
          <t>2000-04-25</t>
        </is>
      </c>
      <c r="W506" t="inlineStr">
        <is>
          <t>1990-10-03</t>
        </is>
      </c>
      <c r="X506" t="inlineStr">
        <is>
          <t>1990-10-03</t>
        </is>
      </c>
      <c r="Y506" t="n">
        <v>532</v>
      </c>
      <c r="Z506" t="n">
        <v>393</v>
      </c>
      <c r="AA506" t="n">
        <v>394</v>
      </c>
      <c r="AB506" t="n">
        <v>3</v>
      </c>
      <c r="AC506" t="n">
        <v>3</v>
      </c>
      <c r="AD506" t="n">
        <v>23</v>
      </c>
      <c r="AE506" t="n">
        <v>23</v>
      </c>
      <c r="AF506" t="n">
        <v>7</v>
      </c>
      <c r="AG506" t="n">
        <v>7</v>
      </c>
      <c r="AH506" t="n">
        <v>5</v>
      </c>
      <c r="AI506" t="n">
        <v>5</v>
      </c>
      <c r="AJ506" t="n">
        <v>14</v>
      </c>
      <c r="AK506" t="n">
        <v>14</v>
      </c>
      <c r="AL506" t="n">
        <v>2</v>
      </c>
      <c r="AM506" t="n">
        <v>2</v>
      </c>
      <c r="AN506" t="n">
        <v>0</v>
      </c>
      <c r="AO506" t="n">
        <v>0</v>
      </c>
      <c r="AP506" t="inlineStr">
        <is>
          <t>No</t>
        </is>
      </c>
      <c r="AQ506" t="inlineStr">
        <is>
          <t>No</t>
        </is>
      </c>
      <c r="AS506">
        <f>HYPERLINK("https://creighton-primo.hosted.exlibrisgroup.com/primo-explore/search?tab=default_tab&amp;search_scope=EVERYTHING&amp;vid=01CRU&amp;lang=en_US&amp;offset=0&amp;query=any,contains,991004582029702656","Catalog Record")</f>
        <v/>
      </c>
      <c r="AT506">
        <f>HYPERLINK("http://www.worldcat.org/oclc/4064723","WorldCat Record")</f>
        <v/>
      </c>
      <c r="AU506" t="inlineStr">
        <is>
          <t>13925777:eng</t>
        </is>
      </c>
      <c r="AV506" t="inlineStr">
        <is>
          <t>4064723</t>
        </is>
      </c>
      <c r="AW506" t="inlineStr">
        <is>
          <t>991004582029702656</t>
        </is>
      </c>
      <c r="AX506" t="inlineStr">
        <is>
          <t>991004582029702656</t>
        </is>
      </c>
      <c r="AY506" t="inlineStr">
        <is>
          <t>2265527290002656</t>
        </is>
      </c>
      <c r="AZ506" t="inlineStr">
        <is>
          <t>BOOK</t>
        </is>
      </c>
      <c r="BB506" t="inlineStr">
        <is>
          <t>9780710082794</t>
        </is>
      </c>
      <c r="BC506" t="inlineStr">
        <is>
          <t>32285000294388</t>
        </is>
      </c>
      <c r="BD506" t="inlineStr">
        <is>
          <t>893628243</t>
        </is>
      </c>
    </row>
    <row r="507">
      <c r="A507" t="inlineStr">
        <is>
          <t>No</t>
        </is>
      </c>
      <c r="B507" t="inlineStr">
        <is>
          <t>DS135.G33 E54 1998x</t>
        </is>
      </c>
      <c r="C507" t="inlineStr">
        <is>
          <t>0                      DS 0135000G  33                 E  54          1998x</t>
        </is>
      </c>
      <c r="D507" t="inlineStr">
        <is>
          <t>Deutschland ohne Juden : eine Bilanz / Bernt Engelmann ; mit einem Nachwort von Carl Amery.</t>
        </is>
      </c>
      <c r="F507" t="inlineStr">
        <is>
          <t>No</t>
        </is>
      </c>
      <c r="G507" t="inlineStr">
        <is>
          <t>1</t>
        </is>
      </c>
      <c r="H507" t="inlineStr">
        <is>
          <t>No</t>
        </is>
      </c>
      <c r="I507" t="inlineStr">
        <is>
          <t>No</t>
        </is>
      </c>
      <c r="J507" t="inlineStr">
        <is>
          <t>0</t>
        </is>
      </c>
      <c r="K507" t="inlineStr">
        <is>
          <t>Engelmann, Bernt, 1921-1994.</t>
        </is>
      </c>
      <c r="L507" t="inlineStr">
        <is>
          <t>Göttingen : Steidl, c1998.</t>
        </is>
      </c>
      <c r="M507" t="inlineStr">
        <is>
          <t>1998</t>
        </is>
      </c>
      <c r="N507" t="inlineStr">
        <is>
          <t>Rev. Fassung. der Ausg. von 1988.</t>
        </is>
      </c>
      <c r="O507" t="inlineStr">
        <is>
          <t>ger</t>
        </is>
      </c>
      <c r="P507" t="inlineStr">
        <is>
          <t xml:space="preserve">gw </t>
        </is>
      </c>
      <c r="Q507" t="inlineStr">
        <is>
          <t>Stb ; 138</t>
        </is>
      </c>
      <c r="R507" t="inlineStr">
        <is>
          <t xml:space="preserve">DS </t>
        </is>
      </c>
      <c r="S507" t="n">
        <v>1</v>
      </c>
      <c r="T507" t="n">
        <v>1</v>
      </c>
      <c r="U507" t="inlineStr">
        <is>
          <t>2002-05-08</t>
        </is>
      </c>
      <c r="V507" t="inlineStr">
        <is>
          <t>2002-05-08</t>
        </is>
      </c>
      <c r="W507" t="inlineStr">
        <is>
          <t>2002-04-29</t>
        </is>
      </c>
      <c r="X507" t="inlineStr">
        <is>
          <t>2002-04-29</t>
        </is>
      </c>
      <c r="Y507" t="n">
        <v>7</v>
      </c>
      <c r="Z507" t="n">
        <v>2</v>
      </c>
      <c r="AA507" t="n">
        <v>15</v>
      </c>
      <c r="AB507" t="n">
        <v>1</v>
      </c>
      <c r="AC507" t="n">
        <v>1</v>
      </c>
      <c r="AD507" t="n">
        <v>0</v>
      </c>
      <c r="AE507" t="n">
        <v>0</v>
      </c>
      <c r="AF507" t="n">
        <v>0</v>
      </c>
      <c r="AG507" t="n">
        <v>0</v>
      </c>
      <c r="AH507" t="n">
        <v>0</v>
      </c>
      <c r="AI507" t="n">
        <v>0</v>
      </c>
      <c r="AJ507" t="n">
        <v>0</v>
      </c>
      <c r="AK507" t="n">
        <v>0</v>
      </c>
      <c r="AL507" t="n">
        <v>0</v>
      </c>
      <c r="AM507" t="n">
        <v>0</v>
      </c>
      <c r="AN507" t="n">
        <v>0</v>
      </c>
      <c r="AO507" t="n">
        <v>0</v>
      </c>
      <c r="AP507" t="inlineStr">
        <is>
          <t>No</t>
        </is>
      </c>
      <c r="AQ507" t="inlineStr">
        <is>
          <t>No</t>
        </is>
      </c>
      <c r="AS507">
        <f>HYPERLINK("https://creighton-primo.hosted.exlibrisgroup.com/primo-explore/search?tab=default_tab&amp;search_scope=EVERYTHING&amp;vid=01CRU&amp;lang=en_US&amp;offset=0&amp;query=any,contains,991003770259702656","Catalog Record")</f>
        <v/>
      </c>
      <c r="AT507">
        <f>HYPERLINK("http://www.worldcat.org/oclc/48939000","WorldCat Record")</f>
        <v/>
      </c>
      <c r="AU507" t="inlineStr">
        <is>
          <t>9490337759:ger</t>
        </is>
      </c>
      <c r="AV507" t="inlineStr">
        <is>
          <t>48939000</t>
        </is>
      </c>
      <c r="AW507" t="inlineStr">
        <is>
          <t>991003770259702656</t>
        </is>
      </c>
      <c r="AX507" t="inlineStr">
        <is>
          <t>991003770259702656</t>
        </is>
      </c>
      <c r="AY507" t="inlineStr">
        <is>
          <t>2268118760002656</t>
        </is>
      </c>
      <c r="AZ507" t="inlineStr">
        <is>
          <t>BOOK</t>
        </is>
      </c>
      <c r="BB507" t="inlineStr">
        <is>
          <t>9783882436600</t>
        </is>
      </c>
      <c r="BC507" t="inlineStr">
        <is>
          <t>32285004483896</t>
        </is>
      </c>
      <c r="BD507" t="inlineStr">
        <is>
          <t>893881518</t>
        </is>
      </c>
    </row>
    <row r="508">
      <c r="A508" t="inlineStr">
        <is>
          <t>No</t>
        </is>
      </c>
      <c r="B508" t="inlineStr">
        <is>
          <t>DS135.G33 G8</t>
        </is>
      </c>
      <c r="C508" t="inlineStr">
        <is>
          <t>0                      DS 0135000G  33                 G  8</t>
        </is>
      </c>
      <c r="D508" t="inlineStr">
        <is>
          <t>Prophets without honour : a background to Freud, Kafka, Einstein, and their world / Frederic V.Grunfeld.</t>
        </is>
      </c>
      <c r="F508" t="inlineStr">
        <is>
          <t>No</t>
        </is>
      </c>
      <c r="G508" t="inlineStr">
        <is>
          <t>1</t>
        </is>
      </c>
      <c r="H508" t="inlineStr">
        <is>
          <t>No</t>
        </is>
      </c>
      <c r="I508" t="inlineStr">
        <is>
          <t>Yes</t>
        </is>
      </c>
      <c r="J508" t="inlineStr">
        <is>
          <t>0</t>
        </is>
      </c>
      <c r="K508" t="inlineStr">
        <is>
          <t>Grunfeld, Frederic V.</t>
        </is>
      </c>
      <c r="L508" t="inlineStr">
        <is>
          <t>New York : Holt, Rinehart and Winston, c1979.</t>
        </is>
      </c>
      <c r="M508" t="inlineStr">
        <is>
          <t>1979</t>
        </is>
      </c>
      <c r="N508" t="inlineStr">
        <is>
          <t>1st ed.</t>
        </is>
      </c>
      <c r="O508" t="inlineStr">
        <is>
          <t>eng</t>
        </is>
      </c>
      <c r="P508" t="inlineStr">
        <is>
          <t>nyu</t>
        </is>
      </c>
      <c r="R508" t="inlineStr">
        <is>
          <t xml:space="preserve">DS </t>
        </is>
      </c>
      <c r="S508" t="n">
        <v>2</v>
      </c>
      <c r="T508" t="n">
        <v>2</v>
      </c>
      <c r="U508" t="inlineStr">
        <is>
          <t>1998-07-13</t>
        </is>
      </c>
      <c r="V508" t="inlineStr">
        <is>
          <t>1998-07-13</t>
        </is>
      </c>
      <c r="W508" t="inlineStr">
        <is>
          <t>1990-06-05</t>
        </is>
      </c>
      <c r="X508" t="inlineStr">
        <is>
          <t>1990-06-05</t>
        </is>
      </c>
      <c r="Y508" t="n">
        <v>900</v>
      </c>
      <c r="Z508" t="n">
        <v>835</v>
      </c>
      <c r="AA508" t="n">
        <v>940</v>
      </c>
      <c r="AB508" t="n">
        <v>6</v>
      </c>
      <c r="AC508" t="n">
        <v>6</v>
      </c>
      <c r="AD508" t="n">
        <v>30</v>
      </c>
      <c r="AE508" t="n">
        <v>36</v>
      </c>
      <c r="AF508" t="n">
        <v>14</v>
      </c>
      <c r="AG508" t="n">
        <v>18</v>
      </c>
      <c r="AH508" t="n">
        <v>7</v>
      </c>
      <c r="AI508" t="n">
        <v>8</v>
      </c>
      <c r="AJ508" t="n">
        <v>14</v>
      </c>
      <c r="AK508" t="n">
        <v>17</v>
      </c>
      <c r="AL508" t="n">
        <v>5</v>
      </c>
      <c r="AM508" t="n">
        <v>5</v>
      </c>
      <c r="AN508" t="n">
        <v>0</v>
      </c>
      <c r="AO508" t="n">
        <v>0</v>
      </c>
      <c r="AP508" t="inlineStr">
        <is>
          <t>No</t>
        </is>
      </c>
      <c r="AQ508" t="inlineStr">
        <is>
          <t>Yes</t>
        </is>
      </c>
      <c r="AR508">
        <f>HYPERLINK("http://catalog.hathitrust.org/Record/000044638","HathiTrust Record")</f>
        <v/>
      </c>
      <c r="AS508">
        <f>HYPERLINK("https://creighton-primo.hosted.exlibrisgroup.com/primo-explore/search?tab=default_tab&amp;search_scope=EVERYTHING&amp;vid=01CRU&amp;lang=en_US&amp;offset=0&amp;query=any,contains,991004688859702656","Catalog Record")</f>
        <v/>
      </c>
      <c r="AT508">
        <f>HYPERLINK("http://www.worldcat.org/oclc/4593801","WorldCat Record")</f>
        <v/>
      </c>
      <c r="AU508" t="inlineStr">
        <is>
          <t>1151101785:eng</t>
        </is>
      </c>
      <c r="AV508" t="inlineStr">
        <is>
          <t>4593801</t>
        </is>
      </c>
      <c r="AW508" t="inlineStr">
        <is>
          <t>991004688859702656</t>
        </is>
      </c>
      <c r="AX508" t="inlineStr">
        <is>
          <t>991004688859702656</t>
        </is>
      </c>
      <c r="AY508" t="inlineStr">
        <is>
          <t>2271264210002656</t>
        </is>
      </c>
      <c r="AZ508" t="inlineStr">
        <is>
          <t>BOOK</t>
        </is>
      </c>
      <c r="BB508" t="inlineStr">
        <is>
          <t>9780030178719</t>
        </is>
      </c>
      <c r="BC508" t="inlineStr">
        <is>
          <t>32285000181650</t>
        </is>
      </c>
      <c r="BD508" t="inlineStr">
        <is>
          <t>893319532</t>
        </is>
      </c>
    </row>
    <row r="509">
      <c r="A509" t="inlineStr">
        <is>
          <t>No</t>
        </is>
      </c>
      <c r="B509" t="inlineStr">
        <is>
          <t>DS135.G33 G8 1996</t>
        </is>
      </c>
      <c r="C509" t="inlineStr">
        <is>
          <t>0                      DS 0135000G  33                 G  8           1996</t>
        </is>
      </c>
      <c r="D509" t="inlineStr">
        <is>
          <t>Prophets without honour : Freud, Kafka, Einstein, and their world / Frederic V. Grunfeld ; with a new introduction by Michael Brenner.</t>
        </is>
      </c>
      <c r="F509" t="inlineStr">
        <is>
          <t>No</t>
        </is>
      </c>
      <c r="G509" t="inlineStr">
        <is>
          <t>1</t>
        </is>
      </c>
      <c r="H509" t="inlineStr">
        <is>
          <t>No</t>
        </is>
      </c>
      <c r="I509" t="inlineStr">
        <is>
          <t>Yes</t>
        </is>
      </c>
      <c r="J509" t="inlineStr">
        <is>
          <t>0</t>
        </is>
      </c>
      <c r="K509" t="inlineStr">
        <is>
          <t>Grunfeld, Frederic V.</t>
        </is>
      </c>
      <c r="L509" t="inlineStr">
        <is>
          <t>New York : Kodansha International, 1996.</t>
        </is>
      </c>
      <c r="M509" t="inlineStr">
        <is>
          <t>1996</t>
        </is>
      </c>
      <c r="O509" t="inlineStr">
        <is>
          <t>eng</t>
        </is>
      </c>
      <c r="P509" t="inlineStr">
        <is>
          <t>nyu</t>
        </is>
      </c>
      <c r="R509" t="inlineStr">
        <is>
          <t xml:space="preserve">DS </t>
        </is>
      </c>
      <c r="S509" t="n">
        <v>1</v>
      </c>
      <c r="T509" t="n">
        <v>1</v>
      </c>
      <c r="U509" t="inlineStr">
        <is>
          <t>2002-08-22</t>
        </is>
      </c>
      <c r="V509" t="inlineStr">
        <is>
          <t>2002-08-22</t>
        </is>
      </c>
      <c r="W509" t="inlineStr">
        <is>
          <t>1996-06-07</t>
        </is>
      </c>
      <c r="X509" t="inlineStr">
        <is>
          <t>1996-06-07</t>
        </is>
      </c>
      <c r="Y509" t="n">
        <v>88</v>
      </c>
      <c r="Z509" t="n">
        <v>68</v>
      </c>
      <c r="AA509" t="n">
        <v>940</v>
      </c>
      <c r="AB509" t="n">
        <v>1</v>
      </c>
      <c r="AC509" t="n">
        <v>6</v>
      </c>
      <c r="AD509" t="n">
        <v>5</v>
      </c>
      <c r="AE509" t="n">
        <v>36</v>
      </c>
      <c r="AF509" t="n">
        <v>3</v>
      </c>
      <c r="AG509" t="n">
        <v>18</v>
      </c>
      <c r="AH509" t="n">
        <v>1</v>
      </c>
      <c r="AI509" t="n">
        <v>8</v>
      </c>
      <c r="AJ509" t="n">
        <v>2</v>
      </c>
      <c r="AK509" t="n">
        <v>17</v>
      </c>
      <c r="AL509" t="n">
        <v>0</v>
      </c>
      <c r="AM509" t="n">
        <v>5</v>
      </c>
      <c r="AN509" t="n">
        <v>0</v>
      </c>
      <c r="AO509" t="n">
        <v>0</v>
      </c>
      <c r="AP509" t="inlineStr">
        <is>
          <t>No</t>
        </is>
      </c>
      <c r="AQ509" t="inlineStr">
        <is>
          <t>Yes</t>
        </is>
      </c>
      <c r="AR509">
        <f>HYPERLINK("http://catalog.hathitrust.org/Record/004536376","HathiTrust Record")</f>
        <v/>
      </c>
      <c r="AS509">
        <f>HYPERLINK("https://creighton-primo.hosted.exlibrisgroup.com/primo-explore/search?tab=default_tab&amp;search_scope=EVERYTHING&amp;vid=01CRU&amp;lang=en_US&amp;offset=0&amp;query=any,contains,991002570179702656","Catalog Record")</f>
        <v/>
      </c>
      <c r="AT509">
        <f>HYPERLINK("http://www.worldcat.org/oclc/33405056","WorldCat Record")</f>
        <v/>
      </c>
      <c r="AU509" t="inlineStr">
        <is>
          <t>1151101785:eng</t>
        </is>
      </c>
      <c r="AV509" t="inlineStr">
        <is>
          <t>33405056</t>
        </is>
      </c>
      <c r="AW509" t="inlineStr">
        <is>
          <t>991002570179702656</t>
        </is>
      </c>
      <c r="AX509" t="inlineStr">
        <is>
          <t>991002570179702656</t>
        </is>
      </c>
      <c r="AY509" t="inlineStr">
        <is>
          <t>2269236190002656</t>
        </is>
      </c>
      <c r="AZ509" t="inlineStr">
        <is>
          <t>BOOK</t>
        </is>
      </c>
      <c r="BB509" t="inlineStr">
        <is>
          <t>9781568361079</t>
        </is>
      </c>
      <c r="BC509" t="inlineStr">
        <is>
          <t>32285002189768</t>
        </is>
      </c>
      <c r="BD509" t="inlineStr">
        <is>
          <t>893409252</t>
        </is>
      </c>
    </row>
    <row r="510">
      <c r="A510" t="inlineStr">
        <is>
          <t>No</t>
        </is>
      </c>
      <c r="B510" t="inlineStr">
        <is>
          <t>DS135.G33 H43 2002</t>
        </is>
      </c>
      <c r="C510" t="inlineStr">
        <is>
          <t>0                      DS 0135000G  33                 H  43          2002</t>
        </is>
      </c>
      <c r="D510" t="inlineStr">
        <is>
          <t>Germans, Jews and the claims of modernity / Jonathan M. Hess.</t>
        </is>
      </c>
      <c r="F510" t="inlineStr">
        <is>
          <t>No</t>
        </is>
      </c>
      <c r="G510" t="inlineStr">
        <is>
          <t>1</t>
        </is>
      </c>
      <c r="H510" t="inlineStr">
        <is>
          <t>No</t>
        </is>
      </c>
      <c r="I510" t="inlineStr">
        <is>
          <t>No</t>
        </is>
      </c>
      <c r="J510" t="inlineStr">
        <is>
          <t>0</t>
        </is>
      </c>
      <c r="K510" t="inlineStr">
        <is>
          <t>Hess, Jonathan M., 1965-2018.</t>
        </is>
      </c>
      <c r="L510" t="inlineStr">
        <is>
          <t>New Haven : Yale University Press, c2002.</t>
        </is>
      </c>
      <c r="M510" t="inlineStr">
        <is>
          <t>2002</t>
        </is>
      </c>
      <c r="O510" t="inlineStr">
        <is>
          <t>eng</t>
        </is>
      </c>
      <c r="P510" t="inlineStr">
        <is>
          <t>ctu</t>
        </is>
      </c>
      <c r="R510" t="inlineStr">
        <is>
          <t xml:space="preserve">DS </t>
        </is>
      </c>
      <c r="S510" t="n">
        <v>8</v>
      </c>
      <c r="T510" t="n">
        <v>8</v>
      </c>
      <c r="U510" t="inlineStr">
        <is>
          <t>2010-03-25</t>
        </is>
      </c>
      <c r="V510" t="inlineStr">
        <is>
          <t>2010-03-25</t>
        </is>
      </c>
      <c r="W510" t="inlineStr">
        <is>
          <t>2003-09-18</t>
        </is>
      </c>
      <c r="X510" t="inlineStr">
        <is>
          <t>2003-09-18</t>
        </is>
      </c>
      <c r="Y510" t="n">
        <v>478</v>
      </c>
      <c r="Z510" t="n">
        <v>390</v>
      </c>
      <c r="AA510" t="n">
        <v>390</v>
      </c>
      <c r="AB510" t="n">
        <v>1</v>
      </c>
      <c r="AC510" t="n">
        <v>1</v>
      </c>
      <c r="AD510" t="n">
        <v>24</v>
      </c>
      <c r="AE510" t="n">
        <v>24</v>
      </c>
      <c r="AF510" t="n">
        <v>13</v>
      </c>
      <c r="AG510" t="n">
        <v>13</v>
      </c>
      <c r="AH510" t="n">
        <v>7</v>
      </c>
      <c r="AI510" t="n">
        <v>7</v>
      </c>
      <c r="AJ510" t="n">
        <v>11</v>
      </c>
      <c r="AK510" t="n">
        <v>11</v>
      </c>
      <c r="AL510" t="n">
        <v>0</v>
      </c>
      <c r="AM510" t="n">
        <v>0</v>
      </c>
      <c r="AN510" t="n">
        <v>0</v>
      </c>
      <c r="AO510" t="n">
        <v>0</v>
      </c>
      <c r="AP510" t="inlineStr">
        <is>
          <t>No</t>
        </is>
      </c>
      <c r="AQ510" t="inlineStr">
        <is>
          <t>No</t>
        </is>
      </c>
      <c r="AS510">
        <f>HYPERLINK("https://creighton-primo.hosted.exlibrisgroup.com/primo-explore/search?tab=default_tab&amp;search_scope=EVERYTHING&amp;vid=01CRU&amp;lang=en_US&amp;offset=0&amp;query=any,contains,991004127659702656","Catalog Record")</f>
        <v/>
      </c>
      <c r="AT510">
        <f>HYPERLINK("http://www.worldcat.org/oclc/50271417","WorldCat Record")</f>
        <v/>
      </c>
      <c r="AU510" t="inlineStr">
        <is>
          <t>2590688:eng</t>
        </is>
      </c>
      <c r="AV510" t="inlineStr">
        <is>
          <t>50271417</t>
        </is>
      </c>
      <c r="AW510" t="inlineStr">
        <is>
          <t>991004127659702656</t>
        </is>
      </c>
      <c r="AX510" t="inlineStr">
        <is>
          <t>991004127659702656</t>
        </is>
      </c>
      <c r="AY510" t="inlineStr">
        <is>
          <t>2263311870002656</t>
        </is>
      </c>
      <c r="AZ510" t="inlineStr">
        <is>
          <t>BOOK</t>
        </is>
      </c>
      <c r="BB510" t="inlineStr">
        <is>
          <t>9780300097016</t>
        </is>
      </c>
      <c r="BC510" t="inlineStr">
        <is>
          <t>32285004790084</t>
        </is>
      </c>
      <c r="BD510" t="inlineStr">
        <is>
          <t>893337353</t>
        </is>
      </c>
    </row>
    <row r="511">
      <c r="A511" t="inlineStr">
        <is>
          <t>No</t>
        </is>
      </c>
      <c r="B511" t="inlineStr">
        <is>
          <t>DS135.G33 J75 1986</t>
        </is>
      </c>
      <c r="C511" t="inlineStr">
        <is>
          <t>0                      DS 0135000G  33                 J  75          1986</t>
        </is>
      </c>
      <c r="D511" t="inlineStr">
        <is>
          <t>Die Juden im nationalsozialistischen Deutschland = The Jews in Nazi Germany, 1933-1943 / herausgegeben von Arnold Paucker, mit Sylvia Gilchrist und Barbara Suchy ; mit einem Geleitwort von Fred Grubel und einer Einleitung von Peter Pulzer.</t>
        </is>
      </c>
      <c r="F511" t="inlineStr">
        <is>
          <t>No</t>
        </is>
      </c>
      <c r="G511" t="inlineStr">
        <is>
          <t>1</t>
        </is>
      </c>
      <c r="H511" t="inlineStr">
        <is>
          <t>No</t>
        </is>
      </c>
      <c r="I511" t="inlineStr">
        <is>
          <t>No</t>
        </is>
      </c>
      <c r="J511" t="inlineStr">
        <is>
          <t>0</t>
        </is>
      </c>
      <c r="L511" t="inlineStr">
        <is>
          <t>Tübingen : J.C.B. Mohr, 1986.</t>
        </is>
      </c>
      <c r="M511" t="inlineStr">
        <is>
          <t>1986</t>
        </is>
      </c>
      <c r="O511" t="inlineStr">
        <is>
          <t>eng</t>
        </is>
      </c>
      <c r="P511" t="inlineStr">
        <is>
          <t xml:space="preserve">gw </t>
        </is>
      </c>
      <c r="Q511" t="inlineStr">
        <is>
          <t>Schriftenreihe wissenschaftlicher Abhandlungen des Leo Baeck Instituts, 0459-097X ; 45</t>
        </is>
      </c>
      <c r="R511" t="inlineStr">
        <is>
          <t xml:space="preserve">DS </t>
        </is>
      </c>
      <c r="S511" t="n">
        <v>1</v>
      </c>
      <c r="T511" t="n">
        <v>1</v>
      </c>
      <c r="U511" t="inlineStr">
        <is>
          <t>1995-02-08</t>
        </is>
      </c>
      <c r="V511" t="inlineStr">
        <is>
          <t>1995-02-08</t>
        </is>
      </c>
      <c r="W511" t="inlineStr">
        <is>
          <t>1990-10-03</t>
        </is>
      </c>
      <c r="X511" t="inlineStr">
        <is>
          <t>1990-10-03</t>
        </is>
      </c>
      <c r="Y511" t="n">
        <v>213</v>
      </c>
      <c r="Z511" t="n">
        <v>122</v>
      </c>
      <c r="AA511" t="n">
        <v>122</v>
      </c>
      <c r="AB511" t="n">
        <v>1</v>
      </c>
      <c r="AC511" t="n">
        <v>1</v>
      </c>
      <c r="AD511" t="n">
        <v>6</v>
      </c>
      <c r="AE511" t="n">
        <v>6</v>
      </c>
      <c r="AF511" t="n">
        <v>0</v>
      </c>
      <c r="AG511" t="n">
        <v>0</v>
      </c>
      <c r="AH511" t="n">
        <v>3</v>
      </c>
      <c r="AI511" t="n">
        <v>3</v>
      </c>
      <c r="AJ511" t="n">
        <v>5</v>
      </c>
      <c r="AK511" t="n">
        <v>5</v>
      </c>
      <c r="AL511" t="n">
        <v>0</v>
      </c>
      <c r="AM511" t="n">
        <v>0</v>
      </c>
      <c r="AN511" t="n">
        <v>0</v>
      </c>
      <c r="AO511" t="n">
        <v>0</v>
      </c>
      <c r="AP511" t="inlineStr">
        <is>
          <t>No</t>
        </is>
      </c>
      <c r="AQ511" t="inlineStr">
        <is>
          <t>No</t>
        </is>
      </c>
      <c r="AS511">
        <f>HYPERLINK("https://creighton-primo.hosted.exlibrisgroup.com/primo-explore/search?tab=default_tab&amp;search_scope=EVERYTHING&amp;vid=01CRU&amp;lang=en_US&amp;offset=0&amp;query=any,contains,991000974289702656","Catalog Record")</f>
        <v/>
      </c>
      <c r="AT511">
        <f>HYPERLINK("http://www.worldcat.org/oclc/14990783","WorldCat Record")</f>
        <v/>
      </c>
      <c r="AU511" t="inlineStr">
        <is>
          <t>1008475099:eng</t>
        </is>
      </c>
      <c r="AV511" t="inlineStr">
        <is>
          <t>14990783</t>
        </is>
      </c>
      <c r="AW511" t="inlineStr">
        <is>
          <t>991000974289702656</t>
        </is>
      </c>
      <c r="AX511" t="inlineStr">
        <is>
          <t>991000974289702656</t>
        </is>
      </c>
      <c r="AY511" t="inlineStr">
        <is>
          <t>2270672930002656</t>
        </is>
      </c>
      <c r="AZ511" t="inlineStr">
        <is>
          <t>BOOK</t>
        </is>
      </c>
      <c r="BB511" t="inlineStr">
        <is>
          <t>9783167451038</t>
        </is>
      </c>
      <c r="BC511" t="inlineStr">
        <is>
          <t>32285000294404</t>
        </is>
      </c>
      <c r="BD511" t="inlineStr">
        <is>
          <t>893249857</t>
        </is>
      </c>
    </row>
    <row r="512">
      <c r="A512" t="inlineStr">
        <is>
          <t>No</t>
        </is>
      </c>
      <c r="B512" t="inlineStr">
        <is>
          <t>DS135.G33 J83213 1988</t>
        </is>
      </c>
      <c r="C512" t="inlineStr">
        <is>
          <t>0                      DS 0135000G  33                 J  83213       1988</t>
        </is>
      </c>
      <c r="D512" t="inlineStr">
        <is>
          <t>Between fear &amp; hope : Jewish youth in the Third Reich / Werner T. Angress ; translated by Werner T. Angress and Christine Granger.</t>
        </is>
      </c>
      <c r="F512" t="inlineStr">
        <is>
          <t>No</t>
        </is>
      </c>
      <c r="G512" t="inlineStr">
        <is>
          <t>1</t>
        </is>
      </c>
      <c r="H512" t="inlineStr">
        <is>
          <t>No</t>
        </is>
      </c>
      <c r="I512" t="inlineStr">
        <is>
          <t>No</t>
        </is>
      </c>
      <c r="J512" t="inlineStr">
        <is>
          <t>0</t>
        </is>
      </c>
      <c r="K512" t="inlineStr">
        <is>
          <t>Angress, Werner T.</t>
        </is>
      </c>
      <c r="L512" t="inlineStr">
        <is>
          <t>New York : Columbia University Press, 1988.</t>
        </is>
      </c>
      <c r="M512" t="inlineStr">
        <is>
          <t>1988</t>
        </is>
      </c>
      <c r="O512" t="inlineStr">
        <is>
          <t>eng</t>
        </is>
      </c>
      <c r="P512" t="inlineStr">
        <is>
          <t>nyu</t>
        </is>
      </c>
      <c r="R512" t="inlineStr">
        <is>
          <t xml:space="preserve">DS </t>
        </is>
      </c>
      <c r="S512" t="n">
        <v>3</v>
      </c>
      <c r="T512" t="n">
        <v>3</v>
      </c>
      <c r="U512" t="inlineStr">
        <is>
          <t>2000-01-24</t>
        </is>
      </c>
      <c r="V512" t="inlineStr">
        <is>
          <t>2000-01-24</t>
        </is>
      </c>
      <c r="W512" t="inlineStr">
        <is>
          <t>1990-10-03</t>
        </is>
      </c>
      <c r="X512" t="inlineStr">
        <is>
          <t>1990-10-03</t>
        </is>
      </c>
      <c r="Y512" t="n">
        <v>493</v>
      </c>
      <c r="Z512" t="n">
        <v>410</v>
      </c>
      <c r="AA512" t="n">
        <v>411</v>
      </c>
      <c r="AB512" t="n">
        <v>2</v>
      </c>
      <c r="AC512" t="n">
        <v>2</v>
      </c>
      <c r="AD512" t="n">
        <v>15</v>
      </c>
      <c r="AE512" t="n">
        <v>15</v>
      </c>
      <c r="AF512" t="n">
        <v>6</v>
      </c>
      <c r="AG512" t="n">
        <v>6</v>
      </c>
      <c r="AH512" t="n">
        <v>4</v>
      </c>
      <c r="AI512" t="n">
        <v>4</v>
      </c>
      <c r="AJ512" t="n">
        <v>10</v>
      </c>
      <c r="AK512" t="n">
        <v>10</v>
      </c>
      <c r="AL512" t="n">
        <v>1</v>
      </c>
      <c r="AM512" t="n">
        <v>1</v>
      </c>
      <c r="AN512" t="n">
        <v>0</v>
      </c>
      <c r="AO512" t="n">
        <v>0</v>
      </c>
      <c r="AP512" t="inlineStr">
        <is>
          <t>No</t>
        </is>
      </c>
      <c r="AQ512" t="inlineStr">
        <is>
          <t>No</t>
        </is>
      </c>
      <c r="AS512">
        <f>HYPERLINK("https://creighton-primo.hosted.exlibrisgroup.com/primo-explore/search?tab=default_tab&amp;search_scope=EVERYTHING&amp;vid=01CRU&amp;lang=en_US&amp;offset=0&amp;query=any,contains,991001186349702656","Catalog Record")</f>
        <v/>
      </c>
      <c r="AT512">
        <f>HYPERLINK("http://www.worldcat.org/oclc/17209751","WorldCat Record")</f>
        <v/>
      </c>
      <c r="AU512" t="inlineStr">
        <is>
          <t>1061532:eng</t>
        </is>
      </c>
      <c r="AV512" t="inlineStr">
        <is>
          <t>17209751</t>
        </is>
      </c>
      <c r="AW512" t="inlineStr">
        <is>
          <t>991001186349702656</t>
        </is>
      </c>
      <c r="AX512" t="inlineStr">
        <is>
          <t>991001186349702656</t>
        </is>
      </c>
      <c r="AY512" t="inlineStr">
        <is>
          <t>2259960040002656</t>
        </is>
      </c>
      <c r="AZ512" t="inlineStr">
        <is>
          <t>BOOK</t>
        </is>
      </c>
      <c r="BB512" t="inlineStr">
        <is>
          <t>9780231065986</t>
        </is>
      </c>
      <c r="BC512" t="inlineStr">
        <is>
          <t>32285000294412</t>
        </is>
      </c>
      <c r="BD512" t="inlineStr">
        <is>
          <t>893690417</t>
        </is>
      </c>
    </row>
    <row r="513">
      <c r="A513" t="inlineStr">
        <is>
          <t>No</t>
        </is>
      </c>
      <c r="B513" t="inlineStr">
        <is>
          <t>DS135.G33 N44</t>
        </is>
      </c>
      <c r="C513" t="inlineStr">
        <is>
          <t>0                      DS 0135000G  33                 N  44</t>
        </is>
      </c>
      <c r="D513" t="inlineStr">
        <is>
          <t>The Jews in Weimar Germany / Donald L. Niewyk.</t>
        </is>
      </c>
      <c r="F513" t="inlineStr">
        <is>
          <t>No</t>
        </is>
      </c>
      <c r="G513" t="inlineStr">
        <is>
          <t>1</t>
        </is>
      </c>
      <c r="H513" t="inlineStr">
        <is>
          <t>No</t>
        </is>
      </c>
      <c r="I513" t="inlineStr">
        <is>
          <t>No</t>
        </is>
      </c>
      <c r="J513" t="inlineStr">
        <is>
          <t>0</t>
        </is>
      </c>
      <c r="K513" t="inlineStr">
        <is>
          <t>Niewyk, Donald L., 1940-</t>
        </is>
      </c>
      <c r="L513" t="inlineStr">
        <is>
          <t>Baton Rouge : Louisiana State University Press, c1980.</t>
        </is>
      </c>
      <c r="M513" t="inlineStr">
        <is>
          <t>1980</t>
        </is>
      </c>
      <c r="O513" t="inlineStr">
        <is>
          <t>eng</t>
        </is>
      </c>
      <c r="P513" t="inlineStr">
        <is>
          <t>lau</t>
        </is>
      </c>
      <c r="R513" t="inlineStr">
        <is>
          <t xml:space="preserve">DS </t>
        </is>
      </c>
      <c r="S513" t="n">
        <v>1</v>
      </c>
      <c r="T513" t="n">
        <v>1</v>
      </c>
      <c r="U513" t="inlineStr">
        <is>
          <t>2004-04-20</t>
        </is>
      </c>
      <c r="V513" t="inlineStr">
        <is>
          <t>2004-04-20</t>
        </is>
      </c>
      <c r="W513" t="inlineStr">
        <is>
          <t>1990-06-20</t>
        </is>
      </c>
      <c r="X513" t="inlineStr">
        <is>
          <t>1990-06-20</t>
        </is>
      </c>
      <c r="Y513" t="n">
        <v>613</v>
      </c>
      <c r="Z513" t="n">
        <v>508</v>
      </c>
      <c r="AA513" t="n">
        <v>577</v>
      </c>
      <c r="AB513" t="n">
        <v>4</v>
      </c>
      <c r="AC513" t="n">
        <v>5</v>
      </c>
      <c r="AD513" t="n">
        <v>25</v>
      </c>
      <c r="AE513" t="n">
        <v>29</v>
      </c>
      <c r="AF513" t="n">
        <v>9</v>
      </c>
      <c r="AG513" t="n">
        <v>10</v>
      </c>
      <c r="AH513" t="n">
        <v>6</v>
      </c>
      <c r="AI513" t="n">
        <v>7</v>
      </c>
      <c r="AJ513" t="n">
        <v>16</v>
      </c>
      <c r="AK513" t="n">
        <v>17</v>
      </c>
      <c r="AL513" t="n">
        <v>3</v>
      </c>
      <c r="AM513" t="n">
        <v>4</v>
      </c>
      <c r="AN513" t="n">
        <v>0</v>
      </c>
      <c r="AO513" t="n">
        <v>0</v>
      </c>
      <c r="AP513" t="inlineStr">
        <is>
          <t>No</t>
        </is>
      </c>
      <c r="AQ513" t="inlineStr">
        <is>
          <t>No</t>
        </is>
      </c>
      <c r="AS513">
        <f>HYPERLINK("https://creighton-primo.hosted.exlibrisgroup.com/primo-explore/search?tab=default_tab&amp;search_scope=EVERYTHING&amp;vid=01CRU&amp;lang=en_US&amp;offset=0&amp;query=any,contains,991004858139702656","Catalog Record")</f>
        <v/>
      </c>
      <c r="AT513">
        <f>HYPERLINK("http://www.worldcat.org/oclc/5676981","WorldCat Record")</f>
        <v/>
      </c>
      <c r="AU513" t="inlineStr">
        <is>
          <t>463732:eng</t>
        </is>
      </c>
      <c r="AV513" t="inlineStr">
        <is>
          <t>5676981</t>
        </is>
      </c>
      <c r="AW513" t="inlineStr">
        <is>
          <t>991004858139702656</t>
        </is>
      </c>
      <c r="AX513" t="inlineStr">
        <is>
          <t>991004858139702656</t>
        </is>
      </c>
      <c r="AY513" t="inlineStr">
        <is>
          <t>2260024540002656</t>
        </is>
      </c>
      <c r="AZ513" t="inlineStr">
        <is>
          <t>BOOK</t>
        </is>
      </c>
      <c r="BB513" t="inlineStr">
        <is>
          <t>9780807106617</t>
        </is>
      </c>
      <c r="BC513" t="inlineStr">
        <is>
          <t>32285000210236</t>
        </is>
      </c>
      <c r="BD513" t="inlineStr">
        <is>
          <t>893513749</t>
        </is>
      </c>
    </row>
    <row r="514">
      <c r="A514" t="inlineStr">
        <is>
          <t>No</t>
        </is>
      </c>
      <c r="B514" t="inlineStr">
        <is>
          <t>DS135.G33 R33</t>
        </is>
      </c>
      <c r="C514" t="inlineStr">
        <is>
          <t>0                      DS 0135000G  33                 R  33</t>
        </is>
      </c>
      <c r="D514" t="inlineStr">
        <is>
          <t>Jewish responses to anti-Semitism in Germany, 1870-1914 : a study in the history of ideas / by Sanford Ragins.</t>
        </is>
      </c>
      <c r="F514" t="inlineStr">
        <is>
          <t>No</t>
        </is>
      </c>
      <c r="G514" t="inlineStr">
        <is>
          <t>1</t>
        </is>
      </c>
      <c r="H514" t="inlineStr">
        <is>
          <t>No</t>
        </is>
      </c>
      <c r="I514" t="inlineStr">
        <is>
          <t>No</t>
        </is>
      </c>
      <c r="J514" t="inlineStr">
        <is>
          <t>0</t>
        </is>
      </c>
      <c r="K514" t="inlineStr">
        <is>
          <t>Ragins, Sanford.</t>
        </is>
      </c>
      <c r="L514" t="inlineStr">
        <is>
          <t>Cincinnati, Ohio : Hebrew Union College Press, 1980.</t>
        </is>
      </c>
      <c r="M514" t="inlineStr">
        <is>
          <t>1980</t>
        </is>
      </c>
      <c r="O514" t="inlineStr">
        <is>
          <t>eng</t>
        </is>
      </c>
      <c r="P514" t="inlineStr">
        <is>
          <t>ohu</t>
        </is>
      </c>
      <c r="Q514" t="inlineStr">
        <is>
          <t>Alumni series of the Hebrew Union College Press, 0192-2904</t>
        </is>
      </c>
      <c r="R514" t="inlineStr">
        <is>
          <t xml:space="preserve">DS </t>
        </is>
      </c>
      <c r="S514" t="n">
        <v>1</v>
      </c>
      <c r="T514" t="n">
        <v>1</v>
      </c>
      <c r="U514" t="inlineStr">
        <is>
          <t>1992-10-13</t>
        </is>
      </c>
      <c r="V514" t="inlineStr">
        <is>
          <t>1992-10-13</t>
        </is>
      </c>
      <c r="W514" t="inlineStr">
        <is>
          <t>1990-10-03</t>
        </is>
      </c>
      <c r="X514" t="inlineStr">
        <is>
          <t>1990-10-03</t>
        </is>
      </c>
      <c r="Y514" t="n">
        <v>296</v>
      </c>
      <c r="Z514" t="n">
        <v>238</v>
      </c>
      <c r="AA514" t="n">
        <v>274</v>
      </c>
      <c r="AB514" t="n">
        <v>2</v>
      </c>
      <c r="AC514" t="n">
        <v>2</v>
      </c>
      <c r="AD514" t="n">
        <v>15</v>
      </c>
      <c r="AE514" t="n">
        <v>18</v>
      </c>
      <c r="AF514" t="n">
        <v>4</v>
      </c>
      <c r="AG514" t="n">
        <v>7</v>
      </c>
      <c r="AH514" t="n">
        <v>5</v>
      </c>
      <c r="AI514" t="n">
        <v>6</v>
      </c>
      <c r="AJ514" t="n">
        <v>11</v>
      </c>
      <c r="AK514" t="n">
        <v>11</v>
      </c>
      <c r="AL514" t="n">
        <v>1</v>
      </c>
      <c r="AM514" t="n">
        <v>1</v>
      </c>
      <c r="AN514" t="n">
        <v>0</v>
      </c>
      <c r="AO514" t="n">
        <v>0</v>
      </c>
      <c r="AP514" t="inlineStr">
        <is>
          <t>No</t>
        </is>
      </c>
      <c r="AQ514" t="inlineStr">
        <is>
          <t>No</t>
        </is>
      </c>
      <c r="AS514">
        <f>HYPERLINK("https://creighton-primo.hosted.exlibrisgroup.com/primo-explore/search?tab=default_tab&amp;search_scope=EVERYTHING&amp;vid=01CRU&amp;lang=en_US&amp;offset=0&amp;query=any,contains,991004942499702656","Catalog Record")</f>
        <v/>
      </c>
      <c r="AT514">
        <f>HYPERLINK("http://www.worldcat.org/oclc/6195036","WorldCat Record")</f>
        <v/>
      </c>
      <c r="AU514" t="inlineStr">
        <is>
          <t>21771132:eng</t>
        </is>
      </c>
      <c r="AV514" t="inlineStr">
        <is>
          <t>6195036</t>
        </is>
      </c>
      <c r="AW514" t="inlineStr">
        <is>
          <t>991004942499702656</t>
        </is>
      </c>
      <c r="AX514" t="inlineStr">
        <is>
          <t>991004942499702656</t>
        </is>
      </c>
      <c r="AY514" t="inlineStr">
        <is>
          <t>2265659800002656</t>
        </is>
      </c>
      <c r="AZ514" t="inlineStr">
        <is>
          <t>BOOK</t>
        </is>
      </c>
      <c r="BB514" t="inlineStr">
        <is>
          <t>9780878201150</t>
        </is>
      </c>
      <c r="BC514" t="inlineStr">
        <is>
          <t>32285000294446</t>
        </is>
      </c>
      <c r="BD514" t="inlineStr">
        <is>
          <t>893713245</t>
        </is>
      </c>
    </row>
    <row r="515">
      <c r="A515" t="inlineStr">
        <is>
          <t>No</t>
        </is>
      </c>
      <c r="B515" t="inlineStr">
        <is>
          <t>DS135.G33 R433 1989</t>
        </is>
      </c>
      <c r="C515" t="inlineStr">
        <is>
          <t>0                      DS 0135000G  33                 R  433         1989</t>
        </is>
      </c>
      <c r="D515" t="inlineStr">
        <is>
          <t>Kristallnacht : the Nazi night of terror / Anthony Read and David Fisher.</t>
        </is>
      </c>
      <c r="F515" t="inlineStr">
        <is>
          <t>No</t>
        </is>
      </c>
      <c r="G515" t="inlineStr">
        <is>
          <t>1</t>
        </is>
      </c>
      <c r="H515" t="inlineStr">
        <is>
          <t>No</t>
        </is>
      </c>
      <c r="I515" t="inlineStr">
        <is>
          <t>No</t>
        </is>
      </c>
      <c r="J515" t="inlineStr">
        <is>
          <t>0</t>
        </is>
      </c>
      <c r="K515" t="inlineStr">
        <is>
          <t>Read, Anthony.</t>
        </is>
      </c>
      <c r="L515" t="inlineStr">
        <is>
          <t>New York : Times Books, a division of Random House, 1989.</t>
        </is>
      </c>
      <c r="M515" t="inlineStr">
        <is>
          <t>1989</t>
        </is>
      </c>
      <c r="O515" t="inlineStr">
        <is>
          <t>eng</t>
        </is>
      </c>
      <c r="P515" t="inlineStr">
        <is>
          <t>nyu</t>
        </is>
      </c>
      <c r="R515" t="inlineStr">
        <is>
          <t xml:space="preserve">DS </t>
        </is>
      </c>
      <c r="S515" t="n">
        <v>10</v>
      </c>
      <c r="T515" t="n">
        <v>10</v>
      </c>
      <c r="U515" t="inlineStr">
        <is>
          <t>2001-04-02</t>
        </is>
      </c>
      <c r="V515" t="inlineStr">
        <is>
          <t>2001-04-02</t>
        </is>
      </c>
      <c r="W515" t="inlineStr">
        <is>
          <t>1990-03-16</t>
        </is>
      </c>
      <c r="X515" t="inlineStr">
        <is>
          <t>1990-03-16</t>
        </is>
      </c>
      <c r="Y515" t="n">
        <v>913</v>
      </c>
      <c r="Z515" t="n">
        <v>868</v>
      </c>
      <c r="AA515" t="n">
        <v>901</v>
      </c>
      <c r="AB515" t="n">
        <v>5</v>
      </c>
      <c r="AC515" t="n">
        <v>5</v>
      </c>
      <c r="AD515" t="n">
        <v>16</v>
      </c>
      <c r="AE515" t="n">
        <v>16</v>
      </c>
      <c r="AF515" t="n">
        <v>7</v>
      </c>
      <c r="AG515" t="n">
        <v>7</v>
      </c>
      <c r="AH515" t="n">
        <v>3</v>
      </c>
      <c r="AI515" t="n">
        <v>3</v>
      </c>
      <c r="AJ515" t="n">
        <v>7</v>
      </c>
      <c r="AK515" t="n">
        <v>7</v>
      </c>
      <c r="AL515" t="n">
        <v>2</v>
      </c>
      <c r="AM515" t="n">
        <v>2</v>
      </c>
      <c r="AN515" t="n">
        <v>0</v>
      </c>
      <c r="AO515" t="n">
        <v>0</v>
      </c>
      <c r="AP515" t="inlineStr">
        <is>
          <t>No</t>
        </is>
      </c>
      <c r="AQ515" t="inlineStr">
        <is>
          <t>No</t>
        </is>
      </c>
      <c r="AS515">
        <f>HYPERLINK("https://creighton-primo.hosted.exlibrisgroup.com/primo-explore/search?tab=default_tab&amp;search_scope=EVERYTHING&amp;vid=01CRU&amp;lang=en_US&amp;offset=0&amp;query=any,contains,991001502059702656","Catalog Record")</f>
        <v/>
      </c>
      <c r="AT515">
        <f>HYPERLINK("http://www.worldcat.org/oclc/19811498","WorldCat Record")</f>
        <v/>
      </c>
      <c r="AU515" t="inlineStr">
        <is>
          <t>3856322880:eng</t>
        </is>
      </c>
      <c r="AV515" t="inlineStr">
        <is>
          <t>19811498</t>
        </is>
      </c>
      <c r="AW515" t="inlineStr">
        <is>
          <t>991001502059702656</t>
        </is>
      </c>
      <c r="AX515" t="inlineStr">
        <is>
          <t>991001502059702656</t>
        </is>
      </c>
      <c r="AY515" t="inlineStr">
        <is>
          <t>2262576140002656</t>
        </is>
      </c>
      <c r="AZ515" t="inlineStr">
        <is>
          <t>BOOK</t>
        </is>
      </c>
      <c r="BB515" t="inlineStr">
        <is>
          <t>9780812917239</t>
        </is>
      </c>
      <c r="BC515" t="inlineStr">
        <is>
          <t>32285000064062</t>
        </is>
      </c>
      <c r="BD515" t="inlineStr">
        <is>
          <t>893778839</t>
        </is>
      </c>
    </row>
    <row r="516">
      <c r="A516" t="inlineStr">
        <is>
          <t>No</t>
        </is>
      </c>
      <c r="B516" t="inlineStr">
        <is>
          <t>DS135.G33 R53 2001</t>
        </is>
      </c>
      <c r="C516" t="inlineStr">
        <is>
          <t>0                      DS 0135000G  33                 R  53          2001</t>
        </is>
      </c>
      <c r="D516" t="inlineStr">
        <is>
          <t>The 'Jewish question' in German literature, 1749-1939 : emancipation and its discontents / Ritchie Robertson.</t>
        </is>
      </c>
      <c r="F516" t="inlineStr">
        <is>
          <t>No</t>
        </is>
      </c>
      <c r="G516" t="inlineStr">
        <is>
          <t>1</t>
        </is>
      </c>
      <c r="H516" t="inlineStr">
        <is>
          <t>No</t>
        </is>
      </c>
      <c r="I516" t="inlineStr">
        <is>
          <t>No</t>
        </is>
      </c>
      <c r="J516" t="inlineStr">
        <is>
          <t>0</t>
        </is>
      </c>
      <c r="K516" t="inlineStr">
        <is>
          <t>Robertson, Ritchie.</t>
        </is>
      </c>
      <c r="L516" t="inlineStr">
        <is>
          <t>Oxford : Oxford University Press, 2001.</t>
        </is>
      </c>
      <c r="M516" t="inlineStr">
        <is>
          <t>2001</t>
        </is>
      </c>
      <c r="O516" t="inlineStr">
        <is>
          <t>eng</t>
        </is>
      </c>
      <c r="P516" t="inlineStr">
        <is>
          <t>enk</t>
        </is>
      </c>
      <c r="R516" t="inlineStr">
        <is>
          <t xml:space="preserve">DS </t>
        </is>
      </c>
      <c r="S516" t="n">
        <v>1</v>
      </c>
      <c r="T516" t="n">
        <v>1</v>
      </c>
      <c r="U516" t="inlineStr">
        <is>
          <t>2004-03-30</t>
        </is>
      </c>
      <c r="V516" t="inlineStr">
        <is>
          <t>2004-03-30</t>
        </is>
      </c>
      <c r="W516" t="inlineStr">
        <is>
          <t>2004-03-30</t>
        </is>
      </c>
      <c r="X516" t="inlineStr">
        <is>
          <t>2004-03-30</t>
        </is>
      </c>
      <c r="Y516" t="n">
        <v>21</v>
      </c>
      <c r="Z516" t="n">
        <v>10</v>
      </c>
      <c r="AA516" t="n">
        <v>375</v>
      </c>
      <c r="AB516" t="n">
        <v>1</v>
      </c>
      <c r="AC516" t="n">
        <v>2</v>
      </c>
      <c r="AD516" t="n">
        <v>0</v>
      </c>
      <c r="AE516" t="n">
        <v>28</v>
      </c>
      <c r="AF516" t="n">
        <v>0</v>
      </c>
      <c r="AG516" t="n">
        <v>11</v>
      </c>
      <c r="AH516" t="n">
        <v>0</v>
      </c>
      <c r="AI516" t="n">
        <v>9</v>
      </c>
      <c r="AJ516" t="n">
        <v>0</v>
      </c>
      <c r="AK516" t="n">
        <v>15</v>
      </c>
      <c r="AL516" t="n">
        <v>0</v>
      </c>
      <c r="AM516" t="n">
        <v>1</v>
      </c>
      <c r="AN516" t="n">
        <v>0</v>
      </c>
      <c r="AO516" t="n">
        <v>1</v>
      </c>
      <c r="AP516" t="inlineStr">
        <is>
          <t>No</t>
        </is>
      </c>
      <c r="AQ516" t="inlineStr">
        <is>
          <t>No</t>
        </is>
      </c>
      <c r="AS516">
        <f>HYPERLINK("https://creighton-primo.hosted.exlibrisgroup.com/primo-explore/search?tab=default_tab&amp;search_scope=EVERYTHING&amp;vid=01CRU&amp;lang=en_US&amp;offset=0&amp;query=any,contains,991004264559702656","Catalog Record")</f>
        <v/>
      </c>
      <c r="AT516">
        <f>HYPERLINK("http://www.worldcat.org/oclc/47824746","WorldCat Record")</f>
        <v/>
      </c>
      <c r="AU516" t="inlineStr">
        <is>
          <t>806650027:eng</t>
        </is>
      </c>
      <c r="AV516" t="inlineStr">
        <is>
          <t>47824746</t>
        </is>
      </c>
      <c r="AW516" t="inlineStr">
        <is>
          <t>991004264559702656</t>
        </is>
      </c>
      <c r="AX516" t="inlineStr">
        <is>
          <t>991004264559702656</t>
        </is>
      </c>
      <c r="AY516" t="inlineStr">
        <is>
          <t>2262977420002656</t>
        </is>
      </c>
      <c r="AZ516" t="inlineStr">
        <is>
          <t>BOOK</t>
        </is>
      </c>
      <c r="BB516" t="inlineStr">
        <is>
          <t>9780199248889</t>
        </is>
      </c>
      <c r="BC516" t="inlineStr">
        <is>
          <t>32285004898077</t>
        </is>
      </c>
      <c r="BD516" t="inlineStr">
        <is>
          <t>893869508</t>
        </is>
      </c>
    </row>
    <row r="517">
      <c r="A517" t="inlineStr">
        <is>
          <t>No</t>
        </is>
      </c>
      <c r="B517" t="inlineStr">
        <is>
          <t>DS135.G3315 G45 1990</t>
        </is>
      </c>
      <c r="C517" t="inlineStr">
        <is>
          <t>0                      DS 0135000G  3315               G  45          1990</t>
        </is>
      </c>
      <c r="D517" t="inlineStr">
        <is>
          <t>The Gestapo and German society : enforcing racial policy, 1933-1945 / Robert Gellately.</t>
        </is>
      </c>
      <c r="F517" t="inlineStr">
        <is>
          <t>No</t>
        </is>
      </c>
      <c r="G517" t="inlineStr">
        <is>
          <t>1</t>
        </is>
      </c>
      <c r="H517" t="inlineStr">
        <is>
          <t>No</t>
        </is>
      </c>
      <c r="I517" t="inlineStr">
        <is>
          <t>No</t>
        </is>
      </c>
      <c r="J517" t="inlineStr">
        <is>
          <t>0</t>
        </is>
      </c>
      <c r="K517" t="inlineStr">
        <is>
          <t>Gellately, Robert, 1943-</t>
        </is>
      </c>
      <c r="L517" t="inlineStr">
        <is>
          <t>Oxford : Clarendon Press ; New York : Oxford University Press, 1990.</t>
        </is>
      </c>
      <c r="M517" t="inlineStr">
        <is>
          <t>1990</t>
        </is>
      </c>
      <c r="O517" t="inlineStr">
        <is>
          <t>eng</t>
        </is>
      </c>
      <c r="P517" t="inlineStr">
        <is>
          <t>enk</t>
        </is>
      </c>
      <c r="R517" t="inlineStr">
        <is>
          <t xml:space="preserve">DS </t>
        </is>
      </c>
      <c r="S517" t="n">
        <v>12</v>
      </c>
      <c r="T517" t="n">
        <v>12</v>
      </c>
      <c r="U517" t="inlineStr">
        <is>
          <t>2002-03-25</t>
        </is>
      </c>
      <c r="V517" t="inlineStr">
        <is>
          <t>2002-03-25</t>
        </is>
      </c>
      <c r="W517" t="inlineStr">
        <is>
          <t>1991-07-25</t>
        </is>
      </c>
      <c r="X517" t="inlineStr">
        <is>
          <t>1991-07-25</t>
        </is>
      </c>
      <c r="Y517" t="n">
        <v>712</v>
      </c>
      <c r="Z517" t="n">
        <v>542</v>
      </c>
      <c r="AA517" t="n">
        <v>676</v>
      </c>
      <c r="AB517" t="n">
        <v>4</v>
      </c>
      <c r="AC517" t="n">
        <v>5</v>
      </c>
      <c r="AD517" t="n">
        <v>34</v>
      </c>
      <c r="AE517" t="n">
        <v>42</v>
      </c>
      <c r="AF517" t="n">
        <v>17</v>
      </c>
      <c r="AG517" t="n">
        <v>20</v>
      </c>
      <c r="AH517" t="n">
        <v>8</v>
      </c>
      <c r="AI517" t="n">
        <v>10</v>
      </c>
      <c r="AJ517" t="n">
        <v>17</v>
      </c>
      <c r="AK517" t="n">
        <v>20</v>
      </c>
      <c r="AL517" t="n">
        <v>3</v>
      </c>
      <c r="AM517" t="n">
        <v>4</v>
      </c>
      <c r="AN517" t="n">
        <v>2</v>
      </c>
      <c r="AO517" t="n">
        <v>2</v>
      </c>
      <c r="AP517" t="inlineStr">
        <is>
          <t>No</t>
        </is>
      </c>
      <c r="AQ517" t="inlineStr">
        <is>
          <t>No</t>
        </is>
      </c>
      <c r="AS517">
        <f>HYPERLINK("https://creighton-primo.hosted.exlibrisgroup.com/primo-explore/search?tab=default_tab&amp;search_scope=EVERYTHING&amp;vid=01CRU&amp;lang=en_US&amp;offset=0&amp;query=any,contains,991001600889702656","Catalog Record")</f>
        <v/>
      </c>
      <c r="AT517">
        <f>HYPERLINK("http://www.worldcat.org/oclc/20670549","WorldCat Record")</f>
        <v/>
      </c>
      <c r="AU517" t="inlineStr">
        <is>
          <t>808724494:eng</t>
        </is>
      </c>
      <c r="AV517" t="inlineStr">
        <is>
          <t>20670549</t>
        </is>
      </c>
      <c r="AW517" t="inlineStr">
        <is>
          <t>991001600889702656</t>
        </is>
      </c>
      <c r="AX517" t="inlineStr">
        <is>
          <t>991001600889702656</t>
        </is>
      </c>
      <c r="AY517" t="inlineStr">
        <is>
          <t>2259707200002656</t>
        </is>
      </c>
      <c r="AZ517" t="inlineStr">
        <is>
          <t>BOOK</t>
        </is>
      </c>
      <c r="BB517" t="inlineStr">
        <is>
          <t>9780198228691</t>
        </is>
      </c>
      <c r="BC517" t="inlineStr">
        <is>
          <t>32285000662121</t>
        </is>
      </c>
      <c r="BD517" t="inlineStr">
        <is>
          <t>893315882</t>
        </is>
      </c>
    </row>
    <row r="518">
      <c r="A518" t="inlineStr">
        <is>
          <t>No</t>
        </is>
      </c>
      <c r="B518" t="inlineStr">
        <is>
          <t>DS135.G3315 K37 1998</t>
        </is>
      </c>
      <c r="C518" t="inlineStr">
        <is>
          <t>0                      DS 0135000G  3315               K  37          1998</t>
        </is>
      </c>
      <c r="D518" t="inlineStr">
        <is>
          <t>Between dignity and despair : Jewish life in Nazi Germany / Marion A. Kaplan.</t>
        </is>
      </c>
      <c r="F518" t="inlineStr">
        <is>
          <t>No</t>
        </is>
      </c>
      <c r="G518" t="inlineStr">
        <is>
          <t>1</t>
        </is>
      </c>
      <c r="H518" t="inlineStr">
        <is>
          <t>No</t>
        </is>
      </c>
      <c r="I518" t="inlineStr">
        <is>
          <t>No</t>
        </is>
      </c>
      <c r="J518" t="inlineStr">
        <is>
          <t>0</t>
        </is>
      </c>
      <c r="K518" t="inlineStr">
        <is>
          <t>Kaplan, Marion A.</t>
        </is>
      </c>
      <c r="L518" t="inlineStr">
        <is>
          <t>New York : Oxford University Press, 1998.</t>
        </is>
      </c>
      <c r="M518" t="inlineStr">
        <is>
          <t>1998</t>
        </is>
      </c>
      <c r="O518" t="inlineStr">
        <is>
          <t>eng</t>
        </is>
      </c>
      <c r="P518" t="inlineStr">
        <is>
          <t>nyu</t>
        </is>
      </c>
      <c r="Q518" t="inlineStr">
        <is>
          <t>Studies in Jewish history</t>
        </is>
      </c>
      <c r="R518" t="inlineStr">
        <is>
          <t xml:space="preserve">DS </t>
        </is>
      </c>
      <c r="S518" t="n">
        <v>4</v>
      </c>
      <c r="T518" t="n">
        <v>4</v>
      </c>
      <c r="U518" t="inlineStr">
        <is>
          <t>1999-03-23</t>
        </is>
      </c>
      <c r="V518" t="inlineStr">
        <is>
          <t>1999-03-23</t>
        </is>
      </c>
      <c r="W518" t="inlineStr">
        <is>
          <t>1998-06-23</t>
        </is>
      </c>
      <c r="X518" t="inlineStr">
        <is>
          <t>1998-06-23</t>
        </is>
      </c>
      <c r="Y518" t="n">
        <v>1116</v>
      </c>
      <c r="Z518" t="n">
        <v>956</v>
      </c>
      <c r="AA518" t="n">
        <v>1156</v>
      </c>
      <c r="AB518" t="n">
        <v>6</v>
      </c>
      <c r="AC518" t="n">
        <v>8</v>
      </c>
      <c r="AD518" t="n">
        <v>42</v>
      </c>
      <c r="AE518" t="n">
        <v>45</v>
      </c>
      <c r="AF518" t="n">
        <v>20</v>
      </c>
      <c r="AG518" t="n">
        <v>20</v>
      </c>
      <c r="AH518" t="n">
        <v>10</v>
      </c>
      <c r="AI518" t="n">
        <v>10</v>
      </c>
      <c r="AJ518" t="n">
        <v>21</v>
      </c>
      <c r="AK518" t="n">
        <v>22</v>
      </c>
      <c r="AL518" t="n">
        <v>4</v>
      </c>
      <c r="AM518" t="n">
        <v>6</v>
      </c>
      <c r="AN518" t="n">
        <v>0</v>
      </c>
      <c r="AO518" t="n">
        <v>0</v>
      </c>
      <c r="AP518" t="inlineStr">
        <is>
          <t>No</t>
        </is>
      </c>
      <c r="AQ518" t="inlineStr">
        <is>
          <t>Yes</t>
        </is>
      </c>
      <c r="AR518">
        <f>HYPERLINK("http://catalog.hathitrust.org/Record/004567282","HathiTrust Record")</f>
        <v/>
      </c>
      <c r="AS518">
        <f>HYPERLINK("https://creighton-primo.hosted.exlibrisgroup.com/primo-explore/search?tab=default_tab&amp;search_scope=EVERYTHING&amp;vid=01CRU&amp;lang=en_US&amp;offset=0&amp;query=any,contains,991002885609702656","Catalog Record")</f>
        <v/>
      </c>
      <c r="AT518">
        <f>HYPERLINK("http://www.worldcat.org/oclc/38024075","WorldCat Record")</f>
        <v/>
      </c>
      <c r="AU518" t="inlineStr">
        <is>
          <t>796438317:eng</t>
        </is>
      </c>
      <c r="AV518" t="inlineStr">
        <is>
          <t>38024075</t>
        </is>
      </c>
      <c r="AW518" t="inlineStr">
        <is>
          <t>991002885609702656</t>
        </is>
      </c>
      <c r="AX518" t="inlineStr">
        <is>
          <t>991002885609702656</t>
        </is>
      </c>
      <c r="AY518" t="inlineStr">
        <is>
          <t>2261879660002656</t>
        </is>
      </c>
      <c r="AZ518" t="inlineStr">
        <is>
          <t>BOOK</t>
        </is>
      </c>
      <c r="BB518" t="inlineStr">
        <is>
          <t>9780195115314</t>
        </is>
      </c>
      <c r="BC518" t="inlineStr">
        <is>
          <t>32285003423125</t>
        </is>
      </c>
      <c r="BD518" t="inlineStr">
        <is>
          <t>893610423</t>
        </is>
      </c>
    </row>
    <row r="519">
      <c r="A519" t="inlineStr">
        <is>
          <t>No</t>
        </is>
      </c>
      <c r="B519" t="inlineStr">
        <is>
          <t>DS135.G332 B3813 1997</t>
        </is>
      </c>
      <c r="C519" t="inlineStr">
        <is>
          <t>0                      DS 0135000G  332                B  3813        1997</t>
        </is>
      </c>
      <c r="D519" t="inlineStr">
        <is>
          <t>Kibbutz Buchenwald : survivors and pioneers / Judith Tydor Baumel.</t>
        </is>
      </c>
      <c r="F519" t="inlineStr">
        <is>
          <t>No</t>
        </is>
      </c>
      <c r="G519" t="inlineStr">
        <is>
          <t>1</t>
        </is>
      </c>
      <c r="H519" t="inlineStr">
        <is>
          <t>No</t>
        </is>
      </c>
      <c r="I519" t="inlineStr">
        <is>
          <t>No</t>
        </is>
      </c>
      <c r="J519" t="inlineStr">
        <is>
          <t>0</t>
        </is>
      </c>
      <c r="K519" t="inlineStr">
        <is>
          <t>Baumel-Schwartz, Judith Tydor, 1959-</t>
        </is>
      </c>
      <c r="L519" t="inlineStr">
        <is>
          <t>New Brunswick, N.J. : Rutgers University Press, c1997.</t>
        </is>
      </c>
      <c r="M519" t="inlineStr">
        <is>
          <t>1997</t>
        </is>
      </c>
      <c r="O519" t="inlineStr">
        <is>
          <t>eng</t>
        </is>
      </c>
      <c r="P519" t="inlineStr">
        <is>
          <t>nju</t>
        </is>
      </c>
      <c r="R519" t="inlineStr">
        <is>
          <t xml:space="preserve">DS </t>
        </is>
      </c>
      <c r="S519" t="n">
        <v>1</v>
      </c>
      <c r="T519" t="n">
        <v>1</v>
      </c>
      <c r="U519" t="inlineStr">
        <is>
          <t>2000-11-24</t>
        </is>
      </c>
      <c r="V519" t="inlineStr">
        <is>
          <t>2000-11-24</t>
        </is>
      </c>
      <c r="W519" t="inlineStr">
        <is>
          <t>1997-04-01</t>
        </is>
      </c>
      <c r="X519" t="inlineStr">
        <is>
          <t>1997-04-01</t>
        </is>
      </c>
      <c r="Y519" t="n">
        <v>344</v>
      </c>
      <c r="Z519" t="n">
        <v>311</v>
      </c>
      <c r="AA519" t="n">
        <v>312</v>
      </c>
      <c r="AB519" t="n">
        <v>4</v>
      </c>
      <c r="AC519" t="n">
        <v>4</v>
      </c>
      <c r="AD519" t="n">
        <v>17</v>
      </c>
      <c r="AE519" t="n">
        <v>17</v>
      </c>
      <c r="AF519" t="n">
        <v>5</v>
      </c>
      <c r="AG519" t="n">
        <v>5</v>
      </c>
      <c r="AH519" t="n">
        <v>4</v>
      </c>
      <c r="AI519" t="n">
        <v>4</v>
      </c>
      <c r="AJ519" t="n">
        <v>9</v>
      </c>
      <c r="AK519" t="n">
        <v>9</v>
      </c>
      <c r="AL519" t="n">
        <v>3</v>
      </c>
      <c r="AM519" t="n">
        <v>3</v>
      </c>
      <c r="AN519" t="n">
        <v>0</v>
      </c>
      <c r="AO519" t="n">
        <v>0</v>
      </c>
      <c r="AP519" t="inlineStr">
        <is>
          <t>No</t>
        </is>
      </c>
      <c r="AQ519" t="inlineStr">
        <is>
          <t>No</t>
        </is>
      </c>
      <c r="AS519">
        <f>HYPERLINK("https://creighton-primo.hosted.exlibrisgroup.com/primo-explore/search?tab=default_tab&amp;search_scope=EVERYTHING&amp;vid=01CRU&amp;lang=en_US&amp;offset=0&amp;query=any,contains,991002643579702656","Catalog Record")</f>
        <v/>
      </c>
      <c r="AT519">
        <f>HYPERLINK("http://www.worldcat.org/oclc/34598180","WorldCat Record")</f>
        <v/>
      </c>
      <c r="AU519" t="inlineStr">
        <is>
          <t>293391531:eng</t>
        </is>
      </c>
      <c r="AV519" t="inlineStr">
        <is>
          <t>34598180</t>
        </is>
      </c>
      <c r="AW519" t="inlineStr">
        <is>
          <t>991002643579702656</t>
        </is>
      </c>
      <c r="AX519" t="inlineStr">
        <is>
          <t>991002643579702656</t>
        </is>
      </c>
      <c r="AY519" t="inlineStr">
        <is>
          <t>2268711790002656</t>
        </is>
      </c>
      <c r="AZ519" t="inlineStr">
        <is>
          <t>BOOK</t>
        </is>
      </c>
      <c r="BB519" t="inlineStr">
        <is>
          <t>9780813523361</t>
        </is>
      </c>
      <c r="BC519" t="inlineStr">
        <is>
          <t>32285002477460</t>
        </is>
      </c>
      <c r="BD519" t="inlineStr">
        <is>
          <t>893886524</t>
        </is>
      </c>
    </row>
    <row r="520">
      <c r="A520" t="inlineStr">
        <is>
          <t>No</t>
        </is>
      </c>
      <c r="B520" t="inlineStr">
        <is>
          <t>DS135.G332 F69 1999</t>
        </is>
      </c>
      <c r="C520" t="inlineStr">
        <is>
          <t>0                      DS 0135000G  332                F  69          1999</t>
        </is>
      </c>
      <c r="D520" t="inlineStr">
        <is>
          <t>Stated memory : East Germany and the Holocaust / Thomas C. Fox.</t>
        </is>
      </c>
      <c r="F520" t="inlineStr">
        <is>
          <t>No</t>
        </is>
      </c>
      <c r="G520" t="inlineStr">
        <is>
          <t>1</t>
        </is>
      </c>
      <c r="H520" t="inlineStr">
        <is>
          <t>No</t>
        </is>
      </c>
      <c r="I520" t="inlineStr">
        <is>
          <t>No</t>
        </is>
      </c>
      <c r="J520" t="inlineStr">
        <is>
          <t>0</t>
        </is>
      </c>
      <c r="K520" t="inlineStr">
        <is>
          <t>Fox, Thomas C.</t>
        </is>
      </c>
      <c r="L520" t="inlineStr">
        <is>
          <t>Rochester, NY : Camden House, 1999.</t>
        </is>
      </c>
      <c r="M520" t="inlineStr">
        <is>
          <t>1999</t>
        </is>
      </c>
      <c r="O520" t="inlineStr">
        <is>
          <t>eng</t>
        </is>
      </c>
      <c r="P520" t="inlineStr">
        <is>
          <t>nyu</t>
        </is>
      </c>
      <c r="Q520" t="inlineStr">
        <is>
          <t>Studies in German literature, linguistics, and culture</t>
        </is>
      </c>
      <c r="R520" t="inlineStr">
        <is>
          <t xml:space="preserve">DS </t>
        </is>
      </c>
      <c r="S520" t="n">
        <v>1</v>
      </c>
      <c r="T520" t="n">
        <v>1</v>
      </c>
      <c r="U520" t="inlineStr">
        <is>
          <t>2003-05-12</t>
        </is>
      </c>
      <c r="V520" t="inlineStr">
        <is>
          <t>2003-05-12</t>
        </is>
      </c>
      <c r="W520" t="inlineStr">
        <is>
          <t>2003-05-12</t>
        </is>
      </c>
      <c r="X520" t="inlineStr">
        <is>
          <t>2003-05-12</t>
        </is>
      </c>
      <c r="Y520" t="n">
        <v>391</v>
      </c>
      <c r="Z520" t="n">
        <v>307</v>
      </c>
      <c r="AA520" t="n">
        <v>309</v>
      </c>
      <c r="AB520" t="n">
        <v>3</v>
      </c>
      <c r="AC520" t="n">
        <v>3</v>
      </c>
      <c r="AD520" t="n">
        <v>16</v>
      </c>
      <c r="AE520" t="n">
        <v>16</v>
      </c>
      <c r="AF520" t="n">
        <v>3</v>
      </c>
      <c r="AG520" t="n">
        <v>3</v>
      </c>
      <c r="AH520" t="n">
        <v>5</v>
      </c>
      <c r="AI520" t="n">
        <v>5</v>
      </c>
      <c r="AJ520" t="n">
        <v>10</v>
      </c>
      <c r="AK520" t="n">
        <v>10</v>
      </c>
      <c r="AL520" t="n">
        <v>2</v>
      </c>
      <c r="AM520" t="n">
        <v>2</v>
      </c>
      <c r="AN520" t="n">
        <v>0</v>
      </c>
      <c r="AO520" t="n">
        <v>0</v>
      </c>
      <c r="AP520" t="inlineStr">
        <is>
          <t>No</t>
        </is>
      </c>
      <c r="AQ520" t="inlineStr">
        <is>
          <t>No</t>
        </is>
      </c>
      <c r="AS520">
        <f>HYPERLINK("https://creighton-primo.hosted.exlibrisgroup.com/primo-explore/search?tab=default_tab&amp;search_scope=EVERYTHING&amp;vid=01CRU&amp;lang=en_US&amp;offset=0&amp;query=any,contains,991004011309702656","Catalog Record")</f>
        <v/>
      </c>
      <c r="AT520">
        <f>HYPERLINK("http://www.worldcat.org/oclc/39505727","WorldCat Record")</f>
        <v/>
      </c>
      <c r="AU520" t="inlineStr">
        <is>
          <t>365019130:eng</t>
        </is>
      </c>
      <c r="AV520" t="inlineStr">
        <is>
          <t>39505727</t>
        </is>
      </c>
      <c r="AW520" t="inlineStr">
        <is>
          <t>991004011309702656</t>
        </is>
      </c>
      <c r="AX520" t="inlineStr">
        <is>
          <t>991004011309702656</t>
        </is>
      </c>
      <c r="AY520" t="inlineStr">
        <is>
          <t>2266100690002656</t>
        </is>
      </c>
      <c r="AZ520" t="inlineStr">
        <is>
          <t>BOOK</t>
        </is>
      </c>
      <c r="BB520" t="inlineStr">
        <is>
          <t>9781571131294</t>
        </is>
      </c>
      <c r="BC520" t="inlineStr">
        <is>
          <t>32285004745732</t>
        </is>
      </c>
      <c r="BD520" t="inlineStr">
        <is>
          <t>893705905</t>
        </is>
      </c>
    </row>
    <row r="521">
      <c r="A521" t="inlineStr">
        <is>
          <t>No</t>
        </is>
      </c>
      <c r="B521" t="inlineStr">
        <is>
          <t>DS135.G332 G39 2005</t>
        </is>
      </c>
      <c r="C521" t="inlineStr">
        <is>
          <t>0                      DS 0135000G  332                G  39          2005</t>
        </is>
      </c>
      <c r="D521" t="inlineStr">
        <is>
          <t>Jews in post-Holocaust Germany, 1945-1953 / Jay Howard Geller.</t>
        </is>
      </c>
      <c r="F521" t="inlineStr">
        <is>
          <t>No</t>
        </is>
      </c>
      <c r="G521" t="inlineStr">
        <is>
          <t>1</t>
        </is>
      </c>
      <c r="H521" t="inlineStr">
        <is>
          <t>No</t>
        </is>
      </c>
      <c r="I521" t="inlineStr">
        <is>
          <t>No</t>
        </is>
      </c>
      <c r="J521" t="inlineStr">
        <is>
          <t>0</t>
        </is>
      </c>
      <c r="K521" t="inlineStr">
        <is>
          <t>Geller, Jay Howard.</t>
        </is>
      </c>
      <c r="L521" t="inlineStr">
        <is>
          <t>Cambridge ; New York : Cambridge University Press, 2005.</t>
        </is>
      </c>
      <c r="M521" t="inlineStr">
        <is>
          <t>2005</t>
        </is>
      </c>
      <c r="O521" t="inlineStr">
        <is>
          <t>eng</t>
        </is>
      </c>
      <c r="P521" t="inlineStr">
        <is>
          <t>enk</t>
        </is>
      </c>
      <c r="R521" t="inlineStr">
        <is>
          <t xml:space="preserve">DS </t>
        </is>
      </c>
      <c r="S521" t="n">
        <v>5</v>
      </c>
      <c r="T521" t="n">
        <v>5</v>
      </c>
      <c r="U521" t="inlineStr">
        <is>
          <t>2006-11-04</t>
        </is>
      </c>
      <c r="V521" t="inlineStr">
        <is>
          <t>2006-11-04</t>
        </is>
      </c>
      <c r="W521" t="inlineStr">
        <is>
          <t>2005-05-23</t>
        </is>
      </c>
      <c r="X521" t="inlineStr">
        <is>
          <t>2005-05-23</t>
        </is>
      </c>
      <c r="Y521" t="n">
        <v>370</v>
      </c>
      <c r="Z521" t="n">
        <v>264</v>
      </c>
      <c r="AA521" t="n">
        <v>265</v>
      </c>
      <c r="AB521" t="n">
        <v>2</v>
      </c>
      <c r="AC521" t="n">
        <v>2</v>
      </c>
      <c r="AD521" t="n">
        <v>12</v>
      </c>
      <c r="AE521" t="n">
        <v>12</v>
      </c>
      <c r="AF521" t="n">
        <v>4</v>
      </c>
      <c r="AG521" t="n">
        <v>4</v>
      </c>
      <c r="AH521" t="n">
        <v>4</v>
      </c>
      <c r="AI521" t="n">
        <v>4</v>
      </c>
      <c r="AJ521" t="n">
        <v>6</v>
      </c>
      <c r="AK521" t="n">
        <v>6</v>
      </c>
      <c r="AL521" t="n">
        <v>1</v>
      </c>
      <c r="AM521" t="n">
        <v>1</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HYPERLINK("https://creighton-primo.hosted.exlibrisgroup.com/primo-explore/search?tab=default_tab&amp;search_scope=EVERYTHING&amp;vid=01CRU&amp;lang=en_US&amp;offset=0&amp;query=any,contains,991004548079702656","Catalog Record")</f>
        <v/>
      </c>
      <c r="AT521">
        <f>HYPERLINK("http://www.worldcat.org/oclc/54544095","WorldCat Record")</f>
        <v/>
      </c>
      <c r="AU521" t="inlineStr">
        <is>
          <t>1026013:eng</t>
        </is>
      </c>
      <c r="AV521" t="inlineStr">
        <is>
          <t>54544095</t>
        </is>
      </c>
      <c r="AW521" t="inlineStr">
        <is>
          <t>991004548079702656</t>
        </is>
      </c>
      <c r="AX521" t="inlineStr">
        <is>
          <t>991004548079702656</t>
        </is>
      </c>
      <c r="AY521" t="inlineStr">
        <is>
          <t>2257441290002656</t>
        </is>
      </c>
      <c r="AZ521" t="inlineStr">
        <is>
          <t>BOOK</t>
        </is>
      </c>
      <c r="BB521" t="inlineStr">
        <is>
          <t>9780521541268</t>
        </is>
      </c>
      <c r="BC521" t="inlineStr">
        <is>
          <t>32285005039135</t>
        </is>
      </c>
      <c r="BD521" t="inlineStr">
        <is>
          <t>893888860</t>
        </is>
      </c>
    </row>
    <row r="522">
      <c r="A522" t="inlineStr">
        <is>
          <t>No</t>
        </is>
      </c>
      <c r="B522" t="inlineStr">
        <is>
          <t>DS135.G332 L37 2002</t>
        </is>
      </c>
      <c r="C522" t="inlineStr">
        <is>
          <t>0                      DS 0135000G  332                L  37          2002</t>
        </is>
      </c>
      <c r="D522" t="inlineStr">
        <is>
          <t>New beginnings : Holocaust survivors in Bergen-Belsen and the British zone in Germany, 1945-1950 / Hagit Lavsky.</t>
        </is>
      </c>
      <c r="F522" t="inlineStr">
        <is>
          <t>No</t>
        </is>
      </c>
      <c r="G522" t="inlineStr">
        <is>
          <t>1</t>
        </is>
      </c>
      <c r="H522" t="inlineStr">
        <is>
          <t>No</t>
        </is>
      </c>
      <c r="I522" t="inlineStr">
        <is>
          <t>No</t>
        </is>
      </c>
      <c r="J522" t="inlineStr">
        <is>
          <t>0</t>
        </is>
      </c>
      <c r="K522" t="inlineStr">
        <is>
          <t>Lavsky, Hagit.</t>
        </is>
      </c>
      <c r="L522" t="inlineStr">
        <is>
          <t>Detroit : Wayne State University Press, c2002.</t>
        </is>
      </c>
      <c r="M522" t="inlineStr">
        <is>
          <t>2002</t>
        </is>
      </c>
      <c r="O522" t="inlineStr">
        <is>
          <t>eng</t>
        </is>
      </c>
      <c r="P522" t="inlineStr">
        <is>
          <t>miu</t>
        </is>
      </c>
      <c r="R522" t="inlineStr">
        <is>
          <t xml:space="preserve">DS </t>
        </is>
      </c>
      <c r="S522" t="n">
        <v>4</v>
      </c>
      <c r="T522" t="n">
        <v>4</v>
      </c>
      <c r="U522" t="inlineStr">
        <is>
          <t>2003-12-05</t>
        </is>
      </c>
      <c r="V522" t="inlineStr">
        <is>
          <t>2003-12-05</t>
        </is>
      </c>
      <c r="W522" t="inlineStr">
        <is>
          <t>2002-09-25</t>
        </is>
      </c>
      <c r="X522" t="inlineStr">
        <is>
          <t>2002-09-25</t>
        </is>
      </c>
      <c r="Y522" t="n">
        <v>251</v>
      </c>
      <c r="Z522" t="n">
        <v>198</v>
      </c>
      <c r="AA522" t="n">
        <v>198</v>
      </c>
      <c r="AB522" t="n">
        <v>2</v>
      </c>
      <c r="AC522" t="n">
        <v>2</v>
      </c>
      <c r="AD522" t="n">
        <v>10</v>
      </c>
      <c r="AE522" t="n">
        <v>10</v>
      </c>
      <c r="AF522" t="n">
        <v>2</v>
      </c>
      <c r="AG522" t="n">
        <v>2</v>
      </c>
      <c r="AH522" t="n">
        <v>5</v>
      </c>
      <c r="AI522" t="n">
        <v>5</v>
      </c>
      <c r="AJ522" t="n">
        <v>5</v>
      </c>
      <c r="AK522" t="n">
        <v>5</v>
      </c>
      <c r="AL522" t="n">
        <v>1</v>
      </c>
      <c r="AM522" t="n">
        <v>1</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HYPERLINK("https://creighton-primo.hosted.exlibrisgroup.com/primo-explore/search?tab=default_tab&amp;search_scope=EVERYTHING&amp;vid=01CRU&amp;lang=en_US&amp;offset=0&amp;query=any,contains,991003878459702656","Catalog Record")</f>
        <v/>
      </c>
      <c r="AT522">
        <f>HYPERLINK("http://www.worldcat.org/oclc/47803842","WorldCat Record")</f>
        <v/>
      </c>
      <c r="AU522" t="inlineStr">
        <is>
          <t>53506941:eng</t>
        </is>
      </c>
      <c r="AV522" t="inlineStr">
        <is>
          <t>47803842</t>
        </is>
      </c>
      <c r="AW522" t="inlineStr">
        <is>
          <t>991003878459702656</t>
        </is>
      </c>
      <c r="AX522" t="inlineStr">
        <is>
          <t>991003878459702656</t>
        </is>
      </c>
      <c r="AY522" t="inlineStr">
        <is>
          <t>2270731850002656</t>
        </is>
      </c>
      <c r="AZ522" t="inlineStr">
        <is>
          <t>BOOK</t>
        </is>
      </c>
      <c r="BB522" t="inlineStr">
        <is>
          <t>9780814330098</t>
        </is>
      </c>
      <c r="BC522" t="inlineStr">
        <is>
          <t>32285004649033</t>
        </is>
      </c>
      <c r="BD522" t="inlineStr">
        <is>
          <t>893705730</t>
        </is>
      </c>
    </row>
    <row r="523">
      <c r="A523" t="inlineStr">
        <is>
          <t>No</t>
        </is>
      </c>
      <c r="B523" t="inlineStr">
        <is>
          <t>DS135.G4 B4654 2003</t>
        </is>
      </c>
      <c r="C523" t="inlineStr">
        <is>
          <t>0                      DS 0135000G  4                  B  4654        2003</t>
        </is>
      </c>
      <c r="D523" t="inlineStr">
        <is>
          <t>Exodus to Berlin : the return of the Jews to Germany / Peter Laufer.</t>
        </is>
      </c>
      <c r="F523" t="inlineStr">
        <is>
          <t>No</t>
        </is>
      </c>
      <c r="G523" t="inlineStr">
        <is>
          <t>1</t>
        </is>
      </c>
      <c r="H523" t="inlineStr">
        <is>
          <t>No</t>
        </is>
      </c>
      <c r="I523" t="inlineStr">
        <is>
          <t>No</t>
        </is>
      </c>
      <c r="J523" t="inlineStr">
        <is>
          <t>0</t>
        </is>
      </c>
      <c r="K523" t="inlineStr">
        <is>
          <t>Laufer, Peter.</t>
        </is>
      </c>
      <c r="L523" t="inlineStr">
        <is>
          <t>Chicago : Ivan R. Dee, 2003.</t>
        </is>
      </c>
      <c r="M523" t="inlineStr">
        <is>
          <t>2003</t>
        </is>
      </c>
      <c r="O523" t="inlineStr">
        <is>
          <t>eng</t>
        </is>
      </c>
      <c r="P523" t="inlineStr">
        <is>
          <t>ilu</t>
        </is>
      </c>
      <c r="R523" t="inlineStr">
        <is>
          <t xml:space="preserve">DS </t>
        </is>
      </c>
      <c r="S523" t="n">
        <v>3</v>
      </c>
      <c r="T523" t="n">
        <v>3</v>
      </c>
      <c r="U523" t="inlineStr">
        <is>
          <t>2003-09-30</t>
        </is>
      </c>
      <c r="V523" t="inlineStr">
        <is>
          <t>2003-09-30</t>
        </is>
      </c>
      <c r="W523" t="inlineStr">
        <is>
          <t>2003-09-15</t>
        </is>
      </c>
      <c r="X523" t="inlineStr">
        <is>
          <t>2003-09-15</t>
        </is>
      </c>
      <c r="Y523" t="n">
        <v>341</v>
      </c>
      <c r="Z523" t="n">
        <v>287</v>
      </c>
      <c r="AA523" t="n">
        <v>291</v>
      </c>
      <c r="AB523" t="n">
        <v>3</v>
      </c>
      <c r="AC523" t="n">
        <v>3</v>
      </c>
      <c r="AD523" t="n">
        <v>13</v>
      </c>
      <c r="AE523" t="n">
        <v>13</v>
      </c>
      <c r="AF523" t="n">
        <v>3</v>
      </c>
      <c r="AG523" t="n">
        <v>3</v>
      </c>
      <c r="AH523" t="n">
        <v>5</v>
      </c>
      <c r="AI523" t="n">
        <v>5</v>
      </c>
      <c r="AJ523" t="n">
        <v>6</v>
      </c>
      <c r="AK523" t="n">
        <v>6</v>
      </c>
      <c r="AL523" t="n">
        <v>2</v>
      </c>
      <c r="AM523" t="n">
        <v>2</v>
      </c>
      <c r="AN523" t="n">
        <v>0</v>
      </c>
      <c r="AO523" t="n">
        <v>0</v>
      </c>
      <c r="AP523" t="inlineStr">
        <is>
          <t>No</t>
        </is>
      </c>
      <c r="AQ523" t="inlineStr">
        <is>
          <t>Yes</t>
        </is>
      </c>
      <c r="AR523">
        <f>HYPERLINK("http://catalog.hathitrust.org/Record/004342507","HathiTrust Record")</f>
        <v/>
      </c>
      <c r="AS523">
        <f>HYPERLINK("https://creighton-primo.hosted.exlibrisgroup.com/primo-explore/search?tab=default_tab&amp;search_scope=EVERYTHING&amp;vid=01CRU&amp;lang=en_US&amp;offset=0&amp;query=any,contains,991004124529702656","Catalog Record")</f>
        <v/>
      </c>
      <c r="AT523">
        <f>HYPERLINK("http://www.worldcat.org/oclc/51923276","WorldCat Record")</f>
        <v/>
      </c>
      <c r="AU523" t="inlineStr">
        <is>
          <t>779070:eng</t>
        </is>
      </c>
      <c r="AV523" t="inlineStr">
        <is>
          <t>51923276</t>
        </is>
      </c>
      <c r="AW523" t="inlineStr">
        <is>
          <t>991004124529702656</t>
        </is>
      </c>
      <c r="AX523" t="inlineStr">
        <is>
          <t>991004124529702656</t>
        </is>
      </c>
      <c r="AY523" t="inlineStr">
        <is>
          <t>2260024910002656</t>
        </is>
      </c>
      <c r="AZ523" t="inlineStr">
        <is>
          <t>BOOK</t>
        </is>
      </c>
      <c r="BB523" t="inlineStr">
        <is>
          <t>9781566635295</t>
        </is>
      </c>
      <c r="BC523" t="inlineStr">
        <is>
          <t>32285004785837</t>
        </is>
      </c>
      <c r="BD523" t="inlineStr">
        <is>
          <t>893331223</t>
        </is>
      </c>
    </row>
    <row r="524">
      <c r="A524" t="inlineStr">
        <is>
          <t>No</t>
        </is>
      </c>
      <c r="B524" t="inlineStr">
        <is>
          <t>DS135.G4 H45</t>
        </is>
      </c>
      <c r="C524" t="inlineStr">
        <is>
          <t>0                      DS 0135000G  4                  H  45</t>
        </is>
      </c>
      <c r="D524" t="inlineStr">
        <is>
          <t>NS-Verbrechen vor Gericht : 1945-1955 : Dokumente aus hess. Justizakten / [bearb. von] Klaus Moritz, Ernst Noam ; mit e. Nachwort von Richard Schmid.</t>
        </is>
      </c>
      <c r="F524" t="inlineStr">
        <is>
          <t>No</t>
        </is>
      </c>
      <c r="G524" t="inlineStr">
        <is>
          <t>1</t>
        </is>
      </c>
      <c r="H524" t="inlineStr">
        <is>
          <t>No</t>
        </is>
      </c>
      <c r="I524" t="inlineStr">
        <is>
          <t>No</t>
        </is>
      </c>
      <c r="J524" t="inlineStr">
        <is>
          <t>0</t>
        </is>
      </c>
      <c r="L524" t="inlineStr">
        <is>
          <t>Wiesbaden : Komm. für d. Geschichte d. Juden in Hessen, 1978.</t>
        </is>
      </c>
      <c r="M524" t="inlineStr">
        <is>
          <t>1978</t>
        </is>
      </c>
      <c r="O524" t="inlineStr">
        <is>
          <t>ger</t>
        </is>
      </c>
      <c r="P524" t="inlineStr">
        <is>
          <t xml:space="preserve">xx </t>
        </is>
      </c>
      <c r="Q524" t="inlineStr">
        <is>
          <t>Justiz und Judenverfolgung ; Bd. 2</t>
        </is>
      </c>
      <c r="R524" t="inlineStr">
        <is>
          <t xml:space="preserve">DS </t>
        </is>
      </c>
      <c r="S524" t="n">
        <v>2</v>
      </c>
      <c r="T524" t="n">
        <v>2</v>
      </c>
      <c r="U524" t="inlineStr">
        <is>
          <t>1994-04-15</t>
        </is>
      </c>
      <c r="V524" t="inlineStr">
        <is>
          <t>1994-04-15</t>
        </is>
      </c>
      <c r="W524" t="inlineStr">
        <is>
          <t>1990-10-03</t>
        </is>
      </c>
      <c r="X524" t="inlineStr">
        <is>
          <t>1990-10-03</t>
        </is>
      </c>
      <c r="Y524" t="n">
        <v>69</v>
      </c>
      <c r="Z524" t="n">
        <v>18</v>
      </c>
      <c r="AA524" t="n">
        <v>21</v>
      </c>
      <c r="AB524" t="n">
        <v>1</v>
      </c>
      <c r="AC524" t="n">
        <v>1</v>
      </c>
      <c r="AD524" t="n">
        <v>0</v>
      </c>
      <c r="AE524" t="n">
        <v>0</v>
      </c>
      <c r="AF524" t="n">
        <v>0</v>
      </c>
      <c r="AG524" t="n">
        <v>0</v>
      </c>
      <c r="AH524" t="n">
        <v>0</v>
      </c>
      <c r="AI524" t="n">
        <v>0</v>
      </c>
      <c r="AJ524" t="n">
        <v>0</v>
      </c>
      <c r="AK524" t="n">
        <v>0</v>
      </c>
      <c r="AL524" t="n">
        <v>0</v>
      </c>
      <c r="AM524" t="n">
        <v>0</v>
      </c>
      <c r="AN524" t="n">
        <v>0</v>
      </c>
      <c r="AO524" t="n">
        <v>0</v>
      </c>
      <c r="AP524" t="inlineStr">
        <is>
          <t>No</t>
        </is>
      </c>
      <c r="AQ524" t="inlineStr">
        <is>
          <t>No</t>
        </is>
      </c>
      <c r="AS524">
        <f>HYPERLINK("https://creighton-primo.hosted.exlibrisgroup.com/primo-explore/search?tab=default_tab&amp;search_scope=EVERYTHING&amp;vid=01CRU&amp;lang=en_US&amp;offset=0&amp;query=any,contains,991004793929702656","Catalog Record")</f>
        <v/>
      </c>
      <c r="AT524">
        <f>HYPERLINK("http://www.worldcat.org/oclc/18470189","WorldCat Record")</f>
        <v/>
      </c>
      <c r="AU524" t="inlineStr">
        <is>
          <t>17615503:ger</t>
        </is>
      </c>
      <c r="AV524" t="inlineStr">
        <is>
          <t>18470189</t>
        </is>
      </c>
      <c r="AW524" t="inlineStr">
        <is>
          <t>991004793929702656</t>
        </is>
      </c>
      <c r="AX524" t="inlineStr">
        <is>
          <t>991004793929702656</t>
        </is>
      </c>
      <c r="AY524" t="inlineStr">
        <is>
          <t>2257725530002656</t>
        </is>
      </c>
      <c r="AZ524" t="inlineStr">
        <is>
          <t>BOOK</t>
        </is>
      </c>
      <c r="BC524" t="inlineStr">
        <is>
          <t>32285000294495</t>
        </is>
      </c>
      <c r="BD524" t="inlineStr">
        <is>
          <t>893876583</t>
        </is>
      </c>
    </row>
    <row r="525">
      <c r="A525" t="inlineStr">
        <is>
          <t>No</t>
        </is>
      </c>
      <c r="B525" t="inlineStr">
        <is>
          <t>DS135.G5 B333 1999</t>
        </is>
      </c>
      <c r="C525" t="inlineStr">
        <is>
          <t>0                      DS 0135000G  5                  B  333         1999</t>
        </is>
      </c>
      <c r="D525" t="inlineStr">
        <is>
          <t>An underground life : the memoirs of a gay Jew in Nazi Berlin / Gad Beck ; written with Frank Heibert ; translated from the German by Allison Brown.</t>
        </is>
      </c>
      <c r="F525" t="inlineStr">
        <is>
          <t>No</t>
        </is>
      </c>
      <c r="G525" t="inlineStr">
        <is>
          <t>1</t>
        </is>
      </c>
      <c r="H525" t="inlineStr">
        <is>
          <t>No</t>
        </is>
      </c>
      <c r="I525" t="inlineStr">
        <is>
          <t>No</t>
        </is>
      </c>
      <c r="J525" t="inlineStr">
        <is>
          <t>0</t>
        </is>
      </c>
      <c r="K525" t="inlineStr">
        <is>
          <t>Beck, Gad, 1923-2012.</t>
        </is>
      </c>
      <c r="L525" t="inlineStr">
        <is>
          <t>Madison, Wis. : University of Wisconsin Press, c1999.</t>
        </is>
      </c>
      <c r="M525" t="inlineStr">
        <is>
          <t>1999</t>
        </is>
      </c>
      <c r="O525" t="inlineStr">
        <is>
          <t>eng</t>
        </is>
      </c>
      <c r="P525" t="inlineStr">
        <is>
          <t>wiu</t>
        </is>
      </c>
      <c r="Q525" t="inlineStr">
        <is>
          <t>Living out</t>
        </is>
      </c>
      <c r="R525" t="inlineStr">
        <is>
          <t xml:space="preserve">DS </t>
        </is>
      </c>
      <c r="S525" t="n">
        <v>4</v>
      </c>
      <c r="T525" t="n">
        <v>4</v>
      </c>
      <c r="U525" t="inlineStr">
        <is>
          <t>2008-05-07</t>
        </is>
      </c>
      <c r="V525" t="inlineStr">
        <is>
          <t>2008-05-07</t>
        </is>
      </c>
      <c r="W525" t="inlineStr">
        <is>
          <t>2000-12-05</t>
        </is>
      </c>
      <c r="X525" t="inlineStr">
        <is>
          <t>2000-12-05</t>
        </is>
      </c>
      <c r="Y525" t="n">
        <v>566</v>
      </c>
      <c r="Z525" t="n">
        <v>478</v>
      </c>
      <c r="AA525" t="n">
        <v>487</v>
      </c>
      <c r="AB525" t="n">
        <v>4</v>
      </c>
      <c r="AC525" t="n">
        <v>4</v>
      </c>
      <c r="AD525" t="n">
        <v>19</v>
      </c>
      <c r="AE525" t="n">
        <v>19</v>
      </c>
      <c r="AF525" t="n">
        <v>8</v>
      </c>
      <c r="AG525" t="n">
        <v>8</v>
      </c>
      <c r="AH525" t="n">
        <v>4</v>
      </c>
      <c r="AI525" t="n">
        <v>4</v>
      </c>
      <c r="AJ525" t="n">
        <v>9</v>
      </c>
      <c r="AK525" t="n">
        <v>9</v>
      </c>
      <c r="AL525" t="n">
        <v>2</v>
      </c>
      <c r="AM525" t="n">
        <v>2</v>
      </c>
      <c r="AN525" t="n">
        <v>0</v>
      </c>
      <c r="AO525" t="n">
        <v>0</v>
      </c>
      <c r="AP525" t="inlineStr">
        <is>
          <t>No</t>
        </is>
      </c>
      <c r="AQ525" t="inlineStr">
        <is>
          <t>Yes</t>
        </is>
      </c>
      <c r="AR525">
        <f>HYPERLINK("http://catalog.hathitrust.org/Record/004056754","HathiTrust Record")</f>
        <v/>
      </c>
      <c r="AS525">
        <f>HYPERLINK("https://creighton-primo.hosted.exlibrisgroup.com/primo-explore/search?tab=default_tab&amp;search_scope=EVERYTHING&amp;vid=01CRU&amp;lang=en_US&amp;offset=0&amp;query=any,contains,991003328809702656","Catalog Record")</f>
        <v/>
      </c>
      <c r="AT525">
        <f>HYPERLINK("http://www.worldcat.org/oclc/41308618","WorldCat Record")</f>
        <v/>
      </c>
      <c r="AU525" t="inlineStr">
        <is>
          <t>502571254:eng</t>
        </is>
      </c>
      <c r="AV525" t="inlineStr">
        <is>
          <t>41308618</t>
        </is>
      </c>
      <c r="AW525" t="inlineStr">
        <is>
          <t>991003328809702656</t>
        </is>
      </c>
      <c r="AX525" t="inlineStr">
        <is>
          <t>991003328809702656</t>
        </is>
      </c>
      <c r="AY525" t="inlineStr">
        <is>
          <t>2258151750002656</t>
        </is>
      </c>
      <c r="AZ525" t="inlineStr">
        <is>
          <t>BOOK</t>
        </is>
      </c>
      <c r="BB525" t="inlineStr">
        <is>
          <t>9780299165000</t>
        </is>
      </c>
      <c r="BC525" t="inlineStr">
        <is>
          <t>32285004270004</t>
        </is>
      </c>
      <c r="BD525" t="inlineStr">
        <is>
          <t>893774630</t>
        </is>
      </c>
    </row>
    <row r="526">
      <c r="A526" t="inlineStr">
        <is>
          <t>No</t>
        </is>
      </c>
      <c r="B526" t="inlineStr">
        <is>
          <t>DS135.G5 F58455 2003</t>
        </is>
      </c>
      <c r="C526" t="inlineStr">
        <is>
          <t>0                      DS 0135000G  5                  F  58455       2003</t>
        </is>
      </c>
      <c r="D526" t="inlineStr">
        <is>
          <t>The hidden life of Otto Frank / Carol Ann Lee.</t>
        </is>
      </c>
      <c r="F526" t="inlineStr">
        <is>
          <t>No</t>
        </is>
      </c>
      <c r="G526" t="inlineStr">
        <is>
          <t>1</t>
        </is>
      </c>
      <c r="H526" t="inlineStr">
        <is>
          <t>No</t>
        </is>
      </c>
      <c r="I526" t="inlineStr">
        <is>
          <t>No</t>
        </is>
      </c>
      <c r="J526" t="inlineStr">
        <is>
          <t>0</t>
        </is>
      </c>
      <c r="K526" t="inlineStr">
        <is>
          <t>Lee, Carol Ann.</t>
        </is>
      </c>
      <c r="L526" t="inlineStr">
        <is>
          <t>New York : William Morrow, c2003.</t>
        </is>
      </c>
      <c r="M526" t="inlineStr">
        <is>
          <t>2003</t>
        </is>
      </c>
      <c r="N526" t="inlineStr">
        <is>
          <t>1st U.S. ed.</t>
        </is>
      </c>
      <c r="O526" t="inlineStr">
        <is>
          <t>eng</t>
        </is>
      </c>
      <c r="P526" t="inlineStr">
        <is>
          <t>nyu</t>
        </is>
      </c>
      <c r="R526" t="inlineStr">
        <is>
          <t xml:space="preserve">DS </t>
        </is>
      </c>
      <c r="S526" t="n">
        <v>2</v>
      </c>
      <c r="T526" t="n">
        <v>2</v>
      </c>
      <c r="U526" t="inlineStr">
        <is>
          <t>2005-06-02</t>
        </is>
      </c>
      <c r="V526" t="inlineStr">
        <is>
          <t>2005-06-02</t>
        </is>
      </c>
      <c r="W526" t="inlineStr">
        <is>
          <t>2003-03-05</t>
        </is>
      </c>
      <c r="X526" t="inlineStr">
        <is>
          <t>2003-03-05</t>
        </is>
      </c>
      <c r="Y526" t="n">
        <v>1141</v>
      </c>
      <c r="Z526" t="n">
        <v>1110</v>
      </c>
      <c r="AA526" t="n">
        <v>1267</v>
      </c>
      <c r="AB526" t="n">
        <v>13</v>
      </c>
      <c r="AC526" t="n">
        <v>16</v>
      </c>
      <c r="AD526" t="n">
        <v>23</v>
      </c>
      <c r="AE526" t="n">
        <v>30</v>
      </c>
      <c r="AF526" t="n">
        <v>9</v>
      </c>
      <c r="AG526" t="n">
        <v>11</v>
      </c>
      <c r="AH526" t="n">
        <v>5</v>
      </c>
      <c r="AI526" t="n">
        <v>7</v>
      </c>
      <c r="AJ526" t="n">
        <v>9</v>
      </c>
      <c r="AK526" t="n">
        <v>15</v>
      </c>
      <c r="AL526" t="n">
        <v>3</v>
      </c>
      <c r="AM526" t="n">
        <v>4</v>
      </c>
      <c r="AN526" t="n">
        <v>0</v>
      </c>
      <c r="AO526" t="n">
        <v>0</v>
      </c>
      <c r="AP526" t="inlineStr">
        <is>
          <t>No</t>
        </is>
      </c>
      <c r="AQ526" t="inlineStr">
        <is>
          <t>No</t>
        </is>
      </c>
      <c r="AS526">
        <f>HYPERLINK("https://creighton-primo.hosted.exlibrisgroup.com/primo-explore/search?tab=default_tab&amp;search_scope=EVERYTHING&amp;vid=01CRU&amp;lang=en_US&amp;offset=0&amp;query=any,contains,991004006329702656","Catalog Record")</f>
        <v/>
      </c>
      <c r="AT526">
        <f>HYPERLINK("http://www.worldcat.org/oclc/50906175","WorldCat Record")</f>
        <v/>
      </c>
      <c r="AU526" t="inlineStr">
        <is>
          <t>648789:eng</t>
        </is>
      </c>
      <c r="AV526" t="inlineStr">
        <is>
          <t>50906175</t>
        </is>
      </c>
      <c r="AW526" t="inlineStr">
        <is>
          <t>991004006329702656</t>
        </is>
      </c>
      <c r="AX526" t="inlineStr">
        <is>
          <t>991004006329702656</t>
        </is>
      </c>
      <c r="AY526" t="inlineStr">
        <is>
          <t>2260096980002656</t>
        </is>
      </c>
      <c r="AZ526" t="inlineStr">
        <is>
          <t>BOOK</t>
        </is>
      </c>
      <c r="BB526" t="inlineStr">
        <is>
          <t>9780060520823</t>
        </is>
      </c>
      <c r="BC526" t="inlineStr">
        <is>
          <t>32285004682653</t>
        </is>
      </c>
      <c r="BD526" t="inlineStr">
        <is>
          <t>893693408</t>
        </is>
      </c>
    </row>
    <row r="527">
      <c r="A527" t="inlineStr">
        <is>
          <t>No</t>
        </is>
      </c>
      <c r="B527" t="inlineStr">
        <is>
          <t>DS135.G5 K73 1999</t>
        </is>
      </c>
      <c r="C527" t="inlineStr">
        <is>
          <t>0                      DS 0135000G  5                  K  73          1999</t>
        </is>
      </c>
      <c r="D527" t="inlineStr">
        <is>
          <t>Die Familie Mosse : deutsch-jüdisches Bürgertum im 19. und 20. Jahrhundert / Elisabeth Kraus.</t>
        </is>
      </c>
      <c r="F527" t="inlineStr">
        <is>
          <t>No</t>
        </is>
      </c>
      <c r="G527" t="inlineStr">
        <is>
          <t>1</t>
        </is>
      </c>
      <c r="H527" t="inlineStr">
        <is>
          <t>No</t>
        </is>
      </c>
      <c r="I527" t="inlineStr">
        <is>
          <t>No</t>
        </is>
      </c>
      <c r="J527" t="inlineStr">
        <is>
          <t>0</t>
        </is>
      </c>
      <c r="K527" t="inlineStr">
        <is>
          <t>Kraus, Elisabeth, 1956-</t>
        </is>
      </c>
      <c r="L527" t="inlineStr">
        <is>
          <t>München : C.H. Beck, c1999.</t>
        </is>
      </c>
      <c r="M527" t="inlineStr">
        <is>
          <t>1999</t>
        </is>
      </c>
      <c r="O527" t="inlineStr">
        <is>
          <t>ger</t>
        </is>
      </c>
      <c r="P527" t="inlineStr">
        <is>
          <t xml:space="preserve">gw </t>
        </is>
      </c>
      <c r="R527" t="inlineStr">
        <is>
          <t xml:space="preserve">DS </t>
        </is>
      </c>
      <c r="S527" t="n">
        <v>1</v>
      </c>
      <c r="T527" t="n">
        <v>1</v>
      </c>
      <c r="U527" t="inlineStr">
        <is>
          <t>2003-09-24</t>
        </is>
      </c>
      <c r="V527" t="inlineStr">
        <is>
          <t>2003-09-24</t>
        </is>
      </c>
      <c r="W527" t="inlineStr">
        <is>
          <t>2003-09-24</t>
        </is>
      </c>
      <c r="X527" t="inlineStr">
        <is>
          <t>2003-09-24</t>
        </is>
      </c>
      <c r="Y527" t="n">
        <v>95</v>
      </c>
      <c r="Z527" t="n">
        <v>43</v>
      </c>
      <c r="AA527" t="n">
        <v>47</v>
      </c>
      <c r="AB527" t="n">
        <v>1</v>
      </c>
      <c r="AC527" t="n">
        <v>1</v>
      </c>
      <c r="AD527" t="n">
        <v>0</v>
      </c>
      <c r="AE527" t="n">
        <v>0</v>
      </c>
      <c r="AF527" t="n">
        <v>0</v>
      </c>
      <c r="AG527" t="n">
        <v>0</v>
      </c>
      <c r="AH527" t="n">
        <v>0</v>
      </c>
      <c r="AI527" t="n">
        <v>0</v>
      </c>
      <c r="AJ527" t="n">
        <v>0</v>
      </c>
      <c r="AK527" t="n">
        <v>0</v>
      </c>
      <c r="AL527" t="n">
        <v>0</v>
      </c>
      <c r="AM527" t="n">
        <v>0</v>
      </c>
      <c r="AN527" t="n">
        <v>0</v>
      </c>
      <c r="AO527" t="n">
        <v>0</v>
      </c>
      <c r="AP527" t="inlineStr">
        <is>
          <t>No</t>
        </is>
      </c>
      <c r="AQ527" t="inlineStr">
        <is>
          <t>Yes</t>
        </is>
      </c>
      <c r="AR527">
        <f>HYPERLINK("http://catalog.hathitrust.org/Record/004113374","HathiTrust Record")</f>
        <v/>
      </c>
      <c r="AS527">
        <f>HYPERLINK("https://creighton-primo.hosted.exlibrisgroup.com/primo-explore/search?tab=default_tab&amp;search_scope=EVERYTHING&amp;vid=01CRU&amp;lang=en_US&amp;offset=0&amp;query=any,contains,991004133669702656","Catalog Record")</f>
        <v/>
      </c>
      <c r="AT527">
        <f>HYPERLINK("http://www.worldcat.org/oclc/42021664","WorldCat Record")</f>
        <v/>
      </c>
      <c r="AU527" t="inlineStr">
        <is>
          <t>475769349:ger</t>
        </is>
      </c>
      <c r="AV527" t="inlineStr">
        <is>
          <t>42021664</t>
        </is>
      </c>
      <c r="AW527" t="inlineStr">
        <is>
          <t>991004133669702656</t>
        </is>
      </c>
      <c r="AX527" t="inlineStr">
        <is>
          <t>991004133669702656</t>
        </is>
      </c>
      <c r="AY527" t="inlineStr">
        <is>
          <t>2264625050002656</t>
        </is>
      </c>
      <c r="AZ527" t="inlineStr">
        <is>
          <t>BOOK</t>
        </is>
      </c>
      <c r="BB527" t="inlineStr">
        <is>
          <t>9783406446948</t>
        </is>
      </c>
      <c r="BC527" t="inlineStr">
        <is>
          <t>32285004784806</t>
        </is>
      </c>
      <c r="BD527" t="inlineStr">
        <is>
          <t>893788323</t>
        </is>
      </c>
    </row>
    <row r="528">
      <c r="A528" t="inlineStr">
        <is>
          <t>No</t>
        </is>
      </c>
      <c r="B528" t="inlineStr">
        <is>
          <t>DS135.G5 S76 1999</t>
        </is>
      </c>
      <c r="C528" t="inlineStr">
        <is>
          <t>0                      DS 0135000G  5                  S  76          1999</t>
        </is>
      </c>
      <c r="D528" t="inlineStr">
        <is>
          <t>In the eye of the storm : growing up Jewish in Germany, 1918-1943 : a memoir / Herbert A. Strauss.</t>
        </is>
      </c>
      <c r="F528" t="inlineStr">
        <is>
          <t>No</t>
        </is>
      </c>
      <c r="G528" t="inlineStr">
        <is>
          <t>1</t>
        </is>
      </c>
      <c r="H528" t="inlineStr">
        <is>
          <t>No</t>
        </is>
      </c>
      <c r="I528" t="inlineStr">
        <is>
          <t>No</t>
        </is>
      </c>
      <c r="J528" t="inlineStr">
        <is>
          <t>0</t>
        </is>
      </c>
      <c r="K528" t="inlineStr">
        <is>
          <t>Strauss, Herbert Arthur.</t>
        </is>
      </c>
      <c r="L528" t="inlineStr">
        <is>
          <t>New York : Fordham University Press, 1999.</t>
        </is>
      </c>
      <c r="M528" t="inlineStr">
        <is>
          <t>1999</t>
        </is>
      </c>
      <c r="O528" t="inlineStr">
        <is>
          <t>eng</t>
        </is>
      </c>
      <c r="P528" t="inlineStr">
        <is>
          <t>nyu</t>
        </is>
      </c>
      <c r="R528" t="inlineStr">
        <is>
          <t xml:space="preserve">DS </t>
        </is>
      </c>
      <c r="S528" t="n">
        <v>2</v>
      </c>
      <c r="T528" t="n">
        <v>2</v>
      </c>
      <c r="U528" t="inlineStr">
        <is>
          <t>2006-03-23</t>
        </is>
      </c>
      <c r="V528" t="inlineStr">
        <is>
          <t>2006-03-23</t>
        </is>
      </c>
      <c r="W528" t="inlineStr">
        <is>
          <t>2003-01-21</t>
        </is>
      </c>
      <c r="X528" t="inlineStr">
        <is>
          <t>2003-01-21</t>
        </is>
      </c>
      <c r="Y528" t="n">
        <v>442</v>
      </c>
      <c r="Z528" t="n">
        <v>401</v>
      </c>
      <c r="AA528" t="n">
        <v>683</v>
      </c>
      <c r="AB528" t="n">
        <v>3</v>
      </c>
      <c r="AC528" t="n">
        <v>27</v>
      </c>
      <c r="AD528" t="n">
        <v>21</v>
      </c>
      <c r="AE528" t="n">
        <v>33</v>
      </c>
      <c r="AF528" t="n">
        <v>8</v>
      </c>
      <c r="AG528" t="n">
        <v>9</v>
      </c>
      <c r="AH528" t="n">
        <v>6</v>
      </c>
      <c r="AI528" t="n">
        <v>6</v>
      </c>
      <c r="AJ528" t="n">
        <v>10</v>
      </c>
      <c r="AK528" t="n">
        <v>11</v>
      </c>
      <c r="AL528" t="n">
        <v>2</v>
      </c>
      <c r="AM528" t="n">
        <v>12</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HYPERLINK("https://creighton-primo.hosted.exlibrisgroup.com/primo-explore/search?tab=default_tab&amp;search_scope=EVERYTHING&amp;vid=01CRU&amp;lang=en_US&amp;offset=0&amp;query=any,contains,991003966759702656","Catalog Record")</f>
        <v/>
      </c>
      <c r="AT528">
        <f>HYPERLINK("http://www.worldcat.org/oclc/41606204","WorldCat Record")</f>
        <v/>
      </c>
      <c r="AU528" t="inlineStr">
        <is>
          <t>6448774:eng</t>
        </is>
      </c>
      <c r="AV528" t="inlineStr">
        <is>
          <t>41606204</t>
        </is>
      </c>
      <c r="AW528" t="inlineStr">
        <is>
          <t>991003966759702656</t>
        </is>
      </c>
      <c r="AX528" t="inlineStr">
        <is>
          <t>991003966759702656</t>
        </is>
      </c>
      <c r="AY528" t="inlineStr">
        <is>
          <t>2258679530002656</t>
        </is>
      </c>
      <c r="AZ528" t="inlineStr">
        <is>
          <t>BOOK</t>
        </is>
      </c>
      <c r="BB528" t="inlineStr">
        <is>
          <t>9780823219162</t>
        </is>
      </c>
      <c r="BC528" t="inlineStr">
        <is>
          <t>32285004695150</t>
        </is>
      </c>
      <c r="BD528" t="inlineStr">
        <is>
          <t>893800419</t>
        </is>
      </c>
    </row>
    <row r="529">
      <c r="A529" t="inlineStr">
        <is>
          <t>No</t>
        </is>
      </c>
      <c r="B529" t="inlineStr">
        <is>
          <t>DS135.H93 A163 2000</t>
        </is>
      </c>
      <c r="C529" t="inlineStr">
        <is>
          <t>0                      DS 0135000H  93                 A  163         2000</t>
        </is>
      </c>
      <c r="D529" t="inlineStr">
        <is>
          <t>In my brother's image : twin brothers separated by faith after the Holocaust / Eugene Pogany.</t>
        </is>
      </c>
      <c r="F529" t="inlineStr">
        <is>
          <t>No</t>
        </is>
      </c>
      <c r="G529" t="inlineStr">
        <is>
          <t>1</t>
        </is>
      </c>
      <c r="H529" t="inlineStr">
        <is>
          <t>No</t>
        </is>
      </c>
      <c r="I529" t="inlineStr">
        <is>
          <t>No</t>
        </is>
      </c>
      <c r="J529" t="inlineStr">
        <is>
          <t>0</t>
        </is>
      </c>
      <c r="K529" t="inlineStr">
        <is>
          <t>Pogany, Eugene.</t>
        </is>
      </c>
      <c r="L529" t="inlineStr">
        <is>
          <t>New York, N.Y. : Viking, 2000.</t>
        </is>
      </c>
      <c r="M529" t="inlineStr">
        <is>
          <t>2000</t>
        </is>
      </c>
      <c r="O529" t="inlineStr">
        <is>
          <t>eng</t>
        </is>
      </c>
      <c r="P529" t="inlineStr">
        <is>
          <t>nyu</t>
        </is>
      </c>
      <c r="R529" t="inlineStr">
        <is>
          <t xml:space="preserve">DS </t>
        </is>
      </c>
      <c r="S529" t="n">
        <v>2</v>
      </c>
      <c r="T529" t="n">
        <v>2</v>
      </c>
      <c r="U529" t="inlineStr">
        <is>
          <t>2001-10-30</t>
        </is>
      </c>
      <c r="V529" t="inlineStr">
        <is>
          <t>2001-10-30</t>
        </is>
      </c>
      <c r="W529" t="inlineStr">
        <is>
          <t>2001-08-22</t>
        </is>
      </c>
      <c r="X529" t="inlineStr">
        <is>
          <t>2001-08-22</t>
        </is>
      </c>
      <c r="Y529" t="n">
        <v>469</v>
      </c>
      <c r="Z529" t="n">
        <v>437</v>
      </c>
      <c r="AA529" t="n">
        <v>557</v>
      </c>
      <c r="AB529" t="n">
        <v>6</v>
      </c>
      <c r="AC529" t="n">
        <v>6</v>
      </c>
      <c r="AD529" t="n">
        <v>17</v>
      </c>
      <c r="AE529" t="n">
        <v>18</v>
      </c>
      <c r="AF529" t="n">
        <v>3</v>
      </c>
      <c r="AG529" t="n">
        <v>4</v>
      </c>
      <c r="AH529" t="n">
        <v>7</v>
      </c>
      <c r="AI529" t="n">
        <v>7</v>
      </c>
      <c r="AJ529" t="n">
        <v>8</v>
      </c>
      <c r="AK529" t="n">
        <v>8</v>
      </c>
      <c r="AL529" t="n">
        <v>4</v>
      </c>
      <c r="AM529" t="n">
        <v>4</v>
      </c>
      <c r="AN529" t="n">
        <v>0</v>
      </c>
      <c r="AO529" t="n">
        <v>0</v>
      </c>
      <c r="AP529" t="inlineStr">
        <is>
          <t>No</t>
        </is>
      </c>
      <c r="AQ529" t="inlineStr">
        <is>
          <t>Yes</t>
        </is>
      </c>
      <c r="AR529">
        <f>HYPERLINK("http://catalog.hathitrust.org/Record/004130392","HathiTrust Record")</f>
        <v/>
      </c>
      <c r="AS529">
        <f>HYPERLINK("https://creighton-primo.hosted.exlibrisgroup.com/primo-explore/search?tab=default_tab&amp;search_scope=EVERYTHING&amp;vid=01CRU&amp;lang=en_US&amp;offset=0&amp;query=any,contains,991003584269702656","Catalog Record")</f>
        <v/>
      </c>
      <c r="AT529">
        <f>HYPERLINK("http://www.worldcat.org/oclc/42780475","WorldCat Record")</f>
        <v/>
      </c>
      <c r="AU529" t="inlineStr">
        <is>
          <t>28208734:eng</t>
        </is>
      </c>
      <c r="AV529" t="inlineStr">
        <is>
          <t>42780475</t>
        </is>
      </c>
      <c r="AW529" t="inlineStr">
        <is>
          <t>991003584269702656</t>
        </is>
      </c>
      <c r="AX529" t="inlineStr">
        <is>
          <t>991003584269702656</t>
        </is>
      </c>
      <c r="AY529" t="inlineStr">
        <is>
          <t>2258507460002656</t>
        </is>
      </c>
      <c r="AZ529" t="inlineStr">
        <is>
          <t>BOOK</t>
        </is>
      </c>
      <c r="BB529" t="inlineStr">
        <is>
          <t>9780670885381</t>
        </is>
      </c>
      <c r="BC529" t="inlineStr">
        <is>
          <t>32285004379433</t>
        </is>
      </c>
      <c r="BD529" t="inlineStr">
        <is>
          <t>893881325</t>
        </is>
      </c>
    </row>
    <row r="530">
      <c r="A530" t="inlineStr">
        <is>
          <t>No</t>
        </is>
      </c>
      <c r="B530" t="inlineStr">
        <is>
          <t>DS135.I713 A15 2009</t>
        </is>
      </c>
      <c r="C530" t="inlineStr">
        <is>
          <t>0                      DS 0135000I  713                A  15          2009</t>
        </is>
      </c>
      <c r="D530" t="inlineStr">
        <is>
          <t>Iraq's last Jews : stories of daily life, upheaval, and escape from modern Babylon / edited by Tamar Morad, Dennis Shasha, and Robert Shasha.</t>
        </is>
      </c>
      <c r="F530" t="inlineStr">
        <is>
          <t>No</t>
        </is>
      </c>
      <c r="G530" t="inlineStr">
        <is>
          <t>1</t>
        </is>
      </c>
      <c r="H530" t="inlineStr">
        <is>
          <t>No</t>
        </is>
      </c>
      <c r="I530" t="inlineStr">
        <is>
          <t>No</t>
        </is>
      </c>
      <c r="J530" t="inlineStr">
        <is>
          <t>0</t>
        </is>
      </c>
      <c r="L530" t="inlineStr">
        <is>
          <t>New York : Palgrave Macmillan, 2009.</t>
        </is>
      </c>
      <c r="M530" t="inlineStr">
        <is>
          <t>2009</t>
        </is>
      </c>
      <c r="N530" t="inlineStr">
        <is>
          <t>1st Palgrave Macmillan pbk. ed.</t>
        </is>
      </c>
      <c r="O530" t="inlineStr">
        <is>
          <t>eng</t>
        </is>
      </c>
      <c r="P530" t="inlineStr">
        <is>
          <t>enk</t>
        </is>
      </c>
      <c r="Q530" t="inlineStr">
        <is>
          <t>Palgrave studies in oral history</t>
        </is>
      </c>
      <c r="R530" t="inlineStr">
        <is>
          <t xml:space="preserve">DS </t>
        </is>
      </c>
      <c r="S530" t="n">
        <v>1</v>
      </c>
      <c r="T530" t="n">
        <v>1</v>
      </c>
      <c r="U530" t="inlineStr">
        <is>
          <t>2010-04-13</t>
        </is>
      </c>
      <c r="V530" t="inlineStr">
        <is>
          <t>2010-04-13</t>
        </is>
      </c>
      <c r="W530" t="inlineStr">
        <is>
          <t>2010-04-13</t>
        </is>
      </c>
      <c r="X530" t="inlineStr">
        <is>
          <t>2010-04-13</t>
        </is>
      </c>
      <c r="Y530" t="n">
        <v>229</v>
      </c>
      <c r="Z530" t="n">
        <v>195</v>
      </c>
      <c r="AA530" t="n">
        <v>234</v>
      </c>
      <c r="AB530" t="n">
        <v>1</v>
      </c>
      <c r="AC530" t="n">
        <v>2</v>
      </c>
      <c r="AD530" t="n">
        <v>11</v>
      </c>
      <c r="AE530" t="n">
        <v>13</v>
      </c>
      <c r="AF530" t="n">
        <v>4</v>
      </c>
      <c r="AG530" t="n">
        <v>5</v>
      </c>
      <c r="AH530" t="n">
        <v>6</v>
      </c>
      <c r="AI530" t="n">
        <v>6</v>
      </c>
      <c r="AJ530" t="n">
        <v>5</v>
      </c>
      <c r="AK530" t="n">
        <v>6</v>
      </c>
      <c r="AL530" t="n">
        <v>0</v>
      </c>
      <c r="AM530" t="n">
        <v>1</v>
      </c>
      <c r="AN530" t="n">
        <v>0</v>
      </c>
      <c r="AO530" t="n">
        <v>0</v>
      </c>
      <c r="AP530" t="inlineStr">
        <is>
          <t>No</t>
        </is>
      </c>
      <c r="AQ530" t="inlineStr">
        <is>
          <t>No</t>
        </is>
      </c>
      <c r="AS530">
        <f>HYPERLINK("https://creighton-primo.hosted.exlibrisgroup.com/primo-explore/search?tab=default_tab&amp;search_scope=EVERYTHING&amp;vid=01CRU&amp;lang=en_US&amp;offset=0&amp;query=any,contains,991005381219702656","Catalog Record")</f>
        <v/>
      </c>
      <c r="AT530">
        <f>HYPERLINK("http://www.worldcat.org/oclc/222250018","WorldCat Record")</f>
        <v/>
      </c>
      <c r="AU530" t="inlineStr">
        <is>
          <t>801769631:eng</t>
        </is>
      </c>
      <c r="AV530" t="inlineStr">
        <is>
          <t>222250018</t>
        </is>
      </c>
      <c r="AW530" t="inlineStr">
        <is>
          <t>991005381219702656</t>
        </is>
      </c>
      <c r="AX530" t="inlineStr">
        <is>
          <t>991005381219702656</t>
        </is>
      </c>
      <c r="AY530" t="inlineStr">
        <is>
          <t>2262961630002656</t>
        </is>
      </c>
      <c r="AZ530" t="inlineStr">
        <is>
          <t>BOOK</t>
        </is>
      </c>
      <c r="BB530" t="inlineStr">
        <is>
          <t>9780230618008</t>
        </is>
      </c>
      <c r="BC530" t="inlineStr">
        <is>
          <t>32285005563761</t>
        </is>
      </c>
      <c r="BD530" t="inlineStr">
        <is>
          <t>893339008</t>
        </is>
      </c>
    </row>
    <row r="531">
      <c r="A531" t="inlineStr">
        <is>
          <t>No</t>
        </is>
      </c>
      <c r="B531" t="inlineStr">
        <is>
          <t>DS135.I8 R6</t>
        </is>
      </c>
      <c r="C531" t="inlineStr">
        <is>
          <t>0                      DS 0135000I  8                  R  6</t>
        </is>
      </c>
      <c r="D531" t="inlineStr">
        <is>
          <t>The Jews of ancient Rome.</t>
        </is>
      </c>
      <c r="F531" t="inlineStr">
        <is>
          <t>No</t>
        </is>
      </c>
      <c r="G531" t="inlineStr">
        <is>
          <t>1</t>
        </is>
      </c>
      <c r="H531" t="inlineStr">
        <is>
          <t>No</t>
        </is>
      </c>
      <c r="I531" t="inlineStr">
        <is>
          <t>No</t>
        </is>
      </c>
      <c r="J531" t="inlineStr">
        <is>
          <t>0</t>
        </is>
      </c>
      <c r="K531" t="inlineStr">
        <is>
          <t>Leon, Harry J. (Harry Joshua)</t>
        </is>
      </c>
      <c r="L531" t="inlineStr">
        <is>
          <t>Philadelphia : Jewish Publication Society of America, 1960.</t>
        </is>
      </c>
      <c r="M531" t="inlineStr">
        <is>
          <t>1960</t>
        </is>
      </c>
      <c r="N531" t="inlineStr">
        <is>
          <t>[1st ed.]</t>
        </is>
      </c>
      <c r="O531" t="inlineStr">
        <is>
          <t>eng</t>
        </is>
      </c>
      <c r="P531" t="inlineStr">
        <is>
          <t>pau</t>
        </is>
      </c>
      <c r="Q531" t="inlineStr">
        <is>
          <t>The Morris Loeb series</t>
        </is>
      </c>
      <c r="R531" t="inlineStr">
        <is>
          <t xml:space="preserve">DS </t>
        </is>
      </c>
      <c r="S531" t="n">
        <v>1</v>
      </c>
      <c r="T531" t="n">
        <v>1</v>
      </c>
      <c r="U531" t="inlineStr">
        <is>
          <t>2000-09-04</t>
        </is>
      </c>
      <c r="V531" t="inlineStr">
        <is>
          <t>2000-09-04</t>
        </is>
      </c>
      <c r="W531" t="inlineStr">
        <is>
          <t>1992-12-03</t>
        </is>
      </c>
      <c r="X531" t="inlineStr">
        <is>
          <t>1992-12-03</t>
        </is>
      </c>
      <c r="Y531" t="n">
        <v>549</v>
      </c>
      <c r="Z531" t="n">
        <v>437</v>
      </c>
      <c r="AA531" t="n">
        <v>592</v>
      </c>
      <c r="AB531" t="n">
        <v>2</v>
      </c>
      <c r="AC531" t="n">
        <v>3</v>
      </c>
      <c r="AD531" t="n">
        <v>20</v>
      </c>
      <c r="AE531" t="n">
        <v>34</v>
      </c>
      <c r="AF531" t="n">
        <v>5</v>
      </c>
      <c r="AG531" t="n">
        <v>14</v>
      </c>
      <c r="AH531" t="n">
        <v>7</v>
      </c>
      <c r="AI531" t="n">
        <v>8</v>
      </c>
      <c r="AJ531" t="n">
        <v>13</v>
      </c>
      <c r="AK531" t="n">
        <v>19</v>
      </c>
      <c r="AL531" t="n">
        <v>1</v>
      </c>
      <c r="AM531" t="n">
        <v>2</v>
      </c>
      <c r="AN531" t="n">
        <v>0</v>
      </c>
      <c r="AO531" t="n">
        <v>0</v>
      </c>
      <c r="AP531" t="inlineStr">
        <is>
          <t>Yes</t>
        </is>
      </c>
      <c r="AQ531" t="inlineStr">
        <is>
          <t>No</t>
        </is>
      </c>
      <c r="AR531">
        <f>HYPERLINK("http://catalog.hathitrust.org/Record/001247239","HathiTrust Record")</f>
        <v/>
      </c>
      <c r="AS531">
        <f>HYPERLINK("https://creighton-primo.hosted.exlibrisgroup.com/primo-explore/search?tab=default_tab&amp;search_scope=EVERYTHING&amp;vid=01CRU&amp;lang=en_US&amp;offset=0&amp;query=any,contains,991002713949702656","Catalog Record")</f>
        <v/>
      </c>
      <c r="AT531">
        <f>HYPERLINK("http://www.worldcat.org/oclc/410734","WorldCat Record")</f>
        <v/>
      </c>
      <c r="AU531" t="inlineStr">
        <is>
          <t>1454920:eng</t>
        </is>
      </c>
      <c r="AV531" t="inlineStr">
        <is>
          <t>410734</t>
        </is>
      </c>
      <c r="AW531" t="inlineStr">
        <is>
          <t>991002713949702656</t>
        </is>
      </c>
      <c r="AX531" t="inlineStr">
        <is>
          <t>991002713949702656</t>
        </is>
      </c>
      <c r="AY531" t="inlineStr">
        <is>
          <t>2262560140002656</t>
        </is>
      </c>
      <c r="AZ531" t="inlineStr">
        <is>
          <t>BOOK</t>
        </is>
      </c>
      <c r="BC531" t="inlineStr">
        <is>
          <t>32285001412369</t>
        </is>
      </c>
      <c r="BD531" t="inlineStr">
        <is>
          <t>893886613</t>
        </is>
      </c>
    </row>
    <row r="532">
      <c r="A532" t="inlineStr">
        <is>
          <t>No</t>
        </is>
      </c>
      <c r="B532" t="inlineStr">
        <is>
          <t>DS135.I8 Z83 1987</t>
        </is>
      </c>
      <c r="C532" t="inlineStr">
        <is>
          <t>0                      DS 0135000I  8                  Z  83          1987</t>
        </is>
      </c>
      <c r="D532" t="inlineStr">
        <is>
          <t>The Italians and the Holocaust : persecution, rescue, and survival / Susan Zuccotti.</t>
        </is>
      </c>
      <c r="F532" t="inlineStr">
        <is>
          <t>No</t>
        </is>
      </c>
      <c r="G532" t="inlineStr">
        <is>
          <t>1</t>
        </is>
      </c>
      <c r="H532" t="inlineStr">
        <is>
          <t>No</t>
        </is>
      </c>
      <c r="I532" t="inlineStr">
        <is>
          <t>No</t>
        </is>
      </c>
      <c r="J532" t="inlineStr">
        <is>
          <t>0</t>
        </is>
      </c>
      <c r="K532" t="inlineStr">
        <is>
          <t>Zuccotti, Susan, 1940-</t>
        </is>
      </c>
      <c r="L532" t="inlineStr">
        <is>
          <t>New York : Basic Books, c1987.</t>
        </is>
      </c>
      <c r="M532" t="inlineStr">
        <is>
          <t>1987</t>
        </is>
      </c>
      <c r="O532" t="inlineStr">
        <is>
          <t>eng</t>
        </is>
      </c>
      <c r="P532" t="inlineStr">
        <is>
          <t>nyu</t>
        </is>
      </c>
      <c r="R532" t="inlineStr">
        <is>
          <t xml:space="preserve">DS </t>
        </is>
      </c>
      <c r="S532" t="n">
        <v>5</v>
      </c>
      <c r="T532" t="n">
        <v>5</v>
      </c>
      <c r="U532" t="inlineStr">
        <is>
          <t>2008-10-06</t>
        </is>
      </c>
      <c r="V532" t="inlineStr">
        <is>
          <t>2008-10-06</t>
        </is>
      </c>
      <c r="W532" t="inlineStr">
        <is>
          <t>1990-10-03</t>
        </is>
      </c>
      <c r="X532" t="inlineStr">
        <is>
          <t>1990-10-03</t>
        </is>
      </c>
      <c r="Y532" t="n">
        <v>1079</v>
      </c>
      <c r="Z532" t="n">
        <v>964</v>
      </c>
      <c r="AA532" t="n">
        <v>1059</v>
      </c>
      <c r="AB532" t="n">
        <v>8</v>
      </c>
      <c r="AC532" t="n">
        <v>11</v>
      </c>
      <c r="AD532" t="n">
        <v>29</v>
      </c>
      <c r="AE532" t="n">
        <v>37</v>
      </c>
      <c r="AF532" t="n">
        <v>12</v>
      </c>
      <c r="AG532" t="n">
        <v>17</v>
      </c>
      <c r="AH532" t="n">
        <v>7</v>
      </c>
      <c r="AI532" t="n">
        <v>8</v>
      </c>
      <c r="AJ532" t="n">
        <v>12</v>
      </c>
      <c r="AK532" t="n">
        <v>16</v>
      </c>
      <c r="AL532" t="n">
        <v>4</v>
      </c>
      <c r="AM532" t="n">
        <v>6</v>
      </c>
      <c r="AN532" t="n">
        <v>0</v>
      </c>
      <c r="AO532" t="n">
        <v>0</v>
      </c>
      <c r="AP532" t="inlineStr">
        <is>
          <t>No</t>
        </is>
      </c>
      <c r="AQ532" t="inlineStr">
        <is>
          <t>Yes</t>
        </is>
      </c>
      <c r="AR532">
        <f>HYPERLINK("http://catalog.hathitrust.org/Record/000814766","HathiTrust Record")</f>
        <v/>
      </c>
      <c r="AS532">
        <f>HYPERLINK("https://creighton-primo.hosted.exlibrisgroup.com/primo-explore/search?tab=default_tab&amp;search_scope=EVERYTHING&amp;vid=01CRU&amp;lang=en_US&amp;offset=0&amp;query=any,contains,991000947729702656","Catalog Record")</f>
        <v/>
      </c>
      <c r="AT532">
        <f>HYPERLINK("http://www.worldcat.org/oclc/14588463","WorldCat Record")</f>
        <v/>
      </c>
      <c r="AU532" t="inlineStr">
        <is>
          <t>9073175:eng</t>
        </is>
      </c>
      <c r="AV532" t="inlineStr">
        <is>
          <t>14588463</t>
        </is>
      </c>
      <c r="AW532" t="inlineStr">
        <is>
          <t>991000947729702656</t>
        </is>
      </c>
      <c r="AX532" t="inlineStr">
        <is>
          <t>991000947729702656</t>
        </is>
      </c>
      <c r="AY532" t="inlineStr">
        <is>
          <t>2271557920002656</t>
        </is>
      </c>
      <c r="AZ532" t="inlineStr">
        <is>
          <t>BOOK</t>
        </is>
      </c>
      <c r="BB532" t="inlineStr">
        <is>
          <t>9780465036226</t>
        </is>
      </c>
      <c r="BC532" t="inlineStr">
        <is>
          <t>32285000294545</t>
        </is>
      </c>
      <c r="BD532" t="inlineStr">
        <is>
          <t>893808883</t>
        </is>
      </c>
    </row>
    <row r="533">
      <c r="A533" t="inlineStr">
        <is>
          <t>No</t>
        </is>
      </c>
      <c r="B533" t="inlineStr">
        <is>
          <t>DS135.I8 Z87 2000</t>
        </is>
      </c>
      <c r="C533" t="inlineStr">
        <is>
          <t>0                      DS 0135000I  8                  Z  87          2000</t>
        </is>
      </c>
      <c r="D533" t="inlineStr">
        <is>
          <t>Under his very windows : the Vatican and the Holocaust in Italy / Susan Zuccotti.</t>
        </is>
      </c>
      <c r="F533" t="inlineStr">
        <is>
          <t>No</t>
        </is>
      </c>
      <c r="G533" t="inlineStr">
        <is>
          <t>1</t>
        </is>
      </c>
      <c r="H533" t="inlineStr">
        <is>
          <t>No</t>
        </is>
      </c>
      <c r="I533" t="inlineStr">
        <is>
          <t>No</t>
        </is>
      </c>
      <c r="J533" t="inlineStr">
        <is>
          <t>0</t>
        </is>
      </c>
      <c r="K533" t="inlineStr">
        <is>
          <t>Zuccotti, Susan, 1940-</t>
        </is>
      </c>
      <c r="L533" t="inlineStr">
        <is>
          <t>New Haven [Conn.] : Yale University Press, c2000.</t>
        </is>
      </c>
      <c r="M533" t="inlineStr">
        <is>
          <t>2000</t>
        </is>
      </c>
      <c r="O533" t="inlineStr">
        <is>
          <t>eng</t>
        </is>
      </c>
      <c r="P533" t="inlineStr">
        <is>
          <t>ctu</t>
        </is>
      </c>
      <c r="R533" t="inlineStr">
        <is>
          <t xml:space="preserve">DS </t>
        </is>
      </c>
      <c r="S533" t="n">
        <v>6</v>
      </c>
      <c r="T533" t="n">
        <v>6</v>
      </c>
      <c r="U533" t="inlineStr">
        <is>
          <t>2008-11-26</t>
        </is>
      </c>
      <c r="V533" t="inlineStr">
        <is>
          <t>2008-11-26</t>
        </is>
      </c>
      <c r="W533" t="inlineStr">
        <is>
          <t>2001-02-06</t>
        </is>
      </c>
      <c r="X533" t="inlineStr">
        <is>
          <t>2001-02-06</t>
        </is>
      </c>
      <c r="Y533" t="n">
        <v>1221</v>
      </c>
      <c r="Z533" t="n">
        <v>1084</v>
      </c>
      <c r="AA533" t="n">
        <v>1161</v>
      </c>
      <c r="AB533" t="n">
        <v>8</v>
      </c>
      <c r="AC533" t="n">
        <v>8</v>
      </c>
      <c r="AD533" t="n">
        <v>46</v>
      </c>
      <c r="AE533" t="n">
        <v>47</v>
      </c>
      <c r="AF533" t="n">
        <v>22</v>
      </c>
      <c r="AG533" t="n">
        <v>23</v>
      </c>
      <c r="AH533" t="n">
        <v>11</v>
      </c>
      <c r="AI533" t="n">
        <v>11</v>
      </c>
      <c r="AJ533" t="n">
        <v>23</v>
      </c>
      <c r="AK533" t="n">
        <v>23</v>
      </c>
      <c r="AL533" t="n">
        <v>4</v>
      </c>
      <c r="AM533" t="n">
        <v>4</v>
      </c>
      <c r="AN533" t="n">
        <v>0</v>
      </c>
      <c r="AO533" t="n">
        <v>0</v>
      </c>
      <c r="AP533" t="inlineStr">
        <is>
          <t>No</t>
        </is>
      </c>
      <c r="AQ533" t="inlineStr">
        <is>
          <t>No</t>
        </is>
      </c>
      <c r="AS533">
        <f>HYPERLINK("https://creighton-primo.hosted.exlibrisgroup.com/primo-explore/search?tab=default_tab&amp;search_scope=EVERYTHING&amp;vid=01CRU&amp;lang=en_US&amp;offset=0&amp;query=any,contains,991003472779702656","Catalog Record")</f>
        <v/>
      </c>
      <c r="AT533">
        <f>HYPERLINK("http://www.worldcat.org/oclc/44447046","WorldCat Record")</f>
        <v/>
      </c>
      <c r="AU533" t="inlineStr">
        <is>
          <t>3856226687:eng</t>
        </is>
      </c>
      <c r="AV533" t="inlineStr">
        <is>
          <t>44447046</t>
        </is>
      </c>
      <c r="AW533" t="inlineStr">
        <is>
          <t>991003472779702656</t>
        </is>
      </c>
      <c r="AX533" t="inlineStr">
        <is>
          <t>991003472779702656</t>
        </is>
      </c>
      <c r="AY533" t="inlineStr">
        <is>
          <t>2269712130002656</t>
        </is>
      </c>
      <c r="AZ533" t="inlineStr">
        <is>
          <t>BOOK</t>
        </is>
      </c>
      <c r="BB533" t="inlineStr">
        <is>
          <t>9780300084870</t>
        </is>
      </c>
      <c r="BC533" t="inlineStr">
        <is>
          <t>32285004294061</t>
        </is>
      </c>
      <c r="BD533" t="inlineStr">
        <is>
          <t>893799752</t>
        </is>
      </c>
    </row>
    <row r="534">
      <c r="A534" t="inlineStr">
        <is>
          <t>No</t>
        </is>
      </c>
      <c r="B534" t="inlineStr">
        <is>
          <t>DS135.I9 C288 1981</t>
        </is>
      </c>
      <c r="C534" t="inlineStr">
        <is>
          <t>0                      DS 0135000I  9                  C  288         1981</t>
        </is>
      </c>
      <c r="D534" t="inlineStr">
        <is>
          <t>From Spanish court to Italian ghetto : Isaac Cardoso : a study in seventeenth-century marranism and Jewish apologetics / Yosef Hayim Yerushalmi.</t>
        </is>
      </c>
      <c r="F534" t="inlineStr">
        <is>
          <t>No</t>
        </is>
      </c>
      <c r="G534" t="inlineStr">
        <is>
          <t>1</t>
        </is>
      </c>
      <c r="H534" t="inlineStr">
        <is>
          <t>No</t>
        </is>
      </c>
      <c r="I534" t="inlineStr">
        <is>
          <t>No</t>
        </is>
      </c>
      <c r="J534" t="inlineStr">
        <is>
          <t>0</t>
        </is>
      </c>
      <c r="K534" t="inlineStr">
        <is>
          <t>Yerushalmi, Yosef Hayim, 1932-2009.</t>
        </is>
      </c>
      <c r="L534" t="inlineStr">
        <is>
          <t>Seattle : University of Washington Press, 1981.</t>
        </is>
      </c>
      <c r="M534" t="inlineStr">
        <is>
          <t>1981</t>
        </is>
      </c>
      <c r="O534" t="inlineStr">
        <is>
          <t>eng</t>
        </is>
      </c>
      <c r="P534" t="inlineStr">
        <is>
          <t>wau</t>
        </is>
      </c>
      <c r="R534" t="inlineStr">
        <is>
          <t xml:space="preserve">DS </t>
        </is>
      </c>
      <c r="S534" t="n">
        <v>4</v>
      </c>
      <c r="T534" t="n">
        <v>4</v>
      </c>
      <c r="U534" t="inlineStr">
        <is>
          <t>2000-02-10</t>
        </is>
      </c>
      <c r="V534" t="inlineStr">
        <is>
          <t>2000-02-10</t>
        </is>
      </c>
      <c r="W534" t="inlineStr">
        <is>
          <t>1990-10-03</t>
        </is>
      </c>
      <c r="X534" t="inlineStr">
        <is>
          <t>1990-10-03</t>
        </is>
      </c>
      <c r="Y534" t="n">
        <v>92</v>
      </c>
      <c r="Z534" t="n">
        <v>81</v>
      </c>
      <c r="AA534" t="n">
        <v>347</v>
      </c>
      <c r="AB534" t="n">
        <v>1</v>
      </c>
      <c r="AC534" t="n">
        <v>3</v>
      </c>
      <c r="AD534" t="n">
        <v>4</v>
      </c>
      <c r="AE534" t="n">
        <v>21</v>
      </c>
      <c r="AF534" t="n">
        <v>3</v>
      </c>
      <c r="AG534" t="n">
        <v>8</v>
      </c>
      <c r="AH534" t="n">
        <v>1</v>
      </c>
      <c r="AI534" t="n">
        <v>7</v>
      </c>
      <c r="AJ534" t="n">
        <v>1</v>
      </c>
      <c r="AK534" t="n">
        <v>10</v>
      </c>
      <c r="AL534" t="n">
        <v>0</v>
      </c>
      <c r="AM534" t="n">
        <v>2</v>
      </c>
      <c r="AN534" t="n">
        <v>0</v>
      </c>
      <c r="AO534" t="n">
        <v>0</v>
      </c>
      <c r="AP534" t="inlineStr">
        <is>
          <t>No</t>
        </is>
      </c>
      <c r="AQ534" t="inlineStr">
        <is>
          <t>No</t>
        </is>
      </c>
      <c r="AS534">
        <f>HYPERLINK("https://creighton-primo.hosted.exlibrisgroup.com/primo-explore/search?tab=default_tab&amp;search_scope=EVERYTHING&amp;vid=01CRU&amp;lang=en_US&amp;offset=0&amp;query=any,contains,991005079249702656","Catalog Record")</f>
        <v/>
      </c>
      <c r="AT534">
        <f>HYPERLINK("http://www.worldcat.org/oclc/7169317","WorldCat Record")</f>
        <v/>
      </c>
      <c r="AU534" t="inlineStr">
        <is>
          <t>374637951:eng</t>
        </is>
      </c>
      <c r="AV534" t="inlineStr">
        <is>
          <t>7169317</t>
        </is>
      </c>
      <c r="AW534" t="inlineStr">
        <is>
          <t>991005079249702656</t>
        </is>
      </c>
      <c r="AX534" t="inlineStr">
        <is>
          <t>991005079249702656</t>
        </is>
      </c>
      <c r="AY534" t="inlineStr">
        <is>
          <t>2268687600002656</t>
        </is>
      </c>
      <c r="AZ534" t="inlineStr">
        <is>
          <t>BOOK</t>
        </is>
      </c>
      <c r="BB534" t="inlineStr">
        <is>
          <t>9780295958248</t>
        </is>
      </c>
      <c r="BC534" t="inlineStr">
        <is>
          <t>32285000294552</t>
        </is>
      </c>
      <c r="BD534" t="inlineStr">
        <is>
          <t>893254429</t>
        </is>
      </c>
    </row>
    <row r="535">
      <c r="A535" t="inlineStr">
        <is>
          <t>No</t>
        </is>
      </c>
      <c r="B535" t="inlineStr">
        <is>
          <t>DS135.I9 M595 1998</t>
        </is>
      </c>
      <c r="C535" t="inlineStr">
        <is>
          <t>0                      DS 0135000I  9                  M  595         1998</t>
        </is>
      </c>
      <c r="D535" t="inlineStr">
        <is>
          <t>The kidnapping of Edgardo Mortara / David I. Kertzer.</t>
        </is>
      </c>
      <c r="F535" t="inlineStr">
        <is>
          <t>No</t>
        </is>
      </c>
      <c r="G535" t="inlineStr">
        <is>
          <t>1</t>
        </is>
      </c>
      <c r="H535" t="inlineStr">
        <is>
          <t>No</t>
        </is>
      </c>
      <c r="I535" t="inlineStr">
        <is>
          <t>No</t>
        </is>
      </c>
      <c r="J535" t="inlineStr">
        <is>
          <t>0</t>
        </is>
      </c>
      <c r="K535" t="inlineStr">
        <is>
          <t>Kertzer, David I., 1948-</t>
        </is>
      </c>
      <c r="L535" t="inlineStr">
        <is>
          <t>New York : Vintage Books, 1998.</t>
        </is>
      </c>
      <c r="M535" t="inlineStr">
        <is>
          <t>1998</t>
        </is>
      </c>
      <c r="N535" t="inlineStr">
        <is>
          <t>1st Vintage Books ed.</t>
        </is>
      </c>
      <c r="O535" t="inlineStr">
        <is>
          <t>eng</t>
        </is>
      </c>
      <c r="P535" t="inlineStr">
        <is>
          <t>nyu</t>
        </is>
      </c>
      <c r="R535" t="inlineStr">
        <is>
          <t xml:space="preserve">DS </t>
        </is>
      </c>
      <c r="S535" t="n">
        <v>2</v>
      </c>
      <c r="T535" t="n">
        <v>2</v>
      </c>
      <c r="U535" t="inlineStr">
        <is>
          <t>2000-11-08</t>
        </is>
      </c>
      <c r="V535" t="inlineStr">
        <is>
          <t>2000-11-08</t>
        </is>
      </c>
      <c r="W535" t="inlineStr">
        <is>
          <t>2000-11-08</t>
        </is>
      </c>
      <c r="X535" t="inlineStr">
        <is>
          <t>2000-11-08</t>
        </is>
      </c>
      <c r="Y535" t="n">
        <v>121</v>
      </c>
      <c r="Z535" t="n">
        <v>108</v>
      </c>
      <c r="AA535" t="n">
        <v>831</v>
      </c>
      <c r="AB535" t="n">
        <v>2</v>
      </c>
      <c r="AC535" t="n">
        <v>6</v>
      </c>
      <c r="AD535" t="n">
        <v>4</v>
      </c>
      <c r="AE535" t="n">
        <v>41</v>
      </c>
      <c r="AF535" t="n">
        <v>0</v>
      </c>
      <c r="AG535" t="n">
        <v>17</v>
      </c>
      <c r="AH535" t="n">
        <v>2</v>
      </c>
      <c r="AI535" t="n">
        <v>10</v>
      </c>
      <c r="AJ535" t="n">
        <v>2</v>
      </c>
      <c r="AK535" t="n">
        <v>22</v>
      </c>
      <c r="AL535" t="n">
        <v>1</v>
      </c>
      <c r="AM535" t="n">
        <v>4</v>
      </c>
      <c r="AN535" t="n">
        <v>0</v>
      </c>
      <c r="AO535" t="n">
        <v>1</v>
      </c>
      <c r="AP535" t="inlineStr">
        <is>
          <t>No</t>
        </is>
      </c>
      <c r="AQ535" t="inlineStr">
        <is>
          <t>No</t>
        </is>
      </c>
      <c r="AS535">
        <f>HYPERLINK("https://creighton-primo.hosted.exlibrisgroup.com/primo-explore/search?tab=default_tab&amp;search_scope=EVERYTHING&amp;vid=01CRU&amp;lang=en_US&amp;offset=0&amp;query=any,contains,991003280709702656","Catalog Record")</f>
        <v/>
      </c>
      <c r="AT535">
        <f>HYPERLINK("http://www.worldcat.org/oclc/39543202","WorldCat Record")</f>
        <v/>
      </c>
      <c r="AU535" t="inlineStr">
        <is>
          <t>27552860:eng</t>
        </is>
      </c>
      <c r="AV535" t="inlineStr">
        <is>
          <t>39543202</t>
        </is>
      </c>
      <c r="AW535" t="inlineStr">
        <is>
          <t>991003280709702656</t>
        </is>
      </c>
      <c r="AX535" t="inlineStr">
        <is>
          <t>991003280709702656</t>
        </is>
      </c>
      <c r="AY535" t="inlineStr">
        <is>
          <t>2255721180002656</t>
        </is>
      </c>
      <c r="AZ535" t="inlineStr">
        <is>
          <t>BOOK</t>
        </is>
      </c>
      <c r="BB535" t="inlineStr">
        <is>
          <t>9780679768173</t>
        </is>
      </c>
      <c r="BC535" t="inlineStr">
        <is>
          <t>32285004264205</t>
        </is>
      </c>
      <c r="BD535" t="inlineStr">
        <is>
          <t>893336327</t>
        </is>
      </c>
    </row>
    <row r="536">
      <c r="A536" t="inlineStr">
        <is>
          <t>No</t>
        </is>
      </c>
      <c r="B536" t="inlineStr">
        <is>
          <t>DS135.K8 S23 2008</t>
        </is>
      </c>
      <c r="C536" t="inlineStr">
        <is>
          <t>0                      DS 0135000K  8                  S  23          2008</t>
        </is>
      </c>
      <c r="D536" t="inlineStr">
        <is>
          <t>My father's paradise : a son's search for his Jewish past in Kurdish Iraq / Ariel Sabar.</t>
        </is>
      </c>
      <c r="F536" t="inlineStr">
        <is>
          <t>No</t>
        </is>
      </c>
      <c r="G536" t="inlineStr">
        <is>
          <t>1</t>
        </is>
      </c>
      <c r="H536" t="inlineStr">
        <is>
          <t>No</t>
        </is>
      </c>
      <c r="I536" t="inlineStr">
        <is>
          <t>No</t>
        </is>
      </c>
      <c r="J536" t="inlineStr">
        <is>
          <t>0</t>
        </is>
      </c>
      <c r="K536" t="inlineStr">
        <is>
          <t>Sabar, Ariel.</t>
        </is>
      </c>
      <c r="L536" t="inlineStr">
        <is>
          <t>Chapel Hill, N.C. : Algonquin Books of Chapel Hill, 2008.</t>
        </is>
      </c>
      <c r="M536" t="inlineStr">
        <is>
          <t>2008</t>
        </is>
      </c>
      <c r="N536" t="inlineStr">
        <is>
          <t>1st ed.</t>
        </is>
      </c>
      <c r="O536" t="inlineStr">
        <is>
          <t>eng</t>
        </is>
      </c>
      <c r="P536" t="inlineStr">
        <is>
          <t>ncu</t>
        </is>
      </c>
      <c r="R536" t="inlineStr">
        <is>
          <t xml:space="preserve">DS </t>
        </is>
      </c>
      <c r="S536" t="n">
        <v>1</v>
      </c>
      <c r="T536" t="n">
        <v>1</v>
      </c>
      <c r="U536" t="inlineStr">
        <is>
          <t>2009-04-20</t>
        </is>
      </c>
      <c r="V536" t="inlineStr">
        <is>
          <t>2009-04-20</t>
        </is>
      </c>
      <c r="W536" t="inlineStr">
        <is>
          <t>2009-04-20</t>
        </is>
      </c>
      <c r="X536" t="inlineStr">
        <is>
          <t>2009-04-20</t>
        </is>
      </c>
      <c r="Y536" t="n">
        <v>775</v>
      </c>
      <c r="Z536" t="n">
        <v>721</v>
      </c>
      <c r="AA536" t="n">
        <v>727</v>
      </c>
      <c r="AB536" t="n">
        <v>8</v>
      </c>
      <c r="AC536" t="n">
        <v>8</v>
      </c>
      <c r="AD536" t="n">
        <v>15</v>
      </c>
      <c r="AE536" t="n">
        <v>15</v>
      </c>
      <c r="AF536" t="n">
        <v>5</v>
      </c>
      <c r="AG536" t="n">
        <v>5</v>
      </c>
      <c r="AH536" t="n">
        <v>4</v>
      </c>
      <c r="AI536" t="n">
        <v>4</v>
      </c>
      <c r="AJ536" t="n">
        <v>6</v>
      </c>
      <c r="AK536" t="n">
        <v>6</v>
      </c>
      <c r="AL536" t="n">
        <v>2</v>
      </c>
      <c r="AM536" t="n">
        <v>2</v>
      </c>
      <c r="AN536" t="n">
        <v>0</v>
      </c>
      <c r="AO536" t="n">
        <v>0</v>
      </c>
      <c r="AP536" t="inlineStr">
        <is>
          <t>No</t>
        </is>
      </c>
      <c r="AQ536" t="inlineStr">
        <is>
          <t>No</t>
        </is>
      </c>
      <c r="AS536">
        <f>HYPERLINK("https://creighton-primo.hosted.exlibrisgroup.com/primo-explore/search?tab=default_tab&amp;search_scope=EVERYTHING&amp;vid=01CRU&amp;lang=en_US&amp;offset=0&amp;query=any,contains,991005311989702656","Catalog Record")</f>
        <v/>
      </c>
      <c r="AT536">
        <f>HYPERLINK("http://www.worldcat.org/oclc/226356853","WorldCat Record")</f>
        <v/>
      </c>
      <c r="AU536" t="inlineStr">
        <is>
          <t>10200554689:eng</t>
        </is>
      </c>
      <c r="AV536" t="inlineStr">
        <is>
          <t>226356853</t>
        </is>
      </c>
      <c r="AW536" t="inlineStr">
        <is>
          <t>991005311989702656</t>
        </is>
      </c>
      <c r="AX536" t="inlineStr">
        <is>
          <t>991005311989702656</t>
        </is>
      </c>
      <c r="AY536" t="inlineStr">
        <is>
          <t>2257114590002656</t>
        </is>
      </c>
      <c r="AZ536" t="inlineStr">
        <is>
          <t>BOOK</t>
        </is>
      </c>
      <c r="BB536" t="inlineStr">
        <is>
          <t>9781565124905</t>
        </is>
      </c>
      <c r="BC536" t="inlineStr">
        <is>
          <t>32285005516843</t>
        </is>
      </c>
      <c r="BD536" t="inlineStr">
        <is>
          <t>893446732</t>
        </is>
      </c>
    </row>
    <row r="537">
      <c r="A537" t="inlineStr">
        <is>
          <t>No</t>
        </is>
      </c>
      <c r="B537" t="inlineStr">
        <is>
          <t>DS135.L4 K54 2001</t>
        </is>
      </c>
      <c r="C537" t="inlineStr">
        <is>
          <t>0                      DS 0135000L  4                  K  54          2001</t>
        </is>
      </c>
      <c r="D537" t="inlineStr">
        <is>
          <t>At the entrance to the Garden of Eden : a Jew's search for God with Christians and Muslims in the Holy Land / Yossi Klein Halevi.</t>
        </is>
      </c>
      <c r="F537" t="inlineStr">
        <is>
          <t>No</t>
        </is>
      </c>
      <c r="G537" t="inlineStr">
        <is>
          <t>1</t>
        </is>
      </c>
      <c r="H537" t="inlineStr">
        <is>
          <t>No</t>
        </is>
      </c>
      <c r="I537" t="inlineStr">
        <is>
          <t>No</t>
        </is>
      </c>
      <c r="J537" t="inlineStr">
        <is>
          <t>0</t>
        </is>
      </c>
      <c r="K537" t="inlineStr">
        <is>
          <t>Klein Halevi, Yossi, 1953-</t>
        </is>
      </c>
      <c r="L537" t="inlineStr">
        <is>
          <t>New York, NY : W. Morrow, c2001</t>
        </is>
      </c>
      <c r="M537" t="inlineStr">
        <is>
          <t>2001</t>
        </is>
      </c>
      <c r="N537" t="inlineStr">
        <is>
          <t>1st ed.</t>
        </is>
      </c>
      <c r="O537" t="inlineStr">
        <is>
          <t>eng</t>
        </is>
      </c>
      <c r="P537" t="inlineStr">
        <is>
          <t>nyu</t>
        </is>
      </c>
      <c r="R537" t="inlineStr">
        <is>
          <t xml:space="preserve">DS </t>
        </is>
      </c>
      <c r="S537" t="n">
        <v>1</v>
      </c>
      <c r="T537" t="n">
        <v>1</v>
      </c>
      <c r="U537" t="inlineStr">
        <is>
          <t>2001-11-14</t>
        </is>
      </c>
      <c r="V537" t="inlineStr">
        <is>
          <t>2001-11-14</t>
        </is>
      </c>
      <c r="W537" t="inlineStr">
        <is>
          <t>2001-11-13</t>
        </is>
      </c>
      <c r="X537" t="inlineStr">
        <is>
          <t>2001-11-13</t>
        </is>
      </c>
      <c r="Y537" t="n">
        <v>444</v>
      </c>
      <c r="Z537" t="n">
        <v>415</v>
      </c>
      <c r="AA537" t="n">
        <v>538</v>
      </c>
      <c r="AB537" t="n">
        <v>2</v>
      </c>
      <c r="AC537" t="n">
        <v>2</v>
      </c>
      <c r="AD537" t="n">
        <v>16</v>
      </c>
      <c r="AE537" t="n">
        <v>27</v>
      </c>
      <c r="AF537" t="n">
        <v>6</v>
      </c>
      <c r="AG537" t="n">
        <v>12</v>
      </c>
      <c r="AH537" t="n">
        <v>5</v>
      </c>
      <c r="AI537" t="n">
        <v>8</v>
      </c>
      <c r="AJ537" t="n">
        <v>11</v>
      </c>
      <c r="AK537" t="n">
        <v>16</v>
      </c>
      <c r="AL537" t="n">
        <v>1</v>
      </c>
      <c r="AM537" t="n">
        <v>1</v>
      </c>
      <c r="AN537" t="n">
        <v>0</v>
      </c>
      <c r="AO537" t="n">
        <v>0</v>
      </c>
      <c r="AP537" t="inlineStr">
        <is>
          <t>No</t>
        </is>
      </c>
      <c r="AQ537" t="inlineStr">
        <is>
          <t>No</t>
        </is>
      </c>
      <c r="AS537">
        <f>HYPERLINK("https://creighton-primo.hosted.exlibrisgroup.com/primo-explore/search?tab=default_tab&amp;search_scope=EVERYTHING&amp;vid=01CRU&amp;lang=en_US&amp;offset=0&amp;query=any,contains,991003651819702656","Catalog Record")</f>
        <v/>
      </c>
      <c r="AT537">
        <f>HYPERLINK("http://www.worldcat.org/oclc/47961827","WorldCat Record")</f>
        <v/>
      </c>
      <c r="AU537" t="inlineStr">
        <is>
          <t>979304:eng</t>
        </is>
      </c>
      <c r="AV537" t="inlineStr">
        <is>
          <t>47961827</t>
        </is>
      </c>
      <c r="AW537" t="inlineStr">
        <is>
          <t>991003651819702656</t>
        </is>
      </c>
      <c r="AX537" t="inlineStr">
        <is>
          <t>991003651819702656</t>
        </is>
      </c>
      <c r="AY537" t="inlineStr">
        <is>
          <t>2272495950002656</t>
        </is>
      </c>
      <c r="AZ537" t="inlineStr">
        <is>
          <t>BOOK</t>
        </is>
      </c>
      <c r="BB537" t="inlineStr">
        <is>
          <t>9780688169084</t>
        </is>
      </c>
      <c r="BC537" t="inlineStr">
        <is>
          <t>32285004410733</t>
        </is>
      </c>
      <c r="BD537" t="inlineStr">
        <is>
          <t>893711610</t>
        </is>
      </c>
    </row>
    <row r="538">
      <c r="A538" t="inlineStr">
        <is>
          <t>No</t>
        </is>
      </c>
      <c r="B538" t="inlineStr">
        <is>
          <t>DS135.L52 E36 1998</t>
        </is>
      </c>
      <c r="C538" t="inlineStr">
        <is>
          <t>0                      DS 0135000L  52                 E  36          1998</t>
        </is>
      </c>
      <c r="D538" t="inlineStr">
        <is>
          <t>There once was a world : a nine-hundred-year chronicle of the shtetl of Eishyshok / Yaffa Eliach.</t>
        </is>
      </c>
      <c r="F538" t="inlineStr">
        <is>
          <t>No</t>
        </is>
      </c>
      <c r="G538" t="inlineStr">
        <is>
          <t>1</t>
        </is>
      </c>
      <c r="H538" t="inlineStr">
        <is>
          <t>No</t>
        </is>
      </c>
      <c r="I538" t="inlineStr">
        <is>
          <t>No</t>
        </is>
      </c>
      <c r="J538" t="inlineStr">
        <is>
          <t>0</t>
        </is>
      </c>
      <c r="K538" t="inlineStr">
        <is>
          <t>Eliach, Yaffa.</t>
        </is>
      </c>
      <c r="L538" t="inlineStr">
        <is>
          <t>Boston : Little, Brown, c1998.</t>
        </is>
      </c>
      <c r="M538" t="inlineStr">
        <is>
          <t>1998</t>
        </is>
      </c>
      <c r="N538" t="inlineStr">
        <is>
          <t>1st ed.</t>
        </is>
      </c>
      <c r="O538" t="inlineStr">
        <is>
          <t>eng</t>
        </is>
      </c>
      <c r="P538" t="inlineStr">
        <is>
          <t>mau</t>
        </is>
      </c>
      <c r="R538" t="inlineStr">
        <is>
          <t xml:space="preserve">DS </t>
        </is>
      </c>
      <c r="S538" t="n">
        <v>2</v>
      </c>
      <c r="T538" t="n">
        <v>2</v>
      </c>
      <c r="U538" t="inlineStr">
        <is>
          <t>2002-03-19</t>
        </is>
      </c>
      <c r="V538" t="inlineStr">
        <is>
          <t>2002-03-19</t>
        </is>
      </c>
      <c r="W538" t="inlineStr">
        <is>
          <t>2001-08-30</t>
        </is>
      </c>
      <c r="X538" t="inlineStr">
        <is>
          <t>2001-08-30</t>
        </is>
      </c>
      <c r="Y538" t="n">
        <v>915</v>
      </c>
      <c r="Z538" t="n">
        <v>841</v>
      </c>
      <c r="AA538" t="n">
        <v>902</v>
      </c>
      <c r="AB538" t="n">
        <v>8</v>
      </c>
      <c r="AC538" t="n">
        <v>8</v>
      </c>
      <c r="AD538" t="n">
        <v>26</v>
      </c>
      <c r="AE538" t="n">
        <v>27</v>
      </c>
      <c r="AF538" t="n">
        <v>8</v>
      </c>
      <c r="AG538" t="n">
        <v>8</v>
      </c>
      <c r="AH538" t="n">
        <v>8</v>
      </c>
      <c r="AI538" t="n">
        <v>9</v>
      </c>
      <c r="AJ538" t="n">
        <v>12</v>
      </c>
      <c r="AK538" t="n">
        <v>13</v>
      </c>
      <c r="AL538" t="n">
        <v>4</v>
      </c>
      <c r="AM538" t="n">
        <v>4</v>
      </c>
      <c r="AN538" t="n">
        <v>0</v>
      </c>
      <c r="AO538" t="n">
        <v>0</v>
      </c>
      <c r="AP538" t="inlineStr">
        <is>
          <t>No</t>
        </is>
      </c>
      <c r="AQ538" t="inlineStr">
        <is>
          <t>No</t>
        </is>
      </c>
      <c r="AS538">
        <f>HYPERLINK("https://creighton-primo.hosted.exlibrisgroup.com/primo-explore/search?tab=default_tab&amp;search_scope=EVERYTHING&amp;vid=01CRU&amp;lang=en_US&amp;offset=0&amp;query=any,contains,991003614119702656","Catalog Record")</f>
        <v/>
      </c>
      <c r="AT538">
        <f>HYPERLINK("http://www.worldcat.org/oclc/37928476","WorldCat Record")</f>
        <v/>
      </c>
      <c r="AU538" t="inlineStr">
        <is>
          <t>793899555:eng</t>
        </is>
      </c>
      <c r="AV538" t="inlineStr">
        <is>
          <t>37928476</t>
        </is>
      </c>
      <c r="AW538" t="inlineStr">
        <is>
          <t>991003614119702656</t>
        </is>
      </c>
      <c r="AX538" t="inlineStr">
        <is>
          <t>991003614119702656</t>
        </is>
      </c>
      <c r="AY538" t="inlineStr">
        <is>
          <t>2270850200002656</t>
        </is>
      </c>
      <c r="AZ538" t="inlineStr">
        <is>
          <t>BOOK</t>
        </is>
      </c>
      <c r="BB538" t="inlineStr">
        <is>
          <t>9780316232524</t>
        </is>
      </c>
      <c r="BC538" t="inlineStr">
        <is>
          <t>32285004383559</t>
        </is>
      </c>
      <c r="BD538" t="inlineStr">
        <is>
          <t>893318180</t>
        </is>
      </c>
    </row>
    <row r="539">
      <c r="A539" t="inlineStr">
        <is>
          <t>No</t>
        </is>
      </c>
      <c r="B539" t="inlineStr">
        <is>
          <t>DS135.L52 V554813 2002</t>
        </is>
      </c>
      <c r="C539" t="inlineStr">
        <is>
          <t>0                      DS 0135000L  52                 V  554813      2002</t>
        </is>
      </c>
      <c r="D539" t="inlineStr">
        <is>
          <t>The last days of the Jerusalem of Lithuania : chronicles from the Vilna ghetto and the camps, 1939-1944 / Herman Kruk ; edited and introduced by Benjamin Harshav ; translated by Barbara Harshav.</t>
        </is>
      </c>
      <c r="F539" t="inlineStr">
        <is>
          <t>No</t>
        </is>
      </c>
      <c r="G539" t="inlineStr">
        <is>
          <t>1</t>
        </is>
      </c>
      <c r="H539" t="inlineStr">
        <is>
          <t>No</t>
        </is>
      </c>
      <c r="I539" t="inlineStr">
        <is>
          <t>No</t>
        </is>
      </c>
      <c r="J539" t="inlineStr">
        <is>
          <t>0</t>
        </is>
      </c>
      <c r="K539" t="inlineStr">
        <is>
          <t>Kruk, Herman, 1897-1944.</t>
        </is>
      </c>
      <c r="L539" t="inlineStr">
        <is>
          <t>New Haven : YIVO Institute for Jewish Research, c2002.</t>
        </is>
      </c>
      <c r="M539" t="inlineStr">
        <is>
          <t>2002</t>
        </is>
      </c>
      <c r="O539" t="inlineStr">
        <is>
          <t>eng</t>
        </is>
      </c>
      <c r="P539" t="inlineStr">
        <is>
          <t>ctu</t>
        </is>
      </c>
      <c r="R539" t="inlineStr">
        <is>
          <t xml:space="preserve">DS </t>
        </is>
      </c>
      <c r="S539" t="n">
        <v>1</v>
      </c>
      <c r="T539" t="n">
        <v>1</v>
      </c>
      <c r="U539" t="inlineStr">
        <is>
          <t>2002-10-03</t>
        </is>
      </c>
      <c r="V539" t="inlineStr">
        <is>
          <t>2002-10-03</t>
        </is>
      </c>
      <c r="W539" t="inlineStr">
        <is>
          <t>2002-09-12</t>
        </is>
      </c>
      <c r="X539" t="inlineStr">
        <is>
          <t>2002-09-12</t>
        </is>
      </c>
      <c r="Y539" t="n">
        <v>619</v>
      </c>
      <c r="Z539" t="n">
        <v>543</v>
      </c>
      <c r="AA539" t="n">
        <v>715</v>
      </c>
      <c r="AB539" t="n">
        <v>3</v>
      </c>
      <c r="AC539" t="n">
        <v>4</v>
      </c>
      <c r="AD539" t="n">
        <v>29</v>
      </c>
      <c r="AE539" t="n">
        <v>34</v>
      </c>
      <c r="AF539" t="n">
        <v>17</v>
      </c>
      <c r="AG539" t="n">
        <v>19</v>
      </c>
      <c r="AH539" t="n">
        <v>7</v>
      </c>
      <c r="AI539" t="n">
        <v>8</v>
      </c>
      <c r="AJ539" t="n">
        <v>15</v>
      </c>
      <c r="AK539" t="n">
        <v>18</v>
      </c>
      <c r="AL539" t="n">
        <v>1</v>
      </c>
      <c r="AM539" t="n">
        <v>2</v>
      </c>
      <c r="AN539" t="n">
        <v>0</v>
      </c>
      <c r="AO539" t="n">
        <v>0</v>
      </c>
      <c r="AP539" t="inlineStr">
        <is>
          <t>No</t>
        </is>
      </c>
      <c r="AQ539" t="inlineStr">
        <is>
          <t>No</t>
        </is>
      </c>
      <c r="AS539">
        <f>HYPERLINK("https://creighton-primo.hosted.exlibrisgroup.com/primo-explore/search?tab=default_tab&amp;search_scope=EVERYTHING&amp;vid=01CRU&amp;lang=en_US&amp;offset=0&amp;query=any,contains,991003886909702656","Catalog Record")</f>
        <v/>
      </c>
      <c r="AT539">
        <f>HYPERLINK("http://www.worldcat.org/oclc/48773758","WorldCat Record")</f>
        <v/>
      </c>
      <c r="AU539" t="inlineStr">
        <is>
          <t>4160187837:eng</t>
        </is>
      </c>
      <c r="AV539" t="inlineStr">
        <is>
          <t>48773758</t>
        </is>
      </c>
      <c r="AW539" t="inlineStr">
        <is>
          <t>991003886909702656</t>
        </is>
      </c>
      <c r="AX539" t="inlineStr">
        <is>
          <t>991003886909702656</t>
        </is>
      </c>
      <c r="AY539" t="inlineStr">
        <is>
          <t>2269970320002656</t>
        </is>
      </c>
      <c r="AZ539" t="inlineStr">
        <is>
          <t>BOOK</t>
        </is>
      </c>
      <c r="BB539" t="inlineStr">
        <is>
          <t>9780300044942</t>
        </is>
      </c>
      <c r="BC539" t="inlineStr">
        <is>
          <t>32285004651799</t>
        </is>
      </c>
      <c r="BD539" t="inlineStr">
        <is>
          <t>893499829</t>
        </is>
      </c>
    </row>
    <row r="540">
      <c r="A540" t="inlineStr">
        <is>
          <t>No</t>
        </is>
      </c>
      <c r="B540" t="inlineStr">
        <is>
          <t>DS135.N4 F5413 2005</t>
        </is>
      </c>
      <c r="C540" t="inlineStr">
        <is>
          <t>0                      DS 0135000N  4                  F  5413        2005</t>
        </is>
      </c>
      <c r="D540" t="inlineStr">
        <is>
          <t>Saving the children : history of the organized effort to rescue Jewish children in the Netherlands, 1942-1945 / Bert Jan Flim ; abridgement by Jozien J. Driessen-van het Reve ; translated by Jeannette K. Ringold.</t>
        </is>
      </c>
      <c r="F540" t="inlineStr">
        <is>
          <t>No</t>
        </is>
      </c>
      <c r="G540" t="inlineStr">
        <is>
          <t>1</t>
        </is>
      </c>
      <c r="H540" t="inlineStr">
        <is>
          <t>No</t>
        </is>
      </c>
      <c r="I540" t="inlineStr">
        <is>
          <t>No</t>
        </is>
      </c>
      <c r="J540" t="inlineStr">
        <is>
          <t>0</t>
        </is>
      </c>
      <c r="K540" t="inlineStr">
        <is>
          <t>Flim, Bert-Jan, 1957-</t>
        </is>
      </c>
      <c r="L540" t="inlineStr">
        <is>
          <t>Bethesda, Md. : CDL Press, c2005.</t>
        </is>
      </c>
      <c r="M540" t="inlineStr">
        <is>
          <t>2005</t>
        </is>
      </c>
      <c r="O540" t="inlineStr">
        <is>
          <t>eng</t>
        </is>
      </c>
      <c r="P540" t="inlineStr">
        <is>
          <t>mdu</t>
        </is>
      </c>
      <c r="Q540" t="inlineStr">
        <is>
          <t>Occasional publications of the Department of Near Eastern Studies and the Program of Jewish Studies, Cornell University ; [ no. 6]</t>
        </is>
      </c>
      <c r="R540" t="inlineStr">
        <is>
          <t xml:space="preserve">DS </t>
        </is>
      </c>
      <c r="S540" t="n">
        <v>2</v>
      </c>
      <c r="T540" t="n">
        <v>2</v>
      </c>
      <c r="U540" t="inlineStr">
        <is>
          <t>2010-10-12</t>
        </is>
      </c>
      <c r="V540" t="inlineStr">
        <is>
          <t>2010-10-12</t>
        </is>
      </c>
      <c r="W540" t="inlineStr">
        <is>
          <t>2010-10-12</t>
        </is>
      </c>
      <c r="X540" t="inlineStr">
        <is>
          <t>2010-10-12</t>
        </is>
      </c>
      <c r="Y540" t="n">
        <v>111</v>
      </c>
      <c r="Z540" t="n">
        <v>92</v>
      </c>
      <c r="AA540" t="n">
        <v>93</v>
      </c>
      <c r="AB540" t="n">
        <v>2</v>
      </c>
      <c r="AC540" t="n">
        <v>2</v>
      </c>
      <c r="AD540" t="n">
        <v>7</v>
      </c>
      <c r="AE540" t="n">
        <v>7</v>
      </c>
      <c r="AF540" t="n">
        <v>3</v>
      </c>
      <c r="AG540" t="n">
        <v>3</v>
      </c>
      <c r="AH540" t="n">
        <v>1</v>
      </c>
      <c r="AI540" t="n">
        <v>1</v>
      </c>
      <c r="AJ540" t="n">
        <v>5</v>
      </c>
      <c r="AK540" t="n">
        <v>5</v>
      </c>
      <c r="AL540" t="n">
        <v>0</v>
      </c>
      <c r="AM540" t="n">
        <v>0</v>
      </c>
      <c r="AN540" t="n">
        <v>0</v>
      </c>
      <c r="AO540" t="n">
        <v>0</v>
      </c>
      <c r="AP540" t="inlineStr">
        <is>
          <t>No</t>
        </is>
      </c>
      <c r="AQ540" t="inlineStr">
        <is>
          <t>No</t>
        </is>
      </c>
      <c r="AS540">
        <f>HYPERLINK("https://creighton-primo.hosted.exlibrisgroup.com/primo-explore/search?tab=default_tab&amp;search_scope=EVERYTHING&amp;vid=01CRU&amp;lang=en_US&amp;offset=0&amp;query=any,contains,991000175809702656","Catalog Record")</f>
        <v/>
      </c>
      <c r="AT540">
        <f>HYPERLINK("http://www.worldcat.org/oclc/56413552","WorldCat Record")</f>
        <v/>
      </c>
      <c r="AU540" t="inlineStr">
        <is>
          <t>972846:eng</t>
        </is>
      </c>
      <c r="AV540" t="inlineStr">
        <is>
          <t>56413552</t>
        </is>
      </c>
      <c r="AW540" t="inlineStr">
        <is>
          <t>991000175809702656</t>
        </is>
      </c>
      <c r="AX540" t="inlineStr">
        <is>
          <t>991000175809702656</t>
        </is>
      </c>
      <c r="AY540" t="inlineStr">
        <is>
          <t>2270527290002656</t>
        </is>
      </c>
      <c r="AZ540" t="inlineStr">
        <is>
          <t>BOOK</t>
        </is>
      </c>
      <c r="BB540" t="inlineStr">
        <is>
          <t>9781883053888</t>
        </is>
      </c>
      <c r="BC540" t="inlineStr">
        <is>
          <t>32285005600555</t>
        </is>
      </c>
      <c r="BD540" t="inlineStr">
        <is>
          <t>893808626</t>
        </is>
      </c>
    </row>
    <row r="541">
      <c r="A541" t="inlineStr">
        <is>
          <t>No</t>
        </is>
      </c>
      <c r="B541" t="inlineStr">
        <is>
          <t>DS135.N4 M664 1997</t>
        </is>
      </c>
      <c r="C541" t="inlineStr">
        <is>
          <t>0                      DS 0135000N  4                  M  664         1997</t>
        </is>
      </c>
      <c r="D541" t="inlineStr">
        <is>
          <t>Victims and survivors : the Nazi persecution of the Jews in the Netherlands, 1940-1945 / Bob Moore.</t>
        </is>
      </c>
      <c r="F541" t="inlineStr">
        <is>
          <t>No</t>
        </is>
      </c>
      <c r="G541" t="inlineStr">
        <is>
          <t>1</t>
        </is>
      </c>
      <c r="H541" t="inlineStr">
        <is>
          <t>No</t>
        </is>
      </c>
      <c r="I541" t="inlineStr">
        <is>
          <t>No</t>
        </is>
      </c>
      <c r="J541" t="inlineStr">
        <is>
          <t>0</t>
        </is>
      </c>
      <c r="K541" t="inlineStr">
        <is>
          <t>Moore, Bob, 1954-</t>
        </is>
      </c>
      <c r="L541" t="inlineStr">
        <is>
          <t>London ; New York : Arnold, 1997.</t>
        </is>
      </c>
      <c r="M541" t="inlineStr">
        <is>
          <t>1997</t>
        </is>
      </c>
      <c r="O541" t="inlineStr">
        <is>
          <t>eng</t>
        </is>
      </c>
      <c r="P541" t="inlineStr">
        <is>
          <t>nyu</t>
        </is>
      </c>
      <c r="R541" t="inlineStr">
        <is>
          <t xml:space="preserve">DS </t>
        </is>
      </c>
      <c r="S541" t="n">
        <v>9</v>
      </c>
      <c r="T541" t="n">
        <v>9</v>
      </c>
      <c r="U541" t="inlineStr">
        <is>
          <t>2008-06-24</t>
        </is>
      </c>
      <c r="V541" t="inlineStr">
        <is>
          <t>2008-06-24</t>
        </is>
      </c>
      <c r="W541" t="inlineStr">
        <is>
          <t>1998-11-18</t>
        </is>
      </c>
      <c r="X541" t="inlineStr">
        <is>
          <t>1998-11-18</t>
        </is>
      </c>
      <c r="Y541" t="n">
        <v>474</v>
      </c>
      <c r="Z541" t="n">
        <v>356</v>
      </c>
      <c r="AA541" t="n">
        <v>361</v>
      </c>
      <c r="AB541" t="n">
        <v>1</v>
      </c>
      <c r="AC541" t="n">
        <v>1</v>
      </c>
      <c r="AD541" t="n">
        <v>22</v>
      </c>
      <c r="AE541" t="n">
        <v>22</v>
      </c>
      <c r="AF541" t="n">
        <v>9</v>
      </c>
      <c r="AG541" t="n">
        <v>9</v>
      </c>
      <c r="AH541" t="n">
        <v>6</v>
      </c>
      <c r="AI541" t="n">
        <v>6</v>
      </c>
      <c r="AJ541" t="n">
        <v>14</v>
      </c>
      <c r="AK541" t="n">
        <v>14</v>
      </c>
      <c r="AL541" t="n">
        <v>0</v>
      </c>
      <c r="AM541" t="n">
        <v>0</v>
      </c>
      <c r="AN541" t="n">
        <v>1</v>
      </c>
      <c r="AO541" t="n">
        <v>1</v>
      </c>
      <c r="AP541" t="inlineStr">
        <is>
          <t>No</t>
        </is>
      </c>
      <c r="AQ541" t="inlineStr">
        <is>
          <t>No</t>
        </is>
      </c>
      <c r="AS541">
        <f>HYPERLINK("https://creighton-primo.hosted.exlibrisgroup.com/primo-explore/search?tab=default_tab&amp;search_scope=EVERYTHING&amp;vid=01CRU&amp;lang=en_US&amp;offset=0&amp;query=any,contains,991002765919702656","Catalog Record")</f>
        <v/>
      </c>
      <c r="AT541">
        <f>HYPERLINK("http://www.worldcat.org/oclc/36292914","WorldCat Record")</f>
        <v/>
      </c>
      <c r="AU541" t="inlineStr">
        <is>
          <t>864594194:eng</t>
        </is>
      </c>
      <c r="AV541" t="inlineStr">
        <is>
          <t>36292914</t>
        </is>
      </c>
      <c r="AW541" t="inlineStr">
        <is>
          <t>991002765919702656</t>
        </is>
      </c>
      <c r="AX541" t="inlineStr">
        <is>
          <t>991002765919702656</t>
        </is>
      </c>
      <c r="AY541" t="inlineStr">
        <is>
          <t>2256987460002656</t>
        </is>
      </c>
      <c r="AZ541" t="inlineStr">
        <is>
          <t>BOOK</t>
        </is>
      </c>
      <c r="BB541" t="inlineStr">
        <is>
          <t>9780340495636</t>
        </is>
      </c>
      <c r="BC541" t="inlineStr">
        <is>
          <t>32285005446736</t>
        </is>
      </c>
      <c r="BD541" t="inlineStr">
        <is>
          <t>893352508</t>
        </is>
      </c>
    </row>
    <row r="542">
      <c r="A542" t="inlineStr">
        <is>
          <t>No</t>
        </is>
      </c>
      <c r="B542" t="inlineStr">
        <is>
          <t>DS135.N6 L455 1996</t>
        </is>
      </c>
      <c r="C542" t="inlineStr">
        <is>
          <t>0                      DS 0135000N  6                  L  455         1996</t>
        </is>
      </c>
      <c r="D542" t="inlineStr">
        <is>
          <t>Faith at the brink : an autobiography of the formative years : including the epochal Holocaust period and historical perspectives / by Osher M. Lehmann.</t>
        </is>
      </c>
      <c r="F542" t="inlineStr">
        <is>
          <t>No</t>
        </is>
      </c>
      <c r="G542" t="inlineStr">
        <is>
          <t>1</t>
        </is>
      </c>
      <c r="H542" t="inlineStr">
        <is>
          <t>No</t>
        </is>
      </c>
      <c r="I542" t="inlineStr">
        <is>
          <t>No</t>
        </is>
      </c>
      <c r="J542" t="inlineStr">
        <is>
          <t>0</t>
        </is>
      </c>
      <c r="K542" t="inlineStr">
        <is>
          <t>Lehmann, Osher M., 1933-</t>
        </is>
      </c>
      <c r="L542" t="inlineStr">
        <is>
          <t>Brooklyn, N.Y. : Lehmann Books : Distributed by Judaica Press, 1996.</t>
        </is>
      </c>
      <c r="M542" t="inlineStr">
        <is>
          <t>1996</t>
        </is>
      </c>
      <c r="O542" t="inlineStr">
        <is>
          <t>eng</t>
        </is>
      </c>
      <c r="P542" t="inlineStr">
        <is>
          <t>nyu</t>
        </is>
      </c>
      <c r="R542" t="inlineStr">
        <is>
          <t xml:space="preserve">DS </t>
        </is>
      </c>
      <c r="S542" t="n">
        <v>1</v>
      </c>
      <c r="T542" t="n">
        <v>1</v>
      </c>
      <c r="U542" t="inlineStr">
        <is>
          <t>2006-11-20</t>
        </is>
      </c>
      <c r="V542" t="inlineStr">
        <is>
          <t>2006-11-20</t>
        </is>
      </c>
      <c r="W542" t="inlineStr">
        <is>
          <t>2006-11-20</t>
        </is>
      </c>
      <c r="X542" t="inlineStr">
        <is>
          <t>2006-11-20</t>
        </is>
      </c>
      <c r="Y542" t="n">
        <v>28</v>
      </c>
      <c r="Z542" t="n">
        <v>22</v>
      </c>
      <c r="AA542" t="n">
        <v>22</v>
      </c>
      <c r="AB542" t="n">
        <v>1</v>
      </c>
      <c r="AC542" t="n">
        <v>1</v>
      </c>
      <c r="AD542" t="n">
        <v>0</v>
      </c>
      <c r="AE542" t="n">
        <v>0</v>
      </c>
      <c r="AF542" t="n">
        <v>0</v>
      </c>
      <c r="AG542" t="n">
        <v>0</v>
      </c>
      <c r="AH542" t="n">
        <v>0</v>
      </c>
      <c r="AI542" t="n">
        <v>0</v>
      </c>
      <c r="AJ542" t="n">
        <v>0</v>
      </c>
      <c r="AK542" t="n">
        <v>0</v>
      </c>
      <c r="AL542" t="n">
        <v>0</v>
      </c>
      <c r="AM542" t="n">
        <v>0</v>
      </c>
      <c r="AN542" t="n">
        <v>0</v>
      </c>
      <c r="AO542" t="n">
        <v>0</v>
      </c>
      <c r="AP542" t="inlineStr">
        <is>
          <t>No</t>
        </is>
      </c>
      <c r="AQ542" t="inlineStr">
        <is>
          <t>No</t>
        </is>
      </c>
      <c r="AS542">
        <f>HYPERLINK("https://creighton-primo.hosted.exlibrisgroup.com/primo-explore/search?tab=default_tab&amp;search_scope=EVERYTHING&amp;vid=01CRU&amp;lang=en_US&amp;offset=0&amp;query=any,contains,991004984039702656","Catalog Record")</f>
        <v/>
      </c>
      <c r="AT542">
        <f>HYPERLINK("http://www.worldcat.org/oclc/35856865","WorldCat Record")</f>
        <v/>
      </c>
      <c r="AU542" t="inlineStr">
        <is>
          <t>663127:eng</t>
        </is>
      </c>
      <c r="AV542" t="inlineStr">
        <is>
          <t>35856865</t>
        </is>
      </c>
      <c r="AW542" t="inlineStr">
        <is>
          <t>991004984039702656</t>
        </is>
      </c>
      <c r="AX542" t="inlineStr">
        <is>
          <t>991004984039702656</t>
        </is>
      </c>
      <c r="AY542" t="inlineStr">
        <is>
          <t>2270988460002656</t>
        </is>
      </c>
      <c r="AZ542" t="inlineStr">
        <is>
          <t>BOOK</t>
        </is>
      </c>
      <c r="BB542" t="inlineStr">
        <is>
          <t>9780965309806</t>
        </is>
      </c>
      <c r="BC542" t="inlineStr">
        <is>
          <t>32285005260806</t>
        </is>
      </c>
      <c r="BD542" t="inlineStr">
        <is>
          <t>893807689</t>
        </is>
      </c>
    </row>
    <row r="543">
      <c r="A543" t="inlineStr">
        <is>
          <t>No</t>
        </is>
      </c>
      <c r="B543" t="inlineStr">
        <is>
          <t>DS135.N6 N4613 1999b</t>
        </is>
      </c>
      <c r="C543" t="inlineStr">
        <is>
          <t>0                      DS 0135000N  6                  N  4613        1999b</t>
        </is>
      </c>
      <c r="D543" t="inlineStr">
        <is>
          <t>Edith's story / Edith Velmans.</t>
        </is>
      </c>
      <c r="F543" t="inlineStr">
        <is>
          <t>No</t>
        </is>
      </c>
      <c r="G543" t="inlineStr">
        <is>
          <t>1</t>
        </is>
      </c>
      <c r="H543" t="inlineStr">
        <is>
          <t>No</t>
        </is>
      </c>
      <c r="I543" t="inlineStr">
        <is>
          <t>No</t>
        </is>
      </c>
      <c r="J543" t="inlineStr">
        <is>
          <t>0</t>
        </is>
      </c>
      <c r="K543" t="inlineStr">
        <is>
          <t>Velmans-Van Hessen, Edith, 1925-</t>
        </is>
      </c>
      <c r="L543" t="inlineStr">
        <is>
          <t>New York : Soho, [1999?]</t>
        </is>
      </c>
      <c r="M543" t="inlineStr">
        <is>
          <t>1999</t>
        </is>
      </c>
      <c r="N543" t="inlineStr">
        <is>
          <t>1st U.S. ed.</t>
        </is>
      </c>
      <c r="O543" t="inlineStr">
        <is>
          <t>eng</t>
        </is>
      </c>
      <c r="P543" t="inlineStr">
        <is>
          <t>nyu</t>
        </is>
      </c>
      <c r="R543" t="inlineStr">
        <is>
          <t xml:space="preserve">DS </t>
        </is>
      </c>
      <c r="S543" t="n">
        <v>8</v>
      </c>
      <c r="T543" t="n">
        <v>8</v>
      </c>
      <c r="U543" t="inlineStr">
        <is>
          <t>2010-03-30</t>
        </is>
      </c>
      <c r="V543" t="inlineStr">
        <is>
          <t>2010-03-30</t>
        </is>
      </c>
      <c r="W543" t="inlineStr">
        <is>
          <t>1999-12-09</t>
        </is>
      </c>
      <c r="X543" t="inlineStr">
        <is>
          <t>1999-12-09</t>
        </is>
      </c>
      <c r="Y543" t="n">
        <v>674</v>
      </c>
      <c r="Z543" t="n">
        <v>656</v>
      </c>
      <c r="AA543" t="n">
        <v>1108</v>
      </c>
      <c r="AB543" t="n">
        <v>8</v>
      </c>
      <c r="AC543" t="n">
        <v>10</v>
      </c>
      <c r="AD543" t="n">
        <v>13</v>
      </c>
      <c r="AE543" t="n">
        <v>18</v>
      </c>
      <c r="AF543" t="n">
        <v>3</v>
      </c>
      <c r="AG543" t="n">
        <v>6</v>
      </c>
      <c r="AH543" t="n">
        <v>3</v>
      </c>
      <c r="AI543" t="n">
        <v>4</v>
      </c>
      <c r="AJ543" t="n">
        <v>6</v>
      </c>
      <c r="AK543" t="n">
        <v>8</v>
      </c>
      <c r="AL543" t="n">
        <v>2</v>
      </c>
      <c r="AM543" t="n">
        <v>2</v>
      </c>
      <c r="AN543" t="n">
        <v>1</v>
      </c>
      <c r="AO543" t="n">
        <v>1</v>
      </c>
      <c r="AP543" t="inlineStr">
        <is>
          <t>No</t>
        </is>
      </c>
      <c r="AQ543" t="inlineStr">
        <is>
          <t>Yes</t>
        </is>
      </c>
      <c r="AR543">
        <f>HYPERLINK("http://catalog.hathitrust.org/Record/003515926","HathiTrust Record")</f>
        <v/>
      </c>
      <c r="AS543">
        <f>HYPERLINK("https://creighton-primo.hosted.exlibrisgroup.com/primo-explore/search?tab=default_tab&amp;search_scope=EVERYTHING&amp;vid=01CRU&amp;lang=en_US&amp;offset=0&amp;query=any,contains,991003019109702656","Catalog Record")</f>
        <v/>
      </c>
      <c r="AT543">
        <f>HYPERLINK("http://www.worldcat.org/oclc/41096286","WorldCat Record")</f>
        <v/>
      </c>
      <c r="AU543" t="inlineStr">
        <is>
          <t>4820874370:eng</t>
        </is>
      </c>
      <c r="AV543" t="inlineStr">
        <is>
          <t>41096286</t>
        </is>
      </c>
      <c r="AW543" t="inlineStr">
        <is>
          <t>991003019109702656</t>
        </is>
      </c>
      <c r="AX543" t="inlineStr">
        <is>
          <t>991003019109702656</t>
        </is>
      </c>
      <c r="AY543" t="inlineStr">
        <is>
          <t>2265494770002656</t>
        </is>
      </c>
      <c r="AZ543" t="inlineStr">
        <is>
          <t>BOOK</t>
        </is>
      </c>
      <c r="BB543" t="inlineStr">
        <is>
          <t>9781569471784</t>
        </is>
      </c>
      <c r="BC543" t="inlineStr">
        <is>
          <t>32285003631792</t>
        </is>
      </c>
      <c r="BD543" t="inlineStr">
        <is>
          <t>893445508</t>
        </is>
      </c>
    </row>
    <row r="544">
      <c r="A544" t="inlineStr">
        <is>
          <t>No</t>
        </is>
      </c>
      <c r="B544" t="inlineStr">
        <is>
          <t>DS135.P6 D62</t>
        </is>
      </c>
      <c r="C544" t="inlineStr">
        <is>
          <t>0                      DS 0135000P  6                  D  62</t>
        </is>
      </c>
      <c r="D544" t="inlineStr">
        <is>
          <t>Image before my eyes : a photographic history of Jewish life in Poland, 1864-1939 / Lucjan Dobroszycki and Barbara Kirshenblatt-Gimblett.</t>
        </is>
      </c>
      <c r="F544" t="inlineStr">
        <is>
          <t>No</t>
        </is>
      </c>
      <c r="G544" t="inlineStr">
        <is>
          <t>1</t>
        </is>
      </c>
      <c r="H544" t="inlineStr">
        <is>
          <t>No</t>
        </is>
      </c>
      <c r="I544" t="inlineStr">
        <is>
          <t>No</t>
        </is>
      </c>
      <c r="J544" t="inlineStr">
        <is>
          <t>0</t>
        </is>
      </c>
      <c r="K544" t="inlineStr">
        <is>
          <t>Dobroszycki, Lucjan.</t>
        </is>
      </c>
      <c r="L544" t="inlineStr">
        <is>
          <t>New York : Schocken Books, 1977.</t>
        </is>
      </c>
      <c r="M544" t="inlineStr">
        <is>
          <t>1977</t>
        </is>
      </c>
      <c r="O544" t="inlineStr">
        <is>
          <t>eng</t>
        </is>
      </c>
      <c r="P544" t="inlineStr">
        <is>
          <t>nyu</t>
        </is>
      </c>
      <c r="R544" t="inlineStr">
        <is>
          <t xml:space="preserve">DS </t>
        </is>
      </c>
      <c r="S544" t="n">
        <v>2</v>
      </c>
      <c r="T544" t="n">
        <v>2</v>
      </c>
      <c r="U544" t="inlineStr">
        <is>
          <t>1994-12-28</t>
        </is>
      </c>
      <c r="V544" t="inlineStr">
        <is>
          <t>1994-12-28</t>
        </is>
      </c>
      <c r="W544" t="inlineStr">
        <is>
          <t>1992-05-06</t>
        </is>
      </c>
      <c r="X544" t="inlineStr">
        <is>
          <t>1992-05-06</t>
        </is>
      </c>
      <c r="Y544" t="n">
        <v>668</v>
      </c>
      <c r="Z544" t="n">
        <v>570</v>
      </c>
      <c r="AA544" t="n">
        <v>573</v>
      </c>
      <c r="AB544" t="n">
        <v>4</v>
      </c>
      <c r="AC544" t="n">
        <v>4</v>
      </c>
      <c r="AD544" t="n">
        <v>20</v>
      </c>
      <c r="AE544" t="n">
        <v>20</v>
      </c>
      <c r="AF544" t="n">
        <v>7</v>
      </c>
      <c r="AG544" t="n">
        <v>7</v>
      </c>
      <c r="AH544" t="n">
        <v>6</v>
      </c>
      <c r="AI544" t="n">
        <v>6</v>
      </c>
      <c r="AJ544" t="n">
        <v>7</v>
      </c>
      <c r="AK544" t="n">
        <v>7</v>
      </c>
      <c r="AL544" t="n">
        <v>3</v>
      </c>
      <c r="AM544" t="n">
        <v>3</v>
      </c>
      <c r="AN544" t="n">
        <v>0</v>
      </c>
      <c r="AO544" t="n">
        <v>0</v>
      </c>
      <c r="AP544" t="inlineStr">
        <is>
          <t>No</t>
        </is>
      </c>
      <c r="AQ544" t="inlineStr">
        <is>
          <t>Yes</t>
        </is>
      </c>
      <c r="AR544">
        <f>HYPERLINK("http://catalog.hathitrust.org/Record/000294311","HathiTrust Record")</f>
        <v/>
      </c>
      <c r="AS544">
        <f>HYPERLINK("https://creighton-primo.hosted.exlibrisgroup.com/primo-explore/search?tab=default_tab&amp;search_scope=EVERYTHING&amp;vid=01CRU&amp;lang=en_US&amp;offset=0&amp;query=any,contains,991004370379702656","Catalog Record")</f>
        <v/>
      </c>
      <c r="AT544">
        <f>HYPERLINK("http://www.worldcat.org/oclc/3187396","WorldCat Record")</f>
        <v/>
      </c>
      <c r="AU544" t="inlineStr">
        <is>
          <t>4535602929:eng</t>
        </is>
      </c>
      <c r="AV544" t="inlineStr">
        <is>
          <t>3187396</t>
        </is>
      </c>
      <c r="AW544" t="inlineStr">
        <is>
          <t>991004370379702656</t>
        </is>
      </c>
      <c r="AX544" t="inlineStr">
        <is>
          <t>991004370379702656</t>
        </is>
      </c>
      <c r="AY544" t="inlineStr">
        <is>
          <t>2260408570002656</t>
        </is>
      </c>
      <c r="AZ544" t="inlineStr">
        <is>
          <t>BOOK</t>
        </is>
      </c>
      <c r="BB544" t="inlineStr">
        <is>
          <t>9780805236071</t>
        </is>
      </c>
      <c r="BC544" t="inlineStr">
        <is>
          <t>32285001121242</t>
        </is>
      </c>
      <c r="BD544" t="inlineStr">
        <is>
          <t>893526021</t>
        </is>
      </c>
    </row>
    <row r="545">
      <c r="A545" t="inlineStr">
        <is>
          <t>No</t>
        </is>
      </c>
      <c r="B545" t="inlineStr">
        <is>
          <t>DS135.P6 P54 1993</t>
        </is>
      </c>
      <c r="C545" t="inlineStr">
        <is>
          <t>0                      DS 0135000P  6                  P  54          1993</t>
        </is>
      </c>
      <c r="D545" t="inlineStr">
        <is>
          <t>Jews in Poland : a documentary history : the rise of Jews as a nation from Congressus Judaicus in Poland to the Knesset in Israel / by Iwo Cyprian Pogonowski.</t>
        </is>
      </c>
      <c r="F545" t="inlineStr">
        <is>
          <t>No</t>
        </is>
      </c>
      <c r="G545" t="inlineStr">
        <is>
          <t>1</t>
        </is>
      </c>
      <c r="H545" t="inlineStr">
        <is>
          <t>No</t>
        </is>
      </c>
      <c r="I545" t="inlineStr">
        <is>
          <t>No</t>
        </is>
      </c>
      <c r="J545" t="inlineStr">
        <is>
          <t>0</t>
        </is>
      </c>
      <c r="K545" t="inlineStr">
        <is>
          <t>Pogonowski, Iwo Cyprian, 1921-2016.</t>
        </is>
      </c>
      <c r="L545" t="inlineStr">
        <is>
          <t>New York : Hippocrene Books, c1993.</t>
        </is>
      </c>
      <c r="M545" t="inlineStr">
        <is>
          <t>1993</t>
        </is>
      </c>
      <c r="O545" t="inlineStr">
        <is>
          <t>eng</t>
        </is>
      </c>
      <c r="P545" t="inlineStr">
        <is>
          <t>nyu</t>
        </is>
      </c>
      <c r="R545" t="inlineStr">
        <is>
          <t xml:space="preserve">DS </t>
        </is>
      </c>
      <c r="S545" t="n">
        <v>3</v>
      </c>
      <c r="T545" t="n">
        <v>3</v>
      </c>
      <c r="U545" t="inlineStr">
        <is>
          <t>2005-10-06</t>
        </is>
      </c>
      <c r="V545" t="inlineStr">
        <is>
          <t>2005-10-06</t>
        </is>
      </c>
      <c r="W545" t="inlineStr">
        <is>
          <t>1993-07-14</t>
        </is>
      </c>
      <c r="X545" t="inlineStr">
        <is>
          <t>1993-07-14</t>
        </is>
      </c>
      <c r="Y545" t="n">
        <v>729</v>
      </c>
      <c r="Z545" t="n">
        <v>682</v>
      </c>
      <c r="AA545" t="n">
        <v>711</v>
      </c>
      <c r="AB545" t="n">
        <v>11</v>
      </c>
      <c r="AC545" t="n">
        <v>11</v>
      </c>
      <c r="AD545" t="n">
        <v>42</v>
      </c>
      <c r="AE545" t="n">
        <v>43</v>
      </c>
      <c r="AF545" t="n">
        <v>14</v>
      </c>
      <c r="AG545" t="n">
        <v>15</v>
      </c>
      <c r="AH545" t="n">
        <v>8</v>
      </c>
      <c r="AI545" t="n">
        <v>8</v>
      </c>
      <c r="AJ545" t="n">
        <v>13</v>
      </c>
      <c r="AK545" t="n">
        <v>13</v>
      </c>
      <c r="AL545" t="n">
        <v>9</v>
      </c>
      <c r="AM545" t="n">
        <v>9</v>
      </c>
      <c r="AN545" t="n">
        <v>6</v>
      </c>
      <c r="AO545" t="n">
        <v>6</v>
      </c>
      <c r="AP545" t="inlineStr">
        <is>
          <t>No</t>
        </is>
      </c>
      <c r="AQ545" t="inlineStr">
        <is>
          <t>Yes</t>
        </is>
      </c>
      <c r="AR545">
        <f>HYPERLINK("http://catalog.hathitrust.org/Record/002732103","HathiTrust Record")</f>
        <v/>
      </c>
      <c r="AS545">
        <f>HYPERLINK("https://creighton-primo.hosted.exlibrisgroup.com/primo-explore/search?tab=default_tab&amp;search_scope=EVERYTHING&amp;vid=01CRU&amp;lang=en_US&amp;offset=0&amp;query=any,contains,991002121259702656","Catalog Record")</f>
        <v/>
      </c>
      <c r="AT545">
        <f>HYPERLINK("http://www.worldcat.org/oclc/27186147","WorldCat Record")</f>
        <v/>
      </c>
      <c r="AU545" t="inlineStr">
        <is>
          <t>977353218:eng</t>
        </is>
      </c>
      <c r="AV545" t="inlineStr">
        <is>
          <t>27186147</t>
        </is>
      </c>
      <c r="AW545" t="inlineStr">
        <is>
          <t>991002121259702656</t>
        </is>
      </c>
      <c r="AX545" t="inlineStr">
        <is>
          <t>991002121259702656</t>
        </is>
      </c>
      <c r="AY545" t="inlineStr">
        <is>
          <t>2270449300002656</t>
        </is>
      </c>
      <c r="AZ545" t="inlineStr">
        <is>
          <t>BOOK</t>
        </is>
      </c>
      <c r="BC545" t="inlineStr">
        <is>
          <t>32285001702801</t>
        </is>
      </c>
      <c r="BD545" t="inlineStr">
        <is>
          <t>893716078</t>
        </is>
      </c>
    </row>
    <row r="546">
      <c r="A546" t="inlineStr">
        <is>
          <t>No</t>
        </is>
      </c>
      <c r="B546" t="inlineStr">
        <is>
          <t>DS135.P6 T29 1987</t>
        </is>
      </c>
      <c r="C546" t="inlineStr">
        <is>
          <t>0                      DS 0135000P  6                  T  29          1987</t>
        </is>
      </c>
      <c r="D546" t="inlineStr">
        <is>
          <t>When light pierced the darkness : Christian rescue of Jews in nazi-occupied Poland / Nechama Tec.</t>
        </is>
      </c>
      <c r="F546" t="inlineStr">
        <is>
          <t>No</t>
        </is>
      </c>
      <c r="G546" t="inlineStr">
        <is>
          <t>1</t>
        </is>
      </c>
      <c r="H546" t="inlineStr">
        <is>
          <t>No</t>
        </is>
      </c>
      <c r="I546" t="inlineStr">
        <is>
          <t>No</t>
        </is>
      </c>
      <c r="J546" t="inlineStr">
        <is>
          <t>0</t>
        </is>
      </c>
      <c r="K546" t="inlineStr">
        <is>
          <t>Tec, Nechama.</t>
        </is>
      </c>
      <c r="L546" t="inlineStr">
        <is>
          <t>New York ; London : Oxford University Press, 1987, c1986.</t>
        </is>
      </c>
      <c r="M546" t="inlineStr">
        <is>
          <t>1987</t>
        </is>
      </c>
      <c r="O546" t="inlineStr">
        <is>
          <t>eng</t>
        </is>
      </c>
      <c r="P546" t="inlineStr">
        <is>
          <t>enk</t>
        </is>
      </c>
      <c r="R546" t="inlineStr">
        <is>
          <t xml:space="preserve">DS </t>
        </is>
      </c>
      <c r="S546" t="n">
        <v>2</v>
      </c>
      <c r="T546" t="n">
        <v>2</v>
      </c>
      <c r="U546" t="inlineStr">
        <is>
          <t>2001-07-17</t>
        </is>
      </c>
      <c r="V546" t="inlineStr">
        <is>
          <t>2001-07-17</t>
        </is>
      </c>
      <c r="W546" t="inlineStr">
        <is>
          <t>2001-07-17</t>
        </is>
      </c>
      <c r="X546" t="inlineStr">
        <is>
          <t>2001-07-17</t>
        </is>
      </c>
      <c r="Y546" t="n">
        <v>89</v>
      </c>
      <c r="Z546" t="n">
        <v>71</v>
      </c>
      <c r="AA546" t="n">
        <v>1195</v>
      </c>
      <c r="AB546" t="n">
        <v>1</v>
      </c>
      <c r="AC546" t="n">
        <v>9</v>
      </c>
      <c r="AD546" t="n">
        <v>2</v>
      </c>
      <c r="AE546" t="n">
        <v>42</v>
      </c>
      <c r="AF546" t="n">
        <v>1</v>
      </c>
      <c r="AG546" t="n">
        <v>18</v>
      </c>
      <c r="AH546" t="n">
        <v>0</v>
      </c>
      <c r="AI546" t="n">
        <v>7</v>
      </c>
      <c r="AJ546" t="n">
        <v>1</v>
      </c>
      <c r="AK546" t="n">
        <v>23</v>
      </c>
      <c r="AL546" t="n">
        <v>0</v>
      </c>
      <c r="AM546" t="n">
        <v>5</v>
      </c>
      <c r="AN546" t="n">
        <v>0</v>
      </c>
      <c r="AO546" t="n">
        <v>0</v>
      </c>
      <c r="AP546" t="inlineStr">
        <is>
          <t>No</t>
        </is>
      </c>
      <c r="AQ546" t="inlineStr">
        <is>
          <t>No</t>
        </is>
      </c>
      <c r="AS546">
        <f>HYPERLINK("https://creighton-primo.hosted.exlibrisgroup.com/primo-explore/search?tab=default_tab&amp;search_scope=EVERYTHING&amp;vid=01CRU&amp;lang=en_US&amp;offset=0&amp;query=any,contains,991003505439702656","Catalog Record")</f>
        <v/>
      </c>
      <c r="AT546">
        <f>HYPERLINK("http://www.worldcat.org/oclc/19065072","WorldCat Record")</f>
        <v/>
      </c>
      <c r="AU546" t="inlineStr">
        <is>
          <t>799229705:eng</t>
        </is>
      </c>
      <c r="AV546" t="inlineStr">
        <is>
          <t>19065072</t>
        </is>
      </c>
      <c r="AW546" t="inlineStr">
        <is>
          <t>991003505439702656</t>
        </is>
      </c>
      <c r="AX546" t="inlineStr">
        <is>
          <t>991003505439702656</t>
        </is>
      </c>
      <c r="AY546" t="inlineStr">
        <is>
          <t>2262255970002656</t>
        </is>
      </c>
      <c r="AZ546" t="inlineStr">
        <is>
          <t>BOOK</t>
        </is>
      </c>
      <c r="BB546" t="inlineStr">
        <is>
          <t>9780195051940</t>
        </is>
      </c>
      <c r="BC546" t="inlineStr">
        <is>
          <t>32285004333208</t>
        </is>
      </c>
      <c r="BD546" t="inlineStr">
        <is>
          <t>893258488</t>
        </is>
      </c>
    </row>
    <row r="547">
      <c r="A547" t="inlineStr">
        <is>
          <t>No</t>
        </is>
      </c>
      <c r="B547" t="inlineStr">
        <is>
          <t>DS135.P62 K6789313 1998</t>
        </is>
      </c>
      <c r="C547" t="inlineStr">
        <is>
          <t>0                      DS 0135000P  62                 K  6789313     1998</t>
        </is>
      </c>
      <c r="D547" t="inlineStr">
        <is>
          <t>Dear God, have you ever gone hungry? : memoirs / by Joseph Bau ; translated from the Hebrew by Shlomo "Sam" Yurman.</t>
        </is>
      </c>
      <c r="F547" t="inlineStr">
        <is>
          <t>No</t>
        </is>
      </c>
      <c r="G547" t="inlineStr">
        <is>
          <t>1</t>
        </is>
      </c>
      <c r="H547" t="inlineStr">
        <is>
          <t>No</t>
        </is>
      </c>
      <c r="I547" t="inlineStr">
        <is>
          <t>No</t>
        </is>
      </c>
      <c r="J547" t="inlineStr">
        <is>
          <t>0</t>
        </is>
      </c>
      <c r="K547" t="inlineStr">
        <is>
          <t>Baʼu, Yosef.</t>
        </is>
      </c>
      <c r="L547" t="inlineStr">
        <is>
          <t>New York : Arcade Pub. : Distributed by Little, Brown and Co., 1998.</t>
        </is>
      </c>
      <c r="M547" t="inlineStr">
        <is>
          <t>1998</t>
        </is>
      </c>
      <c r="N547" t="inlineStr">
        <is>
          <t>1st English-language ed.</t>
        </is>
      </c>
      <c r="O547" t="inlineStr">
        <is>
          <t>eng</t>
        </is>
      </c>
      <c r="P547" t="inlineStr">
        <is>
          <t>nyu</t>
        </is>
      </c>
      <c r="R547" t="inlineStr">
        <is>
          <t xml:space="preserve">DS </t>
        </is>
      </c>
      <c r="S547" t="n">
        <v>1</v>
      </c>
      <c r="T547" t="n">
        <v>1</v>
      </c>
      <c r="U547" t="inlineStr">
        <is>
          <t>2002-03-01</t>
        </is>
      </c>
      <c r="V547" t="inlineStr">
        <is>
          <t>2002-03-01</t>
        </is>
      </c>
      <c r="W547" t="inlineStr">
        <is>
          <t>1998-09-24</t>
        </is>
      </c>
      <c r="X547" t="inlineStr">
        <is>
          <t>1998-09-24</t>
        </is>
      </c>
      <c r="Y547" t="n">
        <v>837</v>
      </c>
      <c r="Z547" t="n">
        <v>790</v>
      </c>
      <c r="AA547" t="n">
        <v>817</v>
      </c>
      <c r="AB547" t="n">
        <v>11</v>
      </c>
      <c r="AC547" t="n">
        <v>11</v>
      </c>
      <c r="AD547" t="n">
        <v>20</v>
      </c>
      <c r="AE547" t="n">
        <v>20</v>
      </c>
      <c r="AF547" t="n">
        <v>5</v>
      </c>
      <c r="AG547" t="n">
        <v>5</v>
      </c>
      <c r="AH547" t="n">
        <v>4</v>
      </c>
      <c r="AI547" t="n">
        <v>4</v>
      </c>
      <c r="AJ547" t="n">
        <v>7</v>
      </c>
      <c r="AK547" t="n">
        <v>7</v>
      </c>
      <c r="AL547" t="n">
        <v>6</v>
      </c>
      <c r="AM547" t="n">
        <v>6</v>
      </c>
      <c r="AN547" t="n">
        <v>0</v>
      </c>
      <c r="AO547" t="n">
        <v>0</v>
      </c>
      <c r="AP547" t="inlineStr">
        <is>
          <t>No</t>
        </is>
      </c>
      <c r="AQ547" t="inlineStr">
        <is>
          <t>Yes</t>
        </is>
      </c>
      <c r="AR547">
        <f>HYPERLINK("http://catalog.hathitrust.org/Record/004026838","HathiTrust Record")</f>
        <v/>
      </c>
      <c r="AS547">
        <f>HYPERLINK("https://creighton-primo.hosted.exlibrisgroup.com/primo-explore/search?tab=default_tab&amp;search_scope=EVERYTHING&amp;vid=01CRU&amp;lang=en_US&amp;offset=0&amp;query=any,contains,991002927479702656","Catalog Record")</f>
        <v/>
      </c>
      <c r="AT547">
        <f>HYPERLINK("http://www.worldcat.org/oclc/38909925","WorldCat Record")</f>
        <v/>
      </c>
      <c r="AU547" t="inlineStr">
        <is>
          <t>41570018:eng</t>
        </is>
      </c>
      <c r="AV547" t="inlineStr">
        <is>
          <t>38909925</t>
        </is>
      </c>
      <c r="AW547" t="inlineStr">
        <is>
          <t>991002927479702656</t>
        </is>
      </c>
      <c r="AX547" t="inlineStr">
        <is>
          <t>991002927479702656</t>
        </is>
      </c>
      <c r="AY547" t="inlineStr">
        <is>
          <t>2268124060002656</t>
        </is>
      </c>
      <c r="AZ547" t="inlineStr">
        <is>
          <t>BOOK</t>
        </is>
      </c>
      <c r="BB547" t="inlineStr">
        <is>
          <t>9781559704311</t>
        </is>
      </c>
      <c r="BC547" t="inlineStr">
        <is>
          <t>32285003471058</t>
        </is>
      </c>
      <c r="BD547" t="inlineStr">
        <is>
          <t>893239682</t>
        </is>
      </c>
    </row>
    <row r="548">
      <c r="A548" t="inlineStr">
        <is>
          <t>No</t>
        </is>
      </c>
      <c r="B548" t="inlineStr">
        <is>
          <t>DS135.P62 L627 1984</t>
        </is>
      </c>
      <c r="C548" t="inlineStr">
        <is>
          <t>0                      DS 0135000P  62                 L  627         1984</t>
        </is>
      </c>
      <c r="D548" t="inlineStr">
        <is>
          <t>The Chronicle of the Łódź ghetto, 1941-1944 / edited by Lucjan Dobroszycki ; translated by Richard Lourie ... [et al.].</t>
        </is>
      </c>
      <c r="F548" t="inlineStr">
        <is>
          <t>No</t>
        </is>
      </c>
      <c r="G548" t="inlineStr">
        <is>
          <t>1</t>
        </is>
      </c>
      <c r="H548" t="inlineStr">
        <is>
          <t>No</t>
        </is>
      </c>
      <c r="I548" t="inlineStr">
        <is>
          <t>No</t>
        </is>
      </c>
      <c r="J548" t="inlineStr">
        <is>
          <t>0</t>
        </is>
      </c>
      <c r="L548" t="inlineStr">
        <is>
          <t>New Haven : Yale University Press, c1984.</t>
        </is>
      </c>
      <c r="M548" t="inlineStr">
        <is>
          <t>1984</t>
        </is>
      </c>
      <c r="N548" t="inlineStr">
        <is>
          <t>[abridged ed.].</t>
        </is>
      </c>
      <c r="O548" t="inlineStr">
        <is>
          <t>eng</t>
        </is>
      </c>
      <c r="P548" t="inlineStr">
        <is>
          <t>ctu</t>
        </is>
      </c>
      <c r="R548" t="inlineStr">
        <is>
          <t xml:space="preserve">DS </t>
        </is>
      </c>
      <c r="S548" t="n">
        <v>3</v>
      </c>
      <c r="T548" t="n">
        <v>3</v>
      </c>
      <c r="U548" t="inlineStr">
        <is>
          <t>1995-10-03</t>
        </is>
      </c>
      <c r="V548" t="inlineStr">
        <is>
          <t>1995-10-03</t>
        </is>
      </c>
      <c r="W548" t="inlineStr">
        <is>
          <t>1990-10-03</t>
        </is>
      </c>
      <c r="X548" t="inlineStr">
        <is>
          <t>1990-10-03</t>
        </is>
      </c>
      <c r="Y548" t="n">
        <v>1375</v>
      </c>
      <c r="Z548" t="n">
        <v>1249</v>
      </c>
      <c r="AA548" t="n">
        <v>1322</v>
      </c>
      <c r="AB548" t="n">
        <v>13</v>
      </c>
      <c r="AC548" t="n">
        <v>13</v>
      </c>
      <c r="AD548" t="n">
        <v>50</v>
      </c>
      <c r="AE548" t="n">
        <v>50</v>
      </c>
      <c r="AF548" t="n">
        <v>20</v>
      </c>
      <c r="AG548" t="n">
        <v>20</v>
      </c>
      <c r="AH548" t="n">
        <v>9</v>
      </c>
      <c r="AI548" t="n">
        <v>9</v>
      </c>
      <c r="AJ548" t="n">
        <v>21</v>
      </c>
      <c r="AK548" t="n">
        <v>21</v>
      </c>
      <c r="AL548" t="n">
        <v>10</v>
      </c>
      <c r="AM548" t="n">
        <v>10</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HYPERLINK("https://creighton-primo.hosted.exlibrisgroup.com/primo-explore/search?tab=default_tab&amp;search_scope=EVERYTHING&amp;vid=01CRU&amp;lang=en_US&amp;offset=0&amp;query=any,contains,991000380059702656","Catalog Record")</f>
        <v/>
      </c>
      <c r="AT548">
        <f>HYPERLINK("http://www.worldcat.org/oclc/10484216","WorldCat Record")</f>
        <v/>
      </c>
      <c r="AU548" t="inlineStr">
        <is>
          <t>54735484:eng</t>
        </is>
      </c>
      <c r="AV548" t="inlineStr">
        <is>
          <t>10484216</t>
        </is>
      </c>
      <c r="AW548" t="inlineStr">
        <is>
          <t>991000380059702656</t>
        </is>
      </c>
      <c r="AX548" t="inlineStr">
        <is>
          <t>991000380059702656</t>
        </is>
      </c>
      <c r="AY548" t="inlineStr">
        <is>
          <t>2259626220002656</t>
        </is>
      </c>
      <c r="AZ548" t="inlineStr">
        <is>
          <t>BOOK</t>
        </is>
      </c>
      <c r="BB548" t="inlineStr">
        <is>
          <t>9780300032086</t>
        </is>
      </c>
      <c r="BC548" t="inlineStr">
        <is>
          <t>32285000294586</t>
        </is>
      </c>
      <c r="BD548" t="inlineStr">
        <is>
          <t>893339491</t>
        </is>
      </c>
    </row>
    <row r="549">
      <c r="A549" t="inlineStr">
        <is>
          <t>No</t>
        </is>
      </c>
      <c r="B549" t="inlineStr">
        <is>
          <t>DS135.P62 L6441354 1989</t>
        </is>
      </c>
      <c r="C549" t="inlineStr">
        <is>
          <t>0                      DS 0135000P  62                 L  6441354     1989</t>
        </is>
      </c>
      <c r="D549" t="inlineStr">
        <is>
          <t>Lodz ghetto : inside a community under siege / compiled and edited by Alan Adelson and Robert Lapides ; with an afterword by Geoffrey Hartman ; annotations and bibliographical notes by Marek Web.</t>
        </is>
      </c>
      <c r="F549" t="inlineStr">
        <is>
          <t>No</t>
        </is>
      </c>
      <c r="G549" t="inlineStr">
        <is>
          <t>1</t>
        </is>
      </c>
      <c r="H549" t="inlineStr">
        <is>
          <t>No</t>
        </is>
      </c>
      <c r="I549" t="inlineStr">
        <is>
          <t>No</t>
        </is>
      </c>
      <c r="J549" t="inlineStr">
        <is>
          <t>0</t>
        </is>
      </c>
      <c r="L549" t="inlineStr">
        <is>
          <t>New York : Viking, 1989.</t>
        </is>
      </c>
      <c r="M549" t="inlineStr">
        <is>
          <t>1989</t>
        </is>
      </c>
      <c r="O549" t="inlineStr">
        <is>
          <t>eng</t>
        </is>
      </c>
      <c r="P549" t="inlineStr">
        <is>
          <t>nyu</t>
        </is>
      </c>
      <c r="R549" t="inlineStr">
        <is>
          <t xml:space="preserve">DS </t>
        </is>
      </c>
      <c r="S549" t="n">
        <v>3</v>
      </c>
      <c r="T549" t="n">
        <v>3</v>
      </c>
      <c r="U549" t="inlineStr">
        <is>
          <t>1995-10-03</t>
        </is>
      </c>
      <c r="V549" t="inlineStr">
        <is>
          <t>1995-10-03</t>
        </is>
      </c>
      <c r="W549" t="inlineStr">
        <is>
          <t>1989-12-29</t>
        </is>
      </c>
      <c r="X549" t="inlineStr">
        <is>
          <t>1989-12-29</t>
        </is>
      </c>
      <c r="Y549" t="n">
        <v>1072</v>
      </c>
      <c r="Z549" t="n">
        <v>927</v>
      </c>
      <c r="AA549" t="n">
        <v>1001</v>
      </c>
      <c r="AB549" t="n">
        <v>6</v>
      </c>
      <c r="AC549" t="n">
        <v>6</v>
      </c>
      <c r="AD549" t="n">
        <v>26</v>
      </c>
      <c r="AE549" t="n">
        <v>30</v>
      </c>
      <c r="AF549" t="n">
        <v>12</v>
      </c>
      <c r="AG549" t="n">
        <v>13</v>
      </c>
      <c r="AH549" t="n">
        <v>7</v>
      </c>
      <c r="AI549" t="n">
        <v>8</v>
      </c>
      <c r="AJ549" t="n">
        <v>13</v>
      </c>
      <c r="AK549" t="n">
        <v>15</v>
      </c>
      <c r="AL549" t="n">
        <v>4</v>
      </c>
      <c r="AM549" t="n">
        <v>4</v>
      </c>
      <c r="AN549" t="n">
        <v>0</v>
      </c>
      <c r="AO549" t="n">
        <v>0</v>
      </c>
      <c r="AP549" t="inlineStr">
        <is>
          <t>No</t>
        </is>
      </c>
      <c r="AQ549" t="inlineStr">
        <is>
          <t>Yes</t>
        </is>
      </c>
      <c r="AR549">
        <f>HYPERLINK("http://catalog.hathitrust.org/Record/001837343","HathiTrust Record")</f>
        <v/>
      </c>
      <c r="AS549">
        <f>HYPERLINK("https://creighton-primo.hosted.exlibrisgroup.com/primo-explore/search?tab=default_tab&amp;search_scope=EVERYTHING&amp;vid=01CRU&amp;lang=en_US&amp;offset=0&amp;query=any,contains,991001540559702656","Catalog Record")</f>
        <v/>
      </c>
      <c r="AT549">
        <f>HYPERLINK("http://www.worldcat.org/oclc/20129994","WorldCat Record")</f>
        <v/>
      </c>
      <c r="AU549" t="inlineStr">
        <is>
          <t>836718118:eng</t>
        </is>
      </c>
      <c r="AV549" t="inlineStr">
        <is>
          <t>20129994</t>
        </is>
      </c>
      <c r="AW549" t="inlineStr">
        <is>
          <t>991001540559702656</t>
        </is>
      </c>
      <c r="AX549" t="inlineStr">
        <is>
          <t>991001540559702656</t>
        </is>
      </c>
      <c r="AY549" t="inlineStr">
        <is>
          <t>2264513950002656</t>
        </is>
      </c>
      <c r="AZ549" t="inlineStr">
        <is>
          <t>BOOK</t>
        </is>
      </c>
      <c r="BC549" t="inlineStr">
        <is>
          <t>32285000025014</t>
        </is>
      </c>
      <c r="BD549" t="inlineStr">
        <is>
          <t>893696815</t>
        </is>
      </c>
    </row>
    <row r="550">
      <c r="A550" t="inlineStr">
        <is>
          <t>No</t>
        </is>
      </c>
      <c r="B550" t="inlineStr">
        <is>
          <t>DS135.P62 L645313 2006</t>
        </is>
      </c>
      <c r="C550" t="inlineStr">
        <is>
          <t>0                      DS 0135000P  62                 L  645313      2006</t>
        </is>
      </c>
      <c r="D550" t="inlineStr">
        <is>
          <t>Loþdzþ Ghetto : a history / Isaiah Trunk ; translated and edited by Robert Moses Shapiro ; introduction by Israel Gutman.</t>
        </is>
      </c>
      <c r="F550" t="inlineStr">
        <is>
          <t>No</t>
        </is>
      </c>
      <c r="G550" t="inlineStr">
        <is>
          <t>1</t>
        </is>
      </c>
      <c r="H550" t="inlineStr">
        <is>
          <t>No</t>
        </is>
      </c>
      <c r="I550" t="inlineStr">
        <is>
          <t>No</t>
        </is>
      </c>
      <c r="J550" t="inlineStr">
        <is>
          <t>0</t>
        </is>
      </c>
      <c r="K550" t="inlineStr">
        <is>
          <t>Trunk, Isaiah.</t>
        </is>
      </c>
      <c r="L550" t="inlineStr">
        <is>
          <t>Bloomington, Ind. : Indiana University Press, c2006.</t>
        </is>
      </c>
      <c r="M550" t="inlineStr">
        <is>
          <t>2006</t>
        </is>
      </c>
      <c r="O550" t="inlineStr">
        <is>
          <t>eng</t>
        </is>
      </c>
      <c r="P550" t="inlineStr">
        <is>
          <t>inu</t>
        </is>
      </c>
      <c r="R550" t="inlineStr">
        <is>
          <t xml:space="preserve">DS </t>
        </is>
      </c>
      <c r="S550" t="n">
        <v>1</v>
      </c>
      <c r="T550" t="n">
        <v>1</v>
      </c>
      <c r="U550" t="inlineStr">
        <is>
          <t>2007-04-12</t>
        </is>
      </c>
      <c r="V550" t="inlineStr">
        <is>
          <t>2007-04-12</t>
        </is>
      </c>
      <c r="W550" t="inlineStr">
        <is>
          <t>2007-04-12</t>
        </is>
      </c>
      <c r="X550" t="inlineStr">
        <is>
          <t>2007-04-12</t>
        </is>
      </c>
      <c r="Y550" t="n">
        <v>558</v>
      </c>
      <c r="Z550" t="n">
        <v>487</v>
      </c>
      <c r="AA550" t="n">
        <v>534</v>
      </c>
      <c r="AB550" t="n">
        <v>3</v>
      </c>
      <c r="AC550" t="n">
        <v>4</v>
      </c>
      <c r="AD550" t="n">
        <v>25</v>
      </c>
      <c r="AE550" t="n">
        <v>29</v>
      </c>
      <c r="AF550" t="n">
        <v>14</v>
      </c>
      <c r="AG550" t="n">
        <v>16</v>
      </c>
      <c r="AH550" t="n">
        <v>4</v>
      </c>
      <c r="AI550" t="n">
        <v>6</v>
      </c>
      <c r="AJ550" t="n">
        <v>11</v>
      </c>
      <c r="AK550" t="n">
        <v>11</v>
      </c>
      <c r="AL550" t="n">
        <v>2</v>
      </c>
      <c r="AM550" t="n">
        <v>3</v>
      </c>
      <c r="AN550" t="n">
        <v>0</v>
      </c>
      <c r="AO550" t="n">
        <v>0</v>
      </c>
      <c r="AP550" t="inlineStr">
        <is>
          <t>No</t>
        </is>
      </c>
      <c r="AQ550" t="inlineStr">
        <is>
          <t>Yes</t>
        </is>
      </c>
      <c r="AR550">
        <f>HYPERLINK("http://catalog.hathitrust.org/Record/005275770","HathiTrust Record")</f>
        <v/>
      </c>
      <c r="AS550">
        <f>HYPERLINK("https://creighton-primo.hosted.exlibrisgroup.com/primo-explore/search?tab=default_tab&amp;search_scope=EVERYTHING&amp;vid=01CRU&amp;lang=en_US&amp;offset=0&amp;query=any,contains,991005065849702656","Catalog Record")</f>
        <v/>
      </c>
      <c r="AT550">
        <f>HYPERLINK("http://www.worldcat.org/oclc/65467748","WorldCat Record")</f>
        <v/>
      </c>
      <c r="AU550" t="inlineStr">
        <is>
          <t>3856149968:eng</t>
        </is>
      </c>
      <c r="AV550" t="inlineStr">
        <is>
          <t>65467748</t>
        </is>
      </c>
      <c r="AW550" t="inlineStr">
        <is>
          <t>991005065849702656</t>
        </is>
      </c>
      <c r="AX550" t="inlineStr">
        <is>
          <t>991005065849702656</t>
        </is>
      </c>
      <c r="AY550" t="inlineStr">
        <is>
          <t>2259586380002656</t>
        </is>
      </c>
      <c r="AZ550" t="inlineStr">
        <is>
          <t>BOOK</t>
        </is>
      </c>
      <c r="BB550" t="inlineStr">
        <is>
          <t>9780253347558</t>
        </is>
      </c>
      <c r="BC550" t="inlineStr">
        <is>
          <t>32285005286439</t>
        </is>
      </c>
      <c r="BD550" t="inlineStr">
        <is>
          <t>893248291</t>
        </is>
      </c>
    </row>
    <row r="551">
      <c r="A551" t="inlineStr">
        <is>
          <t>No</t>
        </is>
      </c>
      <c r="B551" t="inlineStr">
        <is>
          <t>DS135.P62 S56255 2001</t>
        </is>
      </c>
      <c r="C551" t="inlineStr">
        <is>
          <t>0                      DS 0135000P  62                 S  56255       2001</t>
        </is>
      </c>
      <c r="D551" t="inlineStr">
        <is>
          <t>Jews in Silesia / edited by Marcin Wodzi*nski and Janusz Spyra.</t>
        </is>
      </c>
      <c r="F551" t="inlineStr">
        <is>
          <t>No</t>
        </is>
      </c>
      <c r="G551" t="inlineStr">
        <is>
          <t>1</t>
        </is>
      </c>
      <c r="H551" t="inlineStr">
        <is>
          <t>No</t>
        </is>
      </c>
      <c r="I551" t="inlineStr">
        <is>
          <t>No</t>
        </is>
      </c>
      <c r="J551" t="inlineStr">
        <is>
          <t>0</t>
        </is>
      </c>
      <c r="L551" t="inlineStr">
        <is>
          <t>Cracow : Ksi*eg. Akademicka ; [Wrocław] : University of Wrocław, Research Centre for the Culture and Languages of Polish Jews ; [*Ceský T*e*sín] : Muzeum T*e*sínska, 2001.</t>
        </is>
      </c>
      <c r="M551" t="inlineStr">
        <is>
          <t>2001</t>
        </is>
      </c>
      <c r="O551" t="inlineStr">
        <is>
          <t>eng</t>
        </is>
      </c>
      <c r="P551" t="inlineStr">
        <is>
          <t xml:space="preserve">pl </t>
        </is>
      </c>
      <c r="R551" t="inlineStr">
        <is>
          <t xml:space="preserve">DS </t>
        </is>
      </c>
      <c r="S551" t="n">
        <v>2</v>
      </c>
      <c r="T551" t="n">
        <v>2</v>
      </c>
      <c r="U551" t="inlineStr">
        <is>
          <t>2008-04-03</t>
        </is>
      </c>
      <c r="V551" t="inlineStr">
        <is>
          <t>2008-04-03</t>
        </is>
      </c>
      <c r="W551" t="inlineStr">
        <is>
          <t>2003-11-10</t>
        </is>
      </c>
      <c r="X551" t="inlineStr">
        <is>
          <t>2003-11-10</t>
        </is>
      </c>
      <c r="Y551" t="n">
        <v>69</v>
      </c>
      <c r="Z551" t="n">
        <v>52</v>
      </c>
      <c r="AA551" t="n">
        <v>54</v>
      </c>
      <c r="AB551" t="n">
        <v>1</v>
      </c>
      <c r="AC551" t="n">
        <v>1</v>
      </c>
      <c r="AD551" t="n">
        <v>0</v>
      </c>
      <c r="AE551" t="n">
        <v>0</v>
      </c>
      <c r="AF551" t="n">
        <v>0</v>
      </c>
      <c r="AG551" t="n">
        <v>0</v>
      </c>
      <c r="AH551" t="n">
        <v>0</v>
      </c>
      <c r="AI551" t="n">
        <v>0</v>
      </c>
      <c r="AJ551" t="n">
        <v>0</v>
      </c>
      <c r="AK551" t="n">
        <v>0</v>
      </c>
      <c r="AL551" t="n">
        <v>0</v>
      </c>
      <c r="AM551" t="n">
        <v>0</v>
      </c>
      <c r="AN551" t="n">
        <v>0</v>
      </c>
      <c r="AO551" t="n">
        <v>0</v>
      </c>
      <c r="AP551" t="inlineStr">
        <is>
          <t>No</t>
        </is>
      </c>
      <c r="AQ551" t="inlineStr">
        <is>
          <t>Yes</t>
        </is>
      </c>
      <c r="AR551">
        <f>HYPERLINK("http://catalog.hathitrust.org/Record/004248730","HathiTrust Record")</f>
        <v/>
      </c>
      <c r="AS551">
        <f>HYPERLINK("https://creighton-primo.hosted.exlibrisgroup.com/primo-explore/search?tab=default_tab&amp;search_scope=EVERYTHING&amp;vid=01CRU&amp;lang=en_US&amp;offset=0&amp;query=any,contains,991004099509702656","Catalog Record")</f>
        <v/>
      </c>
      <c r="AT551">
        <f>HYPERLINK("http://www.worldcat.org/oclc/49530109","WorldCat Record")</f>
        <v/>
      </c>
      <c r="AU551" t="inlineStr">
        <is>
          <t>116370905:eng</t>
        </is>
      </c>
      <c r="AV551" t="inlineStr">
        <is>
          <t>49530109</t>
        </is>
      </c>
      <c r="AW551" t="inlineStr">
        <is>
          <t>991004099509702656</t>
        </is>
      </c>
      <c r="AX551" t="inlineStr">
        <is>
          <t>991004099509702656</t>
        </is>
      </c>
      <c r="AY551" t="inlineStr">
        <is>
          <t>2268032090002656</t>
        </is>
      </c>
      <c r="AZ551" t="inlineStr">
        <is>
          <t>BOOK</t>
        </is>
      </c>
      <c r="BB551" t="inlineStr">
        <is>
          <t>9788371884108</t>
        </is>
      </c>
      <c r="BC551" t="inlineStr">
        <is>
          <t>32285004796073</t>
        </is>
      </c>
      <c r="BD551" t="inlineStr">
        <is>
          <t>893605621</t>
        </is>
      </c>
    </row>
    <row r="552">
      <c r="A552" t="inlineStr">
        <is>
          <t>No</t>
        </is>
      </c>
      <c r="B552" t="inlineStr">
        <is>
          <t>DS135.P62 W2613</t>
        </is>
      </c>
      <c r="C552" t="inlineStr">
        <is>
          <t>0                      DS 0135000P  62                 W  2613</t>
        </is>
      </c>
      <c r="D552" t="inlineStr">
        <is>
          <t>The Warsaw diary of Adam Czerniakow : prelude to doom / edited by Raul Hilberg, Stanislaw Staron, and Josef Kermisz ; translated by Staron and the staff of Yad Vashem.</t>
        </is>
      </c>
      <c r="F552" t="inlineStr">
        <is>
          <t>No</t>
        </is>
      </c>
      <c r="G552" t="inlineStr">
        <is>
          <t>1</t>
        </is>
      </c>
      <c r="H552" t="inlineStr">
        <is>
          <t>No</t>
        </is>
      </c>
      <c r="I552" t="inlineStr">
        <is>
          <t>No</t>
        </is>
      </c>
      <c r="J552" t="inlineStr">
        <is>
          <t>0</t>
        </is>
      </c>
      <c r="K552" t="inlineStr">
        <is>
          <t>Czerniaków, Adam, 1880-1942.</t>
        </is>
      </c>
      <c r="L552" t="inlineStr">
        <is>
          <t>New York : Stein and Day, 1979.</t>
        </is>
      </c>
      <c r="M552" t="inlineStr">
        <is>
          <t>1979</t>
        </is>
      </c>
      <c r="O552" t="inlineStr">
        <is>
          <t>eng</t>
        </is>
      </c>
      <c r="P552" t="inlineStr">
        <is>
          <t>nyu</t>
        </is>
      </c>
      <c r="R552" t="inlineStr">
        <is>
          <t xml:space="preserve">DS </t>
        </is>
      </c>
      <c r="S552" t="n">
        <v>2</v>
      </c>
      <c r="T552" t="n">
        <v>2</v>
      </c>
      <c r="U552" t="inlineStr">
        <is>
          <t>1997-02-06</t>
        </is>
      </c>
      <c r="V552" t="inlineStr">
        <is>
          <t>1997-02-06</t>
        </is>
      </c>
      <c r="W552" t="inlineStr">
        <is>
          <t>1990-06-20</t>
        </is>
      </c>
      <c r="X552" t="inlineStr">
        <is>
          <t>1990-06-20</t>
        </is>
      </c>
      <c r="Y552" t="n">
        <v>945</v>
      </c>
      <c r="Z552" t="n">
        <v>869</v>
      </c>
      <c r="AA552" t="n">
        <v>1006</v>
      </c>
      <c r="AB552" t="n">
        <v>4</v>
      </c>
      <c r="AC552" t="n">
        <v>7</v>
      </c>
      <c r="AD552" t="n">
        <v>33</v>
      </c>
      <c r="AE552" t="n">
        <v>40</v>
      </c>
      <c r="AF552" t="n">
        <v>17</v>
      </c>
      <c r="AG552" t="n">
        <v>18</v>
      </c>
      <c r="AH552" t="n">
        <v>5</v>
      </c>
      <c r="AI552" t="n">
        <v>8</v>
      </c>
      <c r="AJ552" t="n">
        <v>17</v>
      </c>
      <c r="AK552" t="n">
        <v>19</v>
      </c>
      <c r="AL552" t="n">
        <v>3</v>
      </c>
      <c r="AM552" t="n">
        <v>6</v>
      </c>
      <c r="AN552" t="n">
        <v>0</v>
      </c>
      <c r="AO552" t="n">
        <v>0</v>
      </c>
      <c r="AP552" t="inlineStr">
        <is>
          <t>No</t>
        </is>
      </c>
      <c r="AQ552" t="inlineStr">
        <is>
          <t>Yes</t>
        </is>
      </c>
      <c r="AR552">
        <f>HYPERLINK("http://catalog.hathitrust.org/Record/000174053","HathiTrust Record")</f>
        <v/>
      </c>
      <c r="AS552">
        <f>HYPERLINK("https://creighton-primo.hosted.exlibrisgroup.com/primo-explore/search?tab=default_tab&amp;search_scope=EVERYTHING&amp;vid=01CRU&amp;lang=en_US&amp;offset=0&amp;query=any,contains,991004545429702656","Catalog Record")</f>
        <v/>
      </c>
      <c r="AT552">
        <f>HYPERLINK("http://www.worldcat.org/oclc/3913266","WorldCat Record")</f>
        <v/>
      </c>
      <c r="AU552" t="inlineStr">
        <is>
          <t>138905940:eng</t>
        </is>
      </c>
      <c r="AV552" t="inlineStr">
        <is>
          <t>3913266</t>
        </is>
      </c>
      <c r="AW552" t="inlineStr">
        <is>
          <t>991004545429702656</t>
        </is>
      </c>
      <c r="AX552" t="inlineStr">
        <is>
          <t>991004545429702656</t>
        </is>
      </c>
      <c r="AY552" t="inlineStr">
        <is>
          <t>2258197830002656</t>
        </is>
      </c>
      <c r="AZ552" t="inlineStr">
        <is>
          <t>BOOK</t>
        </is>
      </c>
      <c r="BB552" t="inlineStr">
        <is>
          <t>9780812825237</t>
        </is>
      </c>
      <c r="BC552" t="inlineStr">
        <is>
          <t>32285000210269</t>
        </is>
      </c>
      <c r="BD552" t="inlineStr">
        <is>
          <t>893618808</t>
        </is>
      </c>
    </row>
    <row r="553">
      <c r="A553" t="inlineStr">
        <is>
          <t>No</t>
        </is>
      </c>
      <c r="B553" t="inlineStr">
        <is>
          <t>DS135.P62 W264 1969</t>
        </is>
      </c>
      <c r="C553" t="inlineStr">
        <is>
          <t>0                      DS 0135000P  62                 W  264         1969</t>
        </is>
      </c>
      <c r="D553" t="inlineStr">
        <is>
          <t>Menschen im Ghetto / Günther Deschner ; mit einem Vorwort von Jean Améry.</t>
        </is>
      </c>
      <c r="F553" t="inlineStr">
        <is>
          <t>No</t>
        </is>
      </c>
      <c r="G553" t="inlineStr">
        <is>
          <t>1</t>
        </is>
      </c>
      <c r="H553" t="inlineStr">
        <is>
          <t>No</t>
        </is>
      </c>
      <c r="I553" t="inlineStr">
        <is>
          <t>No</t>
        </is>
      </c>
      <c r="J553" t="inlineStr">
        <is>
          <t>0</t>
        </is>
      </c>
      <c r="K553" t="inlineStr">
        <is>
          <t>Deschner, Günther, 1941-</t>
        </is>
      </c>
      <c r="L553" t="inlineStr">
        <is>
          <t>[Gütersloh] : Bertelsmann Sachbuchverlag, [1969]</t>
        </is>
      </c>
      <c r="M553" t="inlineStr">
        <is>
          <t>1969</t>
        </is>
      </c>
      <c r="O553" t="inlineStr">
        <is>
          <t>ger</t>
        </is>
      </c>
      <c r="P553" t="inlineStr">
        <is>
          <t xml:space="preserve">gw </t>
        </is>
      </c>
      <c r="R553" t="inlineStr">
        <is>
          <t xml:space="preserve">DS </t>
        </is>
      </c>
      <c r="S553" t="n">
        <v>5</v>
      </c>
      <c r="T553" t="n">
        <v>5</v>
      </c>
      <c r="U553" t="inlineStr">
        <is>
          <t>1998-08-18</t>
        </is>
      </c>
      <c r="V553" t="inlineStr">
        <is>
          <t>1998-08-18</t>
        </is>
      </c>
      <c r="W553" t="inlineStr">
        <is>
          <t>1991-05-20</t>
        </is>
      </c>
      <c r="X553" t="inlineStr">
        <is>
          <t>1991-05-20</t>
        </is>
      </c>
      <c r="Y553" t="n">
        <v>52</v>
      </c>
      <c r="Z553" t="n">
        <v>30</v>
      </c>
      <c r="AA553" t="n">
        <v>32</v>
      </c>
      <c r="AB553" t="n">
        <v>1</v>
      </c>
      <c r="AC553" t="n">
        <v>1</v>
      </c>
      <c r="AD553" t="n">
        <v>1</v>
      </c>
      <c r="AE553" t="n">
        <v>1</v>
      </c>
      <c r="AF553" t="n">
        <v>0</v>
      </c>
      <c r="AG553" t="n">
        <v>0</v>
      </c>
      <c r="AH553" t="n">
        <v>0</v>
      </c>
      <c r="AI553" t="n">
        <v>0</v>
      </c>
      <c r="AJ553" t="n">
        <v>1</v>
      </c>
      <c r="AK553" t="n">
        <v>1</v>
      </c>
      <c r="AL553" t="n">
        <v>0</v>
      </c>
      <c r="AM553" t="n">
        <v>0</v>
      </c>
      <c r="AN553" t="n">
        <v>0</v>
      </c>
      <c r="AO553" t="n">
        <v>0</v>
      </c>
      <c r="AP553" t="inlineStr">
        <is>
          <t>No</t>
        </is>
      </c>
      <c r="AQ553" t="inlineStr">
        <is>
          <t>Yes</t>
        </is>
      </c>
      <c r="AR553">
        <f>HYPERLINK("http://catalog.hathitrust.org/Record/010645453","HathiTrust Record")</f>
        <v/>
      </c>
      <c r="AS553">
        <f>HYPERLINK("https://creighton-primo.hosted.exlibrisgroup.com/primo-explore/search?tab=default_tab&amp;search_scope=EVERYTHING&amp;vid=01CRU&amp;lang=en_US&amp;offset=0&amp;query=any,contains,991005056709702656","Catalog Record")</f>
        <v/>
      </c>
      <c r="AT553">
        <f>HYPERLINK("http://www.worldcat.org/oclc/6901393","WorldCat Record")</f>
        <v/>
      </c>
      <c r="AU553" t="inlineStr">
        <is>
          <t>24522977:ger</t>
        </is>
      </c>
      <c r="AV553" t="inlineStr">
        <is>
          <t>6901393</t>
        </is>
      </c>
      <c r="AW553" t="inlineStr">
        <is>
          <t>991005056709702656</t>
        </is>
      </c>
      <c r="AX553" t="inlineStr">
        <is>
          <t>991005056709702656</t>
        </is>
      </c>
      <c r="AY553" t="inlineStr">
        <is>
          <t>2263207600002656</t>
        </is>
      </c>
      <c r="AZ553" t="inlineStr">
        <is>
          <t>BOOK</t>
        </is>
      </c>
      <c r="BC553" t="inlineStr">
        <is>
          <t>32285000574482</t>
        </is>
      </c>
      <c r="BD553" t="inlineStr">
        <is>
          <t>893795536</t>
        </is>
      </c>
    </row>
    <row r="554">
      <c r="A554" t="inlineStr">
        <is>
          <t>No</t>
        </is>
      </c>
      <c r="B554" t="inlineStr">
        <is>
          <t>DS135.P62 W269 1993</t>
        </is>
      </c>
      <c r="C554" t="inlineStr">
        <is>
          <t>0                      DS 0135000P  62                 W  269         1993</t>
        </is>
      </c>
      <c r="D554" t="inlineStr">
        <is>
          <t>In the Warsaw Ghetto : summer 1941 / photographs by Willy Georg ; with passages from Warsaw Ghetto diaries compiled and with an afterword by Rafael F. Scharf.</t>
        </is>
      </c>
      <c r="F554" t="inlineStr">
        <is>
          <t>No</t>
        </is>
      </c>
      <c r="G554" t="inlineStr">
        <is>
          <t>1</t>
        </is>
      </c>
      <c r="H554" t="inlineStr">
        <is>
          <t>No</t>
        </is>
      </c>
      <c r="I554" t="inlineStr">
        <is>
          <t>No</t>
        </is>
      </c>
      <c r="J554" t="inlineStr">
        <is>
          <t>0</t>
        </is>
      </c>
      <c r="K554" t="inlineStr">
        <is>
          <t>Georg, Willy.</t>
        </is>
      </c>
      <c r="L554" t="inlineStr">
        <is>
          <t>New York : Aperture, c1993.</t>
        </is>
      </c>
      <c r="M554" t="inlineStr">
        <is>
          <t>1993</t>
        </is>
      </c>
      <c r="N554" t="inlineStr">
        <is>
          <t>1st ed.</t>
        </is>
      </c>
      <c r="O554" t="inlineStr">
        <is>
          <t>eng</t>
        </is>
      </c>
      <c r="P554" t="inlineStr">
        <is>
          <t>nyu</t>
        </is>
      </c>
      <c r="R554" t="inlineStr">
        <is>
          <t xml:space="preserve">DS </t>
        </is>
      </c>
      <c r="S554" t="n">
        <v>6</v>
      </c>
      <c r="T554" t="n">
        <v>6</v>
      </c>
      <c r="U554" t="inlineStr">
        <is>
          <t>1998-08-18</t>
        </is>
      </c>
      <c r="V554" t="inlineStr">
        <is>
          <t>1998-08-18</t>
        </is>
      </c>
      <c r="W554" t="inlineStr">
        <is>
          <t>1993-08-19</t>
        </is>
      </c>
      <c r="X554" t="inlineStr">
        <is>
          <t>1993-08-19</t>
        </is>
      </c>
      <c r="Y554" t="n">
        <v>605</v>
      </c>
      <c r="Z554" t="n">
        <v>542</v>
      </c>
      <c r="AA554" t="n">
        <v>545</v>
      </c>
      <c r="AB554" t="n">
        <v>3</v>
      </c>
      <c r="AC554" t="n">
        <v>3</v>
      </c>
      <c r="AD554" t="n">
        <v>17</v>
      </c>
      <c r="AE554" t="n">
        <v>17</v>
      </c>
      <c r="AF554" t="n">
        <v>6</v>
      </c>
      <c r="AG554" t="n">
        <v>6</v>
      </c>
      <c r="AH554" t="n">
        <v>3</v>
      </c>
      <c r="AI554" t="n">
        <v>3</v>
      </c>
      <c r="AJ554" t="n">
        <v>9</v>
      </c>
      <c r="AK554" t="n">
        <v>9</v>
      </c>
      <c r="AL554" t="n">
        <v>2</v>
      </c>
      <c r="AM554" t="n">
        <v>2</v>
      </c>
      <c r="AN554" t="n">
        <v>0</v>
      </c>
      <c r="AO554" t="n">
        <v>0</v>
      </c>
      <c r="AP554" t="inlineStr">
        <is>
          <t>No</t>
        </is>
      </c>
      <c r="AQ554" t="inlineStr">
        <is>
          <t>Yes</t>
        </is>
      </c>
      <c r="AR554">
        <f>HYPERLINK("http://catalog.hathitrust.org/Record/002712754","HathiTrust Record")</f>
        <v/>
      </c>
      <c r="AS554">
        <f>HYPERLINK("https://creighton-primo.hosted.exlibrisgroup.com/primo-explore/search?tab=default_tab&amp;search_scope=EVERYTHING&amp;vid=01CRU&amp;lang=en_US&amp;offset=0&amp;query=any,contains,991002164179702656","Catalog Record")</f>
        <v/>
      </c>
      <c r="AT554">
        <f>HYPERLINK("http://www.worldcat.org/oclc/27870949","WorldCat Record")</f>
        <v/>
      </c>
      <c r="AU554" t="inlineStr">
        <is>
          <t>379131:eng</t>
        </is>
      </c>
      <c r="AV554" t="inlineStr">
        <is>
          <t>27870949</t>
        </is>
      </c>
      <c r="AW554" t="inlineStr">
        <is>
          <t>991002164179702656</t>
        </is>
      </c>
      <c r="AX554" t="inlineStr">
        <is>
          <t>991002164179702656</t>
        </is>
      </c>
      <c r="AY554" t="inlineStr">
        <is>
          <t>2261659160002656</t>
        </is>
      </c>
      <c r="AZ554" t="inlineStr">
        <is>
          <t>BOOK</t>
        </is>
      </c>
      <c r="BB554" t="inlineStr">
        <is>
          <t>9780893815264</t>
        </is>
      </c>
      <c r="BC554" t="inlineStr">
        <is>
          <t>32285001727527</t>
        </is>
      </c>
      <c r="BD554" t="inlineStr">
        <is>
          <t>893709942</t>
        </is>
      </c>
    </row>
    <row r="555">
      <c r="A555" t="inlineStr">
        <is>
          <t>No</t>
        </is>
      </c>
      <c r="B555" t="inlineStr">
        <is>
          <t>DS135.P62 W2728 1994</t>
        </is>
      </c>
      <c r="C555" t="inlineStr">
        <is>
          <t>0                      DS 0135000P  62                 W  2728        1994</t>
        </is>
      </c>
      <c r="D555" t="inlineStr">
        <is>
          <t>Resistance : the Warsaw Ghetto uprising / Israel Gutman.</t>
        </is>
      </c>
      <c r="F555" t="inlineStr">
        <is>
          <t>No</t>
        </is>
      </c>
      <c r="G555" t="inlineStr">
        <is>
          <t>1</t>
        </is>
      </c>
      <c r="H555" t="inlineStr">
        <is>
          <t>No</t>
        </is>
      </c>
      <c r="I555" t="inlineStr">
        <is>
          <t>No</t>
        </is>
      </c>
      <c r="J555" t="inlineStr">
        <is>
          <t>0</t>
        </is>
      </c>
      <c r="K555" t="inlineStr">
        <is>
          <t>Gutman, Israel.</t>
        </is>
      </c>
      <c r="L555" t="inlineStr">
        <is>
          <t>Boston : Houghton Mifflin, 1994.</t>
        </is>
      </c>
      <c r="M555" t="inlineStr">
        <is>
          <t>1994</t>
        </is>
      </c>
      <c r="O555" t="inlineStr">
        <is>
          <t>eng</t>
        </is>
      </c>
      <c r="P555" t="inlineStr">
        <is>
          <t>mau</t>
        </is>
      </c>
      <c r="R555" t="inlineStr">
        <is>
          <t xml:space="preserve">DS </t>
        </is>
      </c>
      <c r="S555" t="n">
        <v>5</v>
      </c>
      <c r="T555" t="n">
        <v>5</v>
      </c>
      <c r="U555" t="inlineStr">
        <is>
          <t>2010-09-24</t>
        </is>
      </c>
      <c r="V555" t="inlineStr">
        <is>
          <t>2010-09-24</t>
        </is>
      </c>
      <c r="W555" t="inlineStr">
        <is>
          <t>1994-07-25</t>
        </is>
      </c>
      <c r="X555" t="inlineStr">
        <is>
          <t>1994-07-25</t>
        </is>
      </c>
      <c r="Y555" t="n">
        <v>1163</v>
      </c>
      <c r="Z555" t="n">
        <v>1022</v>
      </c>
      <c r="AA555" t="n">
        <v>1036</v>
      </c>
      <c r="AB555" t="n">
        <v>9</v>
      </c>
      <c r="AC555" t="n">
        <v>9</v>
      </c>
      <c r="AD555" t="n">
        <v>34</v>
      </c>
      <c r="AE555" t="n">
        <v>34</v>
      </c>
      <c r="AF555" t="n">
        <v>14</v>
      </c>
      <c r="AG555" t="n">
        <v>14</v>
      </c>
      <c r="AH555" t="n">
        <v>8</v>
      </c>
      <c r="AI555" t="n">
        <v>8</v>
      </c>
      <c r="AJ555" t="n">
        <v>14</v>
      </c>
      <c r="AK555" t="n">
        <v>14</v>
      </c>
      <c r="AL555" t="n">
        <v>6</v>
      </c>
      <c r="AM555" t="n">
        <v>6</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HYPERLINK("https://creighton-primo.hosted.exlibrisgroup.com/primo-explore/search?tab=default_tab&amp;search_scope=EVERYTHING&amp;vid=01CRU&amp;lang=en_US&amp;offset=0&amp;query=any,contains,991002277249702656","Catalog Record")</f>
        <v/>
      </c>
      <c r="AT555">
        <f>HYPERLINK("http://www.worldcat.org/oclc/29548576","WorldCat Record")</f>
        <v/>
      </c>
      <c r="AU555" t="inlineStr">
        <is>
          <t>796264427:eng</t>
        </is>
      </c>
      <c r="AV555" t="inlineStr">
        <is>
          <t>29548576</t>
        </is>
      </c>
      <c r="AW555" t="inlineStr">
        <is>
          <t>991002277249702656</t>
        </is>
      </c>
      <c r="AX555" t="inlineStr">
        <is>
          <t>991002277249702656</t>
        </is>
      </c>
      <c r="AY555" t="inlineStr">
        <is>
          <t>2271015790002656</t>
        </is>
      </c>
      <c r="AZ555" t="inlineStr">
        <is>
          <t>BOOK</t>
        </is>
      </c>
      <c r="BB555" t="inlineStr">
        <is>
          <t>9780395601990</t>
        </is>
      </c>
      <c r="BC555" t="inlineStr">
        <is>
          <t>32285001933398</t>
        </is>
      </c>
      <c r="BD555" t="inlineStr">
        <is>
          <t>893609680</t>
        </is>
      </c>
    </row>
    <row r="556">
      <c r="A556" t="inlineStr">
        <is>
          <t>No</t>
        </is>
      </c>
      <c r="B556" t="inlineStr">
        <is>
          <t>DS135.P63 B5467 1993</t>
        </is>
      </c>
      <c r="C556" t="inlineStr">
        <is>
          <t>0                      DS 0135000P  63                 B  5467        1993</t>
        </is>
      </c>
      <c r="D556" t="inlineStr">
        <is>
          <t>An eye for an eye / John Sack.</t>
        </is>
      </c>
      <c r="F556" t="inlineStr">
        <is>
          <t>No</t>
        </is>
      </c>
      <c r="G556" t="inlineStr">
        <is>
          <t>1</t>
        </is>
      </c>
      <c r="H556" t="inlineStr">
        <is>
          <t>No</t>
        </is>
      </c>
      <c r="I556" t="inlineStr">
        <is>
          <t>No</t>
        </is>
      </c>
      <c r="J556" t="inlineStr">
        <is>
          <t>0</t>
        </is>
      </c>
      <c r="K556" t="inlineStr">
        <is>
          <t>Sack, John.</t>
        </is>
      </c>
      <c r="L556" t="inlineStr">
        <is>
          <t>New York, NY : BasicBooks, c1993.</t>
        </is>
      </c>
      <c r="M556" t="inlineStr">
        <is>
          <t>1993</t>
        </is>
      </c>
      <c r="O556" t="inlineStr">
        <is>
          <t>eng</t>
        </is>
      </c>
      <c r="P556" t="inlineStr">
        <is>
          <t>nyu</t>
        </is>
      </c>
      <c r="R556" t="inlineStr">
        <is>
          <t xml:space="preserve">DS </t>
        </is>
      </c>
      <c r="S556" t="n">
        <v>4</v>
      </c>
      <c r="T556" t="n">
        <v>4</v>
      </c>
      <c r="U556" t="inlineStr">
        <is>
          <t>2004-03-31</t>
        </is>
      </c>
      <c r="V556" t="inlineStr">
        <is>
          <t>2004-03-31</t>
        </is>
      </c>
      <c r="W556" t="inlineStr">
        <is>
          <t>1997-07-09</t>
        </is>
      </c>
      <c r="X556" t="inlineStr">
        <is>
          <t>1997-07-09</t>
        </is>
      </c>
      <c r="Y556" t="n">
        <v>450</v>
      </c>
      <c r="Z556" t="n">
        <v>397</v>
      </c>
      <c r="AA556" t="n">
        <v>446</v>
      </c>
      <c r="AB556" t="n">
        <v>5</v>
      </c>
      <c r="AC556" t="n">
        <v>5</v>
      </c>
      <c r="AD556" t="n">
        <v>18</v>
      </c>
      <c r="AE556" t="n">
        <v>20</v>
      </c>
      <c r="AF556" t="n">
        <v>5</v>
      </c>
      <c r="AG556" t="n">
        <v>7</v>
      </c>
      <c r="AH556" t="n">
        <v>3</v>
      </c>
      <c r="AI556" t="n">
        <v>3</v>
      </c>
      <c r="AJ556" t="n">
        <v>12</v>
      </c>
      <c r="AK556" t="n">
        <v>13</v>
      </c>
      <c r="AL556" t="n">
        <v>2</v>
      </c>
      <c r="AM556" t="n">
        <v>2</v>
      </c>
      <c r="AN556" t="n">
        <v>0</v>
      </c>
      <c r="AO556" t="n">
        <v>0</v>
      </c>
      <c r="AP556" t="inlineStr">
        <is>
          <t>No</t>
        </is>
      </c>
      <c r="AQ556" t="inlineStr">
        <is>
          <t>Yes</t>
        </is>
      </c>
      <c r="AR556">
        <f>HYPERLINK("http://catalog.hathitrust.org/Record/002856033","HathiTrust Record")</f>
        <v/>
      </c>
      <c r="AS556">
        <f>HYPERLINK("https://creighton-primo.hosted.exlibrisgroup.com/primo-explore/search?tab=default_tab&amp;search_scope=EVERYTHING&amp;vid=01CRU&amp;lang=en_US&amp;offset=0&amp;query=any,contains,991002227369702656","Catalog Record")</f>
        <v/>
      </c>
      <c r="AT556">
        <f>HYPERLINK("http://www.worldcat.org/oclc/28708318","WorldCat Record")</f>
        <v/>
      </c>
      <c r="AU556" t="inlineStr">
        <is>
          <t>20591583:eng</t>
        </is>
      </c>
      <c r="AV556" t="inlineStr">
        <is>
          <t>28708318</t>
        </is>
      </c>
      <c r="AW556" t="inlineStr">
        <is>
          <t>991002227369702656</t>
        </is>
      </c>
      <c r="AX556" t="inlineStr">
        <is>
          <t>991002227369702656</t>
        </is>
      </c>
      <c r="AY556" t="inlineStr">
        <is>
          <t>2256972540002656</t>
        </is>
      </c>
      <c r="AZ556" t="inlineStr">
        <is>
          <t>BOOK</t>
        </is>
      </c>
      <c r="BB556" t="inlineStr">
        <is>
          <t>9780465042142</t>
        </is>
      </c>
      <c r="BC556" t="inlineStr">
        <is>
          <t>32285002864659</t>
        </is>
      </c>
      <c r="BD556" t="inlineStr">
        <is>
          <t>893898507</t>
        </is>
      </c>
    </row>
    <row r="557">
      <c r="A557" t="inlineStr">
        <is>
          <t>No</t>
        </is>
      </c>
      <c r="B557" t="inlineStr">
        <is>
          <t>DS135.R9 B28</t>
        </is>
      </c>
      <c r="C557" t="inlineStr">
        <is>
          <t>0                      DS 0135000R  9                  B  28</t>
        </is>
      </c>
      <c r="D557" t="inlineStr">
        <is>
          <t>The Russian Jew under tsars and soviets / by Salo W. Baron.</t>
        </is>
      </c>
      <c r="F557" t="inlineStr">
        <is>
          <t>No</t>
        </is>
      </c>
      <c r="G557" t="inlineStr">
        <is>
          <t>1</t>
        </is>
      </c>
      <c r="H557" t="inlineStr">
        <is>
          <t>No</t>
        </is>
      </c>
      <c r="I557" t="inlineStr">
        <is>
          <t>No</t>
        </is>
      </c>
      <c r="J557" t="inlineStr">
        <is>
          <t>0</t>
        </is>
      </c>
      <c r="K557" t="inlineStr">
        <is>
          <t>Baron, Salo W. (Salo Wittmayer), 1895-1989.</t>
        </is>
      </c>
      <c r="L557" t="inlineStr">
        <is>
          <t>New York : Macmillan, [1964]</t>
        </is>
      </c>
      <c r="M557" t="inlineStr">
        <is>
          <t>1964</t>
        </is>
      </c>
      <c r="O557" t="inlineStr">
        <is>
          <t>eng</t>
        </is>
      </c>
      <c r="P557" t="inlineStr">
        <is>
          <t>nyu</t>
        </is>
      </c>
      <c r="Q557" t="inlineStr">
        <is>
          <t>Russian civilization series</t>
        </is>
      </c>
      <c r="R557" t="inlineStr">
        <is>
          <t xml:space="preserve">DS </t>
        </is>
      </c>
      <c r="S557" t="n">
        <v>4</v>
      </c>
      <c r="T557" t="n">
        <v>4</v>
      </c>
      <c r="U557" t="inlineStr">
        <is>
          <t>1998-02-26</t>
        </is>
      </c>
      <c r="V557" t="inlineStr">
        <is>
          <t>1998-02-26</t>
        </is>
      </c>
      <c r="W557" t="inlineStr">
        <is>
          <t>1997-02-27</t>
        </is>
      </c>
      <c r="X557" t="inlineStr">
        <is>
          <t>1997-02-27</t>
        </is>
      </c>
      <c r="Y557" t="n">
        <v>545</v>
      </c>
      <c r="Z557" t="n">
        <v>441</v>
      </c>
      <c r="AA557" t="n">
        <v>783</v>
      </c>
      <c r="AB557" t="n">
        <v>4</v>
      </c>
      <c r="AC557" t="n">
        <v>4</v>
      </c>
      <c r="AD557" t="n">
        <v>16</v>
      </c>
      <c r="AE557" t="n">
        <v>31</v>
      </c>
      <c r="AF557" t="n">
        <v>3</v>
      </c>
      <c r="AG557" t="n">
        <v>13</v>
      </c>
      <c r="AH557" t="n">
        <v>5</v>
      </c>
      <c r="AI557" t="n">
        <v>8</v>
      </c>
      <c r="AJ557" t="n">
        <v>10</v>
      </c>
      <c r="AK557" t="n">
        <v>19</v>
      </c>
      <c r="AL557" t="n">
        <v>3</v>
      </c>
      <c r="AM557" t="n">
        <v>3</v>
      </c>
      <c r="AN557" t="n">
        <v>0</v>
      </c>
      <c r="AO557" t="n">
        <v>0</v>
      </c>
      <c r="AP557" t="inlineStr">
        <is>
          <t>No</t>
        </is>
      </c>
      <c r="AQ557" t="inlineStr">
        <is>
          <t>Yes</t>
        </is>
      </c>
      <c r="AR557">
        <f>HYPERLINK("http://catalog.hathitrust.org/Record/001247450","HathiTrust Record")</f>
        <v/>
      </c>
      <c r="AS557">
        <f>HYPERLINK("https://creighton-primo.hosted.exlibrisgroup.com/primo-explore/search?tab=default_tab&amp;search_scope=EVERYTHING&amp;vid=01CRU&amp;lang=en_US&amp;offset=0&amp;query=any,contains,991002127249702656","Catalog Record")</f>
        <v/>
      </c>
      <c r="AT557">
        <f>HYPERLINK("http://www.worldcat.org/oclc/269307","WorldCat Record")</f>
        <v/>
      </c>
      <c r="AU557" t="inlineStr">
        <is>
          <t>58121347:eng</t>
        </is>
      </c>
      <c r="AV557" t="inlineStr">
        <is>
          <t>269307</t>
        </is>
      </c>
      <c r="AW557" t="inlineStr">
        <is>
          <t>991002127249702656</t>
        </is>
      </c>
      <c r="AX557" t="inlineStr">
        <is>
          <t>991002127249702656</t>
        </is>
      </c>
      <c r="AY557" t="inlineStr">
        <is>
          <t>2267428690002656</t>
        </is>
      </c>
      <c r="AZ557" t="inlineStr">
        <is>
          <t>BOOK</t>
        </is>
      </c>
      <c r="BC557" t="inlineStr">
        <is>
          <t>32285002463338</t>
        </is>
      </c>
      <c r="BD557" t="inlineStr">
        <is>
          <t>893408724</t>
        </is>
      </c>
    </row>
    <row r="558">
      <c r="A558" t="inlineStr">
        <is>
          <t>No</t>
        </is>
      </c>
      <c r="B558" t="inlineStr">
        <is>
          <t>DS135.R9 B86 1978b</t>
        </is>
      </c>
      <c r="C558" t="inlineStr">
        <is>
          <t>0                      DS 0135000R  9                  B  86          1978b</t>
        </is>
      </c>
      <c r="D558" t="inlineStr">
        <is>
          <t>The Jewish intelligentsia and Russian Marxism : a sociological study of intellectual radicalism and ideological divergence / Robert J. Brym. --</t>
        </is>
      </c>
      <c r="F558" t="inlineStr">
        <is>
          <t>No</t>
        </is>
      </c>
      <c r="G558" t="inlineStr">
        <is>
          <t>1</t>
        </is>
      </c>
      <c r="H558" t="inlineStr">
        <is>
          <t>No</t>
        </is>
      </c>
      <c r="I558" t="inlineStr">
        <is>
          <t>No</t>
        </is>
      </c>
      <c r="J558" t="inlineStr">
        <is>
          <t>0</t>
        </is>
      </c>
      <c r="K558" t="inlineStr">
        <is>
          <t>Brym, Robert J., 1951-</t>
        </is>
      </c>
      <c r="L558" t="inlineStr">
        <is>
          <t>New York : Schocken Books, 1978.</t>
        </is>
      </c>
      <c r="M558" t="inlineStr">
        <is>
          <t>1978</t>
        </is>
      </c>
      <c r="O558" t="inlineStr">
        <is>
          <t>eng</t>
        </is>
      </c>
      <c r="P558" t="inlineStr">
        <is>
          <t>nyu</t>
        </is>
      </c>
      <c r="R558" t="inlineStr">
        <is>
          <t xml:space="preserve">DS </t>
        </is>
      </c>
      <c r="S558" t="n">
        <v>3</v>
      </c>
      <c r="T558" t="n">
        <v>3</v>
      </c>
      <c r="U558" t="inlineStr">
        <is>
          <t>1998-02-23</t>
        </is>
      </c>
      <c r="V558" t="inlineStr">
        <is>
          <t>1998-02-23</t>
        </is>
      </c>
      <c r="W558" t="inlineStr">
        <is>
          <t>1990-10-03</t>
        </is>
      </c>
      <c r="X558" t="inlineStr">
        <is>
          <t>1990-10-03</t>
        </is>
      </c>
      <c r="Y558" t="n">
        <v>359</v>
      </c>
      <c r="Z558" t="n">
        <v>321</v>
      </c>
      <c r="AA558" t="n">
        <v>371</v>
      </c>
      <c r="AB558" t="n">
        <v>2</v>
      </c>
      <c r="AC558" t="n">
        <v>2</v>
      </c>
      <c r="AD558" t="n">
        <v>20</v>
      </c>
      <c r="AE558" t="n">
        <v>22</v>
      </c>
      <c r="AF558" t="n">
        <v>9</v>
      </c>
      <c r="AG558" t="n">
        <v>11</v>
      </c>
      <c r="AH558" t="n">
        <v>8</v>
      </c>
      <c r="AI558" t="n">
        <v>8</v>
      </c>
      <c r="AJ558" t="n">
        <v>9</v>
      </c>
      <c r="AK558" t="n">
        <v>10</v>
      </c>
      <c r="AL558" t="n">
        <v>1</v>
      </c>
      <c r="AM558" t="n">
        <v>1</v>
      </c>
      <c r="AN558" t="n">
        <v>0</v>
      </c>
      <c r="AO558" t="n">
        <v>0</v>
      </c>
      <c r="AP558" t="inlineStr">
        <is>
          <t>No</t>
        </is>
      </c>
      <c r="AQ558" t="inlineStr">
        <is>
          <t>No</t>
        </is>
      </c>
      <c r="AS558">
        <f>HYPERLINK("https://creighton-primo.hosted.exlibrisgroup.com/primo-explore/search?tab=default_tab&amp;search_scope=EVERYTHING&amp;vid=01CRU&amp;lang=en_US&amp;offset=0&amp;query=any,contains,991004420829702656","Catalog Record")</f>
        <v/>
      </c>
      <c r="AT558">
        <f>HYPERLINK("http://www.worldcat.org/oclc/3380486","WorldCat Record")</f>
        <v/>
      </c>
      <c r="AU558" t="inlineStr">
        <is>
          <t>858448437:eng</t>
        </is>
      </c>
      <c r="AV558" t="inlineStr">
        <is>
          <t>3380486</t>
        </is>
      </c>
      <c r="AW558" t="inlineStr">
        <is>
          <t>991004420829702656</t>
        </is>
      </c>
      <c r="AX558" t="inlineStr">
        <is>
          <t>991004420829702656</t>
        </is>
      </c>
      <c r="AY558" t="inlineStr">
        <is>
          <t>2272568710002656</t>
        </is>
      </c>
      <c r="AZ558" t="inlineStr">
        <is>
          <t>BOOK</t>
        </is>
      </c>
      <c r="BB558" t="inlineStr">
        <is>
          <t>9780805236859</t>
        </is>
      </c>
      <c r="BC558" t="inlineStr">
        <is>
          <t>32285000294602</t>
        </is>
      </c>
      <c r="BD558" t="inlineStr">
        <is>
          <t>893807047</t>
        </is>
      </c>
    </row>
    <row r="559">
      <c r="A559" t="inlineStr">
        <is>
          <t>No</t>
        </is>
      </c>
      <c r="B559" t="inlineStr">
        <is>
          <t>DS135.R9 D2 1975</t>
        </is>
      </c>
      <c r="C559" t="inlineStr">
        <is>
          <t>0                      DS 0135000R  9                  D  2           1975</t>
        </is>
      </c>
      <c r="D559" t="inlineStr">
        <is>
          <t>Within the pale : the true story of anti-Semitic persecutions in Russia / by Michael Davitt.</t>
        </is>
      </c>
      <c r="F559" t="inlineStr">
        <is>
          <t>No</t>
        </is>
      </c>
      <c r="G559" t="inlineStr">
        <is>
          <t>1</t>
        </is>
      </c>
      <c r="H559" t="inlineStr">
        <is>
          <t>No</t>
        </is>
      </c>
      <c r="I559" t="inlineStr">
        <is>
          <t>No</t>
        </is>
      </c>
      <c r="J559" t="inlineStr">
        <is>
          <t>0</t>
        </is>
      </c>
      <c r="K559" t="inlineStr">
        <is>
          <t>Davitt, Michael, 1846-1906.</t>
        </is>
      </c>
      <c r="L559" t="inlineStr">
        <is>
          <t>New York : Arno Press, 1975.</t>
        </is>
      </c>
      <c r="M559" t="inlineStr">
        <is>
          <t>1975</t>
        </is>
      </c>
      <c r="O559" t="inlineStr">
        <is>
          <t>eng</t>
        </is>
      </c>
      <c r="P559" t="inlineStr">
        <is>
          <t>nyu</t>
        </is>
      </c>
      <c r="Q559" t="inlineStr">
        <is>
          <t>The Modern Jewish experience</t>
        </is>
      </c>
      <c r="R559" t="inlineStr">
        <is>
          <t xml:space="preserve">DS </t>
        </is>
      </c>
      <c r="S559" t="n">
        <v>4</v>
      </c>
      <c r="T559" t="n">
        <v>4</v>
      </c>
      <c r="U559" t="inlineStr">
        <is>
          <t>1998-03-01</t>
        </is>
      </c>
      <c r="V559" t="inlineStr">
        <is>
          <t>1998-03-01</t>
        </is>
      </c>
      <c r="W559" t="inlineStr">
        <is>
          <t>1997-02-27</t>
        </is>
      </c>
      <c r="X559" t="inlineStr">
        <is>
          <t>1997-02-27</t>
        </is>
      </c>
      <c r="Y559" t="n">
        <v>125</v>
      </c>
      <c r="Z559" t="n">
        <v>114</v>
      </c>
      <c r="AA559" t="n">
        <v>234</v>
      </c>
      <c r="AB559" t="n">
        <v>1</v>
      </c>
      <c r="AC559" t="n">
        <v>1</v>
      </c>
      <c r="AD559" t="n">
        <v>5</v>
      </c>
      <c r="AE559" t="n">
        <v>10</v>
      </c>
      <c r="AF559" t="n">
        <v>2</v>
      </c>
      <c r="AG559" t="n">
        <v>3</v>
      </c>
      <c r="AH559" t="n">
        <v>2</v>
      </c>
      <c r="AI559" t="n">
        <v>4</v>
      </c>
      <c r="AJ559" t="n">
        <v>3</v>
      </c>
      <c r="AK559" t="n">
        <v>6</v>
      </c>
      <c r="AL559" t="n">
        <v>0</v>
      </c>
      <c r="AM559" t="n">
        <v>0</v>
      </c>
      <c r="AN559" t="n">
        <v>0</v>
      </c>
      <c r="AO559" t="n">
        <v>0</v>
      </c>
      <c r="AP559" t="inlineStr">
        <is>
          <t>No</t>
        </is>
      </c>
      <c r="AQ559" t="inlineStr">
        <is>
          <t>Yes</t>
        </is>
      </c>
      <c r="AR559">
        <f>HYPERLINK("http://catalog.hathitrust.org/Record/100620288","HathiTrust Record")</f>
        <v/>
      </c>
      <c r="AS559">
        <f>HYPERLINK("https://creighton-primo.hosted.exlibrisgroup.com/primo-explore/search?tab=default_tab&amp;search_scope=EVERYTHING&amp;vid=01CRU&amp;lang=en_US&amp;offset=0&amp;query=any,contains,991003597369702656","Catalog Record")</f>
        <v/>
      </c>
      <c r="AT559">
        <f>HYPERLINK("http://www.worldcat.org/oclc/1175947","WorldCat Record")</f>
        <v/>
      </c>
      <c r="AU559" t="inlineStr">
        <is>
          <t>1493271:eng</t>
        </is>
      </c>
      <c r="AV559" t="inlineStr">
        <is>
          <t>1175947</t>
        </is>
      </c>
      <c r="AW559" t="inlineStr">
        <is>
          <t>991003597369702656</t>
        </is>
      </c>
      <c r="AX559" t="inlineStr">
        <is>
          <t>991003597369702656</t>
        </is>
      </c>
      <c r="AY559" t="inlineStr">
        <is>
          <t>2271988510002656</t>
        </is>
      </c>
      <c r="AZ559" t="inlineStr">
        <is>
          <t>BOOK</t>
        </is>
      </c>
      <c r="BB559" t="inlineStr">
        <is>
          <t>9780405067051</t>
        </is>
      </c>
      <c r="BC559" t="inlineStr">
        <is>
          <t>32285002463346</t>
        </is>
      </c>
      <c r="BD559" t="inlineStr">
        <is>
          <t>893617511</t>
        </is>
      </c>
    </row>
    <row r="560">
      <c r="A560" t="inlineStr">
        <is>
          <t>No</t>
        </is>
      </c>
      <c r="B560" t="inlineStr">
        <is>
          <t>DS135.R9 G46</t>
        </is>
      </c>
      <c r="C560" t="inlineStr">
        <is>
          <t>0                      DS 0135000R  9                  G  46</t>
        </is>
      </c>
      <c r="D560" t="inlineStr">
        <is>
          <t>The Jewish problem in the Soviet Union : analysis and solution.</t>
        </is>
      </c>
      <c r="F560" t="inlineStr">
        <is>
          <t>No</t>
        </is>
      </c>
      <c r="G560" t="inlineStr">
        <is>
          <t>1</t>
        </is>
      </c>
      <c r="H560" t="inlineStr">
        <is>
          <t>No</t>
        </is>
      </c>
      <c r="I560" t="inlineStr">
        <is>
          <t>No</t>
        </is>
      </c>
      <c r="J560" t="inlineStr">
        <is>
          <t>0</t>
        </is>
      </c>
      <c r="K560" t="inlineStr">
        <is>
          <t>Goldberg, B. Z. (Ben Zion), 1895-</t>
        </is>
      </c>
      <c r="L560" t="inlineStr">
        <is>
          <t>New York : Crown Publishers, [1961]</t>
        </is>
      </c>
      <c r="M560" t="inlineStr">
        <is>
          <t>1961</t>
        </is>
      </c>
      <c r="O560" t="inlineStr">
        <is>
          <t>eng</t>
        </is>
      </c>
      <c r="P560" t="inlineStr">
        <is>
          <t>nyu</t>
        </is>
      </c>
      <c r="R560" t="inlineStr">
        <is>
          <t xml:space="preserve">DS </t>
        </is>
      </c>
      <c r="S560" t="n">
        <v>2</v>
      </c>
      <c r="T560" t="n">
        <v>2</v>
      </c>
      <c r="U560" t="inlineStr">
        <is>
          <t>1998-02-23</t>
        </is>
      </c>
      <c r="V560" t="inlineStr">
        <is>
          <t>1998-02-23</t>
        </is>
      </c>
      <c r="W560" t="inlineStr">
        <is>
          <t>1990-11-30</t>
        </is>
      </c>
      <c r="X560" t="inlineStr">
        <is>
          <t>1990-11-30</t>
        </is>
      </c>
      <c r="Y560" t="n">
        <v>487</v>
      </c>
      <c r="Z560" t="n">
        <v>413</v>
      </c>
      <c r="AA560" t="n">
        <v>447</v>
      </c>
      <c r="AB560" t="n">
        <v>2</v>
      </c>
      <c r="AC560" t="n">
        <v>2</v>
      </c>
      <c r="AD560" t="n">
        <v>16</v>
      </c>
      <c r="AE560" t="n">
        <v>18</v>
      </c>
      <c r="AF560" t="n">
        <v>3</v>
      </c>
      <c r="AG560" t="n">
        <v>4</v>
      </c>
      <c r="AH560" t="n">
        <v>6</v>
      </c>
      <c r="AI560" t="n">
        <v>6</v>
      </c>
      <c r="AJ560" t="n">
        <v>10</v>
      </c>
      <c r="AK560" t="n">
        <v>11</v>
      </c>
      <c r="AL560" t="n">
        <v>0</v>
      </c>
      <c r="AM560" t="n">
        <v>0</v>
      </c>
      <c r="AN560" t="n">
        <v>0</v>
      </c>
      <c r="AO560" t="n">
        <v>0</v>
      </c>
      <c r="AP560" t="inlineStr">
        <is>
          <t>No</t>
        </is>
      </c>
      <c r="AQ560" t="inlineStr">
        <is>
          <t>Yes</t>
        </is>
      </c>
      <c r="AR560">
        <f>HYPERLINK("http://catalog.hathitrust.org/Record/001247459","HathiTrust Record")</f>
        <v/>
      </c>
      <c r="AS560">
        <f>HYPERLINK("https://creighton-primo.hosted.exlibrisgroup.com/primo-explore/search?tab=default_tab&amp;search_scope=EVERYTHING&amp;vid=01CRU&amp;lang=en_US&amp;offset=0&amp;query=any,contains,991002709749702656","Catalog Record")</f>
        <v/>
      </c>
      <c r="AT560">
        <f>HYPERLINK("http://www.worldcat.org/oclc/408696","WorldCat Record")</f>
        <v/>
      </c>
      <c r="AU560" t="inlineStr">
        <is>
          <t>1444178:eng</t>
        </is>
      </c>
      <c r="AV560" t="inlineStr">
        <is>
          <t>408696</t>
        </is>
      </c>
      <c r="AW560" t="inlineStr">
        <is>
          <t>991002709749702656</t>
        </is>
      </c>
      <c r="AX560" t="inlineStr">
        <is>
          <t>991002709749702656</t>
        </is>
      </c>
      <c r="AY560" t="inlineStr">
        <is>
          <t>2264129480002656</t>
        </is>
      </c>
      <c r="AZ560" t="inlineStr">
        <is>
          <t>BOOK</t>
        </is>
      </c>
      <c r="BC560" t="inlineStr">
        <is>
          <t>32285000410604</t>
        </is>
      </c>
      <c r="BD560" t="inlineStr">
        <is>
          <t>893257614</t>
        </is>
      </c>
    </row>
    <row r="561">
      <c r="A561" t="inlineStr">
        <is>
          <t>No</t>
        </is>
      </c>
      <c r="B561" t="inlineStr">
        <is>
          <t>DS135.R9 J47 1972b</t>
        </is>
      </c>
      <c r="C561" t="inlineStr">
        <is>
          <t>0                      DS 0135000R  9                  J  47          1972b</t>
        </is>
      </c>
      <c r="D561" t="inlineStr">
        <is>
          <t>The Jews in Soviet Russia since 1917; edited by Lionel Kochan.</t>
        </is>
      </c>
      <c r="F561" t="inlineStr">
        <is>
          <t>No</t>
        </is>
      </c>
      <c r="G561" t="inlineStr">
        <is>
          <t>1</t>
        </is>
      </c>
      <c r="H561" t="inlineStr">
        <is>
          <t>No</t>
        </is>
      </c>
      <c r="I561" t="inlineStr">
        <is>
          <t>No</t>
        </is>
      </c>
      <c r="J561" t="inlineStr">
        <is>
          <t>0</t>
        </is>
      </c>
      <c r="L561" t="inlineStr">
        <is>
          <t>London, New York, Oxford University Press for the Institute of Jewish Affairs, 1972.</t>
        </is>
      </c>
      <c r="M561" t="inlineStr">
        <is>
          <t>1972</t>
        </is>
      </c>
      <c r="N561" t="inlineStr">
        <is>
          <t>2nd ed.</t>
        </is>
      </c>
      <c r="O561" t="inlineStr">
        <is>
          <t>eng</t>
        </is>
      </c>
      <c r="P561" t="inlineStr">
        <is>
          <t>enk</t>
        </is>
      </c>
      <c r="R561" t="inlineStr">
        <is>
          <t xml:space="preserve">DS </t>
        </is>
      </c>
      <c r="S561" t="n">
        <v>2</v>
      </c>
      <c r="T561" t="n">
        <v>2</v>
      </c>
      <c r="U561" t="inlineStr">
        <is>
          <t>1998-02-23</t>
        </is>
      </c>
      <c r="V561" t="inlineStr">
        <is>
          <t>1998-02-23</t>
        </is>
      </c>
      <c r="W561" t="inlineStr">
        <is>
          <t>1997-02-27</t>
        </is>
      </c>
      <c r="X561" t="inlineStr">
        <is>
          <t>1997-02-27</t>
        </is>
      </c>
      <c r="Y561" t="n">
        <v>572</v>
      </c>
      <c r="Z561" t="n">
        <v>482</v>
      </c>
      <c r="AA561" t="n">
        <v>973</v>
      </c>
      <c r="AB561" t="n">
        <v>6</v>
      </c>
      <c r="AC561" t="n">
        <v>12</v>
      </c>
      <c r="AD561" t="n">
        <v>21</v>
      </c>
      <c r="AE561" t="n">
        <v>45</v>
      </c>
      <c r="AF561" t="n">
        <v>8</v>
      </c>
      <c r="AG561" t="n">
        <v>16</v>
      </c>
      <c r="AH561" t="n">
        <v>5</v>
      </c>
      <c r="AI561" t="n">
        <v>11</v>
      </c>
      <c r="AJ561" t="n">
        <v>6</v>
      </c>
      <c r="AK561" t="n">
        <v>16</v>
      </c>
      <c r="AL561" t="n">
        <v>5</v>
      </c>
      <c r="AM561" t="n">
        <v>11</v>
      </c>
      <c r="AN561" t="n">
        <v>0</v>
      </c>
      <c r="AO561" t="n">
        <v>0</v>
      </c>
      <c r="AP561" t="inlineStr">
        <is>
          <t>No</t>
        </is>
      </c>
      <c r="AQ561" t="inlineStr">
        <is>
          <t>No</t>
        </is>
      </c>
      <c r="AS561">
        <f>HYPERLINK("https://creighton-primo.hosted.exlibrisgroup.com/primo-explore/search?tab=default_tab&amp;search_scope=EVERYTHING&amp;vid=01CRU&amp;lang=en_US&amp;offset=0&amp;query=any,contains,991003072939702656","Catalog Record")</f>
        <v/>
      </c>
      <c r="AT561">
        <f>HYPERLINK("http://www.worldcat.org/oclc/627104","WorldCat Record")</f>
        <v/>
      </c>
      <c r="AU561" t="inlineStr">
        <is>
          <t>111727739:eng</t>
        </is>
      </c>
      <c r="AV561" t="inlineStr">
        <is>
          <t>627104</t>
        </is>
      </c>
      <c r="AW561" t="inlineStr">
        <is>
          <t>991003072939702656</t>
        </is>
      </c>
      <c r="AX561" t="inlineStr">
        <is>
          <t>991003072939702656</t>
        </is>
      </c>
      <c r="AY561" t="inlineStr">
        <is>
          <t>2257801140002656</t>
        </is>
      </c>
      <c r="AZ561" t="inlineStr">
        <is>
          <t>BOOK</t>
        </is>
      </c>
      <c r="BB561" t="inlineStr">
        <is>
          <t>9780192151988</t>
        </is>
      </c>
      <c r="BC561" t="inlineStr">
        <is>
          <t>32285002463361</t>
        </is>
      </c>
      <c r="BD561" t="inlineStr">
        <is>
          <t>893342219</t>
        </is>
      </c>
    </row>
    <row r="562">
      <c r="A562" t="inlineStr">
        <is>
          <t>No</t>
        </is>
      </c>
      <c r="B562" t="inlineStr">
        <is>
          <t>DS135.R92 G5413</t>
        </is>
      </c>
      <c r="C562" t="inlineStr">
        <is>
          <t>0                      DS 0135000R  92                 G  5413</t>
        </is>
      </c>
      <c r="D562" t="inlineStr">
        <is>
          <t>The black years of Soviet Jewry, 1939-1953 [by] Yehoshua A. Gilboa. Translated from the Hebrew by Yosef Shachter and Dov Ben-Abba.</t>
        </is>
      </c>
      <c r="F562" t="inlineStr">
        <is>
          <t>No</t>
        </is>
      </c>
      <c r="G562" t="inlineStr">
        <is>
          <t>1</t>
        </is>
      </c>
      <c r="H562" t="inlineStr">
        <is>
          <t>No</t>
        </is>
      </c>
      <c r="I562" t="inlineStr">
        <is>
          <t>No</t>
        </is>
      </c>
      <c r="J562" t="inlineStr">
        <is>
          <t>0</t>
        </is>
      </c>
      <c r="K562" t="inlineStr">
        <is>
          <t>Gilboa, Jehoshua A.</t>
        </is>
      </c>
      <c r="L562" t="inlineStr">
        <is>
          <t>Boston, Little, Brown [1971]</t>
        </is>
      </c>
      <c r="M562" t="inlineStr">
        <is>
          <t>1971</t>
        </is>
      </c>
      <c r="N562" t="inlineStr">
        <is>
          <t>[1st ed.]</t>
        </is>
      </c>
      <c r="O562" t="inlineStr">
        <is>
          <t>eng</t>
        </is>
      </c>
      <c r="P562" t="inlineStr">
        <is>
          <t>mau</t>
        </is>
      </c>
      <c r="R562" t="inlineStr">
        <is>
          <t xml:space="preserve">DS </t>
        </is>
      </c>
      <c r="S562" t="n">
        <v>3</v>
      </c>
      <c r="T562" t="n">
        <v>3</v>
      </c>
      <c r="U562" t="inlineStr">
        <is>
          <t>2003-08-20</t>
        </is>
      </c>
      <c r="V562" t="inlineStr">
        <is>
          <t>2003-08-20</t>
        </is>
      </c>
      <c r="W562" t="inlineStr">
        <is>
          <t>1997-02-27</t>
        </is>
      </c>
      <c r="X562" t="inlineStr">
        <is>
          <t>1997-02-27</t>
        </is>
      </c>
      <c r="Y562" t="n">
        <v>690</v>
      </c>
      <c r="Z562" t="n">
        <v>622</v>
      </c>
      <c r="AA562" t="n">
        <v>626</v>
      </c>
      <c r="AB562" t="n">
        <v>4</v>
      </c>
      <c r="AC562" t="n">
        <v>4</v>
      </c>
      <c r="AD562" t="n">
        <v>27</v>
      </c>
      <c r="AE562" t="n">
        <v>27</v>
      </c>
      <c r="AF562" t="n">
        <v>10</v>
      </c>
      <c r="AG562" t="n">
        <v>10</v>
      </c>
      <c r="AH562" t="n">
        <v>7</v>
      </c>
      <c r="AI562" t="n">
        <v>7</v>
      </c>
      <c r="AJ562" t="n">
        <v>14</v>
      </c>
      <c r="AK562" t="n">
        <v>14</v>
      </c>
      <c r="AL562" t="n">
        <v>3</v>
      </c>
      <c r="AM562" t="n">
        <v>3</v>
      </c>
      <c r="AN562" t="n">
        <v>0</v>
      </c>
      <c r="AO562" t="n">
        <v>0</v>
      </c>
      <c r="AP562" t="inlineStr">
        <is>
          <t>No</t>
        </is>
      </c>
      <c r="AQ562" t="inlineStr">
        <is>
          <t>Yes</t>
        </is>
      </c>
      <c r="AR562">
        <f>HYPERLINK("http://catalog.hathitrust.org/Record/001247497","HathiTrust Record")</f>
        <v/>
      </c>
      <c r="AS562">
        <f>HYPERLINK("https://creighton-primo.hosted.exlibrisgroup.com/primo-explore/search?tab=default_tab&amp;search_scope=EVERYTHING&amp;vid=01CRU&amp;lang=en_US&amp;offset=0&amp;query=any,contains,991000883089702656","Catalog Record")</f>
        <v/>
      </c>
      <c r="AT562">
        <f>HYPERLINK("http://www.worldcat.org/oclc/152353","WorldCat Record")</f>
        <v/>
      </c>
      <c r="AU562" t="inlineStr">
        <is>
          <t>1175371:eng</t>
        </is>
      </c>
      <c r="AV562" t="inlineStr">
        <is>
          <t>152353</t>
        </is>
      </c>
      <c r="AW562" t="inlineStr">
        <is>
          <t>991000883089702656</t>
        </is>
      </c>
      <c r="AX562" t="inlineStr">
        <is>
          <t>991000883089702656</t>
        </is>
      </c>
      <c r="AY562" t="inlineStr">
        <is>
          <t>2271851290002656</t>
        </is>
      </c>
      <c r="AZ562" t="inlineStr">
        <is>
          <t>BOOK</t>
        </is>
      </c>
      <c r="BC562" t="inlineStr">
        <is>
          <t>32285002463379</t>
        </is>
      </c>
      <c r="BD562" t="inlineStr">
        <is>
          <t>893620887</t>
        </is>
      </c>
    </row>
    <row r="563">
      <c r="A563" t="inlineStr">
        <is>
          <t>No</t>
        </is>
      </c>
      <c r="B563" t="inlineStr">
        <is>
          <t>DS135.R92 G88</t>
        </is>
      </c>
      <c r="C563" t="inlineStr">
        <is>
          <t>0                      DS 0135000R  92                 G  88</t>
        </is>
      </c>
      <c r="D563" t="inlineStr">
        <is>
          <t>National communism in the Soviet Union, 1918-1928 / by Baruch Gurevitz.</t>
        </is>
      </c>
      <c r="F563" t="inlineStr">
        <is>
          <t>No</t>
        </is>
      </c>
      <c r="G563" t="inlineStr">
        <is>
          <t>1</t>
        </is>
      </c>
      <c r="H563" t="inlineStr">
        <is>
          <t>No</t>
        </is>
      </c>
      <c r="I563" t="inlineStr">
        <is>
          <t>No</t>
        </is>
      </c>
      <c r="J563" t="inlineStr">
        <is>
          <t>0</t>
        </is>
      </c>
      <c r="K563" t="inlineStr">
        <is>
          <t>Gurevitz, Baruch, 1945-</t>
        </is>
      </c>
      <c r="L563" t="inlineStr">
        <is>
          <t>Pittsburgh, PA : University Center for International Studies, 1980.</t>
        </is>
      </c>
      <c r="M563" t="inlineStr">
        <is>
          <t>1980</t>
        </is>
      </c>
      <c r="O563" t="inlineStr">
        <is>
          <t>eng</t>
        </is>
      </c>
      <c r="P563" t="inlineStr">
        <is>
          <t>pau</t>
        </is>
      </c>
      <c r="Q563" t="inlineStr">
        <is>
          <t>UCIS series in Russian and East European studies ; 3</t>
        </is>
      </c>
      <c r="R563" t="inlineStr">
        <is>
          <t xml:space="preserve">DS </t>
        </is>
      </c>
      <c r="S563" t="n">
        <v>1</v>
      </c>
      <c r="T563" t="n">
        <v>1</v>
      </c>
      <c r="U563" t="inlineStr">
        <is>
          <t>1994-04-29</t>
        </is>
      </c>
      <c r="V563" t="inlineStr">
        <is>
          <t>1994-04-29</t>
        </is>
      </c>
      <c r="W563" t="inlineStr">
        <is>
          <t>1990-10-03</t>
        </is>
      </c>
      <c r="X563" t="inlineStr">
        <is>
          <t>1990-10-03</t>
        </is>
      </c>
      <c r="Y563" t="n">
        <v>131</v>
      </c>
      <c r="Z563" t="n">
        <v>103</v>
      </c>
      <c r="AA563" t="n">
        <v>118</v>
      </c>
      <c r="AB563" t="n">
        <v>1</v>
      </c>
      <c r="AC563" t="n">
        <v>1</v>
      </c>
      <c r="AD563" t="n">
        <v>7</v>
      </c>
      <c r="AE563" t="n">
        <v>7</v>
      </c>
      <c r="AF563" t="n">
        <v>1</v>
      </c>
      <c r="AG563" t="n">
        <v>1</v>
      </c>
      <c r="AH563" t="n">
        <v>4</v>
      </c>
      <c r="AI563" t="n">
        <v>4</v>
      </c>
      <c r="AJ563" t="n">
        <v>4</v>
      </c>
      <c r="AK563" t="n">
        <v>4</v>
      </c>
      <c r="AL563" t="n">
        <v>0</v>
      </c>
      <c r="AM563" t="n">
        <v>0</v>
      </c>
      <c r="AN563" t="n">
        <v>0</v>
      </c>
      <c r="AO563" t="n">
        <v>0</v>
      </c>
      <c r="AP563" t="inlineStr">
        <is>
          <t>No</t>
        </is>
      </c>
      <c r="AQ563" t="inlineStr">
        <is>
          <t>No</t>
        </is>
      </c>
      <c r="AS563">
        <f>HYPERLINK("https://creighton-primo.hosted.exlibrisgroup.com/primo-explore/search?tab=default_tab&amp;search_scope=EVERYTHING&amp;vid=01CRU&amp;lang=en_US&amp;offset=0&amp;query=any,contains,991004952109702656","Catalog Record")</f>
        <v/>
      </c>
      <c r="AT563">
        <f>HYPERLINK("http://www.worldcat.org/oclc/6251072","WorldCat Record")</f>
        <v/>
      </c>
      <c r="AU563" t="inlineStr">
        <is>
          <t>21174224:eng</t>
        </is>
      </c>
      <c r="AV563" t="inlineStr">
        <is>
          <t>6251072</t>
        </is>
      </c>
      <c r="AW563" t="inlineStr">
        <is>
          <t>991004952109702656</t>
        </is>
      </c>
      <c r="AX563" t="inlineStr">
        <is>
          <t>991004952109702656</t>
        </is>
      </c>
      <c r="AY563" t="inlineStr">
        <is>
          <t>2262777180002656</t>
        </is>
      </c>
      <c r="AZ563" t="inlineStr">
        <is>
          <t>BOOK</t>
        </is>
      </c>
      <c r="BB563" t="inlineStr">
        <is>
          <t>9780916002404</t>
        </is>
      </c>
      <c r="BC563" t="inlineStr">
        <is>
          <t>32285000294628</t>
        </is>
      </c>
      <c r="BD563" t="inlineStr">
        <is>
          <t>893443228</t>
        </is>
      </c>
    </row>
    <row r="564">
      <c r="A564" t="inlineStr">
        <is>
          <t>No</t>
        </is>
      </c>
      <c r="B564" t="inlineStr">
        <is>
          <t>DS135.R92 J468 1984</t>
        </is>
      </c>
      <c r="C564" t="inlineStr">
        <is>
          <t>0                      DS 0135000R  92                 J  468         1984</t>
        </is>
      </c>
      <c r="D564" t="inlineStr">
        <is>
          <t>Jews in Soviet culture / edited by Jack Miller.</t>
        </is>
      </c>
      <c r="F564" t="inlineStr">
        <is>
          <t>No</t>
        </is>
      </c>
      <c r="G564" t="inlineStr">
        <is>
          <t>1</t>
        </is>
      </c>
      <c r="H564" t="inlineStr">
        <is>
          <t>No</t>
        </is>
      </c>
      <c r="I564" t="inlineStr">
        <is>
          <t>No</t>
        </is>
      </c>
      <c r="J564" t="inlineStr">
        <is>
          <t>0</t>
        </is>
      </c>
      <c r="L564" t="inlineStr">
        <is>
          <t>New Brunswick [N.J.], U.S.A. : Transaction Books, c1984.</t>
        </is>
      </c>
      <c r="M564" t="inlineStr">
        <is>
          <t>1984</t>
        </is>
      </c>
      <c r="O564" t="inlineStr">
        <is>
          <t>eng</t>
        </is>
      </c>
      <c r="P564" t="inlineStr">
        <is>
          <t>nju</t>
        </is>
      </c>
      <c r="R564" t="inlineStr">
        <is>
          <t xml:space="preserve">DS </t>
        </is>
      </c>
      <c r="S564" t="n">
        <v>2</v>
      </c>
      <c r="T564" t="n">
        <v>2</v>
      </c>
      <c r="U564" t="inlineStr">
        <is>
          <t>1998-02-25</t>
        </is>
      </c>
      <c r="V564" t="inlineStr">
        <is>
          <t>1998-02-25</t>
        </is>
      </c>
      <c r="W564" t="inlineStr">
        <is>
          <t>1990-10-03</t>
        </is>
      </c>
      <c r="X564" t="inlineStr">
        <is>
          <t>1990-10-03</t>
        </is>
      </c>
      <c r="Y564" t="n">
        <v>347</v>
      </c>
      <c r="Z564" t="n">
        <v>299</v>
      </c>
      <c r="AA564" t="n">
        <v>304</v>
      </c>
      <c r="AB564" t="n">
        <v>3</v>
      </c>
      <c r="AC564" t="n">
        <v>3</v>
      </c>
      <c r="AD564" t="n">
        <v>12</v>
      </c>
      <c r="AE564" t="n">
        <v>12</v>
      </c>
      <c r="AF564" t="n">
        <v>4</v>
      </c>
      <c r="AG564" t="n">
        <v>4</v>
      </c>
      <c r="AH564" t="n">
        <v>3</v>
      </c>
      <c r="AI564" t="n">
        <v>3</v>
      </c>
      <c r="AJ564" t="n">
        <v>6</v>
      </c>
      <c r="AK564" t="n">
        <v>6</v>
      </c>
      <c r="AL564" t="n">
        <v>2</v>
      </c>
      <c r="AM564" t="n">
        <v>2</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HYPERLINK("https://creighton-primo.hosted.exlibrisgroup.com/primo-explore/search?tab=default_tab&amp;search_scope=EVERYTHING&amp;vid=01CRU&amp;lang=en_US&amp;offset=0&amp;query=any,contains,991000274319702656","Catalog Record")</f>
        <v/>
      </c>
      <c r="AT564">
        <f>HYPERLINK("http://www.worldcat.org/oclc/9893842","WorldCat Record")</f>
        <v/>
      </c>
      <c r="AU564" t="inlineStr">
        <is>
          <t>43454166:eng</t>
        </is>
      </c>
      <c r="AV564" t="inlineStr">
        <is>
          <t>9893842</t>
        </is>
      </c>
      <c r="AW564" t="inlineStr">
        <is>
          <t>991000274319702656</t>
        </is>
      </c>
      <c r="AX564" t="inlineStr">
        <is>
          <t>991000274319702656</t>
        </is>
      </c>
      <c r="AY564" t="inlineStr">
        <is>
          <t>2265654430002656</t>
        </is>
      </c>
      <c r="AZ564" t="inlineStr">
        <is>
          <t>BOOK</t>
        </is>
      </c>
      <c r="BB564" t="inlineStr">
        <is>
          <t>9780878554959</t>
        </is>
      </c>
      <c r="BC564" t="inlineStr">
        <is>
          <t>32285000294636</t>
        </is>
      </c>
      <c r="BD564" t="inlineStr">
        <is>
          <t>893527935</t>
        </is>
      </c>
    </row>
    <row r="565">
      <c r="A565" t="inlineStr">
        <is>
          <t>No</t>
        </is>
      </c>
      <c r="B565" t="inlineStr">
        <is>
          <t>DS135.R93 B83 1990</t>
        </is>
      </c>
      <c r="C565" t="inlineStr">
        <is>
          <t>0                      DS 0135000R  93                 B  83          1990</t>
        </is>
      </c>
      <c r="D565" t="inlineStr">
        <is>
          <t>Alicia : my story / by Alicia Appleman-Jurman.</t>
        </is>
      </c>
      <c r="F565" t="inlineStr">
        <is>
          <t>No</t>
        </is>
      </c>
      <c r="G565" t="inlineStr">
        <is>
          <t>1</t>
        </is>
      </c>
      <c r="H565" t="inlineStr">
        <is>
          <t>No</t>
        </is>
      </c>
      <c r="I565" t="inlineStr">
        <is>
          <t>No</t>
        </is>
      </c>
      <c r="J565" t="inlineStr">
        <is>
          <t>0</t>
        </is>
      </c>
      <c r="K565" t="inlineStr">
        <is>
          <t>Appleman-Jurman, Alicia.</t>
        </is>
      </c>
      <c r="L565" t="inlineStr">
        <is>
          <t>New York : Bantam Books, 1990, c1988.</t>
        </is>
      </c>
      <c r="M565" t="inlineStr">
        <is>
          <t>1990</t>
        </is>
      </c>
      <c r="N565" t="inlineStr">
        <is>
          <t>Bantam pbk. ed.</t>
        </is>
      </c>
      <c r="O565" t="inlineStr">
        <is>
          <t>eng</t>
        </is>
      </c>
      <c r="P565" t="inlineStr">
        <is>
          <t>nyu</t>
        </is>
      </c>
      <c r="R565" t="inlineStr">
        <is>
          <t xml:space="preserve">DS </t>
        </is>
      </c>
      <c r="S565" t="n">
        <v>4</v>
      </c>
      <c r="T565" t="n">
        <v>4</v>
      </c>
      <c r="U565" t="inlineStr">
        <is>
          <t>2010-04-12</t>
        </is>
      </c>
      <c r="V565" t="inlineStr">
        <is>
          <t>2010-04-12</t>
        </is>
      </c>
      <c r="W565" t="inlineStr">
        <is>
          <t>2000-12-12</t>
        </is>
      </c>
      <c r="X565" t="inlineStr">
        <is>
          <t>2000-12-12</t>
        </is>
      </c>
      <c r="Y565" t="n">
        <v>535</v>
      </c>
      <c r="Z565" t="n">
        <v>519</v>
      </c>
      <c r="AA565" t="n">
        <v>1402</v>
      </c>
      <c r="AB565" t="n">
        <v>7</v>
      </c>
      <c r="AC565" t="n">
        <v>14</v>
      </c>
      <c r="AD565" t="n">
        <v>8</v>
      </c>
      <c r="AE565" t="n">
        <v>20</v>
      </c>
      <c r="AF565" t="n">
        <v>5</v>
      </c>
      <c r="AG565" t="n">
        <v>8</v>
      </c>
      <c r="AH565" t="n">
        <v>0</v>
      </c>
      <c r="AI565" t="n">
        <v>4</v>
      </c>
      <c r="AJ565" t="n">
        <v>4</v>
      </c>
      <c r="AK565" t="n">
        <v>9</v>
      </c>
      <c r="AL565" t="n">
        <v>1</v>
      </c>
      <c r="AM565" t="n">
        <v>4</v>
      </c>
      <c r="AN565" t="n">
        <v>0</v>
      </c>
      <c r="AO565" t="n">
        <v>0</v>
      </c>
      <c r="AP565" t="inlineStr">
        <is>
          <t>No</t>
        </is>
      </c>
      <c r="AQ565" t="inlineStr">
        <is>
          <t>Yes</t>
        </is>
      </c>
      <c r="AR565">
        <f>HYPERLINK("http://catalog.hathitrust.org/Record/007135636","HathiTrust Record")</f>
        <v/>
      </c>
      <c r="AS565">
        <f>HYPERLINK("https://creighton-primo.hosted.exlibrisgroup.com/primo-explore/search?tab=default_tab&amp;search_scope=EVERYTHING&amp;vid=01CRU&amp;lang=en_US&amp;offset=0&amp;query=any,contains,991003345649702656","Catalog Record")</f>
        <v/>
      </c>
      <c r="AT565">
        <f>HYPERLINK("http://www.worldcat.org/oclc/20791477","WorldCat Record")</f>
        <v/>
      </c>
      <c r="AU565" t="inlineStr">
        <is>
          <t>433593903:eng</t>
        </is>
      </c>
      <c r="AV565" t="inlineStr">
        <is>
          <t>20791477</t>
        </is>
      </c>
      <c r="AW565" t="inlineStr">
        <is>
          <t>991003345649702656</t>
        </is>
      </c>
      <c r="AX565" t="inlineStr">
        <is>
          <t>991003345649702656</t>
        </is>
      </c>
      <c r="AY565" t="inlineStr">
        <is>
          <t>2265432490002656</t>
        </is>
      </c>
      <c r="AZ565" t="inlineStr">
        <is>
          <t>BOOK</t>
        </is>
      </c>
      <c r="BB565" t="inlineStr">
        <is>
          <t>9780553282184</t>
        </is>
      </c>
      <c r="BC565" t="inlineStr">
        <is>
          <t>32285004276324</t>
        </is>
      </c>
      <c r="BD565" t="inlineStr">
        <is>
          <t>893721911</t>
        </is>
      </c>
    </row>
    <row r="566">
      <c r="A566" t="inlineStr">
        <is>
          <t>No</t>
        </is>
      </c>
      <c r="B566" t="inlineStr">
        <is>
          <t>DS135.S63 G67 1992</t>
        </is>
      </c>
      <c r="C566" t="inlineStr">
        <is>
          <t>0                      DS 0135000S  63                 G  67          1992</t>
        </is>
      </c>
      <c r="D566" t="inlineStr">
        <is>
          <t>Shared lives / Lyndall Gordon.</t>
        </is>
      </c>
      <c r="F566" t="inlineStr">
        <is>
          <t>No</t>
        </is>
      </c>
      <c r="G566" t="inlineStr">
        <is>
          <t>1</t>
        </is>
      </c>
      <c r="H566" t="inlineStr">
        <is>
          <t>No</t>
        </is>
      </c>
      <c r="I566" t="inlineStr">
        <is>
          <t>No</t>
        </is>
      </c>
      <c r="J566" t="inlineStr">
        <is>
          <t>0</t>
        </is>
      </c>
      <c r="K566" t="inlineStr">
        <is>
          <t>Gordon, Lyndall.</t>
        </is>
      </c>
      <c r="L566" t="inlineStr">
        <is>
          <t>New York : Norton, 1992.</t>
        </is>
      </c>
      <c r="M566" t="inlineStr">
        <is>
          <t>1992</t>
        </is>
      </c>
      <c r="N566" t="inlineStr">
        <is>
          <t>1st American ed.</t>
        </is>
      </c>
      <c r="O566" t="inlineStr">
        <is>
          <t>eng</t>
        </is>
      </c>
      <c r="P566" t="inlineStr">
        <is>
          <t>nyu</t>
        </is>
      </c>
      <c r="R566" t="inlineStr">
        <is>
          <t xml:space="preserve">DS </t>
        </is>
      </c>
      <c r="S566" t="n">
        <v>1</v>
      </c>
      <c r="T566" t="n">
        <v>1</v>
      </c>
      <c r="U566" t="inlineStr">
        <is>
          <t>2009-11-17</t>
        </is>
      </c>
      <c r="V566" t="inlineStr">
        <is>
          <t>2009-11-17</t>
        </is>
      </c>
      <c r="W566" t="inlineStr">
        <is>
          <t>1993-07-02</t>
        </is>
      </c>
      <c r="X566" t="inlineStr">
        <is>
          <t>1993-07-02</t>
        </is>
      </c>
      <c r="Y566" t="n">
        <v>201</v>
      </c>
      <c r="Z566" t="n">
        <v>183</v>
      </c>
      <c r="AA566" t="n">
        <v>224</v>
      </c>
      <c r="AB566" t="n">
        <v>2</v>
      </c>
      <c r="AC566" t="n">
        <v>2</v>
      </c>
      <c r="AD566" t="n">
        <v>7</v>
      </c>
      <c r="AE566" t="n">
        <v>8</v>
      </c>
      <c r="AF566" t="n">
        <v>2</v>
      </c>
      <c r="AG566" t="n">
        <v>2</v>
      </c>
      <c r="AH566" t="n">
        <v>2</v>
      </c>
      <c r="AI566" t="n">
        <v>3</v>
      </c>
      <c r="AJ566" t="n">
        <v>4</v>
      </c>
      <c r="AK566" t="n">
        <v>5</v>
      </c>
      <c r="AL566" t="n">
        <v>1</v>
      </c>
      <c r="AM566" t="n">
        <v>1</v>
      </c>
      <c r="AN566" t="n">
        <v>0</v>
      </c>
      <c r="AO566" t="n">
        <v>0</v>
      </c>
      <c r="AP566" t="inlineStr">
        <is>
          <t>No</t>
        </is>
      </c>
      <c r="AQ566" t="inlineStr">
        <is>
          <t>No</t>
        </is>
      </c>
      <c r="AS566">
        <f>HYPERLINK("https://creighton-primo.hosted.exlibrisgroup.com/primo-explore/search?tab=default_tab&amp;search_scope=EVERYTHING&amp;vid=01CRU&amp;lang=en_US&amp;offset=0&amp;query=any,contains,991002012369702656","Catalog Record")</f>
        <v/>
      </c>
      <c r="AT566">
        <f>HYPERLINK("http://www.worldcat.org/oclc/25628486","WorldCat Record")</f>
        <v/>
      </c>
      <c r="AU566" t="inlineStr">
        <is>
          <t>1005871:eng</t>
        </is>
      </c>
      <c r="AV566" t="inlineStr">
        <is>
          <t>25628486</t>
        </is>
      </c>
      <c r="AW566" t="inlineStr">
        <is>
          <t>991002012369702656</t>
        </is>
      </c>
      <c r="AX566" t="inlineStr">
        <is>
          <t>991002012369702656</t>
        </is>
      </c>
      <c r="AY566" t="inlineStr">
        <is>
          <t>2263454650002656</t>
        </is>
      </c>
      <c r="AZ566" t="inlineStr">
        <is>
          <t>BOOK</t>
        </is>
      </c>
      <c r="BB566" t="inlineStr">
        <is>
          <t>9780393031645</t>
        </is>
      </c>
      <c r="BC566" t="inlineStr">
        <is>
          <t>32285001700755</t>
        </is>
      </c>
      <c r="BD566" t="inlineStr">
        <is>
          <t>893609358</t>
        </is>
      </c>
    </row>
    <row r="567">
      <c r="A567" t="inlineStr">
        <is>
          <t>No</t>
        </is>
      </c>
      <c r="B567" t="inlineStr">
        <is>
          <t>DS135.S7 H5 v...</t>
        </is>
      </c>
      <c r="C567" t="inlineStr">
        <is>
          <t>0                      DS 0135000S  7                  H  5                                 v...</t>
        </is>
      </c>
      <c r="D567" t="inlineStr">
        <is>
          <t>Hispania Judaica : studies on the history, language, and literature of the Jews in the Hispanic world / edited by Josep M. Solà-Solé, Samuel G. Armistead, Joseph H. Silverman.</t>
        </is>
      </c>
      <c r="E567" t="inlineStr">
        <is>
          <t>V.1</t>
        </is>
      </c>
      <c r="F567" t="inlineStr">
        <is>
          <t>No</t>
        </is>
      </c>
      <c r="G567" t="inlineStr">
        <is>
          <t>1</t>
        </is>
      </c>
      <c r="H567" t="inlineStr">
        <is>
          <t>No</t>
        </is>
      </c>
      <c r="I567" t="inlineStr">
        <is>
          <t>No</t>
        </is>
      </c>
      <c r="J567" t="inlineStr">
        <is>
          <t>0</t>
        </is>
      </c>
      <c r="L567" t="inlineStr">
        <is>
          <t>Barcelona : Puvil, 1980-</t>
        </is>
      </c>
      <c r="M567" t="inlineStr">
        <is>
          <t>1980</t>
        </is>
      </c>
      <c r="O567" t="inlineStr">
        <is>
          <t>eng</t>
        </is>
      </c>
      <c r="P567" t="inlineStr">
        <is>
          <t xml:space="preserve">sp </t>
        </is>
      </c>
      <c r="Q567" t="inlineStr">
        <is>
          <t>Biblioteca universitaria Puvill. 1, Estudios ; 2</t>
        </is>
      </c>
      <c r="R567" t="inlineStr">
        <is>
          <t xml:space="preserve">DS </t>
        </is>
      </c>
      <c r="S567" t="n">
        <v>2</v>
      </c>
      <c r="T567" t="n">
        <v>2</v>
      </c>
      <c r="U567" t="inlineStr">
        <is>
          <t>1994-12-09</t>
        </is>
      </c>
      <c r="V567" t="inlineStr">
        <is>
          <t>1994-12-09</t>
        </is>
      </c>
      <c r="W567" t="inlineStr">
        <is>
          <t>1990-10-03</t>
        </is>
      </c>
      <c r="X567" t="inlineStr">
        <is>
          <t>1990-10-03</t>
        </is>
      </c>
      <c r="Y567" t="n">
        <v>158</v>
      </c>
      <c r="Z567" t="n">
        <v>111</v>
      </c>
      <c r="AA567" t="n">
        <v>113</v>
      </c>
      <c r="AB567" t="n">
        <v>2</v>
      </c>
      <c r="AC567" t="n">
        <v>2</v>
      </c>
      <c r="AD567" t="n">
        <v>9</v>
      </c>
      <c r="AE567" t="n">
        <v>9</v>
      </c>
      <c r="AF567" t="n">
        <v>2</v>
      </c>
      <c r="AG567" t="n">
        <v>2</v>
      </c>
      <c r="AH567" t="n">
        <v>3</v>
      </c>
      <c r="AI567" t="n">
        <v>3</v>
      </c>
      <c r="AJ567" t="n">
        <v>5</v>
      </c>
      <c r="AK567" t="n">
        <v>5</v>
      </c>
      <c r="AL567" t="n">
        <v>1</v>
      </c>
      <c r="AM567" t="n">
        <v>1</v>
      </c>
      <c r="AN567" t="n">
        <v>0</v>
      </c>
      <c r="AO567" t="n">
        <v>0</v>
      </c>
      <c r="AP567" t="inlineStr">
        <is>
          <t>No</t>
        </is>
      </c>
      <c r="AQ567" t="inlineStr">
        <is>
          <t>Yes</t>
        </is>
      </c>
      <c r="AR567">
        <f>HYPERLINK("http://catalog.hathitrust.org/Record/000198344","HathiTrust Record")</f>
        <v/>
      </c>
      <c r="AS567">
        <f>HYPERLINK("https://creighton-primo.hosted.exlibrisgroup.com/primo-explore/search?tab=default_tab&amp;search_scope=EVERYTHING&amp;vid=01CRU&amp;lang=en_US&amp;offset=0&amp;query=any,contains,991005090729702656","Catalog Record")</f>
        <v/>
      </c>
      <c r="AT567">
        <f>HYPERLINK("http://www.worldcat.org/oclc/8390040","WorldCat Record")</f>
        <v/>
      </c>
      <c r="AU567" t="inlineStr">
        <is>
          <t>4918024605:eng</t>
        </is>
      </c>
      <c r="AV567" t="inlineStr">
        <is>
          <t>8390040</t>
        </is>
      </c>
      <c r="AW567" t="inlineStr">
        <is>
          <t>991005090729702656</t>
        </is>
      </c>
      <c r="AX567" t="inlineStr">
        <is>
          <t>991005090729702656</t>
        </is>
      </c>
      <c r="AY567" t="inlineStr">
        <is>
          <t>2260599250002656</t>
        </is>
      </c>
      <c r="AZ567" t="inlineStr">
        <is>
          <t>BOOK</t>
        </is>
      </c>
      <c r="BB567" t="inlineStr">
        <is>
          <t>9788485202225</t>
        </is>
      </c>
      <c r="BC567" t="inlineStr">
        <is>
          <t>32285000294693</t>
        </is>
      </c>
      <c r="BD567" t="inlineStr">
        <is>
          <t>893594454</t>
        </is>
      </c>
    </row>
    <row r="568">
      <c r="A568" t="inlineStr">
        <is>
          <t>No</t>
        </is>
      </c>
      <c r="B568" t="inlineStr">
        <is>
          <t>DS135.S7 J8518 1993</t>
        </is>
      </c>
      <c r="C568" t="inlineStr">
        <is>
          <t>0                      DS 0135000S  7                  J  8518        1993</t>
        </is>
      </c>
      <c r="D568" t="inlineStr">
        <is>
          <t>Los judíos de España : historia de una diáspora, 1492-1992 / bajo la dirección de Henry Méchoulan ; prólogo de Edgar Morin.</t>
        </is>
      </c>
      <c r="F568" t="inlineStr">
        <is>
          <t>No</t>
        </is>
      </c>
      <c r="G568" t="inlineStr">
        <is>
          <t>1</t>
        </is>
      </c>
      <c r="H568" t="inlineStr">
        <is>
          <t>No</t>
        </is>
      </c>
      <c r="I568" t="inlineStr">
        <is>
          <t>No</t>
        </is>
      </c>
      <c r="J568" t="inlineStr">
        <is>
          <t>0</t>
        </is>
      </c>
      <c r="K568" t="inlineStr">
        <is>
          <t>Juifs d'Éspagne. Spanish.</t>
        </is>
      </c>
      <c r="L568" t="inlineStr">
        <is>
          <t>Madrid : Editorial Trotta : Fundación Amigos de Sefarad : Sociedad Quinto Centenario, c1993.</t>
        </is>
      </c>
      <c r="M568" t="inlineStr">
        <is>
          <t>1993</t>
        </is>
      </c>
      <c r="O568" t="inlineStr">
        <is>
          <t>spa</t>
        </is>
      </c>
      <c r="P568" t="inlineStr">
        <is>
          <t xml:space="preserve">sp </t>
        </is>
      </c>
      <c r="Q568" t="inlineStr">
        <is>
          <t>Colección Estructuras y procesos. p Serie historia</t>
        </is>
      </c>
      <c r="R568" t="inlineStr">
        <is>
          <t xml:space="preserve">DS </t>
        </is>
      </c>
      <c r="S568" t="n">
        <v>1</v>
      </c>
      <c r="T568" t="n">
        <v>1</v>
      </c>
      <c r="U568" t="inlineStr">
        <is>
          <t>2010-03-04</t>
        </is>
      </c>
      <c r="V568" t="inlineStr">
        <is>
          <t>2010-03-04</t>
        </is>
      </c>
      <c r="W568" t="inlineStr">
        <is>
          <t>2010-03-04</t>
        </is>
      </c>
      <c r="X568" t="inlineStr">
        <is>
          <t>2010-03-04</t>
        </is>
      </c>
      <c r="Y568" t="n">
        <v>50</v>
      </c>
      <c r="Z568" t="n">
        <v>30</v>
      </c>
      <c r="AA568" t="n">
        <v>30</v>
      </c>
      <c r="AB568" t="n">
        <v>2</v>
      </c>
      <c r="AC568" t="n">
        <v>2</v>
      </c>
      <c r="AD568" t="n">
        <v>1</v>
      </c>
      <c r="AE568" t="n">
        <v>1</v>
      </c>
      <c r="AF568" t="n">
        <v>0</v>
      </c>
      <c r="AG568" t="n">
        <v>0</v>
      </c>
      <c r="AH568" t="n">
        <v>0</v>
      </c>
      <c r="AI568" t="n">
        <v>0</v>
      </c>
      <c r="AJ568" t="n">
        <v>0</v>
      </c>
      <c r="AK568" t="n">
        <v>0</v>
      </c>
      <c r="AL568" t="n">
        <v>1</v>
      </c>
      <c r="AM568" t="n">
        <v>1</v>
      </c>
      <c r="AN568" t="n">
        <v>0</v>
      </c>
      <c r="AO568" t="n">
        <v>0</v>
      </c>
      <c r="AP568" t="inlineStr">
        <is>
          <t>No</t>
        </is>
      </c>
      <c r="AQ568" t="inlineStr">
        <is>
          <t>No</t>
        </is>
      </c>
      <c r="AS568">
        <f>HYPERLINK("https://creighton-primo.hosted.exlibrisgroup.com/primo-explore/search?tab=default_tab&amp;search_scope=EVERYTHING&amp;vid=01CRU&amp;lang=en_US&amp;offset=0&amp;query=any,contains,991005369249702656","Catalog Record")</f>
        <v/>
      </c>
      <c r="AT568">
        <f>HYPERLINK("http://www.worldcat.org/oclc/30561134","WorldCat Record")</f>
        <v/>
      </c>
      <c r="AU568" t="inlineStr">
        <is>
          <t>32177422:spa</t>
        </is>
      </c>
      <c r="AV568" t="inlineStr">
        <is>
          <t>30561134</t>
        </is>
      </c>
      <c r="AW568" t="inlineStr">
        <is>
          <t>991005369249702656</t>
        </is>
      </c>
      <c r="AX568" t="inlineStr">
        <is>
          <t>991005369249702656</t>
        </is>
      </c>
      <c r="AY568" t="inlineStr">
        <is>
          <t>2268473670002656</t>
        </is>
      </c>
      <c r="AZ568" t="inlineStr">
        <is>
          <t>BOOK</t>
        </is>
      </c>
      <c r="BB568" t="inlineStr">
        <is>
          <t>9788487699610</t>
        </is>
      </c>
      <c r="BC568" t="inlineStr">
        <is>
          <t>32285005577050</t>
        </is>
      </c>
      <c r="BD568" t="inlineStr">
        <is>
          <t>893625907</t>
        </is>
      </c>
    </row>
    <row r="569">
      <c r="A569" t="inlineStr">
        <is>
          <t>No</t>
        </is>
      </c>
      <c r="B569" t="inlineStr">
        <is>
          <t>DS135.S7 M33 1987</t>
        </is>
      </c>
      <c r="C569" t="inlineStr">
        <is>
          <t>0                      DS 0135000S  7                  M  33          1987</t>
        </is>
      </c>
      <c r="D569" t="inlineStr">
        <is>
          <t>España y los judíos en el siglo XX : la acción exterior / Antonio Marquina, Gloria Inés Ospina.</t>
        </is>
      </c>
      <c r="F569" t="inlineStr">
        <is>
          <t>No</t>
        </is>
      </c>
      <c r="G569" t="inlineStr">
        <is>
          <t>1</t>
        </is>
      </c>
      <c r="H569" t="inlineStr">
        <is>
          <t>No</t>
        </is>
      </c>
      <c r="I569" t="inlineStr">
        <is>
          <t>No</t>
        </is>
      </c>
      <c r="J569" t="inlineStr">
        <is>
          <t>0</t>
        </is>
      </c>
      <c r="K569" t="inlineStr">
        <is>
          <t>Marquina Barrio, Antonio.</t>
        </is>
      </c>
      <c r="L569" t="inlineStr">
        <is>
          <t>Madrid : Espasa Calpe, c1987.</t>
        </is>
      </c>
      <c r="M569" t="inlineStr">
        <is>
          <t>1987</t>
        </is>
      </c>
      <c r="O569" t="inlineStr">
        <is>
          <t>spa</t>
        </is>
      </c>
      <c r="P569" t="inlineStr">
        <is>
          <t xml:space="preserve">sp </t>
        </is>
      </c>
      <c r="Q569" t="inlineStr">
        <is>
          <t>Espasa-universidad ; 6</t>
        </is>
      </c>
      <c r="R569" t="inlineStr">
        <is>
          <t xml:space="preserve">DS </t>
        </is>
      </c>
      <c r="S569" t="n">
        <v>0</v>
      </c>
      <c r="T569" t="n">
        <v>0</v>
      </c>
      <c r="U569" t="inlineStr">
        <is>
          <t>2005-10-17</t>
        </is>
      </c>
      <c r="V569" t="inlineStr">
        <is>
          <t>2005-10-17</t>
        </is>
      </c>
      <c r="W569" t="inlineStr">
        <is>
          <t>1990-10-03</t>
        </is>
      </c>
      <c r="X569" t="inlineStr">
        <is>
          <t>1990-10-03</t>
        </is>
      </c>
      <c r="Y569" t="n">
        <v>94</v>
      </c>
      <c r="Z569" t="n">
        <v>65</v>
      </c>
      <c r="AA569" t="n">
        <v>67</v>
      </c>
      <c r="AB569" t="n">
        <v>1</v>
      </c>
      <c r="AC569" t="n">
        <v>1</v>
      </c>
      <c r="AD569" t="n">
        <v>3</v>
      </c>
      <c r="AE569" t="n">
        <v>3</v>
      </c>
      <c r="AF569" t="n">
        <v>1</v>
      </c>
      <c r="AG569" t="n">
        <v>1</v>
      </c>
      <c r="AH569" t="n">
        <v>0</v>
      </c>
      <c r="AI569" t="n">
        <v>0</v>
      </c>
      <c r="AJ569" t="n">
        <v>2</v>
      </c>
      <c r="AK569" t="n">
        <v>2</v>
      </c>
      <c r="AL569" t="n">
        <v>0</v>
      </c>
      <c r="AM569" t="n">
        <v>0</v>
      </c>
      <c r="AN569" t="n">
        <v>0</v>
      </c>
      <c r="AO569" t="n">
        <v>0</v>
      </c>
      <c r="AP569" t="inlineStr">
        <is>
          <t>No</t>
        </is>
      </c>
      <c r="AQ569" t="inlineStr">
        <is>
          <t>Yes</t>
        </is>
      </c>
      <c r="AR569">
        <f>HYPERLINK("http://catalog.hathitrust.org/Record/001076429","HathiTrust Record")</f>
        <v/>
      </c>
      <c r="AS569">
        <f>HYPERLINK("https://creighton-primo.hosted.exlibrisgroup.com/primo-explore/search?tab=default_tab&amp;search_scope=EVERYTHING&amp;vid=01CRU&amp;lang=en_US&amp;offset=0&amp;query=any,contains,991001341179702656","Catalog Record")</f>
        <v/>
      </c>
      <c r="AT569">
        <f>HYPERLINK("http://www.worldcat.org/oclc/18382676","WorldCat Record")</f>
        <v/>
      </c>
      <c r="AU569" t="inlineStr">
        <is>
          <t>196266540:spa</t>
        </is>
      </c>
      <c r="AV569" t="inlineStr">
        <is>
          <t>18382676</t>
        </is>
      </c>
      <c r="AW569" t="inlineStr">
        <is>
          <t>991001341179702656</t>
        </is>
      </c>
      <c r="AX569" t="inlineStr">
        <is>
          <t>991001341179702656</t>
        </is>
      </c>
      <c r="AY569" t="inlineStr">
        <is>
          <t>2259264670002656</t>
        </is>
      </c>
      <c r="AZ569" t="inlineStr">
        <is>
          <t>BOOK</t>
        </is>
      </c>
      <c r="BB569" t="inlineStr">
        <is>
          <t>9788423965335</t>
        </is>
      </c>
      <c r="BC569" t="inlineStr">
        <is>
          <t>32285000294701</t>
        </is>
      </c>
      <c r="BD569" t="inlineStr">
        <is>
          <t>893321848</t>
        </is>
      </c>
    </row>
    <row r="570">
      <c r="A570" t="inlineStr">
        <is>
          <t>No</t>
        </is>
      </c>
      <c r="B570" t="inlineStr">
        <is>
          <t>DS135.S7 M485 2004</t>
        </is>
      </c>
      <c r="C570" t="inlineStr">
        <is>
          <t>0                      DS 0135000S  7                  M  485         2004</t>
        </is>
      </c>
      <c r="D570" t="inlineStr">
        <is>
          <t>A Jewish renaissance in fifteenth-century Spain / Mark D. Meyerson.</t>
        </is>
      </c>
      <c r="F570" t="inlineStr">
        <is>
          <t>No</t>
        </is>
      </c>
      <c r="G570" t="inlineStr">
        <is>
          <t>1</t>
        </is>
      </c>
      <c r="H570" t="inlineStr">
        <is>
          <t>No</t>
        </is>
      </c>
      <c r="I570" t="inlineStr">
        <is>
          <t>No</t>
        </is>
      </c>
      <c r="J570" t="inlineStr">
        <is>
          <t>0</t>
        </is>
      </c>
      <c r="K570" t="inlineStr">
        <is>
          <t>Meyerson, Mark D.</t>
        </is>
      </c>
      <c r="L570" t="inlineStr">
        <is>
          <t>Princeton : Princeton University Press, c2004.</t>
        </is>
      </c>
      <c r="M570" t="inlineStr">
        <is>
          <t>2004</t>
        </is>
      </c>
      <c r="O570" t="inlineStr">
        <is>
          <t>eng</t>
        </is>
      </c>
      <c r="P570" t="inlineStr">
        <is>
          <t>nju</t>
        </is>
      </c>
      <c r="Q570" t="inlineStr">
        <is>
          <t>Jews, Christians, and Muslims from the ancient to the modern world</t>
        </is>
      </c>
      <c r="R570" t="inlineStr">
        <is>
          <t xml:space="preserve">DS </t>
        </is>
      </c>
      <c r="S570" t="n">
        <v>1</v>
      </c>
      <c r="T570" t="n">
        <v>1</v>
      </c>
      <c r="U570" t="inlineStr">
        <is>
          <t>2008-04-01</t>
        </is>
      </c>
      <c r="V570" t="inlineStr">
        <is>
          <t>2008-04-01</t>
        </is>
      </c>
      <c r="W570" t="inlineStr">
        <is>
          <t>2008-04-01</t>
        </is>
      </c>
      <c r="X570" t="inlineStr">
        <is>
          <t>2008-04-01</t>
        </is>
      </c>
      <c r="Y570" t="n">
        <v>426</v>
      </c>
      <c r="Z570" t="n">
        <v>339</v>
      </c>
      <c r="AA570" t="n">
        <v>341</v>
      </c>
      <c r="AB570" t="n">
        <v>2</v>
      </c>
      <c r="AC570" t="n">
        <v>2</v>
      </c>
      <c r="AD570" t="n">
        <v>26</v>
      </c>
      <c r="AE570" t="n">
        <v>26</v>
      </c>
      <c r="AF570" t="n">
        <v>12</v>
      </c>
      <c r="AG570" t="n">
        <v>12</v>
      </c>
      <c r="AH570" t="n">
        <v>8</v>
      </c>
      <c r="AI570" t="n">
        <v>8</v>
      </c>
      <c r="AJ570" t="n">
        <v>14</v>
      </c>
      <c r="AK570" t="n">
        <v>14</v>
      </c>
      <c r="AL570" t="n">
        <v>1</v>
      </c>
      <c r="AM570" t="n">
        <v>1</v>
      </c>
      <c r="AN570" t="n">
        <v>0</v>
      </c>
      <c r="AO570" t="n">
        <v>0</v>
      </c>
      <c r="AP570" t="inlineStr">
        <is>
          <t>No</t>
        </is>
      </c>
      <c r="AQ570" t="inlineStr">
        <is>
          <t>No</t>
        </is>
      </c>
      <c r="AS570">
        <f>HYPERLINK("https://creighton-primo.hosted.exlibrisgroup.com/primo-explore/search?tab=default_tab&amp;search_scope=EVERYTHING&amp;vid=01CRU&amp;lang=en_US&amp;offset=0&amp;query=any,contains,991005196089702656","Catalog Record")</f>
        <v/>
      </c>
      <c r="AT570">
        <f>HYPERLINK("http://www.worldcat.org/oclc/52464748","WorldCat Record")</f>
        <v/>
      </c>
      <c r="AU570" t="inlineStr">
        <is>
          <t>728005:eng</t>
        </is>
      </c>
      <c r="AV570" t="inlineStr">
        <is>
          <t>52464748</t>
        </is>
      </c>
      <c r="AW570" t="inlineStr">
        <is>
          <t>991005196089702656</t>
        </is>
      </c>
      <c r="AX570" t="inlineStr">
        <is>
          <t>991005196089702656</t>
        </is>
      </c>
      <c r="AY570" t="inlineStr">
        <is>
          <t>2255000240002656</t>
        </is>
      </c>
      <c r="AZ570" t="inlineStr">
        <is>
          <t>BOOK</t>
        </is>
      </c>
      <c r="BB570" t="inlineStr">
        <is>
          <t>9780691117492</t>
        </is>
      </c>
      <c r="BC570" t="inlineStr">
        <is>
          <t>32285005400006</t>
        </is>
      </c>
      <c r="BD570" t="inlineStr">
        <is>
          <t>893533336</t>
        </is>
      </c>
    </row>
    <row r="571">
      <c r="A571" t="inlineStr">
        <is>
          <t>No</t>
        </is>
      </c>
      <c r="B571" t="inlineStr">
        <is>
          <t>DS135.S7 P398 2001</t>
        </is>
      </c>
      <c r="C571" t="inlineStr">
        <is>
          <t>0                      DS 0135000S  7                  P  398         2001</t>
        </is>
      </c>
      <c r="D571" t="inlineStr">
        <is>
          <t>Historia de una tragedia : la expulsión de los judíos de España / Joseph Pérez.</t>
        </is>
      </c>
      <c r="F571" t="inlineStr">
        <is>
          <t>No</t>
        </is>
      </c>
      <c r="G571" t="inlineStr">
        <is>
          <t>1</t>
        </is>
      </c>
      <c r="H571" t="inlineStr">
        <is>
          <t>No</t>
        </is>
      </c>
      <c r="I571" t="inlineStr">
        <is>
          <t>No</t>
        </is>
      </c>
      <c r="J571" t="inlineStr">
        <is>
          <t>0</t>
        </is>
      </c>
      <c r="K571" t="inlineStr">
        <is>
          <t>Pérez, Joseph.</t>
        </is>
      </c>
      <c r="L571" t="inlineStr">
        <is>
          <t>Barcelona : Crítica, 2001.</t>
        </is>
      </c>
      <c r="M571" t="inlineStr">
        <is>
          <t>2001</t>
        </is>
      </c>
      <c r="N571" t="inlineStr">
        <is>
          <t>1. ed.</t>
        </is>
      </c>
      <c r="O571" t="inlineStr">
        <is>
          <t>spa</t>
        </is>
      </c>
      <c r="P571" t="inlineStr">
        <is>
          <t xml:space="preserve">sp </t>
        </is>
      </c>
      <c r="Q571" t="inlineStr">
        <is>
          <t>Biblioteca de bolsillo / Crítica ; 66</t>
        </is>
      </c>
      <c r="R571" t="inlineStr">
        <is>
          <t xml:space="preserve">DS </t>
        </is>
      </c>
      <c r="S571" t="n">
        <v>1</v>
      </c>
      <c r="T571" t="n">
        <v>1</v>
      </c>
      <c r="U571" t="inlineStr">
        <is>
          <t>2008-01-17</t>
        </is>
      </c>
      <c r="V571" t="inlineStr">
        <is>
          <t>2008-01-17</t>
        </is>
      </c>
      <c r="W571" t="inlineStr">
        <is>
          <t>2008-01-17</t>
        </is>
      </c>
      <c r="X571" t="inlineStr">
        <is>
          <t>2008-01-17</t>
        </is>
      </c>
      <c r="Y571" t="n">
        <v>20</v>
      </c>
      <c r="Z571" t="n">
        <v>7</v>
      </c>
      <c r="AA571" t="n">
        <v>47</v>
      </c>
      <c r="AB571" t="n">
        <v>1</v>
      </c>
      <c r="AC571" t="n">
        <v>1</v>
      </c>
      <c r="AD571" t="n">
        <v>0</v>
      </c>
      <c r="AE571" t="n">
        <v>1</v>
      </c>
      <c r="AF571" t="n">
        <v>0</v>
      </c>
      <c r="AG571" t="n">
        <v>0</v>
      </c>
      <c r="AH571" t="n">
        <v>0</v>
      </c>
      <c r="AI571" t="n">
        <v>1</v>
      </c>
      <c r="AJ571" t="n">
        <v>0</v>
      </c>
      <c r="AK571" t="n">
        <v>0</v>
      </c>
      <c r="AL571" t="n">
        <v>0</v>
      </c>
      <c r="AM571" t="n">
        <v>0</v>
      </c>
      <c r="AN571" t="n">
        <v>0</v>
      </c>
      <c r="AO571" t="n">
        <v>0</v>
      </c>
      <c r="AP571" t="inlineStr">
        <is>
          <t>No</t>
        </is>
      </c>
      <c r="AQ571" t="inlineStr">
        <is>
          <t>No</t>
        </is>
      </c>
      <c r="AS571">
        <f>HYPERLINK("https://creighton-primo.hosted.exlibrisgroup.com/primo-explore/search?tab=default_tab&amp;search_scope=EVERYTHING&amp;vid=01CRU&amp;lang=en_US&amp;offset=0&amp;query=any,contains,991005173529702656","Catalog Record")</f>
        <v/>
      </c>
      <c r="AT571">
        <f>HYPERLINK("http://www.worldcat.org/oclc/51030007","WorldCat Record")</f>
        <v/>
      </c>
      <c r="AU571" t="inlineStr">
        <is>
          <t>2864279511:spa</t>
        </is>
      </c>
      <c r="AV571" t="inlineStr">
        <is>
          <t>51030007</t>
        </is>
      </c>
      <c r="AW571" t="inlineStr">
        <is>
          <t>991005173529702656</t>
        </is>
      </c>
      <c r="AX571" t="inlineStr">
        <is>
          <t>991005173529702656</t>
        </is>
      </c>
      <c r="AY571" t="inlineStr">
        <is>
          <t>2272483830002656</t>
        </is>
      </c>
      <c r="AZ571" t="inlineStr">
        <is>
          <t>BOOK</t>
        </is>
      </c>
      <c r="BB571" t="inlineStr">
        <is>
          <t>9788484321873</t>
        </is>
      </c>
      <c r="BC571" t="inlineStr">
        <is>
          <t>32285005378814</t>
        </is>
      </c>
      <c r="BD571" t="inlineStr">
        <is>
          <t>893870648</t>
        </is>
      </c>
    </row>
    <row r="572">
      <c r="A572" t="inlineStr">
        <is>
          <t>No</t>
        </is>
      </c>
      <c r="B572" t="inlineStr">
        <is>
          <t>DS135.S7 R38 2006</t>
        </is>
      </c>
      <c r="C572" t="inlineStr">
        <is>
          <t>0                      DS 0135000S  7                  R  38          2006</t>
        </is>
      </c>
      <c r="D572" t="inlineStr">
        <is>
          <t>The Sephardic frontier : the reconquista and the Jewish community in medieval Iberia / Jonathan Ray.</t>
        </is>
      </c>
      <c r="F572" t="inlineStr">
        <is>
          <t>No</t>
        </is>
      </c>
      <c r="G572" t="inlineStr">
        <is>
          <t>1</t>
        </is>
      </c>
      <c r="H572" t="inlineStr">
        <is>
          <t>No</t>
        </is>
      </c>
      <c r="I572" t="inlineStr">
        <is>
          <t>No</t>
        </is>
      </c>
      <c r="J572" t="inlineStr">
        <is>
          <t>0</t>
        </is>
      </c>
      <c r="K572" t="inlineStr">
        <is>
          <t>Ray, Jonathan (Jonathan Stewart)</t>
        </is>
      </c>
      <c r="L572" t="inlineStr">
        <is>
          <t>Ithaca, N.Y. : Cornell University Press, 2006.</t>
        </is>
      </c>
      <c r="M572" t="inlineStr">
        <is>
          <t>2006</t>
        </is>
      </c>
      <c r="O572" t="inlineStr">
        <is>
          <t>eng</t>
        </is>
      </c>
      <c r="P572" t="inlineStr">
        <is>
          <t>nyu</t>
        </is>
      </c>
      <c r="Q572" t="inlineStr">
        <is>
          <t>Conjunctions of religion and power in the medieval past</t>
        </is>
      </c>
      <c r="R572" t="inlineStr">
        <is>
          <t xml:space="preserve">DS </t>
        </is>
      </c>
      <c r="S572" t="n">
        <v>2</v>
      </c>
      <c r="T572" t="n">
        <v>2</v>
      </c>
      <c r="U572" t="inlineStr">
        <is>
          <t>2006-07-19</t>
        </is>
      </c>
      <c r="V572" t="inlineStr">
        <is>
          <t>2006-07-19</t>
        </is>
      </c>
      <c r="W572" t="inlineStr">
        <is>
          <t>2006-06-12</t>
        </is>
      </c>
      <c r="X572" t="inlineStr">
        <is>
          <t>2006-06-12</t>
        </is>
      </c>
      <c r="Y572" t="n">
        <v>393</v>
      </c>
      <c r="Z572" t="n">
        <v>318</v>
      </c>
      <c r="AA572" t="n">
        <v>879</v>
      </c>
      <c r="AB572" t="n">
        <v>2</v>
      </c>
      <c r="AC572" t="n">
        <v>8</v>
      </c>
      <c r="AD572" t="n">
        <v>16</v>
      </c>
      <c r="AE572" t="n">
        <v>38</v>
      </c>
      <c r="AF572" t="n">
        <v>6</v>
      </c>
      <c r="AG572" t="n">
        <v>14</v>
      </c>
      <c r="AH572" t="n">
        <v>6</v>
      </c>
      <c r="AI572" t="n">
        <v>10</v>
      </c>
      <c r="AJ572" t="n">
        <v>9</v>
      </c>
      <c r="AK572" t="n">
        <v>16</v>
      </c>
      <c r="AL572" t="n">
        <v>1</v>
      </c>
      <c r="AM572" t="n">
        <v>6</v>
      </c>
      <c r="AN572" t="n">
        <v>0</v>
      </c>
      <c r="AO572" t="n">
        <v>1</v>
      </c>
      <c r="AP572" t="inlineStr">
        <is>
          <t>No</t>
        </is>
      </c>
      <c r="AQ572" t="inlineStr">
        <is>
          <t>No</t>
        </is>
      </c>
      <c r="AS572">
        <f>HYPERLINK("https://creighton-primo.hosted.exlibrisgroup.com/primo-explore/search?tab=default_tab&amp;search_scope=EVERYTHING&amp;vid=01CRU&amp;lang=en_US&amp;offset=0&amp;query=any,contains,991004789599702656","Catalog Record")</f>
        <v/>
      </c>
      <c r="AT572">
        <f>HYPERLINK("http://www.worldcat.org/oclc/61451585","WorldCat Record")</f>
        <v/>
      </c>
      <c r="AU572" t="inlineStr">
        <is>
          <t>42721540:eng</t>
        </is>
      </c>
      <c r="AV572" t="inlineStr">
        <is>
          <t>61451585</t>
        </is>
      </c>
      <c r="AW572" t="inlineStr">
        <is>
          <t>991004789599702656</t>
        </is>
      </c>
      <c r="AX572" t="inlineStr">
        <is>
          <t>991004789599702656</t>
        </is>
      </c>
      <c r="AY572" t="inlineStr">
        <is>
          <t>2259269790002656</t>
        </is>
      </c>
      <c r="AZ572" t="inlineStr">
        <is>
          <t>BOOK</t>
        </is>
      </c>
      <c r="BB572" t="inlineStr">
        <is>
          <t>9780801444012</t>
        </is>
      </c>
      <c r="BC572" t="inlineStr">
        <is>
          <t>32285005190904</t>
        </is>
      </c>
      <c r="BD572" t="inlineStr">
        <is>
          <t>893600231</t>
        </is>
      </c>
    </row>
    <row r="573">
      <c r="A573" t="inlineStr">
        <is>
          <t>No</t>
        </is>
      </c>
      <c r="B573" t="inlineStr">
        <is>
          <t>DS135.S75 T6 1969</t>
        </is>
      </c>
      <c r="C573" t="inlineStr">
        <is>
          <t>0                      DS 0135000S  75                 T  6           1969</t>
        </is>
      </c>
      <c r="D573" t="inlineStr">
        <is>
          <t>Judaizantes del arzobispado de Toledo habilitados por la inquisición en 1495 y 1497 / por Francisco Cantera Burgos con la colaboración de Pilar Leon Tello.</t>
        </is>
      </c>
      <c r="F573" t="inlineStr">
        <is>
          <t>No</t>
        </is>
      </c>
      <c r="G573" t="inlineStr">
        <is>
          <t>1</t>
        </is>
      </c>
      <c r="H573" t="inlineStr">
        <is>
          <t>No</t>
        </is>
      </c>
      <c r="I573" t="inlineStr">
        <is>
          <t>No</t>
        </is>
      </c>
      <c r="J573" t="inlineStr">
        <is>
          <t>0</t>
        </is>
      </c>
      <c r="K573" t="inlineStr">
        <is>
          <t>Cantera Burgos, Francisco.</t>
        </is>
      </c>
      <c r="M573" t="inlineStr">
        <is>
          <t>1969</t>
        </is>
      </c>
      <c r="O573" t="inlineStr">
        <is>
          <t>spa</t>
        </is>
      </c>
      <c r="P573" t="inlineStr">
        <is>
          <t xml:space="preserve">xx </t>
        </is>
      </c>
      <c r="Q573" t="inlineStr">
        <is>
          <t>Universidad de Madrid. Cátedra de Lengua Hebrea e Historia de los Judíos. Ayuda a la investigación [no.1]</t>
        </is>
      </c>
      <c r="R573" t="inlineStr">
        <is>
          <t xml:space="preserve">DS </t>
        </is>
      </c>
      <c r="S573" t="n">
        <v>1</v>
      </c>
      <c r="T573" t="n">
        <v>1</v>
      </c>
      <c r="U573" t="inlineStr">
        <is>
          <t>2002-03-13</t>
        </is>
      </c>
      <c r="V573" t="inlineStr">
        <is>
          <t>2002-03-13</t>
        </is>
      </c>
      <c r="W573" t="inlineStr">
        <is>
          <t>1990-10-03</t>
        </is>
      </c>
      <c r="X573" t="inlineStr">
        <is>
          <t>1990-10-03</t>
        </is>
      </c>
      <c r="Y573" t="n">
        <v>66</v>
      </c>
      <c r="Z573" t="n">
        <v>47</v>
      </c>
      <c r="AA573" t="n">
        <v>51</v>
      </c>
      <c r="AB573" t="n">
        <v>1</v>
      </c>
      <c r="AC573" t="n">
        <v>1</v>
      </c>
      <c r="AD573" t="n">
        <v>1</v>
      </c>
      <c r="AE573" t="n">
        <v>1</v>
      </c>
      <c r="AF573" t="n">
        <v>0</v>
      </c>
      <c r="AG573" t="n">
        <v>0</v>
      </c>
      <c r="AH573" t="n">
        <v>0</v>
      </c>
      <c r="AI573" t="n">
        <v>0</v>
      </c>
      <c r="AJ573" t="n">
        <v>1</v>
      </c>
      <c r="AK573" t="n">
        <v>1</v>
      </c>
      <c r="AL573" t="n">
        <v>0</v>
      </c>
      <c r="AM573" t="n">
        <v>0</v>
      </c>
      <c r="AN573" t="n">
        <v>0</v>
      </c>
      <c r="AO573" t="n">
        <v>0</v>
      </c>
      <c r="AP573" t="inlineStr">
        <is>
          <t>No</t>
        </is>
      </c>
      <c r="AQ573" t="inlineStr">
        <is>
          <t>Yes</t>
        </is>
      </c>
      <c r="AR573">
        <f>HYPERLINK("http://catalog.hathitrust.org/Record/001865044","HathiTrust Record")</f>
        <v/>
      </c>
      <c r="AS573">
        <f>HYPERLINK("https://creighton-primo.hosted.exlibrisgroup.com/primo-explore/search?tab=default_tab&amp;search_scope=EVERYTHING&amp;vid=01CRU&amp;lang=en_US&amp;offset=0&amp;query=any,contains,991001774739702656","Catalog Record")</f>
        <v/>
      </c>
      <c r="AT573">
        <f>HYPERLINK("http://www.worldcat.org/oclc/236398","WorldCat Record")</f>
        <v/>
      </c>
      <c r="AU573" t="inlineStr">
        <is>
          <t>1370346:spa</t>
        </is>
      </c>
      <c r="AV573" t="inlineStr">
        <is>
          <t>236398</t>
        </is>
      </c>
      <c r="AW573" t="inlineStr">
        <is>
          <t>991001774739702656</t>
        </is>
      </c>
      <c r="AX573" t="inlineStr">
        <is>
          <t>991001774739702656</t>
        </is>
      </c>
      <c r="AY573" t="inlineStr">
        <is>
          <t>2257715350002656</t>
        </is>
      </c>
      <c r="AZ573" t="inlineStr">
        <is>
          <t>BOOK</t>
        </is>
      </c>
      <c r="BC573" t="inlineStr">
        <is>
          <t>32285000294750</t>
        </is>
      </c>
      <c r="BD573" t="inlineStr">
        <is>
          <t>893232248</t>
        </is>
      </c>
    </row>
    <row r="574">
      <c r="A574" t="inlineStr">
        <is>
          <t>No</t>
        </is>
      </c>
      <c r="B574" t="inlineStr">
        <is>
          <t>DS135.T8 G57 2005</t>
        </is>
      </c>
      <c r="C574" t="inlineStr">
        <is>
          <t>0                      DS 0135000T  8                  G  57          2005</t>
        </is>
      </c>
      <c r="D574" t="inlineStr">
        <is>
          <t>Jews and Arabs : a concise history of their social and cultural relations / S. D. Goitein ; introduction to the Dover edition by Mark R. Cohen.</t>
        </is>
      </c>
      <c r="F574" t="inlineStr">
        <is>
          <t>No</t>
        </is>
      </c>
      <c r="G574" t="inlineStr">
        <is>
          <t>1</t>
        </is>
      </c>
      <c r="H574" t="inlineStr">
        <is>
          <t>No</t>
        </is>
      </c>
      <c r="I574" t="inlineStr">
        <is>
          <t>No</t>
        </is>
      </c>
      <c r="J574" t="inlineStr">
        <is>
          <t>0</t>
        </is>
      </c>
      <c r="K574" t="inlineStr">
        <is>
          <t>Goitein, Shelomo Dov, 1900-1985.</t>
        </is>
      </c>
      <c r="L574" t="inlineStr">
        <is>
          <t>Mineola, N.Y. : Dover Publications, 2005.</t>
        </is>
      </c>
      <c r="M574" t="inlineStr">
        <is>
          <t>2005</t>
        </is>
      </c>
      <c r="O574" t="inlineStr">
        <is>
          <t>eng</t>
        </is>
      </c>
      <c r="P574" t="inlineStr">
        <is>
          <t>nyu</t>
        </is>
      </c>
      <c r="R574" t="inlineStr">
        <is>
          <t xml:space="preserve">DS </t>
        </is>
      </c>
      <c r="S574" t="n">
        <v>2</v>
      </c>
      <c r="T574" t="n">
        <v>2</v>
      </c>
      <c r="U574" t="inlineStr">
        <is>
          <t>2009-07-14</t>
        </is>
      </c>
      <c r="V574" t="inlineStr">
        <is>
          <t>2009-07-14</t>
        </is>
      </c>
      <c r="W574" t="inlineStr">
        <is>
          <t>2009-06-23</t>
        </is>
      </c>
      <c r="X574" t="inlineStr">
        <is>
          <t>2009-06-23</t>
        </is>
      </c>
      <c r="Y574" t="n">
        <v>78</v>
      </c>
      <c r="Z574" t="n">
        <v>62</v>
      </c>
      <c r="AA574" t="n">
        <v>74</v>
      </c>
      <c r="AB574" t="n">
        <v>1</v>
      </c>
      <c r="AC574" t="n">
        <v>2</v>
      </c>
      <c r="AD574" t="n">
        <v>3</v>
      </c>
      <c r="AE574" t="n">
        <v>5</v>
      </c>
      <c r="AF574" t="n">
        <v>1</v>
      </c>
      <c r="AG574" t="n">
        <v>2</v>
      </c>
      <c r="AH574" t="n">
        <v>1</v>
      </c>
      <c r="AI574" t="n">
        <v>2</v>
      </c>
      <c r="AJ574" t="n">
        <v>2</v>
      </c>
      <c r="AK574" t="n">
        <v>2</v>
      </c>
      <c r="AL574" t="n">
        <v>0</v>
      </c>
      <c r="AM574" t="n">
        <v>1</v>
      </c>
      <c r="AN574" t="n">
        <v>0</v>
      </c>
      <c r="AO574" t="n">
        <v>0</v>
      </c>
      <c r="AP574" t="inlineStr">
        <is>
          <t>No</t>
        </is>
      </c>
      <c r="AQ574" t="inlineStr">
        <is>
          <t>No</t>
        </is>
      </c>
      <c r="AS574">
        <f>HYPERLINK("https://creighton-primo.hosted.exlibrisgroup.com/primo-explore/search?tab=default_tab&amp;search_scope=EVERYTHING&amp;vid=01CRU&amp;lang=en_US&amp;offset=0&amp;query=any,contains,991005324039702656","Catalog Record")</f>
        <v/>
      </c>
      <c r="AT574">
        <f>HYPERLINK("http://www.worldcat.org/oclc/57168660","WorldCat Record")</f>
        <v/>
      </c>
      <c r="AU574" t="inlineStr">
        <is>
          <t>3945703110:eng</t>
        </is>
      </c>
      <c r="AV574" t="inlineStr">
        <is>
          <t>57168660</t>
        </is>
      </c>
      <c r="AW574" t="inlineStr">
        <is>
          <t>991005324039702656</t>
        </is>
      </c>
      <c r="AX574" t="inlineStr">
        <is>
          <t>991005324039702656</t>
        </is>
      </c>
      <c r="AY574" t="inlineStr">
        <is>
          <t>2271283140002656</t>
        </is>
      </c>
      <c r="AZ574" t="inlineStr">
        <is>
          <t>BOOK</t>
        </is>
      </c>
      <c r="BB574" t="inlineStr">
        <is>
          <t>9780486439877</t>
        </is>
      </c>
      <c r="BC574" t="inlineStr">
        <is>
          <t>32285005536171</t>
        </is>
      </c>
      <c r="BD574" t="inlineStr">
        <is>
          <t>893501691</t>
        </is>
      </c>
    </row>
    <row r="575">
      <c r="A575" t="inlineStr">
        <is>
          <t>No</t>
        </is>
      </c>
      <c r="B575" t="inlineStr">
        <is>
          <t>DS135.T8 J49 1994</t>
        </is>
      </c>
      <c r="C575" t="inlineStr">
        <is>
          <t>0                      DS 0135000T  8                  J  49          1994</t>
        </is>
      </c>
      <c r="D575" t="inlineStr">
        <is>
          <t>The Jews of the Ottoman Empire / edited with an introduction by Avigdor Levy.</t>
        </is>
      </c>
      <c r="F575" t="inlineStr">
        <is>
          <t>No</t>
        </is>
      </c>
      <c r="G575" t="inlineStr">
        <is>
          <t>1</t>
        </is>
      </c>
      <c r="H575" t="inlineStr">
        <is>
          <t>No</t>
        </is>
      </c>
      <c r="I575" t="inlineStr">
        <is>
          <t>No</t>
        </is>
      </c>
      <c r="J575" t="inlineStr">
        <is>
          <t>0</t>
        </is>
      </c>
      <c r="L575" t="inlineStr">
        <is>
          <t>Princeton, N.J. : Darwin Press ; Washington, D.C. : Institute of Turkish Studies, c1994.</t>
        </is>
      </c>
      <c r="M575" t="inlineStr">
        <is>
          <t>1994</t>
        </is>
      </c>
      <c r="O575" t="inlineStr">
        <is>
          <t>eng</t>
        </is>
      </c>
      <c r="P575" t="inlineStr">
        <is>
          <t>nju</t>
        </is>
      </c>
      <c r="R575" t="inlineStr">
        <is>
          <t xml:space="preserve">DS </t>
        </is>
      </c>
      <c r="S575" t="n">
        <v>2</v>
      </c>
      <c r="T575" t="n">
        <v>2</v>
      </c>
      <c r="U575" t="inlineStr">
        <is>
          <t>2006-04-21</t>
        </is>
      </c>
      <c r="V575" t="inlineStr">
        <is>
          <t>2006-04-21</t>
        </is>
      </c>
      <c r="W575" t="inlineStr">
        <is>
          <t>1995-12-27</t>
        </is>
      </c>
      <c r="X575" t="inlineStr">
        <is>
          <t>1995-12-27</t>
        </is>
      </c>
      <c r="Y575" t="n">
        <v>212</v>
      </c>
      <c r="Z575" t="n">
        <v>148</v>
      </c>
      <c r="AA575" t="n">
        <v>151</v>
      </c>
      <c r="AB575" t="n">
        <v>1</v>
      </c>
      <c r="AC575" t="n">
        <v>1</v>
      </c>
      <c r="AD575" t="n">
        <v>8</v>
      </c>
      <c r="AE575" t="n">
        <v>8</v>
      </c>
      <c r="AF575" t="n">
        <v>2</v>
      </c>
      <c r="AG575" t="n">
        <v>2</v>
      </c>
      <c r="AH575" t="n">
        <v>4</v>
      </c>
      <c r="AI575" t="n">
        <v>4</v>
      </c>
      <c r="AJ575" t="n">
        <v>5</v>
      </c>
      <c r="AK575" t="n">
        <v>5</v>
      </c>
      <c r="AL575" t="n">
        <v>0</v>
      </c>
      <c r="AM575" t="n">
        <v>0</v>
      </c>
      <c r="AN575" t="n">
        <v>0</v>
      </c>
      <c r="AO575" t="n">
        <v>0</v>
      </c>
      <c r="AP575" t="inlineStr">
        <is>
          <t>No</t>
        </is>
      </c>
      <c r="AQ575" t="inlineStr">
        <is>
          <t>Yes</t>
        </is>
      </c>
      <c r="AR575">
        <f>HYPERLINK("http://catalog.hathitrust.org/Record/003539996","HathiTrust Record")</f>
        <v/>
      </c>
      <c r="AS575">
        <f>HYPERLINK("https://creighton-primo.hosted.exlibrisgroup.com/primo-explore/search?tab=default_tab&amp;search_scope=EVERYTHING&amp;vid=01CRU&amp;lang=en_US&amp;offset=0&amp;query=any,contains,991001991209702656","Catalog Record")</f>
        <v/>
      </c>
      <c r="AT575">
        <f>HYPERLINK("http://www.worldcat.org/oclc/25283070","WorldCat Record")</f>
        <v/>
      </c>
      <c r="AU575" t="inlineStr">
        <is>
          <t>55554509:eng</t>
        </is>
      </c>
      <c r="AV575" t="inlineStr">
        <is>
          <t>25283070</t>
        </is>
      </c>
      <c r="AW575" t="inlineStr">
        <is>
          <t>991001991209702656</t>
        </is>
      </c>
      <c r="AX575" t="inlineStr">
        <is>
          <t>991001991209702656</t>
        </is>
      </c>
      <c r="AY575" t="inlineStr">
        <is>
          <t>2272516150002656</t>
        </is>
      </c>
      <c r="AZ575" t="inlineStr">
        <is>
          <t>BOOK</t>
        </is>
      </c>
      <c r="BB575" t="inlineStr">
        <is>
          <t>9780878500901</t>
        </is>
      </c>
      <c r="BC575" t="inlineStr">
        <is>
          <t>32285002112109</t>
        </is>
      </c>
      <c r="BD575" t="inlineStr">
        <is>
          <t>893439650</t>
        </is>
      </c>
    </row>
    <row r="576">
      <c r="A576" t="inlineStr">
        <is>
          <t>No</t>
        </is>
      </c>
      <c r="B576" t="inlineStr">
        <is>
          <t>DS135.T8 T67 1991</t>
        </is>
      </c>
      <c r="C576" t="inlineStr">
        <is>
          <t>0                      DS 0135000T  8                  T  67          1991</t>
        </is>
      </c>
      <c r="D576" t="inlineStr">
        <is>
          <t>Jewish communities in Asia Minor / Paul R. Trebilco.</t>
        </is>
      </c>
      <c r="F576" t="inlineStr">
        <is>
          <t>No</t>
        </is>
      </c>
      <c r="G576" t="inlineStr">
        <is>
          <t>1</t>
        </is>
      </c>
      <c r="H576" t="inlineStr">
        <is>
          <t>No</t>
        </is>
      </c>
      <c r="I576" t="inlineStr">
        <is>
          <t>No</t>
        </is>
      </c>
      <c r="J576" t="inlineStr">
        <is>
          <t>0</t>
        </is>
      </c>
      <c r="K576" t="inlineStr">
        <is>
          <t>Trebilco, Paul R.</t>
        </is>
      </c>
      <c r="L576" t="inlineStr">
        <is>
          <t>Cambridge [England] ; New York : Cambridge University Press, 1991.</t>
        </is>
      </c>
      <c r="M576" t="inlineStr">
        <is>
          <t>1991</t>
        </is>
      </c>
      <c r="O576" t="inlineStr">
        <is>
          <t>eng</t>
        </is>
      </c>
      <c r="P576" t="inlineStr">
        <is>
          <t>enk</t>
        </is>
      </c>
      <c r="Q576" t="inlineStr">
        <is>
          <t>Monograph series (Society for New Testament Studies) ; 69</t>
        </is>
      </c>
      <c r="R576" t="inlineStr">
        <is>
          <t xml:space="preserve">DS </t>
        </is>
      </c>
      <c r="S576" t="n">
        <v>13</v>
      </c>
      <c r="T576" t="n">
        <v>13</v>
      </c>
      <c r="U576" t="inlineStr">
        <is>
          <t>2005-09-12</t>
        </is>
      </c>
      <c r="V576" t="inlineStr">
        <is>
          <t>2005-09-12</t>
        </is>
      </c>
      <c r="W576" t="inlineStr">
        <is>
          <t>1991-08-08</t>
        </is>
      </c>
      <c r="X576" t="inlineStr">
        <is>
          <t>1991-08-08</t>
        </is>
      </c>
      <c r="Y576" t="n">
        <v>460</v>
      </c>
      <c r="Z576" t="n">
        <v>320</v>
      </c>
      <c r="AA576" t="n">
        <v>339</v>
      </c>
      <c r="AB576" t="n">
        <v>2</v>
      </c>
      <c r="AC576" t="n">
        <v>2</v>
      </c>
      <c r="AD576" t="n">
        <v>19</v>
      </c>
      <c r="AE576" t="n">
        <v>20</v>
      </c>
      <c r="AF576" t="n">
        <v>6</v>
      </c>
      <c r="AG576" t="n">
        <v>7</v>
      </c>
      <c r="AH576" t="n">
        <v>6</v>
      </c>
      <c r="AI576" t="n">
        <v>6</v>
      </c>
      <c r="AJ576" t="n">
        <v>12</v>
      </c>
      <c r="AK576" t="n">
        <v>12</v>
      </c>
      <c r="AL576" t="n">
        <v>1</v>
      </c>
      <c r="AM576" t="n">
        <v>1</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HYPERLINK("https://creighton-primo.hosted.exlibrisgroup.com/primo-explore/search?tab=default_tab&amp;search_scope=EVERYTHING&amp;vid=01CRU&amp;lang=en_US&amp;offset=0&amp;query=any,contains,991001729499702656","Catalog Record")</f>
        <v/>
      </c>
      <c r="AT576">
        <f>HYPERLINK("http://www.worldcat.org/oclc/21909414","WorldCat Record")</f>
        <v/>
      </c>
      <c r="AU576" t="inlineStr">
        <is>
          <t>23033274:eng</t>
        </is>
      </c>
      <c r="AV576" t="inlineStr">
        <is>
          <t>21909414</t>
        </is>
      </c>
      <c r="AW576" t="inlineStr">
        <is>
          <t>991001729499702656</t>
        </is>
      </c>
      <c r="AX576" t="inlineStr">
        <is>
          <t>991001729499702656</t>
        </is>
      </c>
      <c r="AY576" t="inlineStr">
        <is>
          <t>2269765080002656</t>
        </is>
      </c>
      <c r="AZ576" t="inlineStr">
        <is>
          <t>BOOK</t>
        </is>
      </c>
      <c r="BB576" t="inlineStr">
        <is>
          <t>9780521401203</t>
        </is>
      </c>
      <c r="BC576" t="inlineStr">
        <is>
          <t>32285000664648</t>
        </is>
      </c>
      <c r="BD576" t="inlineStr">
        <is>
          <t>893503628</t>
        </is>
      </c>
    </row>
    <row r="577">
      <c r="A577" t="inlineStr">
        <is>
          <t>No</t>
        </is>
      </c>
      <c r="B577" t="inlineStr">
        <is>
          <t>DS140 .B3</t>
        </is>
      </c>
      <c r="C577" t="inlineStr">
        <is>
          <t>0                      DS 0140000B  3</t>
        </is>
      </c>
      <c r="D577" t="inlineStr">
        <is>
          <t>Kibbutz volunteer / John Bedford. --</t>
        </is>
      </c>
      <c r="F577" t="inlineStr">
        <is>
          <t>No</t>
        </is>
      </c>
      <c r="G577" t="inlineStr">
        <is>
          <t>1</t>
        </is>
      </c>
      <c r="H577" t="inlineStr">
        <is>
          <t>No</t>
        </is>
      </c>
      <c r="I577" t="inlineStr">
        <is>
          <t>No</t>
        </is>
      </c>
      <c r="J577" t="inlineStr">
        <is>
          <t>0</t>
        </is>
      </c>
      <c r="K577" t="inlineStr">
        <is>
          <t>Bedford, John.</t>
        </is>
      </c>
      <c r="L577" t="inlineStr">
        <is>
          <t>Oxford, Eng. : Vacation Work, c1978.</t>
        </is>
      </c>
      <c r="M577" t="inlineStr">
        <is>
          <t>1978</t>
        </is>
      </c>
      <c r="O577" t="inlineStr">
        <is>
          <t>eng</t>
        </is>
      </c>
      <c r="P577" t="inlineStr">
        <is>
          <t>enk</t>
        </is>
      </c>
      <c r="R577" t="inlineStr">
        <is>
          <t xml:space="preserve">DS </t>
        </is>
      </c>
      <c r="S577" t="n">
        <v>2</v>
      </c>
      <c r="T577" t="n">
        <v>2</v>
      </c>
      <c r="U577" t="inlineStr">
        <is>
          <t>1992-03-12</t>
        </is>
      </c>
      <c r="V577" t="inlineStr">
        <is>
          <t>1992-03-12</t>
        </is>
      </c>
      <c r="W577" t="inlineStr">
        <is>
          <t>1990-10-03</t>
        </is>
      </c>
      <c r="X577" t="inlineStr">
        <is>
          <t>1990-10-03</t>
        </is>
      </c>
      <c r="Y577" t="n">
        <v>65</v>
      </c>
      <c r="Z577" t="n">
        <v>44</v>
      </c>
      <c r="AA577" t="n">
        <v>131</v>
      </c>
      <c r="AB577" t="n">
        <v>1</v>
      </c>
      <c r="AC577" t="n">
        <v>1</v>
      </c>
      <c r="AD577" t="n">
        <v>1</v>
      </c>
      <c r="AE577" t="n">
        <v>2</v>
      </c>
      <c r="AF577" t="n">
        <v>1</v>
      </c>
      <c r="AG577" t="n">
        <v>2</v>
      </c>
      <c r="AH577" t="n">
        <v>0</v>
      </c>
      <c r="AI577" t="n">
        <v>0</v>
      </c>
      <c r="AJ577" t="n">
        <v>0</v>
      </c>
      <c r="AK577" t="n">
        <v>1</v>
      </c>
      <c r="AL577" t="n">
        <v>0</v>
      </c>
      <c r="AM577" t="n">
        <v>0</v>
      </c>
      <c r="AN577" t="n">
        <v>0</v>
      </c>
      <c r="AO577" t="n">
        <v>0</v>
      </c>
      <c r="AP577" t="inlineStr">
        <is>
          <t>No</t>
        </is>
      </c>
      <c r="AQ577" t="inlineStr">
        <is>
          <t>No</t>
        </is>
      </c>
      <c r="AS577">
        <f>HYPERLINK("https://creighton-primo.hosted.exlibrisgroup.com/primo-explore/search?tab=default_tab&amp;search_scope=EVERYTHING&amp;vid=01CRU&amp;lang=en_US&amp;offset=0&amp;query=any,contains,991004644099702656","Catalog Record")</f>
        <v/>
      </c>
      <c r="AT577">
        <f>HYPERLINK("http://www.worldcat.org/oclc/5076040","WorldCat Record")</f>
        <v/>
      </c>
      <c r="AU577" t="inlineStr">
        <is>
          <t>5875406:eng</t>
        </is>
      </c>
      <c r="AV577" t="inlineStr">
        <is>
          <t>5076040</t>
        </is>
      </c>
      <c r="AW577" t="inlineStr">
        <is>
          <t>991004644099702656</t>
        </is>
      </c>
      <c r="AX577" t="inlineStr">
        <is>
          <t>991004644099702656</t>
        </is>
      </c>
      <c r="AY577" t="inlineStr">
        <is>
          <t>2266711580002656</t>
        </is>
      </c>
      <c r="AZ577" t="inlineStr">
        <is>
          <t>BOOK</t>
        </is>
      </c>
      <c r="BC577" t="inlineStr">
        <is>
          <t>32285000294800</t>
        </is>
      </c>
      <c r="BD577" t="inlineStr">
        <is>
          <t>893776251</t>
        </is>
      </c>
    </row>
    <row r="578">
      <c r="A578" t="inlineStr">
        <is>
          <t>No</t>
        </is>
      </c>
      <c r="B578" t="inlineStr">
        <is>
          <t>DS140 .J475 2000</t>
        </is>
      </c>
      <c r="C578" t="inlineStr">
        <is>
          <t>0                      DS 0140000J  475         2000</t>
        </is>
      </c>
      <c r="D578" t="inlineStr">
        <is>
          <t>The Jewish political tradition / editors, Michael Walzer, Menachem Lorberbaum, Noam J. Zohar ; coeditor, Yair Lorberbaum.</t>
        </is>
      </c>
      <c r="E578" t="inlineStr">
        <is>
          <t>V.1</t>
        </is>
      </c>
      <c r="F578" t="inlineStr">
        <is>
          <t>No</t>
        </is>
      </c>
      <c r="G578" t="inlineStr">
        <is>
          <t>1</t>
        </is>
      </c>
      <c r="H578" t="inlineStr">
        <is>
          <t>No</t>
        </is>
      </c>
      <c r="I578" t="inlineStr">
        <is>
          <t>No</t>
        </is>
      </c>
      <c r="J578" t="inlineStr">
        <is>
          <t>0</t>
        </is>
      </c>
      <c r="L578" t="inlineStr">
        <is>
          <t>New Haven : Yale University Press, c2000-</t>
        </is>
      </c>
      <c r="M578" t="inlineStr">
        <is>
          <t>2000</t>
        </is>
      </c>
      <c r="O578" t="inlineStr">
        <is>
          <t>eng</t>
        </is>
      </c>
      <c r="P578" t="inlineStr">
        <is>
          <t>ctu</t>
        </is>
      </c>
      <c r="R578" t="inlineStr">
        <is>
          <t xml:space="preserve">DS </t>
        </is>
      </c>
      <c r="S578" t="n">
        <v>1</v>
      </c>
      <c r="T578" t="n">
        <v>1</v>
      </c>
      <c r="U578" t="inlineStr">
        <is>
          <t>2000-10-18</t>
        </is>
      </c>
      <c r="V578" t="inlineStr">
        <is>
          <t>2000-10-18</t>
        </is>
      </c>
      <c r="W578" t="inlineStr">
        <is>
          <t>2000-10-18</t>
        </is>
      </c>
      <c r="X578" t="inlineStr">
        <is>
          <t>2000-10-18</t>
        </is>
      </c>
      <c r="Y578" t="n">
        <v>474</v>
      </c>
      <c r="Z578" t="n">
        <v>397</v>
      </c>
      <c r="AA578" t="n">
        <v>397</v>
      </c>
      <c r="AB578" t="n">
        <v>4</v>
      </c>
      <c r="AC578" t="n">
        <v>4</v>
      </c>
      <c r="AD578" t="n">
        <v>29</v>
      </c>
      <c r="AE578" t="n">
        <v>29</v>
      </c>
      <c r="AF578" t="n">
        <v>11</v>
      </c>
      <c r="AG578" t="n">
        <v>11</v>
      </c>
      <c r="AH578" t="n">
        <v>8</v>
      </c>
      <c r="AI578" t="n">
        <v>8</v>
      </c>
      <c r="AJ578" t="n">
        <v>15</v>
      </c>
      <c r="AK578" t="n">
        <v>15</v>
      </c>
      <c r="AL578" t="n">
        <v>3</v>
      </c>
      <c r="AM578" t="n">
        <v>3</v>
      </c>
      <c r="AN578" t="n">
        <v>1</v>
      </c>
      <c r="AO578" t="n">
        <v>1</v>
      </c>
      <c r="AP578" t="inlineStr">
        <is>
          <t>No</t>
        </is>
      </c>
      <c r="AQ578" t="inlineStr">
        <is>
          <t>No</t>
        </is>
      </c>
      <c r="AS578">
        <f>HYPERLINK("https://creighton-primo.hosted.exlibrisgroup.com/primo-explore/search?tab=default_tab&amp;search_scope=EVERYTHING&amp;vid=01CRU&amp;lang=en_US&amp;offset=0&amp;query=any,contains,991003307759702656","Catalog Record")</f>
        <v/>
      </c>
      <c r="AT578">
        <f>HYPERLINK("http://www.worldcat.org/oclc/42955407","WorldCat Record")</f>
        <v/>
      </c>
      <c r="AU578" t="inlineStr">
        <is>
          <t>5613693264:eng</t>
        </is>
      </c>
      <c r="AV578" t="inlineStr">
        <is>
          <t>42955407</t>
        </is>
      </c>
      <c r="AW578" t="inlineStr">
        <is>
          <t>991003307759702656</t>
        </is>
      </c>
      <c r="AX578" t="inlineStr">
        <is>
          <t>991003307759702656</t>
        </is>
      </c>
      <c r="AY578" t="inlineStr">
        <is>
          <t>2267994980002656</t>
        </is>
      </c>
      <c r="AZ578" t="inlineStr">
        <is>
          <t>BOOK</t>
        </is>
      </c>
      <c r="BB578" t="inlineStr">
        <is>
          <t>9780300078220</t>
        </is>
      </c>
      <c r="BC578" t="inlineStr">
        <is>
          <t>32285003768412</t>
        </is>
      </c>
      <c r="BD578" t="inlineStr">
        <is>
          <t>893904325</t>
        </is>
      </c>
    </row>
    <row r="579">
      <c r="A579" t="inlineStr">
        <is>
          <t>No</t>
        </is>
      </c>
      <c r="B579" t="inlineStr">
        <is>
          <t>DS140 .W57 2007</t>
        </is>
      </c>
      <c r="C579" t="inlineStr">
        <is>
          <t>0                      DS 0140000W  57          2007</t>
        </is>
      </c>
      <c r="D579" t="inlineStr">
        <is>
          <t>Jews and power / Ruth R. Wisse.</t>
        </is>
      </c>
      <c r="F579" t="inlineStr">
        <is>
          <t>No</t>
        </is>
      </c>
      <c r="G579" t="inlineStr">
        <is>
          <t>1</t>
        </is>
      </c>
      <c r="H579" t="inlineStr">
        <is>
          <t>No</t>
        </is>
      </c>
      <c r="I579" t="inlineStr">
        <is>
          <t>No</t>
        </is>
      </c>
      <c r="J579" t="inlineStr">
        <is>
          <t>0</t>
        </is>
      </c>
      <c r="K579" t="inlineStr">
        <is>
          <t>Wisse, Ruth R.</t>
        </is>
      </c>
      <c r="L579" t="inlineStr">
        <is>
          <t>New York : Nextbook : Schocken, c2007.</t>
        </is>
      </c>
      <c r="M579" t="inlineStr">
        <is>
          <t>2007</t>
        </is>
      </c>
      <c r="N579" t="inlineStr">
        <is>
          <t>1st ed.</t>
        </is>
      </c>
      <c r="O579" t="inlineStr">
        <is>
          <t>eng</t>
        </is>
      </c>
      <c r="P579" t="inlineStr">
        <is>
          <t>nyu</t>
        </is>
      </c>
      <c r="Q579" t="inlineStr">
        <is>
          <t>Jewish encounters</t>
        </is>
      </c>
      <c r="R579" t="inlineStr">
        <is>
          <t xml:space="preserve">DS </t>
        </is>
      </c>
      <c r="S579" t="n">
        <v>1</v>
      </c>
      <c r="T579" t="n">
        <v>1</v>
      </c>
      <c r="U579" t="inlineStr">
        <is>
          <t>2010-05-10</t>
        </is>
      </c>
      <c r="V579" t="inlineStr">
        <is>
          <t>2010-05-10</t>
        </is>
      </c>
      <c r="W579" t="inlineStr">
        <is>
          <t>2010-05-10</t>
        </is>
      </c>
      <c r="X579" t="inlineStr">
        <is>
          <t>2010-05-10</t>
        </is>
      </c>
      <c r="Y579" t="n">
        <v>529</v>
      </c>
      <c r="Z579" t="n">
        <v>486</v>
      </c>
      <c r="AA579" t="n">
        <v>511</v>
      </c>
      <c r="AB579" t="n">
        <v>2</v>
      </c>
      <c r="AC579" t="n">
        <v>2</v>
      </c>
      <c r="AD579" t="n">
        <v>22</v>
      </c>
      <c r="AE579" t="n">
        <v>22</v>
      </c>
      <c r="AF579" t="n">
        <v>9</v>
      </c>
      <c r="AG579" t="n">
        <v>9</v>
      </c>
      <c r="AH579" t="n">
        <v>6</v>
      </c>
      <c r="AI579" t="n">
        <v>6</v>
      </c>
      <c r="AJ579" t="n">
        <v>11</v>
      </c>
      <c r="AK579" t="n">
        <v>11</v>
      </c>
      <c r="AL579" t="n">
        <v>1</v>
      </c>
      <c r="AM579" t="n">
        <v>1</v>
      </c>
      <c r="AN579" t="n">
        <v>0</v>
      </c>
      <c r="AO579" t="n">
        <v>0</v>
      </c>
      <c r="AP579" t="inlineStr">
        <is>
          <t>No</t>
        </is>
      </c>
      <c r="AQ579" t="inlineStr">
        <is>
          <t>No</t>
        </is>
      </c>
      <c r="AS579">
        <f>HYPERLINK("https://creighton-primo.hosted.exlibrisgroup.com/primo-explore/search?tab=default_tab&amp;search_scope=EVERYTHING&amp;vid=01CRU&amp;lang=en_US&amp;offset=0&amp;query=any,contains,991005390519702656","Catalog Record")</f>
        <v/>
      </c>
      <c r="AT579">
        <f>HYPERLINK("http://www.worldcat.org/oclc/76820947","WorldCat Record")</f>
        <v/>
      </c>
      <c r="AU579" t="inlineStr">
        <is>
          <t>9380953587:eng</t>
        </is>
      </c>
      <c r="AV579" t="inlineStr">
        <is>
          <t>76820947</t>
        </is>
      </c>
      <c r="AW579" t="inlineStr">
        <is>
          <t>991005390519702656</t>
        </is>
      </c>
      <c r="AX579" t="inlineStr">
        <is>
          <t>991005390519702656</t>
        </is>
      </c>
      <c r="AY579" t="inlineStr">
        <is>
          <t>2269103860002656</t>
        </is>
      </c>
      <c r="AZ579" t="inlineStr">
        <is>
          <t>BOOK</t>
        </is>
      </c>
      <c r="BB579" t="inlineStr">
        <is>
          <t>9780805242249</t>
        </is>
      </c>
      <c r="BC579" t="inlineStr">
        <is>
          <t>32285005581334</t>
        </is>
      </c>
      <c r="BD579" t="inlineStr">
        <is>
          <t>893242676</t>
        </is>
      </c>
    </row>
    <row r="580">
      <c r="A580" t="inlineStr">
        <is>
          <t>No</t>
        </is>
      </c>
      <c r="B580" t="inlineStr">
        <is>
          <t>DS140.5 .S59 2004</t>
        </is>
      </c>
      <c r="C580" t="inlineStr">
        <is>
          <t>0                      DS 0140500S  59          2004</t>
        </is>
      </c>
      <c r="D580" t="inlineStr">
        <is>
          <t>The Jewish century / Yuri Slezkine.</t>
        </is>
      </c>
      <c r="F580" t="inlineStr">
        <is>
          <t>No</t>
        </is>
      </c>
      <c r="G580" t="inlineStr">
        <is>
          <t>1</t>
        </is>
      </c>
      <c r="H580" t="inlineStr">
        <is>
          <t>No</t>
        </is>
      </c>
      <c r="I580" t="inlineStr">
        <is>
          <t>No</t>
        </is>
      </c>
      <c r="J580" t="inlineStr">
        <is>
          <t>0</t>
        </is>
      </c>
      <c r="K580" t="inlineStr">
        <is>
          <t>Slezkine, Yuri, 1956-</t>
        </is>
      </c>
      <c r="L580" t="inlineStr">
        <is>
          <t>Princeton : Princeton University Press, c2004.</t>
        </is>
      </c>
      <c r="M580" t="inlineStr">
        <is>
          <t>2004</t>
        </is>
      </c>
      <c r="O580" t="inlineStr">
        <is>
          <t>eng</t>
        </is>
      </c>
      <c r="P580" t="inlineStr">
        <is>
          <t>nju</t>
        </is>
      </c>
      <c r="R580" t="inlineStr">
        <is>
          <t xml:space="preserve">DS </t>
        </is>
      </c>
      <c r="S580" t="n">
        <v>1</v>
      </c>
      <c r="T580" t="n">
        <v>1</v>
      </c>
      <c r="U580" t="inlineStr">
        <is>
          <t>2010-10-12</t>
        </is>
      </c>
      <c r="V580" t="inlineStr">
        <is>
          <t>2010-10-12</t>
        </is>
      </c>
      <c r="W580" t="inlineStr">
        <is>
          <t>2010-10-12</t>
        </is>
      </c>
      <c r="X580" t="inlineStr">
        <is>
          <t>2010-10-12</t>
        </is>
      </c>
      <c r="Y580" t="n">
        <v>684</v>
      </c>
      <c r="Z580" t="n">
        <v>553</v>
      </c>
      <c r="AA580" t="n">
        <v>782</v>
      </c>
      <c r="AB580" t="n">
        <v>4</v>
      </c>
      <c r="AC580" t="n">
        <v>5</v>
      </c>
      <c r="AD580" t="n">
        <v>27</v>
      </c>
      <c r="AE580" t="n">
        <v>38</v>
      </c>
      <c r="AF580" t="n">
        <v>12</v>
      </c>
      <c r="AG580" t="n">
        <v>19</v>
      </c>
      <c r="AH580" t="n">
        <v>7</v>
      </c>
      <c r="AI580" t="n">
        <v>10</v>
      </c>
      <c r="AJ580" t="n">
        <v>12</v>
      </c>
      <c r="AK580" t="n">
        <v>16</v>
      </c>
      <c r="AL580" t="n">
        <v>3</v>
      </c>
      <c r="AM580" t="n">
        <v>4</v>
      </c>
      <c r="AN580" t="n">
        <v>0</v>
      </c>
      <c r="AO580" t="n">
        <v>0</v>
      </c>
      <c r="AP580" t="inlineStr">
        <is>
          <t>No</t>
        </is>
      </c>
      <c r="AQ580" t="inlineStr">
        <is>
          <t>No</t>
        </is>
      </c>
      <c r="AS580">
        <f>HYPERLINK("https://creighton-primo.hosted.exlibrisgroup.com/primo-explore/search?tab=default_tab&amp;search_scope=EVERYTHING&amp;vid=01CRU&amp;lang=en_US&amp;offset=0&amp;query=any,contains,991000177409702656","Catalog Record")</f>
        <v/>
      </c>
      <c r="AT580">
        <f>HYPERLINK("http://www.worldcat.org/oclc/54066336","WorldCat Record")</f>
        <v/>
      </c>
      <c r="AU580" t="inlineStr">
        <is>
          <t>1035173:eng</t>
        </is>
      </c>
      <c r="AV580" t="inlineStr">
        <is>
          <t>54066336</t>
        </is>
      </c>
      <c r="AW580" t="inlineStr">
        <is>
          <t>991000177409702656</t>
        </is>
      </c>
      <c r="AX580" t="inlineStr">
        <is>
          <t>991000177409702656</t>
        </is>
      </c>
      <c r="AY580" t="inlineStr">
        <is>
          <t>2268227340002656</t>
        </is>
      </c>
      <c r="AZ580" t="inlineStr">
        <is>
          <t>BOOK</t>
        </is>
      </c>
      <c r="BB580" t="inlineStr">
        <is>
          <t>9780691119953</t>
        </is>
      </c>
      <c r="BC580" t="inlineStr">
        <is>
          <t>32285005600860</t>
        </is>
      </c>
      <c r="BD580" t="inlineStr">
        <is>
          <t>893527873</t>
        </is>
      </c>
    </row>
    <row r="581">
      <c r="A581" t="inlineStr">
        <is>
          <t>No</t>
        </is>
      </c>
      <c r="B581" t="inlineStr">
        <is>
          <t>DS141 .S65 1951</t>
        </is>
      </c>
      <c r="C581" t="inlineStr">
        <is>
          <t>0                      DS 0141000S  65          1951</t>
        </is>
      </c>
      <c r="D581" t="inlineStr">
        <is>
          <t>The Jews and modern capitalism; translated by M. Epstein, with an introd. to the American ed. by Bert F. Hoselitz.</t>
        </is>
      </c>
      <c r="F581" t="inlineStr">
        <is>
          <t>No</t>
        </is>
      </c>
      <c r="G581" t="inlineStr">
        <is>
          <t>1</t>
        </is>
      </c>
      <c r="H581" t="inlineStr">
        <is>
          <t>No</t>
        </is>
      </c>
      <c r="I581" t="inlineStr">
        <is>
          <t>No</t>
        </is>
      </c>
      <c r="J581" t="inlineStr">
        <is>
          <t>0</t>
        </is>
      </c>
      <c r="K581" t="inlineStr">
        <is>
          <t>Sombart, Werner, 1863-1941.</t>
        </is>
      </c>
      <c r="L581" t="inlineStr">
        <is>
          <t>Glencoe, Ill., Free Press [1951]</t>
        </is>
      </c>
      <c r="M581" t="inlineStr">
        <is>
          <t>1951</t>
        </is>
      </c>
      <c r="O581" t="inlineStr">
        <is>
          <t>eng</t>
        </is>
      </c>
      <c r="P581" t="inlineStr">
        <is>
          <t>ilu</t>
        </is>
      </c>
      <c r="R581" t="inlineStr">
        <is>
          <t xml:space="preserve">DS </t>
        </is>
      </c>
      <c r="S581" t="n">
        <v>5</v>
      </c>
      <c r="T581" t="n">
        <v>5</v>
      </c>
      <c r="U581" t="inlineStr">
        <is>
          <t>2004-03-23</t>
        </is>
      </c>
      <c r="V581" t="inlineStr">
        <is>
          <t>2004-03-23</t>
        </is>
      </c>
      <c r="W581" t="inlineStr">
        <is>
          <t>1997-02-27</t>
        </is>
      </c>
      <c r="X581" t="inlineStr">
        <is>
          <t>1997-02-27</t>
        </is>
      </c>
      <c r="Y581" t="n">
        <v>367</v>
      </c>
      <c r="Z581" t="n">
        <v>323</v>
      </c>
      <c r="AA581" t="n">
        <v>903</v>
      </c>
      <c r="AB581" t="n">
        <v>4</v>
      </c>
      <c r="AC581" t="n">
        <v>8</v>
      </c>
      <c r="AD581" t="n">
        <v>22</v>
      </c>
      <c r="AE581" t="n">
        <v>46</v>
      </c>
      <c r="AF581" t="n">
        <v>7</v>
      </c>
      <c r="AG581" t="n">
        <v>19</v>
      </c>
      <c r="AH581" t="n">
        <v>3</v>
      </c>
      <c r="AI581" t="n">
        <v>9</v>
      </c>
      <c r="AJ581" t="n">
        <v>16</v>
      </c>
      <c r="AK581" t="n">
        <v>20</v>
      </c>
      <c r="AL581" t="n">
        <v>3</v>
      </c>
      <c r="AM581" t="n">
        <v>7</v>
      </c>
      <c r="AN581" t="n">
        <v>0</v>
      </c>
      <c r="AO581" t="n">
        <v>1</v>
      </c>
      <c r="AP581" t="inlineStr">
        <is>
          <t>Yes</t>
        </is>
      </c>
      <c r="AQ581" t="inlineStr">
        <is>
          <t>No</t>
        </is>
      </c>
      <c r="AR581">
        <f>HYPERLINK("http://catalog.hathitrust.org/Record/004409755","HathiTrust Record")</f>
        <v/>
      </c>
      <c r="AS581">
        <f>HYPERLINK("https://creighton-primo.hosted.exlibrisgroup.com/primo-explore/search?tab=default_tab&amp;search_scope=EVERYTHING&amp;vid=01CRU&amp;lang=en_US&amp;offset=0&amp;query=any,contains,991003800329702656","Catalog Record")</f>
        <v/>
      </c>
      <c r="AT581">
        <f>HYPERLINK("http://www.worldcat.org/oclc/1527069","WorldCat Record")</f>
        <v/>
      </c>
      <c r="AU581" t="inlineStr">
        <is>
          <t>1011109376:eng</t>
        </is>
      </c>
      <c r="AV581" t="inlineStr">
        <is>
          <t>1527069</t>
        </is>
      </c>
      <c r="AW581" t="inlineStr">
        <is>
          <t>991003800329702656</t>
        </is>
      </c>
      <c r="AX581" t="inlineStr">
        <is>
          <t>991003800329702656</t>
        </is>
      </c>
      <c r="AY581" t="inlineStr">
        <is>
          <t>2257997280002656</t>
        </is>
      </c>
      <c r="AZ581" t="inlineStr">
        <is>
          <t>BOOK</t>
        </is>
      </c>
      <c r="BC581" t="inlineStr">
        <is>
          <t>32285002463486</t>
        </is>
      </c>
      <c r="BD581" t="inlineStr">
        <is>
          <t>893252800</t>
        </is>
      </c>
    </row>
    <row r="582">
      <c r="A582" t="inlineStr">
        <is>
          <t>No</t>
        </is>
      </c>
      <c r="B582" t="inlineStr">
        <is>
          <t>DS143 .B8 1996</t>
        </is>
      </c>
      <c r="C582" t="inlineStr">
        <is>
          <t>0                      DS 0143000B  8           1996</t>
        </is>
      </c>
      <c r="D582" t="inlineStr">
        <is>
          <t>Thinking in Jewish / Jonathan Boyarin.</t>
        </is>
      </c>
      <c r="F582" t="inlineStr">
        <is>
          <t>No</t>
        </is>
      </c>
      <c r="G582" t="inlineStr">
        <is>
          <t>1</t>
        </is>
      </c>
      <c r="H582" t="inlineStr">
        <is>
          <t>No</t>
        </is>
      </c>
      <c r="I582" t="inlineStr">
        <is>
          <t>No</t>
        </is>
      </c>
      <c r="J582" t="inlineStr">
        <is>
          <t>0</t>
        </is>
      </c>
      <c r="K582" t="inlineStr">
        <is>
          <t>Boyarin, Jonathan.</t>
        </is>
      </c>
      <c r="L582" t="inlineStr">
        <is>
          <t>Chicago : University of Chicago Press, c1996.</t>
        </is>
      </c>
      <c r="M582" t="inlineStr">
        <is>
          <t>1996</t>
        </is>
      </c>
      <c r="O582" t="inlineStr">
        <is>
          <t>eng</t>
        </is>
      </c>
      <c r="P582" t="inlineStr">
        <is>
          <t>ilu</t>
        </is>
      </c>
      <c r="R582" t="inlineStr">
        <is>
          <t xml:space="preserve">DS </t>
        </is>
      </c>
      <c r="S582" t="n">
        <v>2</v>
      </c>
      <c r="T582" t="n">
        <v>2</v>
      </c>
      <c r="U582" t="inlineStr">
        <is>
          <t>2002-04-14</t>
        </is>
      </c>
      <c r="V582" t="inlineStr">
        <is>
          <t>2002-04-14</t>
        </is>
      </c>
      <c r="W582" t="inlineStr">
        <is>
          <t>1996-08-14</t>
        </is>
      </c>
      <c r="X582" t="inlineStr">
        <is>
          <t>1996-08-14</t>
        </is>
      </c>
      <c r="Y582" t="n">
        <v>317</v>
      </c>
      <c r="Z582" t="n">
        <v>258</v>
      </c>
      <c r="AA582" t="n">
        <v>258</v>
      </c>
      <c r="AB582" t="n">
        <v>3</v>
      </c>
      <c r="AC582" t="n">
        <v>3</v>
      </c>
      <c r="AD582" t="n">
        <v>16</v>
      </c>
      <c r="AE582" t="n">
        <v>16</v>
      </c>
      <c r="AF582" t="n">
        <v>4</v>
      </c>
      <c r="AG582" t="n">
        <v>4</v>
      </c>
      <c r="AH582" t="n">
        <v>5</v>
      </c>
      <c r="AI582" t="n">
        <v>5</v>
      </c>
      <c r="AJ582" t="n">
        <v>9</v>
      </c>
      <c r="AK582" t="n">
        <v>9</v>
      </c>
      <c r="AL582" t="n">
        <v>2</v>
      </c>
      <c r="AM582" t="n">
        <v>2</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HYPERLINK("https://creighton-primo.hosted.exlibrisgroup.com/primo-explore/search?tab=default_tab&amp;search_scope=EVERYTHING&amp;vid=01CRU&amp;lang=en_US&amp;offset=0&amp;query=any,contains,991002582419702656","Catalog Record")</f>
        <v/>
      </c>
      <c r="AT582">
        <f>HYPERLINK("http://www.worldcat.org/oclc/33861919","WorldCat Record")</f>
        <v/>
      </c>
      <c r="AU582" t="inlineStr">
        <is>
          <t>38805538:eng</t>
        </is>
      </c>
      <c r="AV582" t="inlineStr">
        <is>
          <t>33861919</t>
        </is>
      </c>
      <c r="AW582" t="inlineStr">
        <is>
          <t>991002582419702656</t>
        </is>
      </c>
      <c r="AX582" t="inlineStr">
        <is>
          <t>991002582419702656</t>
        </is>
      </c>
      <c r="AY582" t="inlineStr">
        <is>
          <t>2268837550002656</t>
        </is>
      </c>
      <c r="AZ582" t="inlineStr">
        <is>
          <t>BOOK</t>
        </is>
      </c>
      <c r="BB582" t="inlineStr">
        <is>
          <t>9780226069265</t>
        </is>
      </c>
      <c r="BC582" t="inlineStr">
        <is>
          <t>32285002290210</t>
        </is>
      </c>
      <c r="BD582" t="inlineStr">
        <is>
          <t>893504567</t>
        </is>
      </c>
    </row>
    <row r="583">
      <c r="A583" t="inlineStr">
        <is>
          <t>No</t>
        </is>
      </c>
      <c r="B583" t="inlineStr">
        <is>
          <t>DS143 .H34 1989</t>
        </is>
      </c>
      <c r="C583" t="inlineStr">
        <is>
          <t>0                      DS 0143000H  34          1989</t>
        </is>
      </c>
      <c r="D583" t="inlineStr">
        <is>
          <t>Jewish identity : a social psychological perspective / Simon N. Herman ; with a foreword by Herbert C. Kelman and a new introduction by the author.</t>
        </is>
      </c>
      <c r="F583" t="inlineStr">
        <is>
          <t>No</t>
        </is>
      </c>
      <c r="G583" t="inlineStr">
        <is>
          <t>1</t>
        </is>
      </c>
      <c r="H583" t="inlineStr">
        <is>
          <t>No</t>
        </is>
      </c>
      <c r="I583" t="inlineStr">
        <is>
          <t>No</t>
        </is>
      </c>
      <c r="J583" t="inlineStr">
        <is>
          <t>0</t>
        </is>
      </c>
      <c r="K583" t="inlineStr">
        <is>
          <t>Herman, Simon N., 1912-</t>
        </is>
      </c>
      <c r="L583" t="inlineStr">
        <is>
          <t>New Brunswick, N.J., U.S.A. : Transaction Pub., c1989.</t>
        </is>
      </c>
      <c r="M583" t="inlineStr">
        <is>
          <t>1989</t>
        </is>
      </c>
      <c r="N583" t="inlineStr">
        <is>
          <t>2nd ed.</t>
        </is>
      </c>
      <c r="O583" t="inlineStr">
        <is>
          <t>eng</t>
        </is>
      </c>
      <c r="P583" t="inlineStr">
        <is>
          <t>nju</t>
        </is>
      </c>
      <c r="R583" t="inlineStr">
        <is>
          <t xml:space="preserve">DS </t>
        </is>
      </c>
      <c r="S583" t="n">
        <v>3</v>
      </c>
      <c r="T583" t="n">
        <v>3</v>
      </c>
      <c r="U583" t="inlineStr">
        <is>
          <t>2003-04-16</t>
        </is>
      </c>
      <c r="V583" t="inlineStr">
        <is>
          <t>2003-04-16</t>
        </is>
      </c>
      <c r="W583" t="inlineStr">
        <is>
          <t>1990-01-16</t>
        </is>
      </c>
      <c r="X583" t="inlineStr">
        <is>
          <t>1990-01-16</t>
        </is>
      </c>
      <c r="Y583" t="n">
        <v>193</v>
      </c>
      <c r="Z583" t="n">
        <v>163</v>
      </c>
      <c r="AA583" t="n">
        <v>350</v>
      </c>
      <c r="AB583" t="n">
        <v>3</v>
      </c>
      <c r="AC583" t="n">
        <v>3</v>
      </c>
      <c r="AD583" t="n">
        <v>9</v>
      </c>
      <c r="AE583" t="n">
        <v>17</v>
      </c>
      <c r="AF583" t="n">
        <v>2</v>
      </c>
      <c r="AG583" t="n">
        <v>4</v>
      </c>
      <c r="AH583" t="n">
        <v>2</v>
      </c>
      <c r="AI583" t="n">
        <v>3</v>
      </c>
      <c r="AJ583" t="n">
        <v>5</v>
      </c>
      <c r="AK583" t="n">
        <v>11</v>
      </c>
      <c r="AL583" t="n">
        <v>2</v>
      </c>
      <c r="AM583" t="n">
        <v>2</v>
      </c>
      <c r="AN583" t="n">
        <v>0</v>
      </c>
      <c r="AO583" t="n">
        <v>0</v>
      </c>
      <c r="AP583" t="inlineStr">
        <is>
          <t>No</t>
        </is>
      </c>
      <c r="AQ583" t="inlineStr">
        <is>
          <t>No</t>
        </is>
      </c>
      <c r="AS583">
        <f>HYPERLINK("https://creighton-primo.hosted.exlibrisgroup.com/primo-explore/search?tab=default_tab&amp;search_scope=EVERYTHING&amp;vid=01CRU&amp;lang=en_US&amp;offset=0&amp;query=any,contains,991001339959702656","Catalog Record")</f>
        <v/>
      </c>
      <c r="AT583">
        <f>HYPERLINK("http://www.worldcat.org/oclc/18381246","WorldCat Record")</f>
        <v/>
      </c>
      <c r="AU583" t="inlineStr">
        <is>
          <t>6701711:eng</t>
        </is>
      </c>
      <c r="AV583" t="inlineStr">
        <is>
          <t>18381246</t>
        </is>
      </c>
      <c r="AW583" t="inlineStr">
        <is>
          <t>991001339959702656</t>
        </is>
      </c>
      <c r="AX583" t="inlineStr">
        <is>
          <t>991001339959702656</t>
        </is>
      </c>
      <c r="AY583" t="inlineStr">
        <is>
          <t>2258556570002656</t>
        </is>
      </c>
      <c r="AZ583" t="inlineStr">
        <is>
          <t>BOOK</t>
        </is>
      </c>
      <c r="BB583" t="inlineStr">
        <is>
          <t>9780887382567</t>
        </is>
      </c>
      <c r="BC583" t="inlineStr">
        <is>
          <t>32285000028539</t>
        </is>
      </c>
      <c r="BD583" t="inlineStr">
        <is>
          <t>893702942</t>
        </is>
      </c>
    </row>
    <row r="584">
      <c r="A584" t="inlineStr">
        <is>
          <t>No</t>
        </is>
      </c>
      <c r="B584" t="inlineStr">
        <is>
          <t>DS143 .L5</t>
        </is>
      </c>
      <c r="C584" t="inlineStr">
        <is>
          <t>0                      DS 0143000L  5</t>
        </is>
      </c>
      <c r="D584" t="inlineStr">
        <is>
          <t>What price Israel.</t>
        </is>
      </c>
      <c r="F584" t="inlineStr">
        <is>
          <t>No</t>
        </is>
      </c>
      <c r="G584" t="inlineStr">
        <is>
          <t>1</t>
        </is>
      </c>
      <c r="H584" t="inlineStr">
        <is>
          <t>No</t>
        </is>
      </c>
      <c r="I584" t="inlineStr">
        <is>
          <t>No</t>
        </is>
      </c>
      <c r="J584" t="inlineStr">
        <is>
          <t>0</t>
        </is>
      </c>
      <c r="K584" t="inlineStr">
        <is>
          <t>Lilienthal, Alfred M.</t>
        </is>
      </c>
      <c r="L584" t="inlineStr">
        <is>
          <t>Chicago, H. Regnery Co., 1953.</t>
        </is>
      </c>
      <c r="M584" t="inlineStr">
        <is>
          <t>1953</t>
        </is>
      </c>
      <c r="O584" t="inlineStr">
        <is>
          <t>eng</t>
        </is>
      </c>
      <c r="P584" t="inlineStr">
        <is>
          <t>ilu</t>
        </is>
      </c>
      <c r="R584" t="inlineStr">
        <is>
          <t xml:space="preserve">DS </t>
        </is>
      </c>
      <c r="S584" t="n">
        <v>2</v>
      </c>
      <c r="T584" t="n">
        <v>2</v>
      </c>
      <c r="U584" t="inlineStr">
        <is>
          <t>2002-07-26</t>
        </is>
      </c>
      <c r="V584" t="inlineStr">
        <is>
          <t>2002-07-26</t>
        </is>
      </c>
      <c r="W584" t="inlineStr">
        <is>
          <t>1997-02-27</t>
        </is>
      </c>
      <c r="X584" t="inlineStr">
        <is>
          <t>1997-02-27</t>
        </is>
      </c>
      <c r="Y584" t="n">
        <v>704</v>
      </c>
      <c r="Z584" t="n">
        <v>628</v>
      </c>
      <c r="AA584" t="n">
        <v>669</v>
      </c>
      <c r="AB584" t="n">
        <v>10</v>
      </c>
      <c r="AC584" t="n">
        <v>10</v>
      </c>
      <c r="AD584" t="n">
        <v>35</v>
      </c>
      <c r="AE584" t="n">
        <v>35</v>
      </c>
      <c r="AF584" t="n">
        <v>14</v>
      </c>
      <c r="AG584" t="n">
        <v>14</v>
      </c>
      <c r="AH584" t="n">
        <v>5</v>
      </c>
      <c r="AI584" t="n">
        <v>5</v>
      </c>
      <c r="AJ584" t="n">
        <v>16</v>
      </c>
      <c r="AK584" t="n">
        <v>16</v>
      </c>
      <c r="AL584" t="n">
        <v>6</v>
      </c>
      <c r="AM584" t="n">
        <v>6</v>
      </c>
      <c r="AN584" t="n">
        <v>1</v>
      </c>
      <c r="AO584" t="n">
        <v>1</v>
      </c>
      <c r="AP584" t="inlineStr">
        <is>
          <t>No</t>
        </is>
      </c>
      <c r="AQ584" t="inlineStr">
        <is>
          <t>Yes</t>
        </is>
      </c>
      <c r="AR584">
        <f>HYPERLINK("http://catalog.hathitrust.org/Record/001247628","HathiTrust Record")</f>
        <v/>
      </c>
      <c r="AS584">
        <f>HYPERLINK("https://creighton-primo.hosted.exlibrisgroup.com/primo-explore/search?tab=default_tab&amp;search_scope=EVERYTHING&amp;vid=01CRU&amp;lang=en_US&amp;offset=0&amp;query=any,contains,991001914519702656","Catalog Record")</f>
        <v/>
      </c>
      <c r="AT584">
        <f>HYPERLINK("http://www.worldcat.org/oclc/243372","WorldCat Record")</f>
        <v/>
      </c>
      <c r="AU584" t="inlineStr">
        <is>
          <t>1392629:eng</t>
        </is>
      </c>
      <c r="AV584" t="inlineStr">
        <is>
          <t>243372</t>
        </is>
      </c>
      <c r="AW584" t="inlineStr">
        <is>
          <t>991001914519702656</t>
        </is>
      </c>
      <c r="AX584" t="inlineStr">
        <is>
          <t>991001914519702656</t>
        </is>
      </c>
      <c r="AY584" t="inlineStr">
        <is>
          <t>2270460060002656</t>
        </is>
      </c>
      <c r="AZ584" t="inlineStr">
        <is>
          <t>BOOK</t>
        </is>
      </c>
      <c r="BC584" t="inlineStr">
        <is>
          <t>32285002463528</t>
        </is>
      </c>
      <c r="BD584" t="inlineStr">
        <is>
          <t>893334714</t>
        </is>
      </c>
    </row>
    <row r="585">
      <c r="A585" t="inlineStr">
        <is>
          <t>No</t>
        </is>
      </c>
      <c r="B585" t="inlineStr">
        <is>
          <t>DS143 .R374 2009</t>
        </is>
      </c>
      <c r="C585" t="inlineStr">
        <is>
          <t>0                      DS 0143000R  374         2009</t>
        </is>
      </c>
      <c r="D585" t="inlineStr">
        <is>
          <t>Religion or ethnicity?: Jewish identities in evolution / edited by Zvi Gitelman.</t>
        </is>
      </c>
      <c r="F585" t="inlineStr">
        <is>
          <t>No</t>
        </is>
      </c>
      <c r="G585" t="inlineStr">
        <is>
          <t>1</t>
        </is>
      </c>
      <c r="H585" t="inlineStr">
        <is>
          <t>No</t>
        </is>
      </c>
      <c r="I585" t="inlineStr">
        <is>
          <t>No</t>
        </is>
      </c>
      <c r="J585" t="inlineStr">
        <is>
          <t>0</t>
        </is>
      </c>
      <c r="L585" t="inlineStr">
        <is>
          <t>New Brunswick, N.J. : Rutgers University Press, c2009.</t>
        </is>
      </c>
      <c r="M585" t="inlineStr">
        <is>
          <t>2009</t>
        </is>
      </c>
      <c r="O585" t="inlineStr">
        <is>
          <t>eng</t>
        </is>
      </c>
      <c r="P585" t="inlineStr">
        <is>
          <t>nju</t>
        </is>
      </c>
      <c r="R585" t="inlineStr">
        <is>
          <t xml:space="preserve">DS </t>
        </is>
      </c>
      <c r="S585" t="n">
        <v>1</v>
      </c>
      <c r="T585" t="n">
        <v>1</v>
      </c>
      <c r="U585" t="inlineStr">
        <is>
          <t>2010-04-27</t>
        </is>
      </c>
      <c r="V585" t="inlineStr">
        <is>
          <t>2010-04-27</t>
        </is>
      </c>
      <c r="W585" t="inlineStr">
        <is>
          <t>2010-04-27</t>
        </is>
      </c>
      <c r="X585" t="inlineStr">
        <is>
          <t>2010-04-27</t>
        </is>
      </c>
      <c r="Y585" t="n">
        <v>344</v>
      </c>
      <c r="Z585" t="n">
        <v>289</v>
      </c>
      <c r="AA585" t="n">
        <v>291</v>
      </c>
      <c r="AB585" t="n">
        <v>3</v>
      </c>
      <c r="AC585" t="n">
        <v>3</v>
      </c>
      <c r="AD585" t="n">
        <v>15</v>
      </c>
      <c r="AE585" t="n">
        <v>15</v>
      </c>
      <c r="AF585" t="n">
        <v>6</v>
      </c>
      <c r="AG585" t="n">
        <v>6</v>
      </c>
      <c r="AH585" t="n">
        <v>3</v>
      </c>
      <c r="AI585" t="n">
        <v>3</v>
      </c>
      <c r="AJ585" t="n">
        <v>8</v>
      </c>
      <c r="AK585" t="n">
        <v>8</v>
      </c>
      <c r="AL585" t="n">
        <v>2</v>
      </c>
      <c r="AM585" t="n">
        <v>2</v>
      </c>
      <c r="AN585" t="n">
        <v>0</v>
      </c>
      <c r="AO585" t="n">
        <v>0</v>
      </c>
      <c r="AP585" t="inlineStr">
        <is>
          <t>No</t>
        </is>
      </c>
      <c r="AQ585" t="inlineStr">
        <is>
          <t>Yes</t>
        </is>
      </c>
      <c r="AR585">
        <f>HYPERLINK("http://catalog.hathitrust.org/Record/006820130","HathiTrust Record")</f>
        <v/>
      </c>
      <c r="AS585">
        <f>HYPERLINK("https://creighton-primo.hosted.exlibrisgroup.com/primo-explore/search?tab=default_tab&amp;search_scope=EVERYTHING&amp;vid=01CRU&amp;lang=en_US&amp;offset=0&amp;query=any,contains,991005388559702656","Catalog Record")</f>
        <v/>
      </c>
      <c r="AT585">
        <f>HYPERLINK("http://www.worldcat.org/oclc/223108144","WorldCat Record")</f>
        <v/>
      </c>
      <c r="AU585" t="inlineStr">
        <is>
          <t>793080627:eng</t>
        </is>
      </c>
      <c r="AV585" t="inlineStr">
        <is>
          <t>223108144</t>
        </is>
      </c>
      <c r="AW585" t="inlineStr">
        <is>
          <t>991005388559702656</t>
        </is>
      </c>
      <c r="AX585" t="inlineStr">
        <is>
          <t>991005388559702656</t>
        </is>
      </c>
      <c r="AY585" t="inlineStr">
        <is>
          <t>2267858100002656</t>
        </is>
      </c>
      <c r="AZ585" t="inlineStr">
        <is>
          <t>BOOK</t>
        </is>
      </c>
      <c r="BB585" t="inlineStr">
        <is>
          <t>9780813544502</t>
        </is>
      </c>
      <c r="BC585" t="inlineStr">
        <is>
          <t>32285005568018</t>
        </is>
      </c>
      <c r="BD585" t="inlineStr">
        <is>
          <t>893714016</t>
        </is>
      </c>
    </row>
    <row r="586">
      <c r="A586" t="inlineStr">
        <is>
          <t>No</t>
        </is>
      </c>
      <c r="B586" t="inlineStr">
        <is>
          <t>DS143 .S2313 2009</t>
        </is>
      </c>
      <c r="C586" t="inlineStr">
        <is>
          <t>0                      DS 0143000S  2313        2009</t>
        </is>
      </c>
      <c r="D586" t="inlineStr">
        <is>
          <t>The invention of the Jewish people / Shlomo Sand ; translated by Yael Lotan.</t>
        </is>
      </c>
      <c r="F586" t="inlineStr">
        <is>
          <t>No</t>
        </is>
      </c>
      <c r="G586" t="inlineStr">
        <is>
          <t>1</t>
        </is>
      </c>
      <c r="H586" t="inlineStr">
        <is>
          <t>No</t>
        </is>
      </c>
      <c r="I586" t="inlineStr">
        <is>
          <t>No</t>
        </is>
      </c>
      <c r="J586" t="inlineStr">
        <is>
          <t>0</t>
        </is>
      </c>
      <c r="K586" t="inlineStr">
        <is>
          <t>Sand, Shlomo.</t>
        </is>
      </c>
      <c r="L586" t="inlineStr">
        <is>
          <t>London ; New York : Verso, 2009.</t>
        </is>
      </c>
      <c r="M586" t="inlineStr">
        <is>
          <t>2009</t>
        </is>
      </c>
      <c r="N586" t="inlineStr">
        <is>
          <t>English ed.</t>
        </is>
      </c>
      <c r="O586" t="inlineStr">
        <is>
          <t>eng</t>
        </is>
      </c>
      <c r="P586" t="inlineStr">
        <is>
          <t>enk</t>
        </is>
      </c>
      <c r="R586" t="inlineStr">
        <is>
          <t xml:space="preserve">DS </t>
        </is>
      </c>
      <c r="S586" t="n">
        <v>2</v>
      </c>
      <c r="T586" t="n">
        <v>2</v>
      </c>
      <c r="U586" t="inlineStr">
        <is>
          <t>2010-05-25</t>
        </is>
      </c>
      <c r="V586" t="inlineStr">
        <is>
          <t>2010-05-25</t>
        </is>
      </c>
      <c r="W586" t="inlineStr">
        <is>
          <t>2010-02-16</t>
        </is>
      </c>
      <c r="X586" t="inlineStr">
        <is>
          <t>2010-02-16</t>
        </is>
      </c>
      <c r="Y586" t="n">
        <v>504</v>
      </c>
      <c r="Z586" t="n">
        <v>361</v>
      </c>
      <c r="AA586" t="n">
        <v>481</v>
      </c>
      <c r="AB586" t="n">
        <v>2</v>
      </c>
      <c r="AC586" t="n">
        <v>3</v>
      </c>
      <c r="AD586" t="n">
        <v>15</v>
      </c>
      <c r="AE586" t="n">
        <v>19</v>
      </c>
      <c r="AF586" t="n">
        <v>5</v>
      </c>
      <c r="AG586" t="n">
        <v>6</v>
      </c>
      <c r="AH586" t="n">
        <v>4</v>
      </c>
      <c r="AI586" t="n">
        <v>5</v>
      </c>
      <c r="AJ586" t="n">
        <v>8</v>
      </c>
      <c r="AK586" t="n">
        <v>10</v>
      </c>
      <c r="AL586" t="n">
        <v>1</v>
      </c>
      <c r="AM586" t="n">
        <v>2</v>
      </c>
      <c r="AN586" t="n">
        <v>0</v>
      </c>
      <c r="AO586" t="n">
        <v>0</v>
      </c>
      <c r="AP586" t="inlineStr">
        <is>
          <t>No</t>
        </is>
      </c>
      <c r="AQ586" t="inlineStr">
        <is>
          <t>No</t>
        </is>
      </c>
      <c r="AS586">
        <f>HYPERLINK("https://creighton-primo.hosted.exlibrisgroup.com/primo-explore/search?tab=default_tab&amp;search_scope=EVERYTHING&amp;vid=01CRU&amp;lang=en_US&amp;offset=0&amp;query=any,contains,991005361679702656","Catalog Record")</f>
        <v/>
      </c>
      <c r="AT586">
        <f>HYPERLINK("http://www.worldcat.org/oclc/317919518","WorldCat Record")</f>
        <v/>
      </c>
      <c r="AU586" t="inlineStr">
        <is>
          <t>3772356286:eng</t>
        </is>
      </c>
      <c r="AV586" t="inlineStr">
        <is>
          <t>317919518</t>
        </is>
      </c>
      <c r="AW586" t="inlineStr">
        <is>
          <t>991005361679702656</t>
        </is>
      </c>
      <c r="AX586" t="inlineStr">
        <is>
          <t>991005361679702656</t>
        </is>
      </c>
      <c r="AY586" t="inlineStr">
        <is>
          <t>2265129380002656</t>
        </is>
      </c>
      <c r="AZ586" t="inlineStr">
        <is>
          <t>BOOK</t>
        </is>
      </c>
      <c r="BB586" t="inlineStr">
        <is>
          <t>9781844674220</t>
        </is>
      </c>
      <c r="BC586" t="inlineStr">
        <is>
          <t>32285005574040</t>
        </is>
      </c>
      <c r="BD586" t="inlineStr">
        <is>
          <t>893351143</t>
        </is>
      </c>
    </row>
    <row r="587">
      <c r="A587" t="inlineStr">
        <is>
          <t>No</t>
        </is>
      </c>
      <c r="B587" t="inlineStr">
        <is>
          <t>DS145 .C464 2004</t>
        </is>
      </c>
      <c r="C587" t="inlineStr">
        <is>
          <t>0                      DS 0145000C  464         2004</t>
        </is>
      </c>
      <c r="D587" t="inlineStr">
        <is>
          <t>Antisemitism : a reference handbook / Jerome A. Chanes.</t>
        </is>
      </c>
      <c r="F587" t="inlineStr">
        <is>
          <t>No</t>
        </is>
      </c>
      <c r="G587" t="inlineStr">
        <is>
          <t>1</t>
        </is>
      </c>
      <c r="H587" t="inlineStr">
        <is>
          <t>No</t>
        </is>
      </c>
      <c r="I587" t="inlineStr">
        <is>
          <t>No</t>
        </is>
      </c>
      <c r="J587" t="inlineStr">
        <is>
          <t>0</t>
        </is>
      </c>
      <c r="K587" t="inlineStr">
        <is>
          <t>Chanes, Jerome A.</t>
        </is>
      </c>
      <c r="L587" t="inlineStr">
        <is>
          <t>Santa Barbara, Calif. : ABC-CLIO, c2004.</t>
        </is>
      </c>
      <c r="M587" t="inlineStr">
        <is>
          <t>2004</t>
        </is>
      </c>
      <c r="O587" t="inlineStr">
        <is>
          <t>eng</t>
        </is>
      </c>
      <c r="P587" t="inlineStr">
        <is>
          <t>cau</t>
        </is>
      </c>
      <c r="Q587" t="inlineStr">
        <is>
          <t>Contemporary world issues</t>
        </is>
      </c>
      <c r="R587" t="inlineStr">
        <is>
          <t xml:space="preserve">DS </t>
        </is>
      </c>
      <c r="S587" t="n">
        <v>2</v>
      </c>
      <c r="T587" t="n">
        <v>2</v>
      </c>
      <c r="U587" t="inlineStr">
        <is>
          <t>2005-01-13</t>
        </is>
      </c>
      <c r="V587" t="inlineStr">
        <is>
          <t>2005-01-13</t>
        </is>
      </c>
      <c r="W587" t="inlineStr">
        <is>
          <t>2005-01-13</t>
        </is>
      </c>
      <c r="X587" t="inlineStr">
        <is>
          <t>2005-01-13</t>
        </is>
      </c>
      <c r="Y587" t="n">
        <v>588</v>
      </c>
      <c r="Z587" t="n">
        <v>538</v>
      </c>
      <c r="AA587" t="n">
        <v>1030</v>
      </c>
      <c r="AB587" t="n">
        <v>4</v>
      </c>
      <c r="AC587" t="n">
        <v>5</v>
      </c>
      <c r="AD587" t="n">
        <v>25</v>
      </c>
      <c r="AE587" t="n">
        <v>32</v>
      </c>
      <c r="AF587" t="n">
        <v>15</v>
      </c>
      <c r="AG587" t="n">
        <v>19</v>
      </c>
      <c r="AH587" t="n">
        <v>5</v>
      </c>
      <c r="AI587" t="n">
        <v>7</v>
      </c>
      <c r="AJ587" t="n">
        <v>10</v>
      </c>
      <c r="AK587" t="n">
        <v>12</v>
      </c>
      <c r="AL587" t="n">
        <v>2</v>
      </c>
      <c r="AM587" t="n">
        <v>3</v>
      </c>
      <c r="AN587" t="n">
        <v>1</v>
      </c>
      <c r="AO587" t="n">
        <v>1</v>
      </c>
      <c r="AP587" t="inlineStr">
        <is>
          <t>No</t>
        </is>
      </c>
      <c r="AQ587" t="inlineStr">
        <is>
          <t>Yes</t>
        </is>
      </c>
      <c r="AR587">
        <f>HYPERLINK("http://catalog.hathitrust.org/Record/004925917","HathiTrust Record")</f>
        <v/>
      </c>
      <c r="AS587">
        <f>HYPERLINK("https://creighton-primo.hosted.exlibrisgroup.com/primo-explore/search?tab=default_tab&amp;search_scope=EVERYTHING&amp;vid=01CRU&amp;lang=en_US&amp;offset=0&amp;query=any,contains,991004453149702656","Catalog Record")</f>
        <v/>
      </c>
      <c r="AT587">
        <f>HYPERLINK("http://www.worldcat.org/oclc/56421972","WorldCat Record")</f>
        <v/>
      </c>
      <c r="AU587" t="inlineStr">
        <is>
          <t>792596034:eng</t>
        </is>
      </c>
      <c r="AV587" t="inlineStr">
        <is>
          <t>56421972</t>
        </is>
      </c>
      <c r="AW587" t="inlineStr">
        <is>
          <t>991004453149702656</t>
        </is>
      </c>
      <c r="AX587" t="inlineStr">
        <is>
          <t>991004453149702656</t>
        </is>
      </c>
      <c r="AY587" t="inlineStr">
        <is>
          <t>2258498360002656</t>
        </is>
      </c>
      <c r="AZ587" t="inlineStr">
        <is>
          <t>BOOK</t>
        </is>
      </c>
      <c r="BB587" t="inlineStr">
        <is>
          <t>9781576072097</t>
        </is>
      </c>
      <c r="BC587" t="inlineStr">
        <is>
          <t>32285005020945</t>
        </is>
      </c>
      <c r="BD587" t="inlineStr">
        <is>
          <t>893263278</t>
        </is>
      </c>
    </row>
    <row r="588">
      <c r="A588" t="inlineStr">
        <is>
          <t>No</t>
        </is>
      </c>
      <c r="B588" t="inlineStr">
        <is>
          <t>DS145 .C5 2003</t>
        </is>
      </c>
      <c r="C588" t="inlineStr">
        <is>
          <t>0                      DS 0145000C  5           2003</t>
        </is>
      </c>
      <c r="D588" t="inlineStr">
        <is>
          <t>The new anti-semitism : the current crisis and what we must do about it / Phyllis Chesler.</t>
        </is>
      </c>
      <c r="F588" t="inlineStr">
        <is>
          <t>No</t>
        </is>
      </c>
      <c r="G588" t="inlineStr">
        <is>
          <t>1</t>
        </is>
      </c>
      <c r="H588" t="inlineStr">
        <is>
          <t>No</t>
        </is>
      </c>
      <c r="I588" t="inlineStr">
        <is>
          <t>No</t>
        </is>
      </c>
      <c r="J588" t="inlineStr">
        <is>
          <t>0</t>
        </is>
      </c>
      <c r="K588" t="inlineStr">
        <is>
          <t>Chesler, Phyllis.</t>
        </is>
      </c>
      <c r="L588" t="inlineStr">
        <is>
          <t>San Francisco : Jossey-Bass, c2003.</t>
        </is>
      </c>
      <c r="M588" t="inlineStr">
        <is>
          <t>2003</t>
        </is>
      </c>
      <c r="N588" t="inlineStr">
        <is>
          <t>1st ed.</t>
        </is>
      </c>
      <c r="O588" t="inlineStr">
        <is>
          <t>eng</t>
        </is>
      </c>
      <c r="P588" t="inlineStr">
        <is>
          <t>cau</t>
        </is>
      </c>
      <c r="R588" t="inlineStr">
        <is>
          <t xml:space="preserve">DS </t>
        </is>
      </c>
      <c r="S588" t="n">
        <v>1</v>
      </c>
      <c r="T588" t="n">
        <v>1</v>
      </c>
      <c r="U588" t="inlineStr">
        <is>
          <t>2003-11-03</t>
        </is>
      </c>
      <c r="V588" t="inlineStr">
        <is>
          <t>2003-11-03</t>
        </is>
      </c>
      <c r="W588" t="inlineStr">
        <is>
          <t>2003-10-02</t>
        </is>
      </c>
      <c r="X588" t="inlineStr">
        <is>
          <t>2003-10-02</t>
        </is>
      </c>
      <c r="Y588" t="n">
        <v>604</v>
      </c>
      <c r="Z588" t="n">
        <v>519</v>
      </c>
      <c r="AA588" t="n">
        <v>584</v>
      </c>
      <c r="AB588" t="n">
        <v>5</v>
      </c>
      <c r="AC588" t="n">
        <v>5</v>
      </c>
      <c r="AD588" t="n">
        <v>19</v>
      </c>
      <c r="AE588" t="n">
        <v>20</v>
      </c>
      <c r="AF588" t="n">
        <v>6</v>
      </c>
      <c r="AG588" t="n">
        <v>6</v>
      </c>
      <c r="AH588" t="n">
        <v>5</v>
      </c>
      <c r="AI588" t="n">
        <v>5</v>
      </c>
      <c r="AJ588" t="n">
        <v>8</v>
      </c>
      <c r="AK588" t="n">
        <v>9</v>
      </c>
      <c r="AL588" t="n">
        <v>3</v>
      </c>
      <c r="AM588" t="n">
        <v>3</v>
      </c>
      <c r="AN588" t="n">
        <v>1</v>
      </c>
      <c r="AO588" t="n">
        <v>1</v>
      </c>
      <c r="AP588" t="inlineStr">
        <is>
          <t>No</t>
        </is>
      </c>
      <c r="AQ588" t="inlineStr">
        <is>
          <t>Yes</t>
        </is>
      </c>
      <c r="AR588">
        <f>HYPERLINK("http://catalog.hathitrust.org/Record/004335217","HathiTrust Record")</f>
        <v/>
      </c>
      <c r="AS588">
        <f>HYPERLINK("https://creighton-primo.hosted.exlibrisgroup.com/primo-explore/search?tab=default_tab&amp;search_scope=EVERYTHING&amp;vid=01CRU&amp;lang=en_US&amp;offset=0&amp;query=any,contains,991004149449702656","Catalog Record")</f>
        <v/>
      </c>
      <c r="AT588">
        <f>HYPERLINK("http://www.worldcat.org/oclc/51898707","WorldCat Record")</f>
        <v/>
      </c>
      <c r="AU588" t="inlineStr">
        <is>
          <t>48184441:eng</t>
        </is>
      </c>
      <c r="AV588" t="inlineStr">
        <is>
          <t>51898707</t>
        </is>
      </c>
      <c r="AW588" t="inlineStr">
        <is>
          <t>991004149449702656</t>
        </is>
      </c>
      <c r="AX588" t="inlineStr">
        <is>
          <t>991004149449702656</t>
        </is>
      </c>
      <c r="AY588" t="inlineStr">
        <is>
          <t>2259229120002656</t>
        </is>
      </c>
      <c r="AZ588" t="inlineStr">
        <is>
          <t>BOOK</t>
        </is>
      </c>
      <c r="BB588" t="inlineStr">
        <is>
          <t>9780787968519</t>
        </is>
      </c>
      <c r="BC588" t="inlineStr">
        <is>
          <t>32285004792544</t>
        </is>
      </c>
      <c r="BD588" t="inlineStr">
        <is>
          <t>893618305</t>
        </is>
      </c>
    </row>
    <row r="589">
      <c r="A589" t="inlineStr">
        <is>
          <t>No</t>
        </is>
      </c>
      <c r="B589" t="inlineStr">
        <is>
          <t>DS145 .C573 1982</t>
        </is>
      </c>
      <c r="C589" t="inlineStr">
        <is>
          <t>0                      DS 0145000C  573         1982</t>
        </is>
      </c>
      <c r="D589" t="inlineStr">
        <is>
          <t>The friars and the Jews : the evolution of medieval anti-Judaism / Jeremy Cohen.</t>
        </is>
      </c>
      <c r="F589" t="inlineStr">
        <is>
          <t>No</t>
        </is>
      </c>
      <c r="G589" t="inlineStr">
        <is>
          <t>1</t>
        </is>
      </c>
      <c r="H589" t="inlineStr">
        <is>
          <t>No</t>
        </is>
      </c>
      <c r="I589" t="inlineStr">
        <is>
          <t>No</t>
        </is>
      </c>
      <c r="J589" t="inlineStr">
        <is>
          <t>0</t>
        </is>
      </c>
      <c r="K589" t="inlineStr">
        <is>
          <t>Cohen, Jeremy, 1953-</t>
        </is>
      </c>
      <c r="L589" t="inlineStr">
        <is>
          <t>Ithaca : Cornell University Press, 1982.</t>
        </is>
      </c>
      <c r="M589" t="inlineStr">
        <is>
          <t>1982</t>
        </is>
      </c>
      <c r="O589" t="inlineStr">
        <is>
          <t>eng</t>
        </is>
      </c>
      <c r="P589" t="inlineStr">
        <is>
          <t>nyu</t>
        </is>
      </c>
      <c r="R589" t="inlineStr">
        <is>
          <t xml:space="preserve">DS </t>
        </is>
      </c>
      <c r="S589" t="n">
        <v>2</v>
      </c>
      <c r="T589" t="n">
        <v>2</v>
      </c>
      <c r="U589" t="inlineStr">
        <is>
          <t>1994-02-07</t>
        </is>
      </c>
      <c r="V589" t="inlineStr">
        <is>
          <t>1994-02-07</t>
        </is>
      </c>
      <c r="W589" t="inlineStr">
        <is>
          <t>1990-10-03</t>
        </is>
      </c>
      <c r="X589" t="inlineStr">
        <is>
          <t>1990-10-03</t>
        </is>
      </c>
      <c r="Y589" t="n">
        <v>818</v>
      </c>
      <c r="Z589" t="n">
        <v>674</v>
      </c>
      <c r="AA589" t="n">
        <v>832</v>
      </c>
      <c r="AB589" t="n">
        <v>4</v>
      </c>
      <c r="AC589" t="n">
        <v>5</v>
      </c>
      <c r="AD589" t="n">
        <v>31</v>
      </c>
      <c r="AE589" t="n">
        <v>39</v>
      </c>
      <c r="AF589" t="n">
        <v>14</v>
      </c>
      <c r="AG589" t="n">
        <v>16</v>
      </c>
      <c r="AH589" t="n">
        <v>8</v>
      </c>
      <c r="AI589" t="n">
        <v>10</v>
      </c>
      <c r="AJ589" t="n">
        <v>17</v>
      </c>
      <c r="AK589" t="n">
        <v>21</v>
      </c>
      <c r="AL589" t="n">
        <v>3</v>
      </c>
      <c r="AM589" t="n">
        <v>4</v>
      </c>
      <c r="AN589" t="n">
        <v>0</v>
      </c>
      <c r="AO589" t="n">
        <v>0</v>
      </c>
      <c r="AP589" t="inlineStr">
        <is>
          <t>No</t>
        </is>
      </c>
      <c r="AQ589" t="inlineStr">
        <is>
          <t>Yes</t>
        </is>
      </c>
      <c r="AR589">
        <f>HYPERLINK("http://catalog.hathitrust.org/Record/000261815","HathiTrust Record")</f>
        <v/>
      </c>
      <c r="AS589">
        <f>HYPERLINK("https://creighton-primo.hosted.exlibrisgroup.com/primo-explore/search?tab=default_tab&amp;search_scope=EVERYTHING&amp;vid=01CRU&amp;lang=en_US&amp;offset=0&amp;query=any,contains,991005168789702656","Catalog Record")</f>
        <v/>
      </c>
      <c r="AT589">
        <f>HYPERLINK("http://www.worldcat.org/oclc/7837637","WorldCat Record")</f>
        <v/>
      </c>
      <c r="AU589" t="inlineStr">
        <is>
          <t>8980073:eng</t>
        </is>
      </c>
      <c r="AV589" t="inlineStr">
        <is>
          <t>7837637</t>
        </is>
      </c>
      <c r="AW589" t="inlineStr">
        <is>
          <t>991005168789702656</t>
        </is>
      </c>
      <c r="AX589" t="inlineStr">
        <is>
          <t>991005168789702656</t>
        </is>
      </c>
      <c r="AY589" t="inlineStr">
        <is>
          <t>2256936620002656</t>
        </is>
      </c>
      <c r="AZ589" t="inlineStr">
        <is>
          <t>BOOK</t>
        </is>
      </c>
      <c r="BB589" t="inlineStr">
        <is>
          <t>9780801414060</t>
        </is>
      </c>
      <c r="BC589" t="inlineStr">
        <is>
          <t>32285000294842</t>
        </is>
      </c>
      <c r="BD589" t="inlineStr">
        <is>
          <t>893344747</t>
        </is>
      </c>
    </row>
    <row r="590">
      <c r="A590" t="inlineStr">
        <is>
          <t>No</t>
        </is>
      </c>
      <c r="B590" t="inlineStr">
        <is>
          <t>DS145 .C59513 1992</t>
        </is>
      </c>
      <c r="C590" t="inlineStr">
        <is>
          <t>0                      DS 0145000C  59513       1992</t>
        </is>
      </c>
      <c r="D590" t="inlineStr">
        <is>
          <t>Gentiles, Jews, Christians : polemics and apologetics in the Greco-Roman era / Hans Conzelmann ; translated by M. Eugene Boring.</t>
        </is>
      </c>
      <c r="F590" t="inlineStr">
        <is>
          <t>No</t>
        </is>
      </c>
      <c r="G590" t="inlineStr">
        <is>
          <t>1</t>
        </is>
      </c>
      <c r="H590" t="inlineStr">
        <is>
          <t>No</t>
        </is>
      </c>
      <c r="I590" t="inlineStr">
        <is>
          <t>No</t>
        </is>
      </c>
      <c r="J590" t="inlineStr">
        <is>
          <t>0</t>
        </is>
      </c>
      <c r="K590" t="inlineStr">
        <is>
          <t>Conzelmann, Hans.</t>
        </is>
      </c>
      <c r="L590" t="inlineStr">
        <is>
          <t>Minneapolis : Fortress Press, c1992.</t>
        </is>
      </c>
      <c r="M590" t="inlineStr">
        <is>
          <t>1992</t>
        </is>
      </c>
      <c r="O590" t="inlineStr">
        <is>
          <t>eng</t>
        </is>
      </c>
      <c r="P590" t="inlineStr">
        <is>
          <t>mnu</t>
        </is>
      </c>
      <c r="R590" t="inlineStr">
        <is>
          <t xml:space="preserve">DS </t>
        </is>
      </c>
      <c r="S590" t="n">
        <v>2</v>
      </c>
      <c r="T590" t="n">
        <v>2</v>
      </c>
      <c r="U590" t="inlineStr">
        <is>
          <t>2000-10-16</t>
        </is>
      </c>
      <c r="V590" t="inlineStr">
        <is>
          <t>2000-10-16</t>
        </is>
      </c>
      <c r="W590" t="inlineStr">
        <is>
          <t>1993-09-14</t>
        </is>
      </c>
      <c r="X590" t="inlineStr">
        <is>
          <t>1993-09-14</t>
        </is>
      </c>
      <c r="Y590" t="n">
        <v>441</v>
      </c>
      <c r="Z590" t="n">
        <v>360</v>
      </c>
      <c r="AA590" t="n">
        <v>363</v>
      </c>
      <c r="AB590" t="n">
        <v>2</v>
      </c>
      <c r="AC590" t="n">
        <v>2</v>
      </c>
      <c r="AD590" t="n">
        <v>23</v>
      </c>
      <c r="AE590" t="n">
        <v>23</v>
      </c>
      <c r="AF590" t="n">
        <v>11</v>
      </c>
      <c r="AG590" t="n">
        <v>11</v>
      </c>
      <c r="AH590" t="n">
        <v>5</v>
      </c>
      <c r="AI590" t="n">
        <v>5</v>
      </c>
      <c r="AJ590" t="n">
        <v>13</v>
      </c>
      <c r="AK590" t="n">
        <v>13</v>
      </c>
      <c r="AL590" t="n">
        <v>0</v>
      </c>
      <c r="AM590" t="n">
        <v>0</v>
      </c>
      <c r="AN590" t="n">
        <v>0</v>
      </c>
      <c r="AO590" t="n">
        <v>0</v>
      </c>
      <c r="AP590" t="inlineStr">
        <is>
          <t>No</t>
        </is>
      </c>
      <c r="AQ590" t="inlineStr">
        <is>
          <t>Yes</t>
        </is>
      </c>
      <c r="AR590">
        <f>HYPERLINK("http://catalog.hathitrust.org/Record/002557510","HathiTrust Record")</f>
        <v/>
      </c>
      <c r="AS590">
        <f>HYPERLINK("https://creighton-primo.hosted.exlibrisgroup.com/primo-explore/search?tab=default_tab&amp;search_scope=EVERYTHING&amp;vid=01CRU&amp;lang=en_US&amp;offset=0&amp;query=any,contains,991001948319702656","Catalog Record")</f>
        <v/>
      </c>
      <c r="AT590">
        <f>HYPERLINK("http://www.worldcat.org/oclc/24628316","WorldCat Record")</f>
        <v/>
      </c>
      <c r="AU590" t="inlineStr">
        <is>
          <t>27005613:eng</t>
        </is>
      </c>
      <c r="AV590" t="inlineStr">
        <is>
          <t>24628316</t>
        </is>
      </c>
      <c r="AW590" t="inlineStr">
        <is>
          <t>991001948319702656</t>
        </is>
      </c>
      <c r="AX590" t="inlineStr">
        <is>
          <t>991001948319702656</t>
        </is>
      </c>
      <c r="AY590" t="inlineStr">
        <is>
          <t>2261407890002656</t>
        </is>
      </c>
      <c r="AZ590" t="inlineStr">
        <is>
          <t>BOOK</t>
        </is>
      </c>
      <c r="BB590" t="inlineStr">
        <is>
          <t>9780800625207</t>
        </is>
      </c>
      <c r="BC590" t="inlineStr">
        <is>
          <t>32285001766202</t>
        </is>
      </c>
      <c r="BD590" t="inlineStr">
        <is>
          <t>893529373</t>
        </is>
      </c>
    </row>
    <row r="591">
      <c r="A591" t="inlineStr">
        <is>
          <t>No</t>
        </is>
      </c>
      <c r="B591" t="inlineStr">
        <is>
          <t>DS145 .F6 2004</t>
        </is>
      </c>
      <c r="C591" t="inlineStr">
        <is>
          <t>0                      DS 0145000F  6           2004</t>
        </is>
      </c>
      <c r="D591" t="inlineStr">
        <is>
          <t>The anguish of the Jews : twenty-three centuries of antisemitism / Edward H. Flannery ; [foreword by Philip A. Cunningham].</t>
        </is>
      </c>
      <c r="F591" t="inlineStr">
        <is>
          <t>No</t>
        </is>
      </c>
      <c r="G591" t="inlineStr">
        <is>
          <t>1</t>
        </is>
      </c>
      <c r="H591" t="inlineStr">
        <is>
          <t>No</t>
        </is>
      </c>
      <c r="I591" t="inlineStr">
        <is>
          <t>No</t>
        </is>
      </c>
      <c r="J591" t="inlineStr">
        <is>
          <t>0</t>
        </is>
      </c>
      <c r="K591" t="inlineStr">
        <is>
          <t>Flannery, Edward H.</t>
        </is>
      </c>
      <c r="L591" t="inlineStr">
        <is>
          <t>New York : Paulist Press, 2004, c1985.</t>
        </is>
      </c>
      <c r="M591" t="inlineStr">
        <is>
          <t>2004</t>
        </is>
      </c>
      <c r="N591" t="inlineStr">
        <is>
          <t>Rev. and updated ed.</t>
        </is>
      </c>
      <c r="O591" t="inlineStr">
        <is>
          <t>eng</t>
        </is>
      </c>
      <c r="P591" t="inlineStr">
        <is>
          <t>nyu</t>
        </is>
      </c>
      <c r="Q591" t="inlineStr">
        <is>
          <t>Studies in Judaism and Christianity</t>
        </is>
      </c>
      <c r="R591" t="inlineStr">
        <is>
          <t xml:space="preserve">DS </t>
        </is>
      </c>
      <c r="S591" t="n">
        <v>4</v>
      </c>
      <c r="T591" t="n">
        <v>4</v>
      </c>
      <c r="U591" t="inlineStr">
        <is>
          <t>2008-09-17</t>
        </is>
      </c>
      <c r="V591" t="inlineStr">
        <is>
          <t>2008-09-17</t>
        </is>
      </c>
      <c r="W591" t="inlineStr">
        <is>
          <t>2005-04-07</t>
        </is>
      </c>
      <c r="X591" t="inlineStr">
        <is>
          <t>2005-04-07</t>
        </is>
      </c>
      <c r="Y591" t="n">
        <v>96</v>
      </c>
      <c r="Z591" t="n">
        <v>74</v>
      </c>
      <c r="AA591" t="n">
        <v>1119</v>
      </c>
      <c r="AB591" t="n">
        <v>2</v>
      </c>
      <c r="AC591" t="n">
        <v>7</v>
      </c>
      <c r="AD591" t="n">
        <v>4</v>
      </c>
      <c r="AE591" t="n">
        <v>54</v>
      </c>
      <c r="AF591" t="n">
        <v>1</v>
      </c>
      <c r="AG591" t="n">
        <v>24</v>
      </c>
      <c r="AH591" t="n">
        <v>2</v>
      </c>
      <c r="AI591" t="n">
        <v>11</v>
      </c>
      <c r="AJ591" t="n">
        <v>2</v>
      </c>
      <c r="AK591" t="n">
        <v>26</v>
      </c>
      <c r="AL591" t="n">
        <v>1</v>
      </c>
      <c r="AM591" t="n">
        <v>6</v>
      </c>
      <c r="AN591" t="n">
        <v>0</v>
      </c>
      <c r="AO591" t="n">
        <v>0</v>
      </c>
      <c r="AP591" t="inlineStr">
        <is>
          <t>No</t>
        </is>
      </c>
      <c r="AQ591" t="inlineStr">
        <is>
          <t>No</t>
        </is>
      </c>
      <c r="AS591">
        <f>HYPERLINK("https://creighton-primo.hosted.exlibrisgroup.com/primo-explore/search?tab=default_tab&amp;search_scope=EVERYTHING&amp;vid=01CRU&amp;lang=en_US&amp;offset=0&amp;query=any,contains,991004516049702656","Catalog Record")</f>
        <v/>
      </c>
      <c r="AT591">
        <f>HYPERLINK("http://www.worldcat.org/oclc/57366369","WorldCat Record")</f>
        <v/>
      </c>
      <c r="AU591" t="inlineStr">
        <is>
          <t>398078:eng</t>
        </is>
      </c>
      <c r="AV591" t="inlineStr">
        <is>
          <t>57366369</t>
        </is>
      </c>
      <c r="AW591" t="inlineStr">
        <is>
          <t>991004516049702656</t>
        </is>
      </c>
      <c r="AX591" t="inlineStr">
        <is>
          <t>991004516049702656</t>
        </is>
      </c>
      <c r="AY591" t="inlineStr">
        <is>
          <t>2265507580002656</t>
        </is>
      </c>
      <c r="AZ591" t="inlineStr">
        <is>
          <t>BOOK</t>
        </is>
      </c>
      <c r="BB591" t="inlineStr">
        <is>
          <t>9780809143245</t>
        </is>
      </c>
      <c r="BC591" t="inlineStr">
        <is>
          <t>32285005048599</t>
        </is>
      </c>
      <c r="BD591" t="inlineStr">
        <is>
          <t>893430159</t>
        </is>
      </c>
    </row>
    <row r="592">
      <c r="A592" t="inlineStr">
        <is>
          <t>No</t>
        </is>
      </c>
      <c r="B592" t="inlineStr">
        <is>
          <t>DS145 .F685 2003</t>
        </is>
      </c>
      <c r="C592" t="inlineStr">
        <is>
          <t>0                      DS 0145000F  685         2003</t>
        </is>
      </c>
      <c r="D592" t="inlineStr">
        <is>
          <t>Never again? : the threat of the new anti-Semitism / Abraham H. Foxman.</t>
        </is>
      </c>
      <c r="F592" t="inlineStr">
        <is>
          <t>No</t>
        </is>
      </c>
      <c r="G592" t="inlineStr">
        <is>
          <t>1</t>
        </is>
      </c>
      <c r="H592" t="inlineStr">
        <is>
          <t>No</t>
        </is>
      </c>
      <c r="I592" t="inlineStr">
        <is>
          <t>No</t>
        </is>
      </c>
      <c r="J592" t="inlineStr">
        <is>
          <t>0</t>
        </is>
      </c>
      <c r="K592" t="inlineStr">
        <is>
          <t>Foxman, Abraham H.</t>
        </is>
      </c>
      <c r="L592" t="inlineStr">
        <is>
          <t>San Francisco : HarperSanFrancisco, c2003.</t>
        </is>
      </c>
      <c r="M592" t="inlineStr">
        <is>
          <t>2003</t>
        </is>
      </c>
      <c r="N592" t="inlineStr">
        <is>
          <t>1st ed.</t>
        </is>
      </c>
      <c r="O592" t="inlineStr">
        <is>
          <t>eng</t>
        </is>
      </c>
      <c r="P592" t="inlineStr">
        <is>
          <t>cau</t>
        </is>
      </c>
      <c r="R592" t="inlineStr">
        <is>
          <t xml:space="preserve">DS </t>
        </is>
      </c>
      <c r="S592" t="n">
        <v>1</v>
      </c>
      <c r="T592" t="n">
        <v>1</v>
      </c>
      <c r="U592" t="inlineStr">
        <is>
          <t>2004-01-05</t>
        </is>
      </c>
      <c r="V592" t="inlineStr">
        <is>
          <t>2004-01-05</t>
        </is>
      </c>
      <c r="W592" t="inlineStr">
        <is>
          <t>2004-01-05</t>
        </is>
      </c>
      <c r="X592" t="inlineStr">
        <is>
          <t>2004-01-05</t>
        </is>
      </c>
      <c r="Y592" t="n">
        <v>638</v>
      </c>
      <c r="Z592" t="n">
        <v>583</v>
      </c>
      <c r="AA592" t="n">
        <v>596</v>
      </c>
      <c r="AB592" t="n">
        <v>6</v>
      </c>
      <c r="AC592" t="n">
        <v>6</v>
      </c>
      <c r="AD592" t="n">
        <v>24</v>
      </c>
      <c r="AE592" t="n">
        <v>24</v>
      </c>
      <c r="AF592" t="n">
        <v>9</v>
      </c>
      <c r="AG592" t="n">
        <v>9</v>
      </c>
      <c r="AH592" t="n">
        <v>5</v>
      </c>
      <c r="AI592" t="n">
        <v>5</v>
      </c>
      <c r="AJ592" t="n">
        <v>11</v>
      </c>
      <c r="AK592" t="n">
        <v>11</v>
      </c>
      <c r="AL592" t="n">
        <v>5</v>
      </c>
      <c r="AM592" t="n">
        <v>5</v>
      </c>
      <c r="AN592" t="n">
        <v>0</v>
      </c>
      <c r="AO592" t="n">
        <v>0</v>
      </c>
      <c r="AP592" t="inlineStr">
        <is>
          <t>No</t>
        </is>
      </c>
      <c r="AQ592" t="inlineStr">
        <is>
          <t>No</t>
        </is>
      </c>
      <c r="AS592">
        <f>HYPERLINK("https://creighton-primo.hosted.exlibrisgroup.com/primo-explore/search?tab=default_tab&amp;search_scope=EVERYTHING&amp;vid=01CRU&amp;lang=en_US&amp;offset=0&amp;query=any,contains,991004199799702656","Catalog Record")</f>
        <v/>
      </c>
      <c r="AT592">
        <f>HYPERLINK("http://www.worldcat.org/oclc/53374901","WorldCat Record")</f>
        <v/>
      </c>
      <c r="AU592" t="inlineStr">
        <is>
          <t>649566:eng</t>
        </is>
      </c>
      <c r="AV592" t="inlineStr">
        <is>
          <t>53374901</t>
        </is>
      </c>
      <c r="AW592" t="inlineStr">
        <is>
          <t>991004199799702656</t>
        </is>
      </c>
      <c r="AX592" t="inlineStr">
        <is>
          <t>991004199799702656</t>
        </is>
      </c>
      <c r="AY592" t="inlineStr">
        <is>
          <t>2272218270002656</t>
        </is>
      </c>
      <c r="AZ592" t="inlineStr">
        <is>
          <t>BOOK</t>
        </is>
      </c>
      <c r="BB592" t="inlineStr">
        <is>
          <t>9780060542467</t>
        </is>
      </c>
      <c r="BC592" t="inlineStr">
        <is>
          <t>32285004848734</t>
        </is>
      </c>
      <c r="BD592" t="inlineStr">
        <is>
          <t>893241142</t>
        </is>
      </c>
    </row>
    <row r="593">
      <c r="A593" t="inlineStr">
        <is>
          <t>No</t>
        </is>
      </c>
      <c r="B593" t="inlineStr">
        <is>
          <t>DS145 .I74 1964</t>
        </is>
      </c>
      <c r="C593" t="inlineStr">
        <is>
          <t>0                      DS 0145000I  74          1964</t>
        </is>
      </c>
      <c r="D593" t="inlineStr">
        <is>
          <t>The teaching of contempt; Christian roots of anti-Semitism. Translated by Helen Weaver. Biographical introd. by Claire Huchet Bishop.</t>
        </is>
      </c>
      <c r="F593" t="inlineStr">
        <is>
          <t>No</t>
        </is>
      </c>
      <c r="G593" t="inlineStr">
        <is>
          <t>1</t>
        </is>
      </c>
      <c r="H593" t="inlineStr">
        <is>
          <t>No</t>
        </is>
      </c>
      <c r="I593" t="inlineStr">
        <is>
          <t>No</t>
        </is>
      </c>
      <c r="J593" t="inlineStr">
        <is>
          <t>0</t>
        </is>
      </c>
      <c r="K593" t="inlineStr">
        <is>
          <t>Isaac, Jules, 1877-1963.</t>
        </is>
      </c>
      <c r="L593" t="inlineStr">
        <is>
          <t>New York, Holt, Rinehart and Winston [1964]</t>
        </is>
      </c>
      <c r="M593" t="inlineStr">
        <is>
          <t>1964</t>
        </is>
      </c>
      <c r="N593" t="inlineStr">
        <is>
          <t>[1st ed.]</t>
        </is>
      </c>
      <c r="O593" t="inlineStr">
        <is>
          <t>eng</t>
        </is>
      </c>
      <c r="P593" t="inlineStr">
        <is>
          <t>nyu</t>
        </is>
      </c>
      <c r="R593" t="inlineStr">
        <is>
          <t xml:space="preserve">DS </t>
        </is>
      </c>
      <c r="S593" t="n">
        <v>3</v>
      </c>
      <c r="T593" t="n">
        <v>3</v>
      </c>
      <c r="U593" t="inlineStr">
        <is>
          <t>2008-12-05</t>
        </is>
      </c>
      <c r="V593" t="inlineStr">
        <is>
          <t>2008-12-05</t>
        </is>
      </c>
      <c r="W593" t="inlineStr">
        <is>
          <t>1997-02-27</t>
        </is>
      </c>
      <c r="X593" t="inlineStr">
        <is>
          <t>1997-02-27</t>
        </is>
      </c>
      <c r="Y593" t="n">
        <v>709</v>
      </c>
      <c r="Z593" t="n">
        <v>655</v>
      </c>
      <c r="AA593" t="n">
        <v>700</v>
      </c>
      <c r="AB593" t="n">
        <v>4</v>
      </c>
      <c r="AC593" t="n">
        <v>5</v>
      </c>
      <c r="AD593" t="n">
        <v>35</v>
      </c>
      <c r="AE593" t="n">
        <v>39</v>
      </c>
      <c r="AF593" t="n">
        <v>13</v>
      </c>
      <c r="AG593" t="n">
        <v>14</v>
      </c>
      <c r="AH593" t="n">
        <v>8</v>
      </c>
      <c r="AI593" t="n">
        <v>9</v>
      </c>
      <c r="AJ593" t="n">
        <v>21</v>
      </c>
      <c r="AK593" t="n">
        <v>22</v>
      </c>
      <c r="AL593" t="n">
        <v>3</v>
      </c>
      <c r="AM593" t="n">
        <v>4</v>
      </c>
      <c r="AN593" t="n">
        <v>0</v>
      </c>
      <c r="AO593" t="n">
        <v>0</v>
      </c>
      <c r="AP593" t="inlineStr">
        <is>
          <t>No</t>
        </is>
      </c>
      <c r="AQ593" t="inlineStr">
        <is>
          <t>Yes</t>
        </is>
      </c>
      <c r="AR593">
        <f>HYPERLINK("http://catalog.hathitrust.org/Record/000006675","HathiTrust Record")</f>
        <v/>
      </c>
      <c r="AS593">
        <f>HYPERLINK("https://creighton-primo.hosted.exlibrisgroup.com/primo-explore/search?tab=default_tab&amp;search_scope=EVERYTHING&amp;vid=01CRU&amp;lang=en_US&amp;offset=0&amp;query=any,contains,991002872359702656","Catalog Record")</f>
        <v/>
      </c>
      <c r="AT593">
        <f>HYPERLINK("http://www.worldcat.org/oclc/500389","WorldCat Record")</f>
        <v/>
      </c>
      <c r="AU593" t="inlineStr">
        <is>
          <t>2908642551:eng</t>
        </is>
      </c>
      <c r="AV593" t="inlineStr">
        <is>
          <t>500389</t>
        </is>
      </c>
      <c r="AW593" t="inlineStr">
        <is>
          <t>991002872359702656</t>
        </is>
      </c>
      <c r="AX593" t="inlineStr">
        <is>
          <t>991002872359702656</t>
        </is>
      </c>
      <c r="AY593" t="inlineStr">
        <is>
          <t>2255286290002656</t>
        </is>
      </c>
      <c r="AZ593" t="inlineStr">
        <is>
          <t>BOOK</t>
        </is>
      </c>
      <c r="BC593" t="inlineStr">
        <is>
          <t>32285002463601</t>
        </is>
      </c>
      <c r="BD593" t="inlineStr">
        <is>
          <t>893721687</t>
        </is>
      </c>
    </row>
    <row r="594">
      <c r="A594" t="inlineStr">
        <is>
          <t>No</t>
        </is>
      </c>
      <c r="B594" t="inlineStr">
        <is>
          <t>DS145 .L52 1986</t>
        </is>
      </c>
      <c r="C594" t="inlineStr">
        <is>
          <t>0                      DS 0145000L  52          1986</t>
        </is>
      </c>
      <c r="D594" t="inlineStr">
        <is>
          <t>Semites and anti-Semites : an inquiry into conflict and prejudice / by Bernard Lewis.</t>
        </is>
      </c>
      <c r="F594" t="inlineStr">
        <is>
          <t>No</t>
        </is>
      </c>
      <c r="G594" t="inlineStr">
        <is>
          <t>1</t>
        </is>
      </c>
      <c r="H594" t="inlineStr">
        <is>
          <t>No</t>
        </is>
      </c>
      <c r="I594" t="inlineStr">
        <is>
          <t>No</t>
        </is>
      </c>
      <c r="J594" t="inlineStr">
        <is>
          <t>0</t>
        </is>
      </c>
      <c r="K594" t="inlineStr">
        <is>
          <t>Lewis, Bernard, 1916-2018.</t>
        </is>
      </c>
      <c r="L594" t="inlineStr">
        <is>
          <t>New York : Norton, c1986.</t>
        </is>
      </c>
      <c r="M594" t="inlineStr">
        <is>
          <t>1986</t>
        </is>
      </c>
      <c r="N594" t="inlineStr">
        <is>
          <t>1st ed.</t>
        </is>
      </c>
      <c r="O594" t="inlineStr">
        <is>
          <t>eng</t>
        </is>
      </c>
      <c r="P594" t="inlineStr">
        <is>
          <t>nyu</t>
        </is>
      </c>
      <c r="R594" t="inlineStr">
        <is>
          <t xml:space="preserve">DS </t>
        </is>
      </c>
      <c r="S594" t="n">
        <v>3</v>
      </c>
      <c r="T594" t="n">
        <v>3</v>
      </c>
      <c r="U594" t="inlineStr">
        <is>
          <t>2007-10-29</t>
        </is>
      </c>
      <c r="V594" t="inlineStr">
        <is>
          <t>2007-10-29</t>
        </is>
      </c>
      <c r="W594" t="inlineStr">
        <is>
          <t>1990-10-03</t>
        </is>
      </c>
      <c r="X594" t="inlineStr">
        <is>
          <t>1990-10-03</t>
        </is>
      </c>
      <c r="Y594" t="n">
        <v>842</v>
      </c>
      <c r="Z594" t="n">
        <v>755</v>
      </c>
      <c r="AA594" t="n">
        <v>877</v>
      </c>
      <c r="AB594" t="n">
        <v>4</v>
      </c>
      <c r="AC594" t="n">
        <v>5</v>
      </c>
      <c r="AD594" t="n">
        <v>29</v>
      </c>
      <c r="AE594" t="n">
        <v>39</v>
      </c>
      <c r="AF594" t="n">
        <v>9</v>
      </c>
      <c r="AG594" t="n">
        <v>13</v>
      </c>
      <c r="AH594" t="n">
        <v>8</v>
      </c>
      <c r="AI594" t="n">
        <v>9</v>
      </c>
      <c r="AJ594" t="n">
        <v>19</v>
      </c>
      <c r="AK594" t="n">
        <v>23</v>
      </c>
      <c r="AL594" t="n">
        <v>3</v>
      </c>
      <c r="AM594" t="n">
        <v>4</v>
      </c>
      <c r="AN594" t="n">
        <v>0</v>
      </c>
      <c r="AO594" t="n">
        <v>0</v>
      </c>
      <c r="AP594" t="inlineStr">
        <is>
          <t>No</t>
        </is>
      </c>
      <c r="AQ594" t="inlineStr">
        <is>
          <t>No</t>
        </is>
      </c>
      <c r="AS594">
        <f>HYPERLINK("https://creighton-primo.hosted.exlibrisgroup.com/primo-explore/search?tab=default_tab&amp;search_scope=EVERYTHING&amp;vid=01CRU&amp;lang=en_US&amp;offset=0&amp;query=any,contains,991000737909702656","Catalog Record")</f>
        <v/>
      </c>
      <c r="AT594">
        <f>HYPERLINK("http://www.worldcat.org/oclc/12804297","WorldCat Record")</f>
        <v/>
      </c>
      <c r="AU594" t="inlineStr">
        <is>
          <t>9184282:eng</t>
        </is>
      </c>
      <c r="AV594" t="inlineStr">
        <is>
          <t>12804297</t>
        </is>
      </c>
      <c r="AW594" t="inlineStr">
        <is>
          <t>991000737909702656</t>
        </is>
      </c>
      <c r="AX594" t="inlineStr">
        <is>
          <t>991000737909702656</t>
        </is>
      </c>
      <c r="AY594" t="inlineStr">
        <is>
          <t>2257011280002656</t>
        </is>
      </c>
      <c r="AZ594" t="inlineStr">
        <is>
          <t>BOOK</t>
        </is>
      </c>
      <c r="BB594" t="inlineStr">
        <is>
          <t>9780393023145</t>
        </is>
      </c>
      <c r="BC594" t="inlineStr">
        <is>
          <t>32285000294867</t>
        </is>
      </c>
      <c r="BD594" t="inlineStr">
        <is>
          <t>893249627</t>
        </is>
      </c>
    </row>
    <row r="595">
      <c r="A595" t="inlineStr">
        <is>
          <t>No</t>
        </is>
      </c>
      <c r="B595" t="inlineStr">
        <is>
          <t>DS145 .M6713 1976</t>
        </is>
      </c>
      <c r="C595" t="inlineStr">
        <is>
          <t>0                      DS 0145000M  6713        1976</t>
        </is>
      </c>
      <c r="D595" t="inlineStr">
        <is>
          <t>A short history of anti-Semitism / Vamberto Morais.</t>
        </is>
      </c>
      <c r="F595" t="inlineStr">
        <is>
          <t>No</t>
        </is>
      </c>
      <c r="G595" t="inlineStr">
        <is>
          <t>1</t>
        </is>
      </c>
      <c r="H595" t="inlineStr">
        <is>
          <t>No</t>
        </is>
      </c>
      <c r="I595" t="inlineStr">
        <is>
          <t>No</t>
        </is>
      </c>
      <c r="J595" t="inlineStr">
        <is>
          <t>0</t>
        </is>
      </c>
      <c r="K595" t="inlineStr">
        <is>
          <t>Morais, Vamberto.</t>
        </is>
      </c>
      <c r="L595" t="inlineStr">
        <is>
          <t>New York : Norton, c1976.</t>
        </is>
      </c>
      <c r="M595" t="inlineStr">
        <is>
          <t>1976</t>
        </is>
      </c>
      <c r="O595" t="inlineStr">
        <is>
          <t>eng</t>
        </is>
      </c>
      <c r="P595" t="inlineStr">
        <is>
          <t>nyu</t>
        </is>
      </c>
      <c r="R595" t="inlineStr">
        <is>
          <t xml:space="preserve">DS </t>
        </is>
      </c>
      <c r="S595" t="n">
        <v>2</v>
      </c>
      <c r="T595" t="n">
        <v>2</v>
      </c>
      <c r="U595" t="inlineStr">
        <is>
          <t>1994-10-21</t>
        </is>
      </c>
      <c r="V595" t="inlineStr">
        <is>
          <t>1994-10-21</t>
        </is>
      </c>
      <c r="W595" t="inlineStr">
        <is>
          <t>1994-06-01</t>
        </is>
      </c>
      <c r="X595" t="inlineStr">
        <is>
          <t>1994-06-01</t>
        </is>
      </c>
      <c r="Y595" t="n">
        <v>805</v>
      </c>
      <c r="Z595" t="n">
        <v>734</v>
      </c>
      <c r="AA595" t="n">
        <v>734</v>
      </c>
      <c r="AB595" t="n">
        <v>3</v>
      </c>
      <c r="AC595" t="n">
        <v>3</v>
      </c>
      <c r="AD595" t="n">
        <v>24</v>
      </c>
      <c r="AE595" t="n">
        <v>24</v>
      </c>
      <c r="AF595" t="n">
        <v>12</v>
      </c>
      <c r="AG595" t="n">
        <v>12</v>
      </c>
      <c r="AH595" t="n">
        <v>5</v>
      </c>
      <c r="AI595" t="n">
        <v>5</v>
      </c>
      <c r="AJ595" t="n">
        <v>13</v>
      </c>
      <c r="AK595" t="n">
        <v>13</v>
      </c>
      <c r="AL595" t="n">
        <v>1</v>
      </c>
      <c r="AM595" t="n">
        <v>1</v>
      </c>
      <c r="AN595" t="n">
        <v>0</v>
      </c>
      <c r="AO595" t="n">
        <v>0</v>
      </c>
      <c r="AP595" t="inlineStr">
        <is>
          <t>No</t>
        </is>
      </c>
      <c r="AQ595" t="inlineStr">
        <is>
          <t>No</t>
        </is>
      </c>
      <c r="AS595">
        <f>HYPERLINK("https://creighton-primo.hosted.exlibrisgroup.com/primo-explore/search?tab=default_tab&amp;search_scope=EVERYTHING&amp;vid=01CRU&amp;lang=en_US&amp;offset=0&amp;query=any,contains,991003918079702656","Catalog Record")</f>
        <v/>
      </c>
      <c r="AT595">
        <f>HYPERLINK("http://www.worldcat.org/oclc/1863576","WorldCat Record")</f>
        <v/>
      </c>
      <c r="AU595" t="inlineStr">
        <is>
          <t>350675152:eng</t>
        </is>
      </c>
      <c r="AV595" t="inlineStr">
        <is>
          <t>1863576</t>
        </is>
      </c>
      <c r="AW595" t="inlineStr">
        <is>
          <t>991003918079702656</t>
        </is>
      </c>
      <c r="AX595" t="inlineStr">
        <is>
          <t>991003918079702656</t>
        </is>
      </c>
      <c r="AY595" t="inlineStr">
        <is>
          <t>2263250180002656</t>
        </is>
      </c>
      <c r="AZ595" t="inlineStr">
        <is>
          <t>BOOK</t>
        </is>
      </c>
      <c r="BB595" t="inlineStr">
        <is>
          <t>9780393055672</t>
        </is>
      </c>
      <c r="BC595" t="inlineStr">
        <is>
          <t>32285001913978</t>
        </is>
      </c>
      <c r="BD595" t="inlineStr">
        <is>
          <t>893599208</t>
        </is>
      </c>
    </row>
    <row r="596">
      <c r="A596" t="inlineStr">
        <is>
          <t>No</t>
        </is>
      </c>
      <c r="B596" t="inlineStr">
        <is>
          <t>DS145 .P4613</t>
        </is>
      </c>
      <c r="C596" t="inlineStr">
        <is>
          <t>0                      DS 0145000P  4613</t>
        </is>
      </c>
      <c r="D596" t="inlineStr">
        <is>
          <t>The history of anti-Semitism / translated from the French by Richard Howard.</t>
        </is>
      </c>
      <c r="E596" t="inlineStr">
        <is>
          <t>V.1</t>
        </is>
      </c>
      <c r="F596" t="inlineStr">
        <is>
          <t>Yes</t>
        </is>
      </c>
      <c r="G596" t="inlineStr">
        <is>
          <t>1</t>
        </is>
      </c>
      <c r="H596" t="inlineStr">
        <is>
          <t>No</t>
        </is>
      </c>
      <c r="I596" t="inlineStr">
        <is>
          <t>No</t>
        </is>
      </c>
      <c r="J596" t="inlineStr">
        <is>
          <t>0</t>
        </is>
      </c>
      <c r="K596" t="inlineStr">
        <is>
          <t>Poliakov, Léon, 1910-1997.</t>
        </is>
      </c>
      <c r="L596" t="inlineStr">
        <is>
          <t>New York : Vanguard Press, [1965]-c1985.</t>
        </is>
      </c>
      <c r="M596" t="inlineStr">
        <is>
          <t>1965</t>
        </is>
      </c>
      <c r="O596" t="inlineStr">
        <is>
          <t>eng</t>
        </is>
      </c>
      <c r="P596" t="inlineStr">
        <is>
          <t>nyu</t>
        </is>
      </c>
      <c r="R596" t="inlineStr">
        <is>
          <t xml:space="preserve">DS </t>
        </is>
      </c>
      <c r="S596" t="n">
        <v>0</v>
      </c>
      <c r="T596" t="n">
        <v>0</v>
      </c>
      <c r="U596" t="inlineStr">
        <is>
          <t>2001-03-28</t>
        </is>
      </c>
      <c r="V596" t="inlineStr">
        <is>
          <t>2001-03-28</t>
        </is>
      </c>
      <c r="W596" t="inlineStr">
        <is>
          <t>1994-11-29</t>
        </is>
      </c>
      <c r="X596" t="inlineStr">
        <is>
          <t>1994-11-29</t>
        </is>
      </c>
      <c r="Y596" t="n">
        <v>940</v>
      </c>
      <c r="Z596" t="n">
        <v>871</v>
      </c>
      <c r="AA596" t="n">
        <v>1062</v>
      </c>
      <c r="AB596" t="n">
        <v>5</v>
      </c>
      <c r="AC596" t="n">
        <v>10</v>
      </c>
      <c r="AD596" t="n">
        <v>36</v>
      </c>
      <c r="AE596" t="n">
        <v>47</v>
      </c>
      <c r="AF596" t="n">
        <v>15</v>
      </c>
      <c r="AG596" t="n">
        <v>20</v>
      </c>
      <c r="AH596" t="n">
        <v>8</v>
      </c>
      <c r="AI596" t="n">
        <v>9</v>
      </c>
      <c r="AJ596" t="n">
        <v>18</v>
      </c>
      <c r="AK596" t="n">
        <v>20</v>
      </c>
      <c r="AL596" t="n">
        <v>3</v>
      </c>
      <c r="AM596" t="n">
        <v>8</v>
      </c>
      <c r="AN596" t="n">
        <v>1</v>
      </c>
      <c r="AO596" t="n">
        <v>1</v>
      </c>
      <c r="AP596" t="inlineStr">
        <is>
          <t>No</t>
        </is>
      </c>
      <c r="AQ596" t="inlineStr">
        <is>
          <t>Yes</t>
        </is>
      </c>
      <c r="AR596">
        <f>HYPERLINK("http://catalog.hathitrust.org/Record/000435001","HathiTrust Record")</f>
        <v/>
      </c>
      <c r="AS596">
        <f>HYPERLINK("https://creighton-primo.hosted.exlibrisgroup.com/primo-explore/search?tab=default_tab&amp;search_scope=EVERYTHING&amp;vid=01CRU&amp;lang=en_US&amp;offset=0&amp;query=any,contains,991002709599702656","Catalog Record")</f>
        <v/>
      </c>
      <c r="AT596">
        <f>HYPERLINK("http://www.worldcat.org/oclc/408631","WorldCat Record")</f>
        <v/>
      </c>
      <c r="AU596" t="inlineStr">
        <is>
          <t>3373105038:eng</t>
        </is>
      </c>
      <c r="AV596" t="inlineStr">
        <is>
          <t>408631</t>
        </is>
      </c>
      <c r="AW596" t="inlineStr">
        <is>
          <t>991002709599702656</t>
        </is>
      </c>
      <c r="AX596" t="inlineStr">
        <is>
          <t>991002709599702656</t>
        </is>
      </c>
      <c r="AY596" t="inlineStr">
        <is>
          <t>2264150510002656</t>
        </is>
      </c>
      <c r="AZ596" t="inlineStr">
        <is>
          <t>BOOK</t>
        </is>
      </c>
      <c r="BB596" t="inlineStr">
        <is>
          <t>9780814901861</t>
        </is>
      </c>
      <c r="BC596" t="inlineStr">
        <is>
          <t>32285001968949</t>
        </is>
      </c>
      <c r="BD596" t="inlineStr">
        <is>
          <t>893421701</t>
        </is>
      </c>
    </row>
    <row r="597">
      <c r="A597" t="inlineStr">
        <is>
          <t>No</t>
        </is>
      </c>
      <c r="B597" t="inlineStr">
        <is>
          <t>DS145 .P4613</t>
        </is>
      </c>
      <c r="C597" t="inlineStr">
        <is>
          <t>0                      DS 0145000P  4613</t>
        </is>
      </c>
      <c r="D597" t="inlineStr">
        <is>
          <t>The history of anti-Semitism / translated from the French by Richard Howard.</t>
        </is>
      </c>
      <c r="E597" t="inlineStr">
        <is>
          <t>V.2</t>
        </is>
      </c>
      <c r="F597" t="inlineStr">
        <is>
          <t>Yes</t>
        </is>
      </c>
      <c r="G597" t="inlineStr">
        <is>
          <t>1</t>
        </is>
      </c>
      <c r="H597" t="inlineStr">
        <is>
          <t>No</t>
        </is>
      </c>
      <c r="I597" t="inlineStr">
        <is>
          <t>No</t>
        </is>
      </c>
      <c r="J597" t="inlineStr">
        <is>
          <t>0</t>
        </is>
      </c>
      <c r="K597" t="inlineStr">
        <is>
          <t>Poliakov, Léon, 1910-1997.</t>
        </is>
      </c>
      <c r="L597" t="inlineStr">
        <is>
          <t>New York : Vanguard Press, [1965]-c1985.</t>
        </is>
      </c>
      <c r="M597" t="inlineStr">
        <is>
          <t>1965</t>
        </is>
      </c>
      <c r="O597" t="inlineStr">
        <is>
          <t>eng</t>
        </is>
      </c>
      <c r="P597" t="inlineStr">
        <is>
          <t>nyu</t>
        </is>
      </c>
      <c r="R597" t="inlineStr">
        <is>
          <t xml:space="preserve">DS </t>
        </is>
      </c>
      <c r="S597" t="n">
        <v>0</v>
      </c>
      <c r="T597" t="n">
        <v>0</v>
      </c>
      <c r="U597" t="inlineStr">
        <is>
          <t>2001-03-28</t>
        </is>
      </c>
      <c r="V597" t="inlineStr">
        <is>
          <t>2001-03-28</t>
        </is>
      </c>
      <c r="W597" t="inlineStr">
        <is>
          <t>1994-11-29</t>
        </is>
      </c>
      <c r="X597" t="inlineStr">
        <is>
          <t>1994-11-29</t>
        </is>
      </c>
      <c r="Y597" t="n">
        <v>940</v>
      </c>
      <c r="Z597" t="n">
        <v>871</v>
      </c>
      <c r="AA597" t="n">
        <v>1062</v>
      </c>
      <c r="AB597" t="n">
        <v>5</v>
      </c>
      <c r="AC597" t="n">
        <v>10</v>
      </c>
      <c r="AD597" t="n">
        <v>36</v>
      </c>
      <c r="AE597" t="n">
        <v>47</v>
      </c>
      <c r="AF597" t="n">
        <v>15</v>
      </c>
      <c r="AG597" t="n">
        <v>20</v>
      </c>
      <c r="AH597" t="n">
        <v>8</v>
      </c>
      <c r="AI597" t="n">
        <v>9</v>
      </c>
      <c r="AJ597" t="n">
        <v>18</v>
      </c>
      <c r="AK597" t="n">
        <v>20</v>
      </c>
      <c r="AL597" t="n">
        <v>3</v>
      </c>
      <c r="AM597" t="n">
        <v>8</v>
      </c>
      <c r="AN597" t="n">
        <v>1</v>
      </c>
      <c r="AO597" t="n">
        <v>1</v>
      </c>
      <c r="AP597" t="inlineStr">
        <is>
          <t>No</t>
        </is>
      </c>
      <c r="AQ597" t="inlineStr">
        <is>
          <t>Yes</t>
        </is>
      </c>
      <c r="AR597">
        <f>HYPERLINK("http://catalog.hathitrust.org/Record/000435001","HathiTrust Record")</f>
        <v/>
      </c>
      <c r="AS597">
        <f>HYPERLINK("https://creighton-primo.hosted.exlibrisgroup.com/primo-explore/search?tab=default_tab&amp;search_scope=EVERYTHING&amp;vid=01CRU&amp;lang=en_US&amp;offset=0&amp;query=any,contains,991002709599702656","Catalog Record")</f>
        <v/>
      </c>
      <c r="AT597">
        <f>HYPERLINK("http://www.worldcat.org/oclc/408631","WorldCat Record")</f>
        <v/>
      </c>
      <c r="AU597" t="inlineStr">
        <is>
          <t>3373105038:eng</t>
        </is>
      </c>
      <c r="AV597" t="inlineStr">
        <is>
          <t>408631</t>
        </is>
      </c>
      <c r="AW597" t="inlineStr">
        <is>
          <t>991002709599702656</t>
        </is>
      </c>
      <c r="AX597" t="inlineStr">
        <is>
          <t>991002709599702656</t>
        </is>
      </c>
      <c r="AY597" t="inlineStr">
        <is>
          <t>2264150510002656</t>
        </is>
      </c>
      <c r="AZ597" t="inlineStr">
        <is>
          <t>BOOK</t>
        </is>
      </c>
      <c r="BB597" t="inlineStr">
        <is>
          <t>9780814901861</t>
        </is>
      </c>
      <c r="BC597" t="inlineStr">
        <is>
          <t>32285001968956</t>
        </is>
      </c>
      <c r="BD597" t="inlineStr">
        <is>
          <t>893445316</t>
        </is>
      </c>
    </row>
    <row r="598">
      <c r="A598" t="inlineStr">
        <is>
          <t>No</t>
        </is>
      </c>
      <c r="B598" t="inlineStr">
        <is>
          <t>DS145 .S2799 2004</t>
        </is>
      </c>
      <c r="C598" t="inlineStr">
        <is>
          <t>0                      DS 0145000S  2799        2004</t>
        </is>
      </c>
      <c r="D598" t="inlineStr">
        <is>
          <t>The return of anti-semitism / Gabriel Schoenfeld.</t>
        </is>
      </c>
      <c r="F598" t="inlineStr">
        <is>
          <t>No</t>
        </is>
      </c>
      <c r="G598" t="inlineStr">
        <is>
          <t>1</t>
        </is>
      </c>
      <c r="H598" t="inlineStr">
        <is>
          <t>No</t>
        </is>
      </c>
      <c r="I598" t="inlineStr">
        <is>
          <t>No</t>
        </is>
      </c>
      <c r="J598" t="inlineStr">
        <is>
          <t>0</t>
        </is>
      </c>
      <c r="K598" t="inlineStr">
        <is>
          <t>Schoenfeld, Gabriel.</t>
        </is>
      </c>
      <c r="L598" t="inlineStr">
        <is>
          <t>San Francisco : Encounter Books, 2004.</t>
        </is>
      </c>
      <c r="M598" t="inlineStr">
        <is>
          <t>2004</t>
        </is>
      </c>
      <c r="N598" t="inlineStr">
        <is>
          <t>1st ed.</t>
        </is>
      </c>
      <c r="O598" t="inlineStr">
        <is>
          <t>eng</t>
        </is>
      </c>
      <c r="P598" t="inlineStr">
        <is>
          <t>cau</t>
        </is>
      </c>
      <c r="R598" t="inlineStr">
        <is>
          <t xml:space="preserve">DS </t>
        </is>
      </c>
      <c r="S598" t="n">
        <v>1</v>
      </c>
      <c r="T598" t="n">
        <v>1</v>
      </c>
      <c r="U598" t="inlineStr">
        <is>
          <t>2005-12-01</t>
        </is>
      </c>
      <c r="V598" t="inlineStr">
        <is>
          <t>2005-12-01</t>
        </is>
      </c>
      <c r="W598" t="inlineStr">
        <is>
          <t>2005-12-01</t>
        </is>
      </c>
      <c r="X598" t="inlineStr">
        <is>
          <t>2005-12-01</t>
        </is>
      </c>
      <c r="Y598" t="n">
        <v>429</v>
      </c>
      <c r="Z598" t="n">
        <v>377</v>
      </c>
      <c r="AA598" t="n">
        <v>387</v>
      </c>
      <c r="AB598" t="n">
        <v>2</v>
      </c>
      <c r="AC598" t="n">
        <v>2</v>
      </c>
      <c r="AD598" t="n">
        <v>18</v>
      </c>
      <c r="AE598" t="n">
        <v>18</v>
      </c>
      <c r="AF598" t="n">
        <v>7</v>
      </c>
      <c r="AG598" t="n">
        <v>7</v>
      </c>
      <c r="AH598" t="n">
        <v>5</v>
      </c>
      <c r="AI598" t="n">
        <v>5</v>
      </c>
      <c r="AJ598" t="n">
        <v>10</v>
      </c>
      <c r="AK598" t="n">
        <v>10</v>
      </c>
      <c r="AL598" t="n">
        <v>1</v>
      </c>
      <c r="AM598" t="n">
        <v>1</v>
      </c>
      <c r="AN598" t="n">
        <v>0</v>
      </c>
      <c r="AO598" t="n">
        <v>0</v>
      </c>
      <c r="AP598" t="inlineStr">
        <is>
          <t>No</t>
        </is>
      </c>
      <c r="AQ598" t="inlineStr">
        <is>
          <t>Yes</t>
        </is>
      </c>
      <c r="AR598">
        <f>HYPERLINK("http://catalog.hathitrust.org/Record/004358227","HathiTrust Record")</f>
        <v/>
      </c>
      <c r="AS598">
        <f>HYPERLINK("https://creighton-primo.hosted.exlibrisgroup.com/primo-explore/search?tab=default_tab&amp;search_scope=EVERYTHING&amp;vid=01CRU&amp;lang=en_US&amp;offset=0&amp;query=any,contains,991004699999702656","Catalog Record")</f>
        <v/>
      </c>
      <c r="AT598">
        <f>HYPERLINK("http://www.worldcat.org/oclc/53796736","WorldCat Record")</f>
        <v/>
      </c>
      <c r="AU598" t="inlineStr">
        <is>
          <t>794726:eng</t>
        </is>
      </c>
      <c r="AV598" t="inlineStr">
        <is>
          <t>53796736</t>
        </is>
      </c>
      <c r="AW598" t="inlineStr">
        <is>
          <t>991004699999702656</t>
        </is>
      </c>
      <c r="AX598" t="inlineStr">
        <is>
          <t>991004699999702656</t>
        </is>
      </c>
      <c r="AY598" t="inlineStr">
        <is>
          <t>2268445730002656</t>
        </is>
      </c>
      <c r="AZ598" t="inlineStr">
        <is>
          <t>BOOK</t>
        </is>
      </c>
      <c r="BB598" t="inlineStr">
        <is>
          <t>9781893554894</t>
        </is>
      </c>
      <c r="BC598" t="inlineStr">
        <is>
          <t>32285005150452</t>
        </is>
      </c>
      <c r="BD598" t="inlineStr">
        <is>
          <t>893782553</t>
        </is>
      </c>
    </row>
    <row r="599">
      <c r="A599" t="inlineStr">
        <is>
          <t>No</t>
        </is>
      </c>
      <c r="B599" t="inlineStr">
        <is>
          <t>DS145 .T7</t>
        </is>
      </c>
      <c r="C599" t="inlineStr">
        <is>
          <t>0                      DS 0145000T  7</t>
        </is>
      </c>
      <c r="D599" t="inlineStr">
        <is>
          <t>The devil and the Jews, the medieval conception of the Jew and its relation to modern antisemitism, by Joshua Trachtenberg.</t>
        </is>
      </c>
      <c r="F599" t="inlineStr">
        <is>
          <t>No</t>
        </is>
      </c>
      <c r="G599" t="inlineStr">
        <is>
          <t>1</t>
        </is>
      </c>
      <c r="H599" t="inlineStr">
        <is>
          <t>No</t>
        </is>
      </c>
      <c r="I599" t="inlineStr">
        <is>
          <t>No</t>
        </is>
      </c>
      <c r="J599" t="inlineStr">
        <is>
          <t>0</t>
        </is>
      </c>
      <c r="K599" t="inlineStr">
        <is>
          <t>Trachtenberg, Joshua, 1904-1959.</t>
        </is>
      </c>
      <c r="L599" t="inlineStr">
        <is>
          <t>New Haven, Yale university press; London, H. Milford, Oxford University press, 1943.</t>
        </is>
      </c>
      <c r="M599" t="inlineStr">
        <is>
          <t>1943</t>
        </is>
      </c>
      <c r="O599" t="inlineStr">
        <is>
          <t>eng</t>
        </is>
      </c>
      <c r="P599" t="inlineStr">
        <is>
          <t xml:space="preserve">xx </t>
        </is>
      </c>
      <c r="R599" t="inlineStr">
        <is>
          <t xml:space="preserve">DS </t>
        </is>
      </c>
      <c r="S599" t="n">
        <v>3</v>
      </c>
      <c r="T599" t="n">
        <v>3</v>
      </c>
      <c r="U599" t="inlineStr">
        <is>
          <t>2004-03-03</t>
        </is>
      </c>
      <c r="V599" t="inlineStr">
        <is>
          <t>2004-03-03</t>
        </is>
      </c>
      <c r="W599" t="inlineStr">
        <is>
          <t>1997-02-27</t>
        </is>
      </c>
      <c r="X599" t="inlineStr">
        <is>
          <t>1997-02-27</t>
        </is>
      </c>
      <c r="Y599" t="n">
        <v>498</v>
      </c>
      <c r="Z599" t="n">
        <v>461</v>
      </c>
      <c r="AA599" t="n">
        <v>827</v>
      </c>
      <c r="AB599" t="n">
        <v>6</v>
      </c>
      <c r="AC599" t="n">
        <v>7</v>
      </c>
      <c r="AD599" t="n">
        <v>17</v>
      </c>
      <c r="AE599" t="n">
        <v>40</v>
      </c>
      <c r="AF599" t="n">
        <v>6</v>
      </c>
      <c r="AG599" t="n">
        <v>18</v>
      </c>
      <c r="AH599" t="n">
        <v>2</v>
      </c>
      <c r="AI599" t="n">
        <v>8</v>
      </c>
      <c r="AJ599" t="n">
        <v>7</v>
      </c>
      <c r="AK599" t="n">
        <v>18</v>
      </c>
      <c r="AL599" t="n">
        <v>5</v>
      </c>
      <c r="AM599" t="n">
        <v>6</v>
      </c>
      <c r="AN599" t="n">
        <v>0</v>
      </c>
      <c r="AO599" t="n">
        <v>0</v>
      </c>
      <c r="AP599" t="inlineStr">
        <is>
          <t>No</t>
        </is>
      </c>
      <c r="AQ599" t="inlineStr">
        <is>
          <t>Yes</t>
        </is>
      </c>
      <c r="AR599">
        <f>HYPERLINK("http://catalog.hathitrust.org/Record/000025824","HathiTrust Record")</f>
        <v/>
      </c>
      <c r="AS599">
        <f>HYPERLINK("https://creighton-primo.hosted.exlibrisgroup.com/primo-explore/search?tab=default_tab&amp;search_scope=EVERYTHING&amp;vid=01CRU&amp;lang=en_US&amp;offset=0&amp;query=any,contains,991003752899702656","Catalog Record")</f>
        <v/>
      </c>
      <c r="AT599">
        <f>HYPERLINK("http://www.worldcat.org/oclc/1431551","WorldCat Record")</f>
        <v/>
      </c>
      <c r="AU599" t="inlineStr">
        <is>
          <t>53960654:eng</t>
        </is>
      </c>
      <c r="AV599" t="inlineStr">
        <is>
          <t>1431551</t>
        </is>
      </c>
      <c r="AW599" t="inlineStr">
        <is>
          <t>991003752899702656</t>
        </is>
      </c>
      <c r="AX599" t="inlineStr">
        <is>
          <t>991003752899702656</t>
        </is>
      </c>
      <c r="AY599" t="inlineStr">
        <is>
          <t>2256481170002656</t>
        </is>
      </c>
      <c r="AZ599" t="inlineStr">
        <is>
          <t>BOOK</t>
        </is>
      </c>
      <c r="BC599" t="inlineStr">
        <is>
          <t>32285002463700</t>
        </is>
      </c>
      <c r="BD599" t="inlineStr">
        <is>
          <t>893410641</t>
        </is>
      </c>
    </row>
    <row r="600">
      <c r="A600" t="inlineStr">
        <is>
          <t>No</t>
        </is>
      </c>
      <c r="B600" t="inlineStr">
        <is>
          <t>DS145 .T9 1985</t>
        </is>
      </c>
      <c r="C600" t="inlineStr">
        <is>
          <t>0                      DS 0145000T  9           1985</t>
        </is>
      </c>
      <c r="D600" t="inlineStr">
        <is>
          <t>Concerning the Jews / Mark Twain.</t>
        </is>
      </c>
      <c r="F600" t="inlineStr">
        <is>
          <t>No</t>
        </is>
      </c>
      <c r="G600" t="inlineStr">
        <is>
          <t>1</t>
        </is>
      </c>
      <c r="H600" t="inlineStr">
        <is>
          <t>No</t>
        </is>
      </c>
      <c r="I600" t="inlineStr">
        <is>
          <t>No</t>
        </is>
      </c>
      <c r="J600" t="inlineStr">
        <is>
          <t>0</t>
        </is>
      </c>
      <c r="K600" t="inlineStr">
        <is>
          <t>Twain, Mark, 1835-1910.</t>
        </is>
      </c>
      <c r="L600" t="inlineStr">
        <is>
          <t>Philadelphia, Pa. : Running Press, c1985.</t>
        </is>
      </c>
      <c r="M600" t="inlineStr">
        <is>
          <t>1985</t>
        </is>
      </c>
      <c r="O600" t="inlineStr">
        <is>
          <t>eng</t>
        </is>
      </c>
      <c r="P600" t="inlineStr">
        <is>
          <t>pau</t>
        </is>
      </c>
      <c r="R600" t="inlineStr">
        <is>
          <t xml:space="preserve">DS </t>
        </is>
      </c>
      <c r="S600" t="n">
        <v>9</v>
      </c>
      <c r="T600" t="n">
        <v>9</v>
      </c>
      <c r="U600" t="inlineStr">
        <is>
          <t>1999-05-06</t>
        </is>
      </c>
      <c r="V600" t="inlineStr">
        <is>
          <t>1999-05-06</t>
        </is>
      </c>
      <c r="W600" t="inlineStr">
        <is>
          <t>1990-10-03</t>
        </is>
      </c>
      <c r="X600" t="inlineStr">
        <is>
          <t>1990-10-03</t>
        </is>
      </c>
      <c r="Y600" t="n">
        <v>156</v>
      </c>
      <c r="Z600" t="n">
        <v>141</v>
      </c>
      <c r="AA600" t="n">
        <v>179</v>
      </c>
      <c r="AB600" t="n">
        <v>2</v>
      </c>
      <c r="AC600" t="n">
        <v>2</v>
      </c>
      <c r="AD600" t="n">
        <v>5</v>
      </c>
      <c r="AE600" t="n">
        <v>6</v>
      </c>
      <c r="AF600" t="n">
        <v>3</v>
      </c>
      <c r="AG600" t="n">
        <v>3</v>
      </c>
      <c r="AH600" t="n">
        <v>0</v>
      </c>
      <c r="AI600" t="n">
        <v>0</v>
      </c>
      <c r="AJ600" t="n">
        <v>3</v>
      </c>
      <c r="AK600" t="n">
        <v>4</v>
      </c>
      <c r="AL600" t="n">
        <v>1</v>
      </c>
      <c r="AM600" t="n">
        <v>1</v>
      </c>
      <c r="AN600" t="n">
        <v>0</v>
      </c>
      <c r="AO600" t="n">
        <v>0</v>
      </c>
      <c r="AP600" t="inlineStr">
        <is>
          <t>No</t>
        </is>
      </c>
      <c r="AQ600" t="inlineStr">
        <is>
          <t>No</t>
        </is>
      </c>
      <c r="AS600">
        <f>HYPERLINK("https://creighton-primo.hosted.exlibrisgroup.com/primo-explore/search?tab=default_tab&amp;search_scope=EVERYTHING&amp;vid=01CRU&amp;lang=en_US&amp;offset=0&amp;query=any,contains,991000567829702656","Catalog Record")</f>
        <v/>
      </c>
      <c r="AT600">
        <f>HYPERLINK("http://www.worldcat.org/oclc/11623580","WorldCat Record")</f>
        <v/>
      </c>
      <c r="AU600" t="inlineStr">
        <is>
          <t>4164284:eng</t>
        </is>
      </c>
      <c r="AV600" t="inlineStr">
        <is>
          <t>11623580</t>
        </is>
      </c>
      <c r="AW600" t="inlineStr">
        <is>
          <t>991000567829702656</t>
        </is>
      </c>
      <c r="AX600" t="inlineStr">
        <is>
          <t>991000567829702656</t>
        </is>
      </c>
      <c r="AY600" t="inlineStr">
        <is>
          <t>2262181710002656</t>
        </is>
      </c>
      <c r="AZ600" t="inlineStr">
        <is>
          <t>BOOK</t>
        </is>
      </c>
      <c r="BB600" t="inlineStr">
        <is>
          <t>9780894713354</t>
        </is>
      </c>
      <c r="BC600" t="inlineStr">
        <is>
          <t>32285000294883</t>
        </is>
      </c>
      <c r="BD600" t="inlineStr">
        <is>
          <t>893502590</t>
        </is>
      </c>
    </row>
    <row r="601">
      <c r="A601" t="inlineStr">
        <is>
          <t>No</t>
        </is>
      </c>
      <c r="B601" t="inlineStr">
        <is>
          <t>DS146.E8 J49 1995</t>
        </is>
      </c>
      <c r="C601" t="inlineStr">
        <is>
          <t>0                      DS 0146000E  8                  J  49          1995</t>
        </is>
      </c>
      <c r="D601" t="inlineStr">
        <is>
          <t>The Jewish experience of European anti-semitism : Harry H. Kahn Memorial Lectures (1990-1994) / edited by Hazel Kahn Keimowitz and Wolfgang Mieder.</t>
        </is>
      </c>
      <c r="F601" t="inlineStr">
        <is>
          <t>No</t>
        </is>
      </c>
      <c r="G601" t="inlineStr">
        <is>
          <t>1</t>
        </is>
      </c>
      <c r="H601" t="inlineStr">
        <is>
          <t>No</t>
        </is>
      </c>
      <c r="I601" t="inlineStr">
        <is>
          <t>No</t>
        </is>
      </c>
      <c r="J601" t="inlineStr">
        <is>
          <t>0</t>
        </is>
      </c>
      <c r="L601" t="inlineStr">
        <is>
          <t>Burlington, Vermont : Center for Holocaust Studies at the University of Vermont, 1995.</t>
        </is>
      </c>
      <c r="M601" t="inlineStr">
        <is>
          <t>1995</t>
        </is>
      </c>
      <c r="O601" t="inlineStr">
        <is>
          <t>eng</t>
        </is>
      </c>
      <c r="P601" t="inlineStr">
        <is>
          <t>vtu</t>
        </is>
      </c>
      <c r="R601" t="inlineStr">
        <is>
          <t xml:space="preserve">DS </t>
        </is>
      </c>
      <c r="S601" t="n">
        <v>2</v>
      </c>
      <c r="T601" t="n">
        <v>2</v>
      </c>
      <c r="U601" t="inlineStr">
        <is>
          <t>2008-05-01</t>
        </is>
      </c>
      <c r="V601" t="inlineStr">
        <is>
          <t>2008-05-01</t>
        </is>
      </c>
      <c r="W601" t="inlineStr">
        <is>
          <t>1995-06-01</t>
        </is>
      </c>
      <c r="X601" t="inlineStr">
        <is>
          <t>1995-06-01</t>
        </is>
      </c>
      <c r="Y601" t="n">
        <v>272</v>
      </c>
      <c r="Z601" t="n">
        <v>262</v>
      </c>
      <c r="AA601" t="n">
        <v>263</v>
      </c>
      <c r="AB601" t="n">
        <v>4</v>
      </c>
      <c r="AC601" t="n">
        <v>4</v>
      </c>
      <c r="AD601" t="n">
        <v>15</v>
      </c>
      <c r="AE601" t="n">
        <v>15</v>
      </c>
      <c r="AF601" t="n">
        <v>3</v>
      </c>
      <c r="AG601" t="n">
        <v>3</v>
      </c>
      <c r="AH601" t="n">
        <v>5</v>
      </c>
      <c r="AI601" t="n">
        <v>5</v>
      </c>
      <c r="AJ601" t="n">
        <v>9</v>
      </c>
      <c r="AK601" t="n">
        <v>9</v>
      </c>
      <c r="AL601" t="n">
        <v>3</v>
      </c>
      <c r="AM601" t="n">
        <v>3</v>
      </c>
      <c r="AN601" t="n">
        <v>0</v>
      </c>
      <c r="AO601" t="n">
        <v>0</v>
      </c>
      <c r="AP601" t="inlineStr">
        <is>
          <t>No</t>
        </is>
      </c>
      <c r="AQ601" t="inlineStr">
        <is>
          <t>Yes</t>
        </is>
      </c>
      <c r="AR601">
        <f>HYPERLINK("http://catalog.hathitrust.org/Record/002997933","HathiTrust Record")</f>
        <v/>
      </c>
      <c r="AS601">
        <f>HYPERLINK("https://creighton-primo.hosted.exlibrisgroup.com/primo-explore/search?tab=default_tab&amp;search_scope=EVERYTHING&amp;vid=01CRU&amp;lang=en_US&amp;offset=0&amp;query=any,contains,991002493519702656","Catalog Record")</f>
        <v/>
      </c>
      <c r="AT601">
        <f>HYPERLINK("http://www.worldcat.org/oclc/32443199","WorldCat Record")</f>
        <v/>
      </c>
      <c r="AU601" t="inlineStr">
        <is>
          <t>435752862:eng</t>
        </is>
      </c>
      <c r="AV601" t="inlineStr">
        <is>
          <t>32443199</t>
        </is>
      </c>
      <c r="AW601" t="inlineStr">
        <is>
          <t>991002493519702656</t>
        </is>
      </c>
      <c r="AX601" t="inlineStr">
        <is>
          <t>991002493519702656</t>
        </is>
      </c>
      <c r="AY601" t="inlineStr">
        <is>
          <t>2257199570002656</t>
        </is>
      </c>
      <c r="AZ601" t="inlineStr">
        <is>
          <t>BOOK</t>
        </is>
      </c>
      <c r="BC601" t="inlineStr">
        <is>
          <t>32285002056165</t>
        </is>
      </c>
      <c r="BD601" t="inlineStr">
        <is>
          <t>893498183</t>
        </is>
      </c>
    </row>
    <row r="602">
      <c r="A602" t="inlineStr">
        <is>
          <t>No</t>
        </is>
      </c>
      <c r="B602" t="inlineStr">
        <is>
          <t>DS146.E85 S88 1998</t>
        </is>
      </c>
      <c r="C602" t="inlineStr">
        <is>
          <t>0                      DS 0146000E  85                 S  88          1998</t>
        </is>
      </c>
      <c r="D602" t="inlineStr">
        <is>
          <t>Paths to genocide : antisemitism in Western history / Lionel B. Steiman.</t>
        </is>
      </c>
      <c r="F602" t="inlineStr">
        <is>
          <t>No</t>
        </is>
      </c>
      <c r="G602" t="inlineStr">
        <is>
          <t>1</t>
        </is>
      </c>
      <c r="H602" t="inlineStr">
        <is>
          <t>No</t>
        </is>
      </c>
      <c r="I602" t="inlineStr">
        <is>
          <t>No</t>
        </is>
      </c>
      <c r="J602" t="inlineStr">
        <is>
          <t>0</t>
        </is>
      </c>
      <c r="K602" t="inlineStr">
        <is>
          <t>Steiman, Lionel B. (Lionel Bradley), 1941-</t>
        </is>
      </c>
      <c r="L602" t="inlineStr">
        <is>
          <t>New York, N.Y. : St. Martin's Press, 1998.</t>
        </is>
      </c>
      <c r="M602" t="inlineStr">
        <is>
          <t>1998</t>
        </is>
      </c>
      <c r="O602" t="inlineStr">
        <is>
          <t>eng</t>
        </is>
      </c>
      <c r="P602" t="inlineStr">
        <is>
          <t>nyu</t>
        </is>
      </c>
      <c r="R602" t="inlineStr">
        <is>
          <t xml:space="preserve">DS </t>
        </is>
      </c>
      <c r="S602" t="n">
        <v>1</v>
      </c>
      <c r="T602" t="n">
        <v>1</v>
      </c>
      <c r="U602" t="inlineStr">
        <is>
          <t>2004-04-07</t>
        </is>
      </c>
      <c r="V602" t="inlineStr">
        <is>
          <t>2004-04-07</t>
        </is>
      </c>
      <c r="W602" t="inlineStr">
        <is>
          <t>1998-11-11</t>
        </is>
      </c>
      <c r="X602" t="inlineStr">
        <is>
          <t>1998-11-11</t>
        </is>
      </c>
      <c r="Y602" t="n">
        <v>327</v>
      </c>
      <c r="Z602" t="n">
        <v>276</v>
      </c>
      <c r="AA602" t="n">
        <v>327</v>
      </c>
      <c r="AB602" t="n">
        <v>2</v>
      </c>
      <c r="AC602" t="n">
        <v>3</v>
      </c>
      <c r="AD602" t="n">
        <v>20</v>
      </c>
      <c r="AE602" t="n">
        <v>22</v>
      </c>
      <c r="AF602" t="n">
        <v>6</v>
      </c>
      <c r="AG602" t="n">
        <v>7</v>
      </c>
      <c r="AH602" t="n">
        <v>7</v>
      </c>
      <c r="AI602" t="n">
        <v>7</v>
      </c>
      <c r="AJ602" t="n">
        <v>12</v>
      </c>
      <c r="AK602" t="n">
        <v>13</v>
      </c>
      <c r="AL602" t="n">
        <v>1</v>
      </c>
      <c r="AM602" t="n">
        <v>2</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HYPERLINK("https://creighton-primo.hosted.exlibrisgroup.com/primo-explore/search?tab=default_tab&amp;search_scope=EVERYTHING&amp;vid=01CRU&amp;lang=en_US&amp;offset=0&amp;query=any,contains,991002826809702656","Catalog Record")</f>
        <v/>
      </c>
      <c r="AT602">
        <f>HYPERLINK("http://www.worldcat.org/oclc/37220709","WorldCat Record")</f>
        <v/>
      </c>
      <c r="AU602" t="inlineStr">
        <is>
          <t>638999:eng</t>
        </is>
      </c>
      <c r="AV602" t="inlineStr">
        <is>
          <t>37220709</t>
        </is>
      </c>
      <c r="AW602" t="inlineStr">
        <is>
          <t>991002826809702656</t>
        </is>
      </c>
      <c r="AX602" t="inlineStr">
        <is>
          <t>991002826809702656</t>
        </is>
      </c>
      <c r="AY602" t="inlineStr">
        <is>
          <t>2259653640002656</t>
        </is>
      </c>
      <c r="AZ602" t="inlineStr">
        <is>
          <t>BOOK</t>
        </is>
      </c>
      <c r="BB602" t="inlineStr">
        <is>
          <t>9780312210465</t>
        </is>
      </c>
      <c r="BC602" t="inlineStr">
        <is>
          <t>32285003487823</t>
        </is>
      </c>
      <c r="BD602" t="inlineStr">
        <is>
          <t>893511244</t>
        </is>
      </c>
    </row>
    <row r="603">
      <c r="A603" t="inlineStr">
        <is>
          <t>No</t>
        </is>
      </c>
      <c r="B603" t="inlineStr">
        <is>
          <t>DS146.E85 W45 2003</t>
        </is>
      </c>
      <c r="C603" t="inlineStr">
        <is>
          <t>0                      DS 0146000E  85                 W  45          2003</t>
        </is>
      </c>
      <c r="D603" t="inlineStr">
        <is>
          <t>The politics of hate : anti-Semitism, history, and the Holocaust in modern Europe / John Weiss.</t>
        </is>
      </c>
      <c r="F603" t="inlineStr">
        <is>
          <t>No</t>
        </is>
      </c>
      <c r="G603" t="inlineStr">
        <is>
          <t>1</t>
        </is>
      </c>
      <c r="H603" t="inlineStr">
        <is>
          <t>No</t>
        </is>
      </c>
      <c r="I603" t="inlineStr">
        <is>
          <t>No</t>
        </is>
      </c>
      <c r="J603" t="inlineStr">
        <is>
          <t>0</t>
        </is>
      </c>
      <c r="K603" t="inlineStr">
        <is>
          <t>Weiss, John, 1927-</t>
        </is>
      </c>
      <c r="L603" t="inlineStr">
        <is>
          <t>Chicago : Ivan R. Dee, c2003.</t>
        </is>
      </c>
      <c r="M603" t="inlineStr">
        <is>
          <t>2003</t>
        </is>
      </c>
      <c r="O603" t="inlineStr">
        <is>
          <t>eng</t>
        </is>
      </c>
      <c r="P603" t="inlineStr">
        <is>
          <t>ilu</t>
        </is>
      </c>
      <c r="R603" t="inlineStr">
        <is>
          <t xml:space="preserve">DS </t>
        </is>
      </c>
      <c r="S603" t="n">
        <v>2</v>
      </c>
      <c r="T603" t="n">
        <v>2</v>
      </c>
      <c r="U603" t="inlineStr">
        <is>
          <t>2007-10-18</t>
        </is>
      </c>
      <c r="V603" t="inlineStr">
        <is>
          <t>2007-10-18</t>
        </is>
      </c>
      <c r="W603" t="inlineStr">
        <is>
          <t>2003-06-23</t>
        </is>
      </c>
      <c r="X603" t="inlineStr">
        <is>
          <t>2003-06-23</t>
        </is>
      </c>
      <c r="Y603" t="n">
        <v>594</v>
      </c>
      <c r="Z603" t="n">
        <v>494</v>
      </c>
      <c r="AA603" t="n">
        <v>497</v>
      </c>
      <c r="AB603" t="n">
        <v>2</v>
      </c>
      <c r="AC603" t="n">
        <v>2</v>
      </c>
      <c r="AD603" t="n">
        <v>21</v>
      </c>
      <c r="AE603" t="n">
        <v>21</v>
      </c>
      <c r="AF603" t="n">
        <v>8</v>
      </c>
      <c r="AG603" t="n">
        <v>8</v>
      </c>
      <c r="AH603" t="n">
        <v>6</v>
      </c>
      <c r="AI603" t="n">
        <v>6</v>
      </c>
      <c r="AJ603" t="n">
        <v>12</v>
      </c>
      <c r="AK603" t="n">
        <v>12</v>
      </c>
      <c r="AL603" t="n">
        <v>1</v>
      </c>
      <c r="AM603" t="n">
        <v>1</v>
      </c>
      <c r="AN603" t="n">
        <v>1</v>
      </c>
      <c r="AO603" t="n">
        <v>1</v>
      </c>
      <c r="AP603" t="inlineStr">
        <is>
          <t>No</t>
        </is>
      </c>
      <c r="AQ603" t="inlineStr">
        <is>
          <t>Yes</t>
        </is>
      </c>
      <c r="AR603">
        <f>HYPERLINK("http://catalog.hathitrust.org/Record/004314680","HathiTrust Record")</f>
        <v/>
      </c>
      <c r="AS603">
        <f>HYPERLINK("https://creighton-primo.hosted.exlibrisgroup.com/primo-explore/search?tab=default_tab&amp;search_scope=EVERYTHING&amp;vid=01CRU&amp;lang=en_US&amp;offset=0&amp;query=any,contains,991004074509702656","Catalog Record")</f>
        <v/>
      </c>
      <c r="AT603">
        <f>HYPERLINK("http://www.worldcat.org/oclc/50441628","WorldCat Record")</f>
        <v/>
      </c>
      <c r="AU603" t="inlineStr">
        <is>
          <t>899187295:eng</t>
        </is>
      </c>
      <c r="AV603" t="inlineStr">
        <is>
          <t>50441628</t>
        </is>
      </c>
      <c r="AW603" t="inlineStr">
        <is>
          <t>991004074509702656</t>
        </is>
      </c>
      <c r="AX603" t="inlineStr">
        <is>
          <t>991004074509702656</t>
        </is>
      </c>
      <c r="AY603" t="inlineStr">
        <is>
          <t>2258639660002656</t>
        </is>
      </c>
      <c r="AZ603" t="inlineStr">
        <is>
          <t>BOOK</t>
        </is>
      </c>
      <c r="BB603" t="inlineStr">
        <is>
          <t>9781566634922</t>
        </is>
      </c>
      <c r="BC603" t="inlineStr">
        <is>
          <t>32285004753942</t>
        </is>
      </c>
      <c r="BD603" t="inlineStr">
        <is>
          <t>893712125</t>
        </is>
      </c>
    </row>
    <row r="604">
      <c r="A604" t="inlineStr">
        <is>
          <t>No</t>
        </is>
      </c>
      <c r="B604" t="inlineStr">
        <is>
          <t>DS146.F8 B87 1986</t>
        </is>
      </c>
      <c r="C604" t="inlineStr">
        <is>
          <t>0                      DS 0146000F  8                  B  87          1986</t>
        </is>
      </c>
      <c r="D604" t="inlineStr">
        <is>
          <t>The pope of antisemitism : the career and legacy of Edouard-Adolphe Drumont / Frederick Busi.</t>
        </is>
      </c>
      <c r="F604" t="inlineStr">
        <is>
          <t>No</t>
        </is>
      </c>
      <c r="G604" t="inlineStr">
        <is>
          <t>1</t>
        </is>
      </c>
      <c r="H604" t="inlineStr">
        <is>
          <t>No</t>
        </is>
      </c>
      <c r="I604" t="inlineStr">
        <is>
          <t>No</t>
        </is>
      </c>
      <c r="J604" t="inlineStr">
        <is>
          <t>0</t>
        </is>
      </c>
      <c r="K604" t="inlineStr">
        <is>
          <t>Busi, Frederick.</t>
        </is>
      </c>
      <c r="L604" t="inlineStr">
        <is>
          <t>Lanham : University Press of America, c1986.</t>
        </is>
      </c>
      <c r="M604" t="inlineStr">
        <is>
          <t>1986</t>
        </is>
      </c>
      <c r="O604" t="inlineStr">
        <is>
          <t>eng</t>
        </is>
      </c>
      <c r="P604" t="inlineStr">
        <is>
          <t>mdu</t>
        </is>
      </c>
      <c r="R604" t="inlineStr">
        <is>
          <t xml:space="preserve">DS </t>
        </is>
      </c>
      <c r="S604" t="n">
        <v>0</v>
      </c>
      <c r="T604" t="n">
        <v>0</v>
      </c>
      <c r="U604" t="inlineStr">
        <is>
          <t>2006-10-10</t>
        </is>
      </c>
      <c r="V604" t="inlineStr">
        <is>
          <t>2006-10-10</t>
        </is>
      </c>
      <c r="W604" t="inlineStr">
        <is>
          <t>1990-10-03</t>
        </is>
      </c>
      <c r="X604" t="inlineStr">
        <is>
          <t>1990-10-03</t>
        </is>
      </c>
      <c r="Y604" t="n">
        <v>283</v>
      </c>
      <c r="Z604" t="n">
        <v>224</v>
      </c>
      <c r="AA604" t="n">
        <v>226</v>
      </c>
      <c r="AB604" t="n">
        <v>2</v>
      </c>
      <c r="AC604" t="n">
        <v>2</v>
      </c>
      <c r="AD604" t="n">
        <v>11</v>
      </c>
      <c r="AE604" t="n">
        <v>11</v>
      </c>
      <c r="AF604" t="n">
        <v>1</v>
      </c>
      <c r="AG604" t="n">
        <v>1</v>
      </c>
      <c r="AH604" t="n">
        <v>5</v>
      </c>
      <c r="AI604" t="n">
        <v>5</v>
      </c>
      <c r="AJ604" t="n">
        <v>7</v>
      </c>
      <c r="AK604" t="n">
        <v>7</v>
      </c>
      <c r="AL604" t="n">
        <v>1</v>
      </c>
      <c r="AM604" t="n">
        <v>1</v>
      </c>
      <c r="AN604" t="n">
        <v>0</v>
      </c>
      <c r="AO604" t="n">
        <v>0</v>
      </c>
      <c r="AP604" t="inlineStr">
        <is>
          <t>No</t>
        </is>
      </c>
      <c r="AQ604" t="inlineStr">
        <is>
          <t>Yes</t>
        </is>
      </c>
      <c r="AR604">
        <f>HYPERLINK("http://catalog.hathitrust.org/Record/000486484","HathiTrust Record")</f>
        <v/>
      </c>
      <c r="AS604">
        <f>HYPERLINK("https://creighton-primo.hosted.exlibrisgroup.com/primo-explore/search?tab=default_tab&amp;search_scope=EVERYTHING&amp;vid=01CRU&amp;lang=en_US&amp;offset=0&amp;query=any,contains,991000886529702656","Catalog Record")</f>
        <v/>
      </c>
      <c r="AT604">
        <f>HYPERLINK("http://www.worldcat.org/oclc/13861408","WorldCat Record")</f>
        <v/>
      </c>
      <c r="AU604" t="inlineStr">
        <is>
          <t>836659375:eng</t>
        </is>
      </c>
      <c r="AV604" t="inlineStr">
        <is>
          <t>13861408</t>
        </is>
      </c>
      <c r="AW604" t="inlineStr">
        <is>
          <t>991000886529702656</t>
        </is>
      </c>
      <c r="AX604" t="inlineStr">
        <is>
          <t>991000886529702656</t>
        </is>
      </c>
      <c r="AY604" t="inlineStr">
        <is>
          <t>2262360280002656</t>
        </is>
      </c>
      <c r="AZ604" t="inlineStr">
        <is>
          <t>BOOK</t>
        </is>
      </c>
      <c r="BB604" t="inlineStr">
        <is>
          <t>9780819155955</t>
        </is>
      </c>
      <c r="BC604" t="inlineStr">
        <is>
          <t>32285000294891</t>
        </is>
      </c>
      <c r="BD604" t="inlineStr">
        <is>
          <t>893237694</t>
        </is>
      </c>
    </row>
    <row r="605">
      <c r="A605" t="inlineStr">
        <is>
          <t>No</t>
        </is>
      </c>
      <c r="B605" t="inlineStr">
        <is>
          <t>DS146.F8 T3413 2004</t>
        </is>
      </c>
      <c r="C605" t="inlineStr">
        <is>
          <t>0                      DS 0146000F  8                  T  3413        2004</t>
        </is>
      </c>
      <c r="D605" t="inlineStr">
        <is>
          <t>Rising from the muck : the new anti-semitism in Europe / Pierre-Andrae Taguieff ; translated from the French by Patrick Camiller ; with a foreword by Radu Ioanid.</t>
        </is>
      </c>
      <c r="F605" t="inlineStr">
        <is>
          <t>No</t>
        </is>
      </c>
      <c r="G605" t="inlineStr">
        <is>
          <t>1</t>
        </is>
      </c>
      <c r="H605" t="inlineStr">
        <is>
          <t>No</t>
        </is>
      </c>
      <c r="I605" t="inlineStr">
        <is>
          <t>No</t>
        </is>
      </c>
      <c r="J605" t="inlineStr">
        <is>
          <t>0</t>
        </is>
      </c>
      <c r="K605" t="inlineStr">
        <is>
          <t>Taguieff, Pierre-Andrae.</t>
        </is>
      </c>
      <c r="L605" t="inlineStr">
        <is>
          <t>Chicago : Ivan R. Dee, 2004.</t>
        </is>
      </c>
      <c r="M605" t="inlineStr">
        <is>
          <t>2004</t>
        </is>
      </c>
      <c r="O605" t="inlineStr">
        <is>
          <t>eng</t>
        </is>
      </c>
      <c r="P605" t="inlineStr">
        <is>
          <t>ilu</t>
        </is>
      </c>
      <c r="R605" t="inlineStr">
        <is>
          <t xml:space="preserve">DS </t>
        </is>
      </c>
      <c r="S605" t="n">
        <v>1</v>
      </c>
      <c r="T605" t="n">
        <v>1</v>
      </c>
      <c r="U605" t="inlineStr">
        <is>
          <t>2004-06-27</t>
        </is>
      </c>
      <c r="V605" t="inlineStr">
        <is>
          <t>2004-06-27</t>
        </is>
      </c>
      <c r="W605" t="inlineStr">
        <is>
          <t>2004-06-27</t>
        </is>
      </c>
      <c r="X605" t="inlineStr">
        <is>
          <t>2004-06-27</t>
        </is>
      </c>
      <c r="Y605" t="n">
        <v>410</v>
      </c>
      <c r="Z605" t="n">
        <v>355</v>
      </c>
      <c r="AA605" t="n">
        <v>360</v>
      </c>
      <c r="AB605" t="n">
        <v>2</v>
      </c>
      <c r="AC605" t="n">
        <v>2</v>
      </c>
      <c r="AD605" t="n">
        <v>15</v>
      </c>
      <c r="AE605" t="n">
        <v>15</v>
      </c>
      <c r="AF605" t="n">
        <v>7</v>
      </c>
      <c r="AG605" t="n">
        <v>7</v>
      </c>
      <c r="AH605" t="n">
        <v>3</v>
      </c>
      <c r="AI605" t="n">
        <v>3</v>
      </c>
      <c r="AJ605" t="n">
        <v>9</v>
      </c>
      <c r="AK605" t="n">
        <v>9</v>
      </c>
      <c r="AL605" t="n">
        <v>1</v>
      </c>
      <c r="AM605" t="n">
        <v>1</v>
      </c>
      <c r="AN605" t="n">
        <v>0</v>
      </c>
      <c r="AO605" t="n">
        <v>0</v>
      </c>
      <c r="AP605" t="inlineStr">
        <is>
          <t>No</t>
        </is>
      </c>
      <c r="AQ605" t="inlineStr">
        <is>
          <t>Yes</t>
        </is>
      </c>
      <c r="AR605">
        <f>HYPERLINK("http://catalog.hathitrust.org/Record/004736310","HathiTrust Record")</f>
        <v/>
      </c>
      <c r="AS605">
        <f>HYPERLINK("https://creighton-primo.hosted.exlibrisgroup.com/primo-explore/search?tab=default_tab&amp;search_scope=EVERYTHING&amp;vid=01CRU&amp;lang=en_US&amp;offset=0&amp;query=any,contains,991004300609702656","Catalog Record")</f>
        <v/>
      </c>
      <c r="AT605">
        <f>HYPERLINK("http://www.worldcat.org/oclc/53462223","WorldCat Record")</f>
        <v/>
      </c>
      <c r="AU605" t="inlineStr">
        <is>
          <t>475685059:eng</t>
        </is>
      </c>
      <c r="AV605" t="inlineStr">
        <is>
          <t>53462223</t>
        </is>
      </c>
      <c r="AW605" t="inlineStr">
        <is>
          <t>991004300609702656</t>
        </is>
      </c>
      <c r="AX605" t="inlineStr">
        <is>
          <t>991004300609702656</t>
        </is>
      </c>
      <c r="AY605" t="inlineStr">
        <is>
          <t>2255888690002656</t>
        </is>
      </c>
      <c r="AZ605" t="inlineStr">
        <is>
          <t>BOOK</t>
        </is>
      </c>
      <c r="BB605" t="inlineStr">
        <is>
          <t>9781566635714</t>
        </is>
      </c>
      <c r="BC605" t="inlineStr">
        <is>
          <t>32285004921408</t>
        </is>
      </c>
      <c r="BD605" t="inlineStr">
        <is>
          <t>893235307</t>
        </is>
      </c>
    </row>
    <row r="606">
      <c r="A606" t="inlineStr">
        <is>
          <t>No</t>
        </is>
      </c>
      <c r="B606" t="inlineStr">
        <is>
          <t>DS146.F8 W54 1982</t>
        </is>
      </c>
      <c r="C606" t="inlineStr">
        <is>
          <t>0                      DS 0146000F  8                  W  54          1982</t>
        </is>
      </c>
      <c r="D606" t="inlineStr">
        <is>
          <t>Ideology and experience : antisemitism in France at the time of the Dreyfus affair / Stephen Wilson.</t>
        </is>
      </c>
      <c r="F606" t="inlineStr">
        <is>
          <t>No</t>
        </is>
      </c>
      <c r="G606" t="inlineStr">
        <is>
          <t>1</t>
        </is>
      </c>
      <c r="H606" t="inlineStr">
        <is>
          <t>No</t>
        </is>
      </c>
      <c r="I606" t="inlineStr">
        <is>
          <t>No</t>
        </is>
      </c>
      <c r="J606" t="inlineStr">
        <is>
          <t>0</t>
        </is>
      </c>
      <c r="K606" t="inlineStr">
        <is>
          <t>Wilson, Stephen, 1941-</t>
        </is>
      </c>
      <c r="L606" t="inlineStr">
        <is>
          <t>Rutherford, [N.J.] : Fairleigh Dickinson University Press ; London : Associated University Presses, c1982.</t>
        </is>
      </c>
      <c r="M606" t="inlineStr">
        <is>
          <t>1982</t>
        </is>
      </c>
      <c r="O606" t="inlineStr">
        <is>
          <t>eng</t>
        </is>
      </c>
      <c r="P606" t="inlineStr">
        <is>
          <t>nju</t>
        </is>
      </c>
      <c r="Q606" t="inlineStr">
        <is>
          <t>The Littman library of Jewish civilization</t>
        </is>
      </c>
      <c r="R606" t="inlineStr">
        <is>
          <t xml:space="preserve">DS </t>
        </is>
      </c>
      <c r="S606" t="n">
        <v>0</v>
      </c>
      <c r="T606" t="n">
        <v>0</v>
      </c>
      <c r="U606" t="inlineStr">
        <is>
          <t>2002-12-09</t>
        </is>
      </c>
      <c r="V606" t="inlineStr">
        <is>
          <t>2002-12-09</t>
        </is>
      </c>
      <c r="W606" t="inlineStr">
        <is>
          <t>1992-01-06</t>
        </is>
      </c>
      <c r="X606" t="inlineStr">
        <is>
          <t>1992-01-06</t>
        </is>
      </c>
      <c r="Y606" t="n">
        <v>424</v>
      </c>
      <c r="Z606" t="n">
        <v>284</v>
      </c>
      <c r="AA606" t="n">
        <v>727</v>
      </c>
      <c r="AB606" t="n">
        <v>2</v>
      </c>
      <c r="AC606" t="n">
        <v>6</v>
      </c>
      <c r="AD606" t="n">
        <v>15</v>
      </c>
      <c r="AE606" t="n">
        <v>38</v>
      </c>
      <c r="AF606" t="n">
        <v>4</v>
      </c>
      <c r="AG606" t="n">
        <v>15</v>
      </c>
      <c r="AH606" t="n">
        <v>5</v>
      </c>
      <c r="AI606" t="n">
        <v>10</v>
      </c>
      <c r="AJ606" t="n">
        <v>11</v>
      </c>
      <c r="AK606" t="n">
        <v>16</v>
      </c>
      <c r="AL606" t="n">
        <v>1</v>
      </c>
      <c r="AM606" t="n">
        <v>5</v>
      </c>
      <c r="AN606" t="n">
        <v>0</v>
      </c>
      <c r="AO606" t="n">
        <v>1</v>
      </c>
      <c r="AP606" t="inlineStr">
        <is>
          <t>No</t>
        </is>
      </c>
      <c r="AQ606" t="inlineStr">
        <is>
          <t>Yes</t>
        </is>
      </c>
      <c r="AR606">
        <f>HYPERLINK("http://catalog.hathitrust.org/Record/000763122","HathiTrust Record")</f>
        <v/>
      </c>
      <c r="AS606">
        <f>HYPERLINK("https://creighton-primo.hosted.exlibrisgroup.com/primo-explore/search?tab=default_tab&amp;search_scope=EVERYTHING&amp;vid=01CRU&amp;lang=en_US&amp;offset=0&amp;query=any,contains,991005114549702656","Catalog Record")</f>
        <v/>
      </c>
      <c r="AT606">
        <f>HYPERLINK("http://www.worldcat.org/oclc/7461158","WorldCat Record")</f>
        <v/>
      </c>
      <c r="AU606" t="inlineStr">
        <is>
          <t>251123313:eng</t>
        </is>
      </c>
      <c r="AV606" t="inlineStr">
        <is>
          <t>7461158</t>
        </is>
      </c>
      <c r="AW606" t="inlineStr">
        <is>
          <t>991005114549702656</t>
        </is>
      </c>
      <c r="AX606" t="inlineStr">
        <is>
          <t>991005114549702656</t>
        </is>
      </c>
      <c r="AY606" t="inlineStr">
        <is>
          <t>2266068440002656</t>
        </is>
      </c>
      <c r="AZ606" t="inlineStr">
        <is>
          <t>BOOK</t>
        </is>
      </c>
      <c r="BB606" t="inlineStr">
        <is>
          <t>9780838630372</t>
        </is>
      </c>
      <c r="BC606" t="inlineStr">
        <is>
          <t>32285000892645</t>
        </is>
      </c>
      <c r="BD606" t="inlineStr">
        <is>
          <t>893870539</t>
        </is>
      </c>
    </row>
    <row r="607">
      <c r="A607" t="inlineStr">
        <is>
          <t>No</t>
        </is>
      </c>
      <c r="B607" t="inlineStr">
        <is>
          <t>DS146.G4 B4713 1997</t>
        </is>
      </c>
      <c r="C607" t="inlineStr">
        <is>
          <t>0                      DS 0146000G  4                  B  4713        1997</t>
        </is>
      </c>
      <c r="D607" t="inlineStr">
        <is>
          <t>Anti-semitism in Germany : the post-Nazi epoch since 1945 / Werner Bergmann and Rainer Erb ; translated by Belinda Cooper and Allison Brown.</t>
        </is>
      </c>
      <c r="F607" t="inlineStr">
        <is>
          <t>No</t>
        </is>
      </c>
      <c r="G607" t="inlineStr">
        <is>
          <t>1</t>
        </is>
      </c>
      <c r="H607" t="inlineStr">
        <is>
          <t>No</t>
        </is>
      </c>
      <c r="I607" t="inlineStr">
        <is>
          <t>No</t>
        </is>
      </c>
      <c r="J607" t="inlineStr">
        <is>
          <t>0</t>
        </is>
      </c>
      <c r="K607" t="inlineStr">
        <is>
          <t>Bergmann, Werner, 1950-</t>
        </is>
      </c>
      <c r="L607" t="inlineStr">
        <is>
          <t>New Brunswick, N.J. : Transaction, c1997.</t>
        </is>
      </c>
      <c r="M607" t="inlineStr">
        <is>
          <t>1997</t>
        </is>
      </c>
      <c r="O607" t="inlineStr">
        <is>
          <t>eng</t>
        </is>
      </c>
      <c r="P607" t="inlineStr">
        <is>
          <t>nju</t>
        </is>
      </c>
      <c r="R607" t="inlineStr">
        <is>
          <t xml:space="preserve">DS </t>
        </is>
      </c>
      <c r="S607" t="n">
        <v>1</v>
      </c>
      <c r="T607" t="n">
        <v>1</v>
      </c>
      <c r="U607" t="inlineStr">
        <is>
          <t>1997-06-06</t>
        </is>
      </c>
      <c r="V607" t="inlineStr">
        <is>
          <t>1997-06-06</t>
        </is>
      </c>
      <c r="W607" t="inlineStr">
        <is>
          <t>1997-04-15</t>
        </is>
      </c>
      <c r="X607" t="inlineStr">
        <is>
          <t>1997-04-15</t>
        </is>
      </c>
      <c r="Y607" t="n">
        <v>379</v>
      </c>
      <c r="Z607" t="n">
        <v>315</v>
      </c>
      <c r="AA607" t="n">
        <v>334</v>
      </c>
      <c r="AB607" t="n">
        <v>2</v>
      </c>
      <c r="AC607" t="n">
        <v>2</v>
      </c>
      <c r="AD607" t="n">
        <v>23</v>
      </c>
      <c r="AE607" t="n">
        <v>23</v>
      </c>
      <c r="AF607" t="n">
        <v>11</v>
      </c>
      <c r="AG607" t="n">
        <v>11</v>
      </c>
      <c r="AH607" t="n">
        <v>6</v>
      </c>
      <c r="AI607" t="n">
        <v>6</v>
      </c>
      <c r="AJ607" t="n">
        <v>15</v>
      </c>
      <c r="AK607" t="n">
        <v>15</v>
      </c>
      <c r="AL607" t="n">
        <v>1</v>
      </c>
      <c r="AM607" t="n">
        <v>1</v>
      </c>
      <c r="AN607" t="n">
        <v>0</v>
      </c>
      <c r="AO607" t="n">
        <v>0</v>
      </c>
      <c r="AP607" t="inlineStr">
        <is>
          <t>No</t>
        </is>
      </c>
      <c r="AQ607" t="inlineStr">
        <is>
          <t>No</t>
        </is>
      </c>
      <c r="AS607">
        <f>HYPERLINK("https://creighton-primo.hosted.exlibrisgroup.com/primo-explore/search?tab=default_tab&amp;search_scope=EVERYTHING&amp;vid=01CRU&amp;lang=en_US&amp;offset=0&amp;query=any,contains,991002705309702656","Catalog Record")</f>
        <v/>
      </c>
      <c r="AT607">
        <f>HYPERLINK("http://www.worldcat.org/oclc/35318351","WorldCat Record")</f>
        <v/>
      </c>
      <c r="AU607" t="inlineStr">
        <is>
          <t>39946810:eng</t>
        </is>
      </c>
      <c r="AV607" t="inlineStr">
        <is>
          <t>35318351</t>
        </is>
      </c>
      <c r="AW607" t="inlineStr">
        <is>
          <t>991002705309702656</t>
        </is>
      </c>
      <c r="AX607" t="inlineStr">
        <is>
          <t>991002705309702656</t>
        </is>
      </c>
      <c r="AY607" t="inlineStr">
        <is>
          <t>2255389040002656</t>
        </is>
      </c>
      <c r="AZ607" t="inlineStr">
        <is>
          <t>BOOK</t>
        </is>
      </c>
      <c r="BB607" t="inlineStr">
        <is>
          <t>9781560002703</t>
        </is>
      </c>
      <c r="BC607" t="inlineStr">
        <is>
          <t>32285002497104</t>
        </is>
      </c>
      <c r="BD607" t="inlineStr">
        <is>
          <t>893329426</t>
        </is>
      </c>
    </row>
    <row r="608">
      <c r="A608" t="inlineStr">
        <is>
          <t>No</t>
        </is>
      </c>
      <c r="B608" t="inlineStr">
        <is>
          <t>DS146.G4 G57 1984</t>
        </is>
      </c>
      <c r="C608" t="inlineStr">
        <is>
          <t>0                      DS 0146000G  4                  G  57          1984</t>
        </is>
      </c>
      <c r="D608" t="inlineStr">
        <is>
          <t>Hitler, Germans, and the "Jewish question" / Sarah Gordon.</t>
        </is>
      </c>
      <c r="F608" t="inlineStr">
        <is>
          <t>No</t>
        </is>
      </c>
      <c r="G608" t="inlineStr">
        <is>
          <t>1</t>
        </is>
      </c>
      <c r="H608" t="inlineStr">
        <is>
          <t>No</t>
        </is>
      </c>
      <c r="I608" t="inlineStr">
        <is>
          <t>No</t>
        </is>
      </c>
      <c r="J608" t="inlineStr">
        <is>
          <t>0</t>
        </is>
      </c>
      <c r="K608" t="inlineStr">
        <is>
          <t>Gordon, Sarah Ann.</t>
        </is>
      </c>
      <c r="L608" t="inlineStr">
        <is>
          <t>Princeton, N.J. : Princeton University Press, c1984.</t>
        </is>
      </c>
      <c r="M608" t="inlineStr">
        <is>
          <t>1984</t>
        </is>
      </c>
      <c r="O608" t="inlineStr">
        <is>
          <t>eng</t>
        </is>
      </c>
      <c r="P608" t="inlineStr">
        <is>
          <t>nju</t>
        </is>
      </c>
      <c r="R608" t="inlineStr">
        <is>
          <t xml:space="preserve">DS </t>
        </is>
      </c>
      <c r="S608" t="n">
        <v>10</v>
      </c>
      <c r="T608" t="n">
        <v>10</v>
      </c>
      <c r="U608" t="inlineStr">
        <is>
          <t>2000-09-09</t>
        </is>
      </c>
      <c r="V608" t="inlineStr">
        <is>
          <t>2000-09-09</t>
        </is>
      </c>
      <c r="W608" t="inlineStr">
        <is>
          <t>1990-04-10</t>
        </is>
      </c>
      <c r="X608" t="inlineStr">
        <is>
          <t>1990-04-10</t>
        </is>
      </c>
      <c r="Y608" t="n">
        <v>1078</v>
      </c>
      <c r="Z608" t="n">
        <v>875</v>
      </c>
      <c r="AA608" t="n">
        <v>909</v>
      </c>
      <c r="AB608" t="n">
        <v>8</v>
      </c>
      <c r="AC608" t="n">
        <v>8</v>
      </c>
      <c r="AD608" t="n">
        <v>44</v>
      </c>
      <c r="AE608" t="n">
        <v>46</v>
      </c>
      <c r="AF608" t="n">
        <v>18</v>
      </c>
      <c r="AG608" t="n">
        <v>19</v>
      </c>
      <c r="AH608" t="n">
        <v>9</v>
      </c>
      <c r="AI608" t="n">
        <v>10</v>
      </c>
      <c r="AJ608" t="n">
        <v>23</v>
      </c>
      <c r="AK608" t="n">
        <v>23</v>
      </c>
      <c r="AL608" t="n">
        <v>6</v>
      </c>
      <c r="AM608" t="n">
        <v>6</v>
      </c>
      <c r="AN608" t="n">
        <v>1</v>
      </c>
      <c r="AO608" t="n">
        <v>1</v>
      </c>
      <c r="AP608" t="inlineStr">
        <is>
          <t>No</t>
        </is>
      </c>
      <c r="AQ608" t="inlineStr">
        <is>
          <t>No</t>
        </is>
      </c>
      <c r="AS608">
        <f>HYPERLINK("https://creighton-primo.hosted.exlibrisgroup.com/primo-explore/search?tab=default_tab&amp;search_scope=EVERYTHING&amp;vid=01CRU&amp;lang=en_US&amp;offset=0&amp;query=any,contains,991000289199702656","Catalog Record")</f>
        <v/>
      </c>
      <c r="AT608">
        <f>HYPERLINK("http://www.worldcat.org/oclc/9946459","WorldCat Record")</f>
        <v/>
      </c>
      <c r="AU608" t="inlineStr">
        <is>
          <t>5789135:eng</t>
        </is>
      </c>
      <c r="AV608" t="inlineStr">
        <is>
          <t>9946459</t>
        </is>
      </c>
      <c r="AW608" t="inlineStr">
        <is>
          <t>991000289199702656</t>
        </is>
      </c>
      <c r="AX608" t="inlineStr">
        <is>
          <t>991000289199702656</t>
        </is>
      </c>
      <c r="AY608" t="inlineStr">
        <is>
          <t>2261823390002656</t>
        </is>
      </c>
      <c r="AZ608" t="inlineStr">
        <is>
          <t>BOOK</t>
        </is>
      </c>
      <c r="BB608" t="inlineStr">
        <is>
          <t>9780691101620</t>
        </is>
      </c>
      <c r="BC608" t="inlineStr">
        <is>
          <t>32285000114909</t>
        </is>
      </c>
      <c r="BD608" t="inlineStr">
        <is>
          <t>893777832</t>
        </is>
      </c>
    </row>
    <row r="609">
      <c r="A609" t="inlineStr">
        <is>
          <t>No</t>
        </is>
      </c>
      <c r="B609" t="inlineStr">
        <is>
          <t>DS146.G4 H37 1994</t>
        </is>
      </c>
      <c r="C609" t="inlineStr">
        <is>
          <t>0                      DS 0146000G  4                  H  37          1994</t>
        </is>
      </c>
      <c r="D609" t="inlineStr">
        <is>
          <t>The people speak! : anti-Semitism and emancipation in nineteenth-century Bavaria / James F. Harris.</t>
        </is>
      </c>
      <c r="F609" t="inlineStr">
        <is>
          <t>No</t>
        </is>
      </c>
      <c r="G609" t="inlineStr">
        <is>
          <t>1</t>
        </is>
      </c>
      <c r="H609" t="inlineStr">
        <is>
          <t>No</t>
        </is>
      </c>
      <c r="I609" t="inlineStr">
        <is>
          <t>No</t>
        </is>
      </c>
      <c r="J609" t="inlineStr">
        <is>
          <t>0</t>
        </is>
      </c>
      <c r="K609" t="inlineStr">
        <is>
          <t>Harris, James F., 1940-</t>
        </is>
      </c>
      <c r="L609" t="inlineStr">
        <is>
          <t>Ann Arbor : University of Michigan Press, c1994.</t>
        </is>
      </c>
      <c r="M609" t="inlineStr">
        <is>
          <t>1994</t>
        </is>
      </c>
      <c r="O609" t="inlineStr">
        <is>
          <t>eng</t>
        </is>
      </c>
      <c r="P609" t="inlineStr">
        <is>
          <t>miu</t>
        </is>
      </c>
      <c r="Q609" t="inlineStr">
        <is>
          <t>Social history, popular culture, and politics in Germany</t>
        </is>
      </c>
      <c r="R609" t="inlineStr">
        <is>
          <t xml:space="preserve">DS </t>
        </is>
      </c>
      <c r="S609" t="n">
        <v>2</v>
      </c>
      <c r="T609" t="n">
        <v>2</v>
      </c>
      <c r="U609" t="inlineStr">
        <is>
          <t>2005-03-17</t>
        </is>
      </c>
      <c r="V609" t="inlineStr">
        <is>
          <t>2005-03-17</t>
        </is>
      </c>
      <c r="W609" t="inlineStr">
        <is>
          <t>1994-06-08</t>
        </is>
      </c>
      <c r="X609" t="inlineStr">
        <is>
          <t>1994-06-08</t>
        </is>
      </c>
      <c r="Y609" t="n">
        <v>370</v>
      </c>
      <c r="Z609" t="n">
        <v>293</v>
      </c>
      <c r="AA609" t="n">
        <v>295</v>
      </c>
      <c r="AB609" t="n">
        <v>3</v>
      </c>
      <c r="AC609" t="n">
        <v>3</v>
      </c>
      <c r="AD609" t="n">
        <v>19</v>
      </c>
      <c r="AE609" t="n">
        <v>19</v>
      </c>
      <c r="AF609" t="n">
        <v>5</v>
      </c>
      <c r="AG609" t="n">
        <v>5</v>
      </c>
      <c r="AH609" t="n">
        <v>7</v>
      </c>
      <c r="AI609" t="n">
        <v>7</v>
      </c>
      <c r="AJ609" t="n">
        <v>12</v>
      </c>
      <c r="AK609" t="n">
        <v>12</v>
      </c>
      <c r="AL609" t="n">
        <v>2</v>
      </c>
      <c r="AM609" t="n">
        <v>2</v>
      </c>
      <c r="AN609" t="n">
        <v>0</v>
      </c>
      <c r="AO609" t="n">
        <v>0</v>
      </c>
      <c r="AP609" t="inlineStr">
        <is>
          <t>No</t>
        </is>
      </c>
      <c r="AQ609" t="inlineStr">
        <is>
          <t>Yes</t>
        </is>
      </c>
      <c r="AR609">
        <f>HYPERLINK("http://catalog.hathitrust.org/Record/002884514","HathiTrust Record")</f>
        <v/>
      </c>
      <c r="AS609">
        <f>HYPERLINK("https://creighton-primo.hosted.exlibrisgroup.com/primo-explore/search?tab=default_tab&amp;search_scope=EVERYTHING&amp;vid=01CRU&amp;lang=en_US&amp;offset=0&amp;query=any,contains,991002252189702656","Catalog Record")</f>
        <v/>
      </c>
      <c r="AT609">
        <f>HYPERLINK("http://www.worldcat.org/oclc/29182294","WorldCat Record")</f>
        <v/>
      </c>
      <c r="AU609" t="inlineStr">
        <is>
          <t>31556455:eng</t>
        </is>
      </c>
      <c r="AV609" t="inlineStr">
        <is>
          <t>29182294</t>
        </is>
      </c>
      <c r="AW609" t="inlineStr">
        <is>
          <t>991002252189702656</t>
        </is>
      </c>
      <c r="AX609" t="inlineStr">
        <is>
          <t>991002252189702656</t>
        </is>
      </c>
      <c r="AY609" t="inlineStr">
        <is>
          <t>2262190500002656</t>
        </is>
      </c>
      <c r="AZ609" t="inlineStr">
        <is>
          <t>BOOK</t>
        </is>
      </c>
      <c r="BB609" t="inlineStr">
        <is>
          <t>9780472104376</t>
        </is>
      </c>
      <c r="BC609" t="inlineStr">
        <is>
          <t>32285001922664</t>
        </is>
      </c>
      <c r="BD609" t="inlineStr">
        <is>
          <t>893414996</t>
        </is>
      </c>
    </row>
    <row r="610">
      <c r="A610" t="inlineStr">
        <is>
          <t>No</t>
        </is>
      </c>
      <c r="B610" t="inlineStr">
        <is>
          <t>DS146.G4 J36 2001</t>
        </is>
      </c>
      <c r="C610" t="inlineStr">
        <is>
          <t>0                      DS 0146000G  4                  J  36          2001</t>
        </is>
      </c>
      <c r="D610" t="inlineStr">
        <is>
          <t>The murderous paradise : German nationalism and the Holocaust / Pierre James.</t>
        </is>
      </c>
      <c r="F610" t="inlineStr">
        <is>
          <t>No</t>
        </is>
      </c>
      <c r="G610" t="inlineStr">
        <is>
          <t>1</t>
        </is>
      </c>
      <c r="H610" t="inlineStr">
        <is>
          <t>No</t>
        </is>
      </c>
      <c r="I610" t="inlineStr">
        <is>
          <t>No</t>
        </is>
      </c>
      <c r="J610" t="inlineStr">
        <is>
          <t>0</t>
        </is>
      </c>
      <c r="K610" t="inlineStr">
        <is>
          <t>James, Pierre, 1965-</t>
        </is>
      </c>
      <c r="L610" t="inlineStr">
        <is>
          <t>Westport, Conn. : Praeger, 2001.</t>
        </is>
      </c>
      <c r="M610" t="inlineStr">
        <is>
          <t>2001</t>
        </is>
      </c>
      <c r="O610" t="inlineStr">
        <is>
          <t>eng</t>
        </is>
      </c>
      <c r="P610" t="inlineStr">
        <is>
          <t>ctu</t>
        </is>
      </c>
      <c r="R610" t="inlineStr">
        <is>
          <t xml:space="preserve">DS </t>
        </is>
      </c>
      <c r="S610" t="n">
        <v>3</v>
      </c>
      <c r="T610" t="n">
        <v>3</v>
      </c>
      <c r="U610" t="inlineStr">
        <is>
          <t>2004-11-29</t>
        </is>
      </c>
      <c r="V610" t="inlineStr">
        <is>
          <t>2004-11-29</t>
        </is>
      </c>
      <c r="W610" t="inlineStr">
        <is>
          <t>2003-02-25</t>
        </is>
      </c>
      <c r="X610" t="inlineStr">
        <is>
          <t>2003-02-25</t>
        </is>
      </c>
      <c r="Y610" t="n">
        <v>338</v>
      </c>
      <c r="Z610" t="n">
        <v>294</v>
      </c>
      <c r="AA610" t="n">
        <v>297</v>
      </c>
      <c r="AB610" t="n">
        <v>5</v>
      </c>
      <c r="AC610" t="n">
        <v>5</v>
      </c>
      <c r="AD610" t="n">
        <v>22</v>
      </c>
      <c r="AE610" t="n">
        <v>22</v>
      </c>
      <c r="AF610" t="n">
        <v>10</v>
      </c>
      <c r="AG610" t="n">
        <v>10</v>
      </c>
      <c r="AH610" t="n">
        <v>5</v>
      </c>
      <c r="AI610" t="n">
        <v>5</v>
      </c>
      <c r="AJ610" t="n">
        <v>10</v>
      </c>
      <c r="AK610" t="n">
        <v>10</v>
      </c>
      <c r="AL610" t="n">
        <v>4</v>
      </c>
      <c r="AM610" t="n">
        <v>4</v>
      </c>
      <c r="AN610" t="n">
        <v>0</v>
      </c>
      <c r="AO610" t="n">
        <v>0</v>
      </c>
      <c r="AP610" t="inlineStr">
        <is>
          <t>No</t>
        </is>
      </c>
      <c r="AQ610" t="inlineStr">
        <is>
          <t>Yes</t>
        </is>
      </c>
      <c r="AR610">
        <f>HYPERLINK("http://catalog.hathitrust.org/Record/004192870","HathiTrust Record")</f>
        <v/>
      </c>
      <c r="AS610">
        <f>HYPERLINK("https://creighton-primo.hosted.exlibrisgroup.com/primo-explore/search?tab=default_tab&amp;search_scope=EVERYTHING&amp;vid=01CRU&amp;lang=en_US&amp;offset=0&amp;query=any,contains,991003967249702656","Catalog Record")</f>
        <v/>
      </c>
      <c r="AT610">
        <f>HYPERLINK("http://www.worldcat.org/oclc/45757723","WorldCat Record")</f>
        <v/>
      </c>
      <c r="AU610" t="inlineStr">
        <is>
          <t>2585835:eng</t>
        </is>
      </c>
      <c r="AV610" t="inlineStr">
        <is>
          <t>45757723</t>
        </is>
      </c>
      <c r="AW610" t="inlineStr">
        <is>
          <t>991003967249702656</t>
        </is>
      </c>
      <c r="AX610" t="inlineStr">
        <is>
          <t>991003967249702656</t>
        </is>
      </c>
      <c r="AY610" t="inlineStr">
        <is>
          <t>2265028320002656</t>
        </is>
      </c>
      <c r="AZ610" t="inlineStr">
        <is>
          <t>BOOK</t>
        </is>
      </c>
      <c r="BB610" t="inlineStr">
        <is>
          <t>9780275972424</t>
        </is>
      </c>
      <c r="BC610" t="inlineStr">
        <is>
          <t>32285004680756</t>
        </is>
      </c>
      <c r="BD610" t="inlineStr">
        <is>
          <t>893794324</t>
        </is>
      </c>
    </row>
    <row r="611">
      <c r="A611" t="inlineStr">
        <is>
          <t>No</t>
        </is>
      </c>
      <c r="B611" t="inlineStr">
        <is>
          <t>DS146.G4 P75 2000</t>
        </is>
      </c>
      <c r="C611" t="inlineStr">
        <is>
          <t>0                      DS 0146000G  4                  P  75          2000</t>
        </is>
      </c>
      <c r="D611" t="inlineStr">
        <is>
          <t>Probing the depths of German antisemitism : German society and the persecution of the Jews, 1933-1941 / edited by David Bankier.</t>
        </is>
      </c>
      <c r="F611" t="inlineStr">
        <is>
          <t>No</t>
        </is>
      </c>
      <c r="G611" t="inlineStr">
        <is>
          <t>1</t>
        </is>
      </c>
      <c r="H611" t="inlineStr">
        <is>
          <t>No</t>
        </is>
      </c>
      <c r="I611" t="inlineStr">
        <is>
          <t>No</t>
        </is>
      </c>
      <c r="J611" t="inlineStr">
        <is>
          <t>0</t>
        </is>
      </c>
      <c r="L611" t="inlineStr">
        <is>
          <t>New York : Berghahn Books, c2000.</t>
        </is>
      </c>
      <c r="M611" t="inlineStr">
        <is>
          <t>2000</t>
        </is>
      </c>
      <c r="O611" t="inlineStr">
        <is>
          <t>eng</t>
        </is>
      </c>
      <c r="P611" t="inlineStr">
        <is>
          <t>nyu</t>
        </is>
      </c>
      <c r="R611" t="inlineStr">
        <is>
          <t xml:space="preserve">DS </t>
        </is>
      </c>
      <c r="S611" t="n">
        <v>4</v>
      </c>
      <c r="T611" t="n">
        <v>4</v>
      </c>
      <c r="U611" t="inlineStr">
        <is>
          <t>2004-03-23</t>
        </is>
      </c>
      <c r="V611" t="inlineStr">
        <is>
          <t>2004-03-23</t>
        </is>
      </c>
      <c r="W611" t="inlineStr">
        <is>
          <t>2002-03-05</t>
        </is>
      </c>
      <c r="X611" t="inlineStr">
        <is>
          <t>2002-03-05</t>
        </is>
      </c>
      <c r="Y611" t="n">
        <v>516</v>
      </c>
      <c r="Z611" t="n">
        <v>382</v>
      </c>
      <c r="AA611" t="n">
        <v>384</v>
      </c>
      <c r="AB611" t="n">
        <v>2</v>
      </c>
      <c r="AC611" t="n">
        <v>2</v>
      </c>
      <c r="AD611" t="n">
        <v>23</v>
      </c>
      <c r="AE611" t="n">
        <v>23</v>
      </c>
      <c r="AF611" t="n">
        <v>14</v>
      </c>
      <c r="AG611" t="n">
        <v>14</v>
      </c>
      <c r="AH611" t="n">
        <v>6</v>
      </c>
      <c r="AI611" t="n">
        <v>6</v>
      </c>
      <c r="AJ611" t="n">
        <v>12</v>
      </c>
      <c r="AK611" t="n">
        <v>12</v>
      </c>
      <c r="AL611" t="n">
        <v>1</v>
      </c>
      <c r="AM611" t="n">
        <v>1</v>
      </c>
      <c r="AN611" t="n">
        <v>0</v>
      </c>
      <c r="AO611" t="n">
        <v>0</v>
      </c>
      <c r="AP611" t="inlineStr">
        <is>
          <t>No</t>
        </is>
      </c>
      <c r="AQ611" t="inlineStr">
        <is>
          <t>No</t>
        </is>
      </c>
      <c r="AS611">
        <f>HYPERLINK("https://creighton-primo.hosted.exlibrisgroup.com/primo-explore/search?tab=default_tab&amp;search_scope=EVERYTHING&amp;vid=01CRU&amp;lang=en_US&amp;offset=0&amp;query=any,contains,991003731719702656","Catalog Record")</f>
        <v/>
      </c>
      <c r="AT611">
        <f>HYPERLINK("http://www.worldcat.org/oclc/42780277","WorldCat Record")</f>
        <v/>
      </c>
      <c r="AU611" t="inlineStr">
        <is>
          <t>837000277:eng</t>
        </is>
      </c>
      <c r="AV611" t="inlineStr">
        <is>
          <t>42780277</t>
        </is>
      </c>
      <c r="AW611" t="inlineStr">
        <is>
          <t>991003731719702656</t>
        </is>
      </c>
      <c r="AX611" t="inlineStr">
        <is>
          <t>991003731719702656</t>
        </is>
      </c>
      <c r="AY611" t="inlineStr">
        <is>
          <t>2258494970002656</t>
        </is>
      </c>
      <c r="AZ611" t="inlineStr">
        <is>
          <t>BOOK</t>
        </is>
      </c>
      <c r="BB611" t="inlineStr">
        <is>
          <t>9781571812384</t>
        </is>
      </c>
      <c r="BC611" t="inlineStr">
        <is>
          <t>32285004459409</t>
        </is>
      </c>
      <c r="BD611" t="inlineStr">
        <is>
          <t>893705563</t>
        </is>
      </c>
    </row>
    <row r="612">
      <c r="A612" t="inlineStr">
        <is>
          <t>No</t>
        </is>
      </c>
      <c r="B612" t="inlineStr">
        <is>
          <t>DS146.G4 S57 2002</t>
        </is>
      </c>
      <c r="C612" t="inlineStr">
        <is>
          <t>0                      DS 0146000G  4                  S  57          2002</t>
        </is>
      </c>
      <c r="D612" t="inlineStr">
        <is>
          <t>The butcher's tale : murder and anti-Semitism in a German town / Helmut Walser Smith.</t>
        </is>
      </c>
      <c r="F612" t="inlineStr">
        <is>
          <t>No</t>
        </is>
      </c>
      <c r="G612" t="inlineStr">
        <is>
          <t>1</t>
        </is>
      </c>
      <c r="H612" t="inlineStr">
        <is>
          <t>No</t>
        </is>
      </c>
      <c r="I612" t="inlineStr">
        <is>
          <t>No</t>
        </is>
      </c>
      <c r="J612" t="inlineStr">
        <is>
          <t>0</t>
        </is>
      </c>
      <c r="K612" t="inlineStr">
        <is>
          <t>Smith, Helmut Walser, 1962-</t>
        </is>
      </c>
      <c r="L612" t="inlineStr">
        <is>
          <t>New York : W.W. Norton, c2002.</t>
        </is>
      </c>
      <c r="M612" t="inlineStr">
        <is>
          <t>2002</t>
        </is>
      </c>
      <c r="N612" t="inlineStr">
        <is>
          <t>1st ed.</t>
        </is>
      </c>
      <c r="O612" t="inlineStr">
        <is>
          <t>eng</t>
        </is>
      </c>
      <c r="P612" t="inlineStr">
        <is>
          <t>nyu</t>
        </is>
      </c>
      <c r="R612" t="inlineStr">
        <is>
          <t xml:space="preserve">DS </t>
        </is>
      </c>
      <c r="S612" t="n">
        <v>5</v>
      </c>
      <c r="T612" t="n">
        <v>5</v>
      </c>
      <c r="U612" t="inlineStr">
        <is>
          <t>2004-03-28</t>
        </is>
      </c>
      <c r="V612" t="inlineStr">
        <is>
          <t>2004-03-28</t>
        </is>
      </c>
      <c r="W612" t="inlineStr">
        <is>
          <t>2002-08-27</t>
        </is>
      </c>
      <c r="X612" t="inlineStr">
        <is>
          <t>2002-08-27</t>
        </is>
      </c>
      <c r="Y612" t="n">
        <v>856</v>
      </c>
      <c r="Z612" t="n">
        <v>768</v>
      </c>
      <c r="AA612" t="n">
        <v>818</v>
      </c>
      <c r="AB612" t="n">
        <v>5</v>
      </c>
      <c r="AC612" t="n">
        <v>5</v>
      </c>
      <c r="AD612" t="n">
        <v>34</v>
      </c>
      <c r="AE612" t="n">
        <v>36</v>
      </c>
      <c r="AF612" t="n">
        <v>17</v>
      </c>
      <c r="AG612" t="n">
        <v>17</v>
      </c>
      <c r="AH612" t="n">
        <v>8</v>
      </c>
      <c r="AI612" t="n">
        <v>9</v>
      </c>
      <c r="AJ612" t="n">
        <v>15</v>
      </c>
      <c r="AK612" t="n">
        <v>17</v>
      </c>
      <c r="AL612" t="n">
        <v>4</v>
      </c>
      <c r="AM612" t="n">
        <v>4</v>
      </c>
      <c r="AN612" t="n">
        <v>0</v>
      </c>
      <c r="AO612" t="n">
        <v>0</v>
      </c>
      <c r="AP612" t="inlineStr">
        <is>
          <t>No</t>
        </is>
      </c>
      <c r="AQ612" t="inlineStr">
        <is>
          <t>No</t>
        </is>
      </c>
      <c r="AS612">
        <f>HYPERLINK("https://creighton-primo.hosted.exlibrisgroup.com/primo-explore/search?tab=default_tab&amp;search_scope=EVERYTHING&amp;vid=01CRU&amp;lang=en_US&amp;offset=0&amp;query=any,contains,991003839999702656","Catalog Record")</f>
        <v/>
      </c>
      <c r="AT612">
        <f>HYPERLINK("http://www.worldcat.org/oclc/49226022","WorldCat Record")</f>
        <v/>
      </c>
      <c r="AU612" t="inlineStr">
        <is>
          <t>837553115:eng</t>
        </is>
      </c>
      <c r="AV612" t="inlineStr">
        <is>
          <t>49226022</t>
        </is>
      </c>
      <c r="AW612" t="inlineStr">
        <is>
          <t>991003839999702656</t>
        </is>
      </c>
      <c r="AX612" t="inlineStr">
        <is>
          <t>991003839999702656</t>
        </is>
      </c>
      <c r="AY612" t="inlineStr">
        <is>
          <t>2262576960002656</t>
        </is>
      </c>
      <c r="AZ612" t="inlineStr">
        <is>
          <t>BOOK</t>
        </is>
      </c>
      <c r="BB612" t="inlineStr">
        <is>
          <t>9780393050981</t>
        </is>
      </c>
      <c r="BC612" t="inlineStr">
        <is>
          <t>32285004645072</t>
        </is>
      </c>
      <c r="BD612" t="inlineStr">
        <is>
          <t>893423035</t>
        </is>
      </c>
    </row>
    <row r="613">
      <c r="A613" t="inlineStr">
        <is>
          <t>No</t>
        </is>
      </c>
      <c r="B613" t="inlineStr">
        <is>
          <t>DS146.G4 W43 1996</t>
        </is>
      </c>
      <c r="C613" t="inlineStr">
        <is>
          <t>0                      DS 0146000G  4                  W  43          1996</t>
        </is>
      </c>
      <c r="D613" t="inlineStr">
        <is>
          <t>Ideology of death : why the Holocaust happened in Germany / John Weiss.</t>
        </is>
      </c>
      <c r="F613" t="inlineStr">
        <is>
          <t>No</t>
        </is>
      </c>
      <c r="G613" t="inlineStr">
        <is>
          <t>1</t>
        </is>
      </c>
      <c r="H613" t="inlineStr">
        <is>
          <t>Yes</t>
        </is>
      </c>
      <c r="I613" t="inlineStr">
        <is>
          <t>No</t>
        </is>
      </c>
      <c r="J613" t="inlineStr">
        <is>
          <t>0</t>
        </is>
      </c>
      <c r="K613" t="inlineStr">
        <is>
          <t>Weiss, John, 1927-</t>
        </is>
      </c>
      <c r="L613" t="inlineStr">
        <is>
          <t>Chicago : I.R. Dee, 1996.</t>
        </is>
      </c>
      <c r="M613" t="inlineStr">
        <is>
          <t>1996</t>
        </is>
      </c>
      <c r="O613" t="inlineStr">
        <is>
          <t>eng</t>
        </is>
      </c>
      <c r="P613" t="inlineStr">
        <is>
          <t>ilu</t>
        </is>
      </c>
      <c r="R613" t="inlineStr">
        <is>
          <t xml:space="preserve">DS </t>
        </is>
      </c>
      <c r="S613" t="n">
        <v>0</v>
      </c>
      <c r="T613" t="n">
        <v>2</v>
      </c>
      <c r="V613" t="inlineStr">
        <is>
          <t>2001-08-08</t>
        </is>
      </c>
      <c r="W613" t="inlineStr">
        <is>
          <t>1996-02-16</t>
        </is>
      </c>
      <c r="X613" t="inlineStr">
        <is>
          <t>1996-02-16</t>
        </is>
      </c>
      <c r="Y613" t="n">
        <v>1104</v>
      </c>
      <c r="Z613" t="n">
        <v>978</v>
      </c>
      <c r="AA613" t="n">
        <v>1066</v>
      </c>
      <c r="AB613" t="n">
        <v>8</v>
      </c>
      <c r="AC613" t="n">
        <v>10</v>
      </c>
      <c r="AD613" t="n">
        <v>41</v>
      </c>
      <c r="AE613" t="n">
        <v>43</v>
      </c>
      <c r="AF613" t="n">
        <v>18</v>
      </c>
      <c r="AG613" t="n">
        <v>18</v>
      </c>
      <c r="AH613" t="n">
        <v>10</v>
      </c>
      <c r="AI613" t="n">
        <v>10</v>
      </c>
      <c r="AJ613" t="n">
        <v>19</v>
      </c>
      <c r="AK613" t="n">
        <v>19</v>
      </c>
      <c r="AL613" t="n">
        <v>5</v>
      </c>
      <c r="AM613" t="n">
        <v>7</v>
      </c>
      <c r="AN613" t="n">
        <v>0</v>
      </c>
      <c r="AO613" t="n">
        <v>0</v>
      </c>
      <c r="AP613" t="inlineStr">
        <is>
          <t>No</t>
        </is>
      </c>
      <c r="AQ613" t="inlineStr">
        <is>
          <t>Yes</t>
        </is>
      </c>
      <c r="AR613">
        <f>HYPERLINK("http://catalog.hathitrust.org/Record/003030625","HathiTrust Record")</f>
        <v/>
      </c>
      <c r="AS613">
        <f>HYPERLINK("https://creighton-primo.hosted.exlibrisgroup.com/primo-explore/search?tab=default_tab&amp;search_scope=EVERYTHING&amp;vid=01CRU&amp;lang=en_US&amp;offset=0&amp;query=any,contains,991001667779702656","Catalog Record")</f>
        <v/>
      </c>
      <c r="AT613">
        <f>HYPERLINK("http://www.worldcat.org/oclc/32701554","WorldCat Record")</f>
        <v/>
      </c>
      <c r="AU613" t="inlineStr">
        <is>
          <t>677998:eng</t>
        </is>
      </c>
      <c r="AV613" t="inlineStr">
        <is>
          <t>32701554</t>
        </is>
      </c>
      <c r="AW613" t="inlineStr">
        <is>
          <t>991001667779702656</t>
        </is>
      </c>
      <c r="AX613" t="inlineStr">
        <is>
          <t>991001667779702656</t>
        </is>
      </c>
      <c r="AY613" t="inlineStr">
        <is>
          <t>2268957790002656</t>
        </is>
      </c>
      <c r="AZ613" t="inlineStr">
        <is>
          <t>BOOK</t>
        </is>
      </c>
      <c r="BB613" t="inlineStr">
        <is>
          <t>9781566630887</t>
        </is>
      </c>
      <c r="BC613" t="inlineStr">
        <is>
          <t>32285002136330</t>
        </is>
      </c>
      <c r="BD613" t="inlineStr">
        <is>
          <t>893497266</t>
        </is>
      </c>
    </row>
    <row r="614">
      <c r="A614" t="inlineStr">
        <is>
          <t>No</t>
        </is>
      </c>
      <c r="B614" t="inlineStr">
        <is>
          <t>DS146.P6 G76 2006</t>
        </is>
      </c>
      <c r="C614" t="inlineStr">
        <is>
          <t>0                      DS 0146000P  6                  G  76          2006</t>
        </is>
      </c>
      <c r="D614" t="inlineStr">
        <is>
          <t>Fear : anti-semitism in Poland after Auschwitz : an essay in historical interpretation / Jan T. Gross.</t>
        </is>
      </c>
      <c r="F614" t="inlineStr">
        <is>
          <t>No</t>
        </is>
      </c>
      <c r="G614" t="inlineStr">
        <is>
          <t>1</t>
        </is>
      </c>
      <c r="H614" t="inlineStr">
        <is>
          <t>No</t>
        </is>
      </c>
      <c r="I614" t="inlineStr">
        <is>
          <t>No</t>
        </is>
      </c>
      <c r="J614" t="inlineStr">
        <is>
          <t>0</t>
        </is>
      </c>
      <c r="K614" t="inlineStr">
        <is>
          <t>Gross, Jan Tomasz.</t>
        </is>
      </c>
      <c r="L614" t="inlineStr">
        <is>
          <t>New York : Random House, c2006.</t>
        </is>
      </c>
      <c r="M614" t="inlineStr">
        <is>
          <t>2006</t>
        </is>
      </c>
      <c r="N614" t="inlineStr">
        <is>
          <t>1st ed.</t>
        </is>
      </c>
      <c r="O614" t="inlineStr">
        <is>
          <t>eng</t>
        </is>
      </c>
      <c r="P614" t="inlineStr">
        <is>
          <t>nyu</t>
        </is>
      </c>
      <c r="R614" t="inlineStr">
        <is>
          <t xml:space="preserve">DS </t>
        </is>
      </c>
      <c r="S614" t="n">
        <v>1</v>
      </c>
      <c r="T614" t="n">
        <v>1</v>
      </c>
      <c r="U614" t="inlineStr">
        <is>
          <t>2006-07-13</t>
        </is>
      </c>
      <c r="V614" t="inlineStr">
        <is>
          <t>2006-07-13</t>
        </is>
      </c>
      <c r="W614" t="inlineStr">
        <is>
          <t>2006-07-13</t>
        </is>
      </c>
      <c r="X614" t="inlineStr">
        <is>
          <t>2006-07-13</t>
        </is>
      </c>
      <c r="Y614" t="n">
        <v>963</v>
      </c>
      <c r="Z614" t="n">
        <v>873</v>
      </c>
      <c r="AA614" t="n">
        <v>978</v>
      </c>
      <c r="AB614" t="n">
        <v>6</v>
      </c>
      <c r="AC614" t="n">
        <v>6</v>
      </c>
      <c r="AD614" t="n">
        <v>38</v>
      </c>
      <c r="AE614" t="n">
        <v>40</v>
      </c>
      <c r="AF614" t="n">
        <v>16</v>
      </c>
      <c r="AG614" t="n">
        <v>17</v>
      </c>
      <c r="AH614" t="n">
        <v>9</v>
      </c>
      <c r="AI614" t="n">
        <v>9</v>
      </c>
      <c r="AJ614" t="n">
        <v>19</v>
      </c>
      <c r="AK614" t="n">
        <v>20</v>
      </c>
      <c r="AL614" t="n">
        <v>5</v>
      </c>
      <c r="AM614" t="n">
        <v>5</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HYPERLINK("https://creighton-primo.hosted.exlibrisgroup.com/primo-explore/search?tab=default_tab&amp;search_scope=EVERYTHING&amp;vid=01CRU&amp;lang=en_US&amp;offset=0&amp;query=any,contains,991004840119702656","Catalog Record")</f>
        <v/>
      </c>
      <c r="AT614">
        <f>HYPERLINK("http://www.worldcat.org/oclc/61463826","WorldCat Record")</f>
        <v/>
      </c>
      <c r="AU614" t="inlineStr">
        <is>
          <t>53602957:eng</t>
        </is>
      </c>
      <c r="AV614" t="inlineStr">
        <is>
          <t>61463826</t>
        </is>
      </c>
      <c r="AW614" t="inlineStr">
        <is>
          <t>991004840119702656</t>
        </is>
      </c>
      <c r="AX614" t="inlineStr">
        <is>
          <t>991004840119702656</t>
        </is>
      </c>
      <c r="AY614" t="inlineStr">
        <is>
          <t>2270691680002656</t>
        </is>
      </c>
      <c r="AZ614" t="inlineStr">
        <is>
          <t>BOOK</t>
        </is>
      </c>
      <c r="BB614" t="inlineStr">
        <is>
          <t>9780375509247</t>
        </is>
      </c>
      <c r="BC614" t="inlineStr">
        <is>
          <t>32285005193858</t>
        </is>
      </c>
      <c r="BD614" t="inlineStr">
        <is>
          <t>893606523</t>
        </is>
      </c>
    </row>
    <row r="615">
      <c r="A615" t="inlineStr">
        <is>
          <t>No</t>
        </is>
      </c>
      <c r="B615" t="inlineStr">
        <is>
          <t>DS146.P6 L48 1991</t>
        </is>
      </c>
      <c r="C615" t="inlineStr">
        <is>
          <t>0                      DS 0146000P  6                  L  48          1991</t>
        </is>
      </c>
      <c r="D615" t="inlineStr">
        <is>
          <t>Economic origins of antisemitism : Poland and its Jews in the early modern period / Hillel Levine.</t>
        </is>
      </c>
      <c r="F615" t="inlineStr">
        <is>
          <t>No</t>
        </is>
      </c>
      <c r="G615" t="inlineStr">
        <is>
          <t>1</t>
        </is>
      </c>
      <c r="H615" t="inlineStr">
        <is>
          <t>No</t>
        </is>
      </c>
      <c r="I615" t="inlineStr">
        <is>
          <t>No</t>
        </is>
      </c>
      <c r="J615" t="inlineStr">
        <is>
          <t>0</t>
        </is>
      </c>
      <c r="K615" t="inlineStr">
        <is>
          <t>Levine, Hillel.</t>
        </is>
      </c>
      <c r="L615" t="inlineStr">
        <is>
          <t>New Haven : Yale University Press, c1991.</t>
        </is>
      </c>
      <c r="M615" t="inlineStr">
        <is>
          <t>1991</t>
        </is>
      </c>
      <c r="O615" t="inlineStr">
        <is>
          <t>eng</t>
        </is>
      </c>
      <c r="P615" t="inlineStr">
        <is>
          <t>ctu</t>
        </is>
      </c>
      <c r="R615" t="inlineStr">
        <is>
          <t xml:space="preserve">DS </t>
        </is>
      </c>
      <c r="S615" t="n">
        <v>1</v>
      </c>
      <c r="T615" t="n">
        <v>1</v>
      </c>
      <c r="U615" t="inlineStr">
        <is>
          <t>1992-04-23</t>
        </is>
      </c>
      <c r="V615" t="inlineStr">
        <is>
          <t>1992-04-23</t>
        </is>
      </c>
      <c r="W615" t="inlineStr">
        <is>
          <t>1992-04-14</t>
        </is>
      </c>
      <c r="X615" t="inlineStr">
        <is>
          <t>1992-04-14</t>
        </is>
      </c>
      <c r="Y615" t="n">
        <v>544</v>
      </c>
      <c r="Z615" t="n">
        <v>435</v>
      </c>
      <c r="AA615" t="n">
        <v>436</v>
      </c>
      <c r="AB615" t="n">
        <v>3</v>
      </c>
      <c r="AC615" t="n">
        <v>3</v>
      </c>
      <c r="AD615" t="n">
        <v>26</v>
      </c>
      <c r="AE615" t="n">
        <v>26</v>
      </c>
      <c r="AF615" t="n">
        <v>10</v>
      </c>
      <c r="AG615" t="n">
        <v>10</v>
      </c>
      <c r="AH615" t="n">
        <v>9</v>
      </c>
      <c r="AI615" t="n">
        <v>9</v>
      </c>
      <c r="AJ615" t="n">
        <v>14</v>
      </c>
      <c r="AK615" t="n">
        <v>14</v>
      </c>
      <c r="AL615" t="n">
        <v>2</v>
      </c>
      <c r="AM615" t="n">
        <v>2</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HYPERLINK("https://creighton-primo.hosted.exlibrisgroup.com/primo-explore/search?tab=default_tab&amp;search_scope=EVERYTHING&amp;vid=01CRU&amp;lang=en_US&amp;offset=0&amp;query=any,contains,991001823579702656","Catalog Record")</f>
        <v/>
      </c>
      <c r="AT615">
        <f>HYPERLINK("http://www.worldcat.org/oclc/22908198","WorldCat Record")</f>
        <v/>
      </c>
      <c r="AU615" t="inlineStr">
        <is>
          <t>329774:eng</t>
        </is>
      </c>
      <c r="AV615" t="inlineStr">
        <is>
          <t>22908198</t>
        </is>
      </c>
      <c r="AW615" t="inlineStr">
        <is>
          <t>991001823579702656</t>
        </is>
      </c>
      <c r="AX615" t="inlineStr">
        <is>
          <t>991001823579702656</t>
        </is>
      </c>
      <c r="AY615" t="inlineStr">
        <is>
          <t>2263454170002656</t>
        </is>
      </c>
      <c r="AZ615" t="inlineStr">
        <is>
          <t>BOOK</t>
        </is>
      </c>
      <c r="BB615" t="inlineStr">
        <is>
          <t>9780300049879</t>
        </is>
      </c>
      <c r="BC615" t="inlineStr">
        <is>
          <t>32285001035327</t>
        </is>
      </c>
      <c r="BD615" t="inlineStr">
        <is>
          <t>893879215</t>
        </is>
      </c>
    </row>
    <row r="616">
      <c r="A616" t="inlineStr">
        <is>
          <t>No</t>
        </is>
      </c>
      <c r="B616" t="inlineStr">
        <is>
          <t>DS146.S6 S53 1994</t>
        </is>
      </c>
      <c r="C616" t="inlineStr">
        <is>
          <t>0                      DS 0146000S  6                  S  53          1994</t>
        </is>
      </c>
      <c r="D616" t="inlineStr">
        <is>
          <t>The roots of antisemitism in South Africa / Milton Shain.</t>
        </is>
      </c>
      <c r="F616" t="inlineStr">
        <is>
          <t>No</t>
        </is>
      </c>
      <c r="G616" t="inlineStr">
        <is>
          <t>1</t>
        </is>
      </c>
      <c r="H616" t="inlineStr">
        <is>
          <t>No</t>
        </is>
      </c>
      <c r="I616" t="inlineStr">
        <is>
          <t>No</t>
        </is>
      </c>
      <c r="J616" t="inlineStr">
        <is>
          <t>0</t>
        </is>
      </c>
      <c r="K616" t="inlineStr">
        <is>
          <t>Shain, Milton.</t>
        </is>
      </c>
      <c r="L616" t="inlineStr">
        <is>
          <t>Charlottesville : University Press of Virginia, 1994.</t>
        </is>
      </c>
      <c r="M616" t="inlineStr">
        <is>
          <t>1994</t>
        </is>
      </c>
      <c r="O616" t="inlineStr">
        <is>
          <t>eng</t>
        </is>
      </c>
      <c r="P616" t="inlineStr">
        <is>
          <t>vau</t>
        </is>
      </c>
      <c r="Q616" t="inlineStr">
        <is>
          <t>Reconsiderations in southern African history</t>
        </is>
      </c>
      <c r="R616" t="inlineStr">
        <is>
          <t xml:space="preserve">DS </t>
        </is>
      </c>
      <c r="S616" t="n">
        <v>4</v>
      </c>
      <c r="T616" t="n">
        <v>4</v>
      </c>
      <c r="U616" t="inlineStr">
        <is>
          <t>2009-11-17</t>
        </is>
      </c>
      <c r="V616" t="inlineStr">
        <is>
          <t>2009-11-17</t>
        </is>
      </c>
      <c r="W616" t="inlineStr">
        <is>
          <t>1995-02-21</t>
        </is>
      </c>
      <c r="X616" t="inlineStr">
        <is>
          <t>1995-02-21</t>
        </is>
      </c>
      <c r="Y616" t="n">
        <v>316</v>
      </c>
      <c r="Z616" t="n">
        <v>251</v>
      </c>
      <c r="AA616" t="n">
        <v>253</v>
      </c>
      <c r="AB616" t="n">
        <v>2</v>
      </c>
      <c r="AC616" t="n">
        <v>2</v>
      </c>
      <c r="AD616" t="n">
        <v>15</v>
      </c>
      <c r="AE616" t="n">
        <v>15</v>
      </c>
      <c r="AF616" t="n">
        <v>4</v>
      </c>
      <c r="AG616" t="n">
        <v>4</v>
      </c>
      <c r="AH616" t="n">
        <v>5</v>
      </c>
      <c r="AI616" t="n">
        <v>5</v>
      </c>
      <c r="AJ616" t="n">
        <v>10</v>
      </c>
      <c r="AK616" t="n">
        <v>10</v>
      </c>
      <c r="AL616" t="n">
        <v>1</v>
      </c>
      <c r="AM616" t="n">
        <v>1</v>
      </c>
      <c r="AN616" t="n">
        <v>0</v>
      </c>
      <c r="AO616" t="n">
        <v>0</v>
      </c>
      <c r="AP616" t="inlineStr">
        <is>
          <t>No</t>
        </is>
      </c>
      <c r="AQ616" t="inlineStr">
        <is>
          <t>Yes</t>
        </is>
      </c>
      <c r="AR616">
        <f>HYPERLINK("http://catalog.hathitrust.org/Record/002860442","HathiTrust Record")</f>
        <v/>
      </c>
      <c r="AS616">
        <f>HYPERLINK("https://creighton-primo.hosted.exlibrisgroup.com/primo-explore/search?tab=default_tab&amp;search_scope=EVERYTHING&amp;vid=01CRU&amp;lang=en_US&amp;offset=0&amp;query=any,contains,991002237889702656","Catalog Record")</f>
        <v/>
      </c>
      <c r="AT616">
        <f>HYPERLINK("http://www.worldcat.org/oclc/28854327","WorldCat Record")</f>
        <v/>
      </c>
      <c r="AU616" t="inlineStr">
        <is>
          <t>20728922:eng</t>
        </is>
      </c>
      <c r="AV616" t="inlineStr">
        <is>
          <t>28854327</t>
        </is>
      </c>
      <c r="AW616" t="inlineStr">
        <is>
          <t>991002237889702656</t>
        </is>
      </c>
      <c r="AX616" t="inlineStr">
        <is>
          <t>991002237889702656</t>
        </is>
      </c>
      <c r="AY616" t="inlineStr">
        <is>
          <t>2263672390002656</t>
        </is>
      </c>
      <c r="AZ616" t="inlineStr">
        <is>
          <t>BOOK</t>
        </is>
      </c>
      <c r="BB616" t="inlineStr">
        <is>
          <t>9780813914879</t>
        </is>
      </c>
      <c r="BC616" t="inlineStr">
        <is>
          <t>32285001999787</t>
        </is>
      </c>
      <c r="BD616" t="inlineStr">
        <is>
          <t>893341201</t>
        </is>
      </c>
    </row>
    <row r="617">
      <c r="A617" t="inlineStr">
        <is>
          <t>No</t>
        </is>
      </c>
      <c r="B617" t="inlineStr">
        <is>
          <t>DS146.U6 J34 1994</t>
        </is>
      </c>
      <c r="C617" t="inlineStr">
        <is>
          <t>0                      DS 0146000U  6                  J  34          1994</t>
        </is>
      </c>
      <c r="D617" t="inlineStr">
        <is>
          <t>A scapegoat in the new wilderness : the origins and rise of anti-semitism in America / Frederic Cople Jaher.</t>
        </is>
      </c>
      <c r="F617" t="inlineStr">
        <is>
          <t>No</t>
        </is>
      </c>
      <c r="G617" t="inlineStr">
        <is>
          <t>1</t>
        </is>
      </c>
      <c r="H617" t="inlineStr">
        <is>
          <t>No</t>
        </is>
      </c>
      <c r="I617" t="inlineStr">
        <is>
          <t>No</t>
        </is>
      </c>
      <c r="J617" t="inlineStr">
        <is>
          <t>0</t>
        </is>
      </c>
      <c r="K617" t="inlineStr">
        <is>
          <t>Jaher, Frederic Cople.</t>
        </is>
      </c>
      <c r="L617" t="inlineStr">
        <is>
          <t>Cambridge, Mass. : Harvard University Press, 1994.</t>
        </is>
      </c>
      <c r="M617" t="inlineStr">
        <is>
          <t>1994</t>
        </is>
      </c>
      <c r="O617" t="inlineStr">
        <is>
          <t>eng</t>
        </is>
      </c>
      <c r="P617" t="inlineStr">
        <is>
          <t>mau</t>
        </is>
      </c>
      <c r="R617" t="inlineStr">
        <is>
          <t xml:space="preserve">DS </t>
        </is>
      </c>
      <c r="S617" t="n">
        <v>7</v>
      </c>
      <c r="T617" t="n">
        <v>7</v>
      </c>
      <c r="U617" t="inlineStr">
        <is>
          <t>1999-06-19</t>
        </is>
      </c>
      <c r="V617" t="inlineStr">
        <is>
          <t>1999-06-19</t>
        </is>
      </c>
      <c r="W617" t="inlineStr">
        <is>
          <t>1994-08-08</t>
        </is>
      </c>
      <c r="X617" t="inlineStr">
        <is>
          <t>1994-08-08</t>
        </is>
      </c>
      <c r="Y617" t="n">
        <v>618</v>
      </c>
      <c r="Z617" t="n">
        <v>536</v>
      </c>
      <c r="AA617" t="n">
        <v>565</v>
      </c>
      <c r="AB617" t="n">
        <v>3</v>
      </c>
      <c r="AC617" t="n">
        <v>4</v>
      </c>
      <c r="AD617" t="n">
        <v>27</v>
      </c>
      <c r="AE617" t="n">
        <v>31</v>
      </c>
      <c r="AF617" t="n">
        <v>8</v>
      </c>
      <c r="AG617" t="n">
        <v>11</v>
      </c>
      <c r="AH617" t="n">
        <v>8</v>
      </c>
      <c r="AI617" t="n">
        <v>9</v>
      </c>
      <c r="AJ617" t="n">
        <v>16</v>
      </c>
      <c r="AK617" t="n">
        <v>16</v>
      </c>
      <c r="AL617" t="n">
        <v>2</v>
      </c>
      <c r="AM617" t="n">
        <v>3</v>
      </c>
      <c r="AN617" t="n">
        <v>0</v>
      </c>
      <c r="AO617" t="n">
        <v>0</v>
      </c>
      <c r="AP617" t="inlineStr">
        <is>
          <t>No</t>
        </is>
      </c>
      <c r="AQ617" t="inlineStr">
        <is>
          <t>Yes</t>
        </is>
      </c>
      <c r="AR617">
        <f>HYPERLINK("http://catalog.hathitrust.org/Record/002798157","HathiTrust Record")</f>
        <v/>
      </c>
      <c r="AS617">
        <f>HYPERLINK("https://creighton-primo.hosted.exlibrisgroup.com/primo-explore/search?tab=default_tab&amp;search_scope=EVERYTHING&amp;vid=01CRU&amp;lang=en_US&amp;offset=0&amp;query=any,contains,991002243709702656","Catalog Record")</f>
        <v/>
      </c>
      <c r="AT617">
        <f>HYPERLINK("http://www.worldcat.org/oclc/28929285","WorldCat Record")</f>
        <v/>
      </c>
      <c r="AU617" t="inlineStr">
        <is>
          <t>836658963:eng</t>
        </is>
      </c>
      <c r="AV617" t="inlineStr">
        <is>
          <t>28929285</t>
        </is>
      </c>
      <c r="AW617" t="inlineStr">
        <is>
          <t>991002243709702656</t>
        </is>
      </c>
      <c r="AX617" t="inlineStr">
        <is>
          <t>991002243709702656</t>
        </is>
      </c>
      <c r="AY617" t="inlineStr">
        <is>
          <t>2270629990002656</t>
        </is>
      </c>
      <c r="AZ617" t="inlineStr">
        <is>
          <t>BOOK</t>
        </is>
      </c>
      <c r="BB617" t="inlineStr">
        <is>
          <t>9780674790063</t>
        </is>
      </c>
      <c r="BC617" t="inlineStr">
        <is>
          <t>32285001941722</t>
        </is>
      </c>
      <c r="BD617" t="inlineStr">
        <is>
          <t>893785896</t>
        </is>
      </c>
    </row>
    <row r="618">
      <c r="A618" t="inlineStr">
        <is>
          <t>No</t>
        </is>
      </c>
      <c r="B618" t="inlineStr">
        <is>
          <t>DS146.U6 M53 2005</t>
        </is>
      </c>
      <c r="C618" t="inlineStr">
        <is>
          <t>0                      DS 0146000U  6                  M  53          2005</t>
        </is>
      </c>
      <c r="D618" t="inlineStr">
        <is>
          <t>A concise history of American antisemitism / Robert Michael.</t>
        </is>
      </c>
      <c r="F618" t="inlineStr">
        <is>
          <t>No</t>
        </is>
      </c>
      <c r="G618" t="inlineStr">
        <is>
          <t>1</t>
        </is>
      </c>
      <c r="H618" t="inlineStr">
        <is>
          <t>No</t>
        </is>
      </c>
      <c r="I618" t="inlineStr">
        <is>
          <t>No</t>
        </is>
      </c>
      <c r="J618" t="inlineStr">
        <is>
          <t>0</t>
        </is>
      </c>
      <c r="K618" t="inlineStr">
        <is>
          <t>Michael, Robert, 1936-</t>
        </is>
      </c>
      <c r="L618" t="inlineStr">
        <is>
          <t>Lanham : Rowman &amp; Littlefield, c2005.</t>
        </is>
      </c>
      <c r="M618" t="inlineStr">
        <is>
          <t>2005</t>
        </is>
      </c>
      <c r="O618" t="inlineStr">
        <is>
          <t>eng</t>
        </is>
      </c>
      <c r="P618" t="inlineStr">
        <is>
          <t>mdu</t>
        </is>
      </c>
      <c r="R618" t="inlineStr">
        <is>
          <t xml:space="preserve">DS </t>
        </is>
      </c>
      <c r="S618" t="n">
        <v>4</v>
      </c>
      <c r="T618" t="n">
        <v>4</v>
      </c>
      <c r="U618" t="inlineStr">
        <is>
          <t>2007-11-20</t>
        </is>
      </c>
      <c r="V618" t="inlineStr">
        <is>
          <t>2007-11-20</t>
        </is>
      </c>
      <c r="W618" t="inlineStr">
        <is>
          <t>2007-04-12</t>
        </is>
      </c>
      <c r="X618" t="inlineStr">
        <is>
          <t>2007-04-12</t>
        </is>
      </c>
      <c r="Y618" t="n">
        <v>284</v>
      </c>
      <c r="Z618" t="n">
        <v>247</v>
      </c>
      <c r="AA618" t="n">
        <v>272</v>
      </c>
      <c r="AB618" t="n">
        <v>2</v>
      </c>
      <c r="AC618" t="n">
        <v>2</v>
      </c>
      <c r="AD618" t="n">
        <v>14</v>
      </c>
      <c r="AE618" t="n">
        <v>15</v>
      </c>
      <c r="AF618" t="n">
        <v>4</v>
      </c>
      <c r="AG618" t="n">
        <v>5</v>
      </c>
      <c r="AH618" t="n">
        <v>6</v>
      </c>
      <c r="AI618" t="n">
        <v>7</v>
      </c>
      <c r="AJ618" t="n">
        <v>7</v>
      </c>
      <c r="AK618" t="n">
        <v>7</v>
      </c>
      <c r="AL618" t="n">
        <v>1</v>
      </c>
      <c r="AM618" t="n">
        <v>1</v>
      </c>
      <c r="AN618" t="n">
        <v>0</v>
      </c>
      <c r="AO618" t="n">
        <v>0</v>
      </c>
      <c r="AP618" t="inlineStr">
        <is>
          <t>No</t>
        </is>
      </c>
      <c r="AQ618" t="inlineStr">
        <is>
          <t>Yes</t>
        </is>
      </c>
      <c r="AR618">
        <f>HYPERLINK("http://catalog.hathitrust.org/Record/005029101","HathiTrust Record")</f>
        <v/>
      </c>
      <c r="AS618">
        <f>HYPERLINK("https://creighton-primo.hosted.exlibrisgroup.com/primo-explore/search?tab=default_tab&amp;search_scope=EVERYTHING&amp;vid=01CRU&amp;lang=en_US&amp;offset=0&amp;query=any,contains,991005063909702656","Catalog Record")</f>
        <v/>
      </c>
      <c r="AT618">
        <f>HYPERLINK("http://www.worldcat.org/oclc/56752988","WorldCat Record")</f>
        <v/>
      </c>
      <c r="AU618" t="inlineStr">
        <is>
          <t>476584994:eng</t>
        </is>
      </c>
      <c r="AV618" t="inlineStr">
        <is>
          <t>56752988</t>
        </is>
      </c>
      <c r="AW618" t="inlineStr">
        <is>
          <t>991005063909702656</t>
        </is>
      </c>
      <c r="AX618" t="inlineStr">
        <is>
          <t>991005063909702656</t>
        </is>
      </c>
      <c r="AY618" t="inlineStr">
        <is>
          <t>2256411540002656</t>
        </is>
      </c>
      <c r="AZ618" t="inlineStr">
        <is>
          <t>BOOK</t>
        </is>
      </c>
      <c r="BB618" t="inlineStr">
        <is>
          <t>9780742543126</t>
        </is>
      </c>
      <c r="BC618" t="inlineStr">
        <is>
          <t>32285005286645</t>
        </is>
      </c>
      <c r="BD618" t="inlineStr">
        <is>
          <t>893319958</t>
        </is>
      </c>
    </row>
    <row r="619">
      <c r="A619" t="inlineStr">
        <is>
          <t>No</t>
        </is>
      </c>
      <c r="B619" t="inlineStr">
        <is>
          <t>DS146.U6 P47</t>
        </is>
      </c>
      <c r="C619" t="inlineStr">
        <is>
          <t>0                      DS 0146000U  6                  P  47</t>
        </is>
      </c>
      <c r="D619" t="inlineStr">
        <is>
          <t>The real anti-Semitism in America / by Nathan Perlmutter and Ruth Ann Perlmutter.</t>
        </is>
      </c>
      <c r="F619" t="inlineStr">
        <is>
          <t>No</t>
        </is>
      </c>
      <c r="G619" t="inlineStr">
        <is>
          <t>1</t>
        </is>
      </c>
      <c r="H619" t="inlineStr">
        <is>
          <t>No</t>
        </is>
      </c>
      <c r="I619" t="inlineStr">
        <is>
          <t>No</t>
        </is>
      </c>
      <c r="J619" t="inlineStr">
        <is>
          <t>0</t>
        </is>
      </c>
      <c r="K619" t="inlineStr">
        <is>
          <t>Perlmutter, Nate.</t>
        </is>
      </c>
      <c r="L619" t="inlineStr">
        <is>
          <t>New York : Arbor House , c1982.</t>
        </is>
      </c>
      <c r="M619" t="inlineStr">
        <is>
          <t>1982</t>
        </is>
      </c>
      <c r="O619" t="inlineStr">
        <is>
          <t>eng</t>
        </is>
      </c>
      <c r="P619" t="inlineStr">
        <is>
          <t>nyu</t>
        </is>
      </c>
      <c r="R619" t="inlineStr">
        <is>
          <t xml:space="preserve">DS </t>
        </is>
      </c>
      <c r="S619" t="n">
        <v>4</v>
      </c>
      <c r="T619" t="n">
        <v>4</v>
      </c>
      <c r="U619" t="inlineStr">
        <is>
          <t>1994-10-21</t>
        </is>
      </c>
      <c r="V619" t="inlineStr">
        <is>
          <t>1994-10-21</t>
        </is>
      </c>
      <c r="W619" t="inlineStr">
        <is>
          <t>1990-10-03</t>
        </is>
      </c>
      <c r="X619" t="inlineStr">
        <is>
          <t>1990-10-03</t>
        </is>
      </c>
      <c r="Y619" t="n">
        <v>459</v>
      </c>
      <c r="Z619" t="n">
        <v>419</v>
      </c>
      <c r="AA619" t="n">
        <v>426</v>
      </c>
      <c r="AB619" t="n">
        <v>2</v>
      </c>
      <c r="AC619" t="n">
        <v>2</v>
      </c>
      <c r="AD619" t="n">
        <v>12</v>
      </c>
      <c r="AE619" t="n">
        <v>12</v>
      </c>
      <c r="AF619" t="n">
        <v>5</v>
      </c>
      <c r="AG619" t="n">
        <v>5</v>
      </c>
      <c r="AH619" t="n">
        <v>3</v>
      </c>
      <c r="AI619" t="n">
        <v>3</v>
      </c>
      <c r="AJ619" t="n">
        <v>6</v>
      </c>
      <c r="AK619" t="n">
        <v>6</v>
      </c>
      <c r="AL619" t="n">
        <v>1</v>
      </c>
      <c r="AM619" t="n">
        <v>1</v>
      </c>
      <c r="AN619" t="n">
        <v>0</v>
      </c>
      <c r="AO619" t="n">
        <v>0</v>
      </c>
      <c r="AP619" t="inlineStr">
        <is>
          <t>No</t>
        </is>
      </c>
      <c r="AQ619" t="inlineStr">
        <is>
          <t>Yes</t>
        </is>
      </c>
      <c r="AR619">
        <f>HYPERLINK("http://catalog.hathitrust.org/Record/000149741","HathiTrust Record")</f>
        <v/>
      </c>
      <c r="AS619">
        <f>HYPERLINK("https://creighton-primo.hosted.exlibrisgroup.com/primo-explore/search?tab=default_tab&amp;search_scope=EVERYTHING&amp;vid=01CRU&amp;lang=en_US&amp;offset=0&amp;query=any,contains,991000058639702656","Catalog Record")</f>
        <v/>
      </c>
      <c r="AT619">
        <f>HYPERLINK("http://www.worldcat.org/oclc/8720343","WorldCat Record")</f>
        <v/>
      </c>
      <c r="AU619" t="inlineStr">
        <is>
          <t>20331748:eng</t>
        </is>
      </c>
      <c r="AV619" t="inlineStr">
        <is>
          <t>8720343</t>
        </is>
      </c>
      <c r="AW619" t="inlineStr">
        <is>
          <t>991000058639702656</t>
        </is>
      </c>
      <c r="AX619" t="inlineStr">
        <is>
          <t>991000058639702656</t>
        </is>
      </c>
      <c r="AY619" t="inlineStr">
        <is>
          <t>2265311630002656</t>
        </is>
      </c>
      <c r="AZ619" t="inlineStr">
        <is>
          <t>BOOK</t>
        </is>
      </c>
      <c r="BB619" t="inlineStr">
        <is>
          <t>9780877953784</t>
        </is>
      </c>
      <c r="BC619" t="inlineStr">
        <is>
          <t>32285000294941</t>
        </is>
      </c>
      <c r="BD619" t="inlineStr">
        <is>
          <t>893777640</t>
        </is>
      </c>
    </row>
    <row r="620">
      <c r="A620" t="inlineStr">
        <is>
          <t>No</t>
        </is>
      </c>
      <c r="B620" t="inlineStr">
        <is>
          <t>DS146.U6 Q56</t>
        </is>
      </c>
      <c r="C620" t="inlineStr">
        <is>
          <t>0                      DS 0146000U  6                  Q  56</t>
        </is>
      </c>
      <c r="D620" t="inlineStr">
        <is>
          <t>Anti-semitism in America / Harold E. Quinley and Charles Y. Glock.</t>
        </is>
      </c>
      <c r="F620" t="inlineStr">
        <is>
          <t>No</t>
        </is>
      </c>
      <c r="G620" t="inlineStr">
        <is>
          <t>1</t>
        </is>
      </c>
      <c r="H620" t="inlineStr">
        <is>
          <t>No</t>
        </is>
      </c>
      <c r="I620" t="inlineStr">
        <is>
          <t>No</t>
        </is>
      </c>
      <c r="J620" t="inlineStr">
        <is>
          <t>0</t>
        </is>
      </c>
      <c r="K620" t="inlineStr">
        <is>
          <t>Quinley, Harold E.</t>
        </is>
      </c>
      <c r="L620" t="inlineStr">
        <is>
          <t>New York : Free Press, c1979.</t>
        </is>
      </c>
      <c r="M620" t="inlineStr">
        <is>
          <t>1979</t>
        </is>
      </c>
      <c r="O620" t="inlineStr">
        <is>
          <t>eng</t>
        </is>
      </c>
      <c r="P620" t="inlineStr">
        <is>
          <t>nyu</t>
        </is>
      </c>
      <c r="R620" t="inlineStr">
        <is>
          <t xml:space="preserve">DS </t>
        </is>
      </c>
      <c r="S620" t="n">
        <v>4</v>
      </c>
      <c r="T620" t="n">
        <v>4</v>
      </c>
      <c r="U620" t="inlineStr">
        <is>
          <t>1997-05-01</t>
        </is>
      </c>
      <c r="V620" t="inlineStr">
        <is>
          <t>1997-05-01</t>
        </is>
      </c>
      <c r="W620" t="inlineStr">
        <is>
          <t>1990-10-03</t>
        </is>
      </c>
      <c r="X620" t="inlineStr">
        <is>
          <t>1990-10-03</t>
        </is>
      </c>
      <c r="Y620" t="n">
        <v>925</v>
      </c>
      <c r="Z620" t="n">
        <v>821</v>
      </c>
      <c r="AA620" t="n">
        <v>920</v>
      </c>
      <c r="AB620" t="n">
        <v>4</v>
      </c>
      <c r="AC620" t="n">
        <v>5</v>
      </c>
      <c r="AD620" t="n">
        <v>28</v>
      </c>
      <c r="AE620" t="n">
        <v>31</v>
      </c>
      <c r="AF620" t="n">
        <v>9</v>
      </c>
      <c r="AG620" t="n">
        <v>10</v>
      </c>
      <c r="AH620" t="n">
        <v>7</v>
      </c>
      <c r="AI620" t="n">
        <v>8</v>
      </c>
      <c r="AJ620" t="n">
        <v>15</v>
      </c>
      <c r="AK620" t="n">
        <v>16</v>
      </c>
      <c r="AL620" t="n">
        <v>3</v>
      </c>
      <c r="AM620" t="n">
        <v>4</v>
      </c>
      <c r="AN620" t="n">
        <v>0</v>
      </c>
      <c r="AO620" t="n">
        <v>0</v>
      </c>
      <c r="AP620" t="inlineStr">
        <is>
          <t>No</t>
        </is>
      </c>
      <c r="AQ620" t="inlineStr">
        <is>
          <t>Yes</t>
        </is>
      </c>
      <c r="AR620">
        <f>HYPERLINK("http://catalog.hathitrust.org/Record/000027115","HathiTrust Record")</f>
        <v/>
      </c>
      <c r="AS620">
        <f>HYPERLINK("https://creighton-primo.hosted.exlibrisgroup.com/primo-explore/search?tab=default_tab&amp;search_scope=EVERYTHING&amp;vid=01CRU&amp;lang=en_US&amp;offset=0&amp;query=any,contains,991004732369702656","Catalog Record")</f>
        <v/>
      </c>
      <c r="AT620">
        <f>HYPERLINK("http://www.worldcat.org/oclc/4835370","WorldCat Record")</f>
        <v/>
      </c>
      <c r="AU620" t="inlineStr">
        <is>
          <t>400740:eng</t>
        </is>
      </c>
      <c r="AV620" t="inlineStr">
        <is>
          <t>4835370</t>
        </is>
      </c>
      <c r="AW620" t="inlineStr">
        <is>
          <t>991004732369702656</t>
        </is>
      </c>
      <c r="AX620" t="inlineStr">
        <is>
          <t>991004732369702656</t>
        </is>
      </c>
      <c r="AY620" t="inlineStr">
        <is>
          <t>2268141950002656</t>
        </is>
      </c>
      <c r="AZ620" t="inlineStr">
        <is>
          <t>BOOK</t>
        </is>
      </c>
      <c r="BB620" t="inlineStr">
        <is>
          <t>9780029256404</t>
        </is>
      </c>
      <c r="BC620" t="inlineStr">
        <is>
          <t>32285000294958</t>
        </is>
      </c>
      <c r="BD620" t="inlineStr">
        <is>
          <t>893235864</t>
        </is>
      </c>
    </row>
    <row r="621">
      <c r="A621" t="inlineStr">
        <is>
          <t>No</t>
        </is>
      </c>
      <c r="B621" t="inlineStr">
        <is>
          <t>DS146.U6 S4 1969</t>
        </is>
      </c>
      <c r="C621" t="inlineStr">
        <is>
          <t>0                      DS 0146000U  6                  S  4           1969</t>
        </is>
      </c>
      <c r="D621" t="inlineStr">
        <is>
          <t>The tenacity of prejudice : anti-Semitism in contemporary America / [by] Gertrude J. Selznick and Stephen Steinberg.</t>
        </is>
      </c>
      <c r="F621" t="inlineStr">
        <is>
          <t>No</t>
        </is>
      </c>
      <c r="G621" t="inlineStr">
        <is>
          <t>1</t>
        </is>
      </c>
      <c r="H621" t="inlineStr">
        <is>
          <t>No</t>
        </is>
      </c>
      <c r="I621" t="inlineStr">
        <is>
          <t>No</t>
        </is>
      </c>
      <c r="J621" t="inlineStr">
        <is>
          <t>0</t>
        </is>
      </c>
      <c r="K621" t="inlineStr">
        <is>
          <t>Selznick, Gertrude Jaeger.</t>
        </is>
      </c>
      <c r="L621" t="inlineStr">
        <is>
          <t>New York : Harper &amp; Row, [1969]</t>
        </is>
      </c>
      <c r="M621" t="inlineStr">
        <is>
          <t>1969</t>
        </is>
      </c>
      <c r="N621" t="inlineStr">
        <is>
          <t>[1st ed.]</t>
        </is>
      </c>
      <c r="O621" t="inlineStr">
        <is>
          <t>eng</t>
        </is>
      </c>
      <c r="P621" t="inlineStr">
        <is>
          <t>nyu</t>
        </is>
      </c>
      <c r="Q621" t="inlineStr">
        <is>
          <t>Patterns of American prejudice series ; 4</t>
        </is>
      </c>
      <c r="R621" t="inlineStr">
        <is>
          <t xml:space="preserve">DS </t>
        </is>
      </c>
      <c r="S621" t="n">
        <v>2</v>
      </c>
      <c r="T621" t="n">
        <v>2</v>
      </c>
      <c r="U621" t="inlineStr">
        <is>
          <t>1997-05-01</t>
        </is>
      </c>
      <c r="V621" t="inlineStr">
        <is>
          <t>1997-05-01</t>
        </is>
      </c>
      <c r="W621" t="inlineStr">
        <is>
          <t>1994-11-02</t>
        </is>
      </c>
      <c r="X621" t="inlineStr">
        <is>
          <t>1994-11-02</t>
        </is>
      </c>
      <c r="Y621" t="n">
        <v>1028</v>
      </c>
      <c r="Z621" t="n">
        <v>933</v>
      </c>
      <c r="AA621" t="n">
        <v>1022</v>
      </c>
      <c r="AB621" t="n">
        <v>5</v>
      </c>
      <c r="AC621" t="n">
        <v>6</v>
      </c>
      <c r="AD621" t="n">
        <v>41</v>
      </c>
      <c r="AE621" t="n">
        <v>43</v>
      </c>
      <c r="AF621" t="n">
        <v>17</v>
      </c>
      <c r="AG621" t="n">
        <v>18</v>
      </c>
      <c r="AH621" t="n">
        <v>8</v>
      </c>
      <c r="AI621" t="n">
        <v>8</v>
      </c>
      <c r="AJ621" t="n">
        <v>21</v>
      </c>
      <c r="AK621" t="n">
        <v>21</v>
      </c>
      <c r="AL621" t="n">
        <v>4</v>
      </c>
      <c r="AM621" t="n">
        <v>5</v>
      </c>
      <c r="AN621" t="n">
        <v>1</v>
      </c>
      <c r="AO621" t="n">
        <v>1</v>
      </c>
      <c r="AP621" t="inlineStr">
        <is>
          <t>No</t>
        </is>
      </c>
      <c r="AQ621" t="inlineStr">
        <is>
          <t>Yes</t>
        </is>
      </c>
      <c r="AR621">
        <f>HYPERLINK("http://catalog.hathitrust.org/Record/001247728","HathiTrust Record")</f>
        <v/>
      </c>
      <c r="AS621">
        <f>HYPERLINK("https://creighton-primo.hosted.exlibrisgroup.com/primo-explore/search?tab=default_tab&amp;search_scope=EVERYTHING&amp;vid=01CRU&amp;lang=en_US&amp;offset=0&amp;query=any,contains,991000003759702656","Catalog Record")</f>
        <v/>
      </c>
      <c r="AT621">
        <f>HYPERLINK("http://www.worldcat.org/oclc/12325","WorldCat Record")</f>
        <v/>
      </c>
      <c r="AU621" t="inlineStr">
        <is>
          <t>445522:eng</t>
        </is>
      </c>
      <c r="AV621" t="inlineStr">
        <is>
          <t>12325</t>
        </is>
      </c>
      <c r="AW621" t="inlineStr">
        <is>
          <t>991000003759702656</t>
        </is>
      </c>
      <c r="AX621" t="inlineStr">
        <is>
          <t>991000003759702656</t>
        </is>
      </c>
      <c r="AY621" t="inlineStr">
        <is>
          <t>2264987860002656</t>
        </is>
      </c>
      <c r="AZ621" t="inlineStr">
        <is>
          <t>BOOK</t>
        </is>
      </c>
      <c r="BC621" t="inlineStr">
        <is>
          <t>32285001964096</t>
        </is>
      </c>
      <c r="BD621" t="inlineStr">
        <is>
          <t>893902869</t>
        </is>
      </c>
    </row>
    <row r="622">
      <c r="A622" t="inlineStr">
        <is>
          <t>No</t>
        </is>
      </c>
      <c r="B622" t="inlineStr">
        <is>
          <t>DS146.U6 S53 1982</t>
        </is>
      </c>
      <c r="C622" t="inlineStr">
        <is>
          <t>0                      DS 0146000U  6                  S  53          1982</t>
        </is>
      </c>
      <c r="D622" t="inlineStr">
        <is>
          <t>The Einstein syndrome : corporate anti-Semitism in America today / Stephen L. Slavin, Mary A. Pradt.</t>
        </is>
      </c>
      <c r="F622" t="inlineStr">
        <is>
          <t>No</t>
        </is>
      </c>
      <c r="G622" t="inlineStr">
        <is>
          <t>1</t>
        </is>
      </c>
      <c r="H622" t="inlineStr">
        <is>
          <t>No</t>
        </is>
      </c>
      <c r="I622" t="inlineStr">
        <is>
          <t>No</t>
        </is>
      </c>
      <c r="J622" t="inlineStr">
        <is>
          <t>0</t>
        </is>
      </c>
      <c r="K622" t="inlineStr">
        <is>
          <t>Slavin, Stephen L.</t>
        </is>
      </c>
      <c r="L622" t="inlineStr">
        <is>
          <t>Washington, D.C. : University Press of America, c1982.</t>
        </is>
      </c>
      <c r="M622" t="inlineStr">
        <is>
          <t>1982</t>
        </is>
      </c>
      <c r="O622" t="inlineStr">
        <is>
          <t>eng</t>
        </is>
      </c>
      <c r="P622" t="inlineStr">
        <is>
          <t>dcu</t>
        </is>
      </c>
      <c r="R622" t="inlineStr">
        <is>
          <t xml:space="preserve">DS </t>
        </is>
      </c>
      <c r="S622" t="n">
        <v>5</v>
      </c>
      <c r="T622" t="n">
        <v>5</v>
      </c>
      <c r="U622" t="inlineStr">
        <is>
          <t>1998-08-18</t>
        </is>
      </c>
      <c r="V622" t="inlineStr">
        <is>
          <t>1998-08-18</t>
        </is>
      </c>
      <c r="W622" t="inlineStr">
        <is>
          <t>1990-10-03</t>
        </is>
      </c>
      <c r="X622" t="inlineStr">
        <is>
          <t>1990-10-03</t>
        </is>
      </c>
      <c r="Y622" t="n">
        <v>359</v>
      </c>
      <c r="Z622" t="n">
        <v>317</v>
      </c>
      <c r="AA622" t="n">
        <v>324</v>
      </c>
      <c r="AB622" t="n">
        <v>4</v>
      </c>
      <c r="AC622" t="n">
        <v>4</v>
      </c>
      <c r="AD622" t="n">
        <v>20</v>
      </c>
      <c r="AE622" t="n">
        <v>20</v>
      </c>
      <c r="AF622" t="n">
        <v>7</v>
      </c>
      <c r="AG622" t="n">
        <v>7</v>
      </c>
      <c r="AH622" t="n">
        <v>3</v>
      </c>
      <c r="AI622" t="n">
        <v>3</v>
      </c>
      <c r="AJ622" t="n">
        <v>10</v>
      </c>
      <c r="AK622" t="n">
        <v>10</v>
      </c>
      <c r="AL622" t="n">
        <v>3</v>
      </c>
      <c r="AM622" t="n">
        <v>3</v>
      </c>
      <c r="AN622" t="n">
        <v>0</v>
      </c>
      <c r="AO622" t="n">
        <v>0</v>
      </c>
      <c r="AP622" t="inlineStr">
        <is>
          <t>No</t>
        </is>
      </c>
      <c r="AQ622" t="inlineStr">
        <is>
          <t>Yes</t>
        </is>
      </c>
      <c r="AR622">
        <f>HYPERLINK("http://catalog.hathitrust.org/Record/000878873","HathiTrust Record")</f>
        <v/>
      </c>
      <c r="AS622">
        <f>HYPERLINK("https://creighton-primo.hosted.exlibrisgroup.com/primo-explore/search?tab=default_tab&amp;search_scope=EVERYTHING&amp;vid=01CRU&amp;lang=en_US&amp;offset=0&amp;query=any,contains,991005231919702656","Catalog Record")</f>
        <v/>
      </c>
      <c r="AT622">
        <f>HYPERLINK("http://www.worldcat.org/oclc/8344690","WorldCat Record")</f>
        <v/>
      </c>
      <c r="AU622" t="inlineStr">
        <is>
          <t>21010971:eng</t>
        </is>
      </c>
      <c r="AV622" t="inlineStr">
        <is>
          <t>8344690</t>
        </is>
      </c>
      <c r="AW622" t="inlineStr">
        <is>
          <t>991005231919702656</t>
        </is>
      </c>
      <c r="AX622" t="inlineStr">
        <is>
          <t>991005231919702656</t>
        </is>
      </c>
      <c r="AY622" t="inlineStr">
        <is>
          <t>2260724880002656</t>
        </is>
      </c>
      <c r="AZ622" t="inlineStr">
        <is>
          <t>BOOK</t>
        </is>
      </c>
      <c r="BB622" t="inlineStr">
        <is>
          <t>9780819123701</t>
        </is>
      </c>
      <c r="BC622" t="inlineStr">
        <is>
          <t>32285000294966</t>
        </is>
      </c>
      <c r="BD622" t="inlineStr">
        <is>
          <t>893326428</t>
        </is>
      </c>
    </row>
    <row r="623">
      <c r="A623" t="inlineStr">
        <is>
          <t>No</t>
        </is>
      </c>
      <c r="B623" t="inlineStr">
        <is>
          <t>DS146.U6 S8</t>
        </is>
      </c>
      <c r="C623" t="inlineStr">
        <is>
          <t>0                      DS 0146000U  6                  S  8</t>
        </is>
      </c>
      <c r="D623" t="inlineStr">
        <is>
          <t>Jews in the mind of America, by Charles Herbert Stember and others. Project director: Marshall Sklare. Contributors: Robert Gutnam [and others] Pref. by John Slawson. Editor: George Salomon.</t>
        </is>
      </c>
      <c r="F623" t="inlineStr">
        <is>
          <t>No</t>
        </is>
      </c>
      <c r="G623" t="inlineStr">
        <is>
          <t>1</t>
        </is>
      </c>
      <c r="H623" t="inlineStr">
        <is>
          <t>No</t>
        </is>
      </c>
      <c r="I623" t="inlineStr">
        <is>
          <t>No</t>
        </is>
      </c>
      <c r="J623" t="inlineStr">
        <is>
          <t>0</t>
        </is>
      </c>
      <c r="K623" t="inlineStr">
        <is>
          <t>Stember, Charles Herbert, 1916-</t>
        </is>
      </c>
      <c r="L623" t="inlineStr">
        <is>
          <t>New York, Basic Books [1966]</t>
        </is>
      </c>
      <c r="M623" t="inlineStr">
        <is>
          <t>1966</t>
        </is>
      </c>
      <c r="O623" t="inlineStr">
        <is>
          <t>eng</t>
        </is>
      </c>
      <c r="P623" t="inlineStr">
        <is>
          <t>nyu</t>
        </is>
      </c>
      <c r="R623" t="inlineStr">
        <is>
          <t xml:space="preserve">DS </t>
        </is>
      </c>
      <c r="S623" t="n">
        <v>1</v>
      </c>
      <c r="T623" t="n">
        <v>1</v>
      </c>
      <c r="U623" t="inlineStr">
        <is>
          <t>2007-11-20</t>
        </is>
      </c>
      <c r="V623" t="inlineStr">
        <is>
          <t>2007-11-20</t>
        </is>
      </c>
      <c r="W623" t="inlineStr">
        <is>
          <t>1997-02-27</t>
        </is>
      </c>
      <c r="X623" t="inlineStr">
        <is>
          <t>1997-02-27</t>
        </is>
      </c>
      <c r="Y623" t="n">
        <v>986</v>
      </c>
      <c r="Z623" t="n">
        <v>887</v>
      </c>
      <c r="AA623" t="n">
        <v>894</v>
      </c>
      <c r="AB623" t="n">
        <v>9</v>
      </c>
      <c r="AC623" t="n">
        <v>9</v>
      </c>
      <c r="AD623" t="n">
        <v>40</v>
      </c>
      <c r="AE623" t="n">
        <v>40</v>
      </c>
      <c r="AF623" t="n">
        <v>13</v>
      </c>
      <c r="AG623" t="n">
        <v>13</v>
      </c>
      <c r="AH623" t="n">
        <v>11</v>
      </c>
      <c r="AI623" t="n">
        <v>11</v>
      </c>
      <c r="AJ623" t="n">
        <v>17</v>
      </c>
      <c r="AK623" t="n">
        <v>17</v>
      </c>
      <c r="AL623" t="n">
        <v>8</v>
      </c>
      <c r="AM623" t="n">
        <v>8</v>
      </c>
      <c r="AN623" t="n">
        <v>1</v>
      </c>
      <c r="AO623" t="n">
        <v>1</v>
      </c>
      <c r="AP623" t="inlineStr">
        <is>
          <t>No</t>
        </is>
      </c>
      <c r="AQ623" t="inlineStr">
        <is>
          <t>Yes</t>
        </is>
      </c>
      <c r="AR623">
        <f>HYPERLINK("http://catalog.hathitrust.org/Record/001247729","HathiTrust Record")</f>
        <v/>
      </c>
      <c r="AS623">
        <f>HYPERLINK("https://creighton-primo.hosted.exlibrisgroup.com/primo-explore/search?tab=default_tab&amp;search_scope=EVERYTHING&amp;vid=01CRU&amp;lang=en_US&amp;offset=0&amp;query=any,contains,991002262149702656","Catalog Record")</f>
        <v/>
      </c>
      <c r="AT623">
        <f>HYPERLINK("http://www.worldcat.org/oclc/304913","WorldCat Record")</f>
        <v/>
      </c>
      <c r="AU623" t="inlineStr">
        <is>
          <t>1354544:eng</t>
        </is>
      </c>
      <c r="AV623" t="inlineStr">
        <is>
          <t>304913</t>
        </is>
      </c>
      <c r="AW623" t="inlineStr">
        <is>
          <t>991002262149702656</t>
        </is>
      </c>
      <c r="AX623" t="inlineStr">
        <is>
          <t>991002262149702656</t>
        </is>
      </c>
      <c r="AY623" t="inlineStr">
        <is>
          <t>2271340710002656</t>
        </is>
      </c>
      <c r="AZ623" t="inlineStr">
        <is>
          <t>BOOK</t>
        </is>
      </c>
      <c r="BC623" t="inlineStr">
        <is>
          <t>32285002463726</t>
        </is>
      </c>
      <c r="BD623" t="inlineStr">
        <is>
          <t>893421125</t>
        </is>
      </c>
    </row>
    <row r="624">
      <c r="A624" t="inlineStr">
        <is>
          <t>No</t>
        </is>
      </c>
      <c r="B624" t="inlineStr">
        <is>
          <t>DS146.U6 V64</t>
        </is>
      </c>
      <c r="C624" t="inlineStr">
        <is>
          <t>0                      DS 0146000U  6                  V  64</t>
        </is>
      </c>
      <c r="D624" t="inlineStr">
        <is>
          <t>A legacy of hate : anti-Semitism in America / Ernest Volkman.</t>
        </is>
      </c>
      <c r="F624" t="inlineStr">
        <is>
          <t>No</t>
        </is>
      </c>
      <c r="G624" t="inlineStr">
        <is>
          <t>1</t>
        </is>
      </c>
      <c r="H624" t="inlineStr">
        <is>
          <t>No</t>
        </is>
      </c>
      <c r="I624" t="inlineStr">
        <is>
          <t>No</t>
        </is>
      </c>
      <c r="J624" t="inlineStr">
        <is>
          <t>0</t>
        </is>
      </c>
      <c r="K624" t="inlineStr">
        <is>
          <t>Volkman, Ernest.</t>
        </is>
      </c>
      <c r="L624" t="inlineStr">
        <is>
          <t>New York : F. Watts, 1982.</t>
        </is>
      </c>
      <c r="M624" t="inlineStr">
        <is>
          <t>1982</t>
        </is>
      </c>
      <c r="O624" t="inlineStr">
        <is>
          <t>eng</t>
        </is>
      </c>
      <c r="P624" t="inlineStr">
        <is>
          <t>nyu</t>
        </is>
      </c>
      <c r="R624" t="inlineStr">
        <is>
          <t xml:space="preserve">DS </t>
        </is>
      </c>
      <c r="S624" t="n">
        <v>7</v>
      </c>
      <c r="T624" t="n">
        <v>7</v>
      </c>
      <c r="U624" t="inlineStr">
        <is>
          <t>1997-05-01</t>
        </is>
      </c>
      <c r="V624" t="inlineStr">
        <is>
          <t>1997-05-01</t>
        </is>
      </c>
      <c r="W624" t="inlineStr">
        <is>
          <t>1990-10-03</t>
        </is>
      </c>
      <c r="X624" t="inlineStr">
        <is>
          <t>1990-10-03</t>
        </is>
      </c>
      <c r="Y624" t="n">
        <v>565</v>
      </c>
      <c r="Z624" t="n">
        <v>515</v>
      </c>
      <c r="AA624" t="n">
        <v>515</v>
      </c>
      <c r="AB624" t="n">
        <v>1</v>
      </c>
      <c r="AC624" t="n">
        <v>1</v>
      </c>
      <c r="AD624" t="n">
        <v>8</v>
      </c>
      <c r="AE624" t="n">
        <v>8</v>
      </c>
      <c r="AF624" t="n">
        <v>4</v>
      </c>
      <c r="AG624" t="n">
        <v>4</v>
      </c>
      <c r="AH624" t="n">
        <v>2</v>
      </c>
      <c r="AI624" t="n">
        <v>2</v>
      </c>
      <c r="AJ624" t="n">
        <v>3</v>
      </c>
      <c r="AK624" t="n">
        <v>3</v>
      </c>
      <c r="AL624" t="n">
        <v>0</v>
      </c>
      <c r="AM624" t="n">
        <v>0</v>
      </c>
      <c r="AN624" t="n">
        <v>0</v>
      </c>
      <c r="AO624" t="n">
        <v>0</v>
      </c>
      <c r="AP624" t="inlineStr">
        <is>
          <t>No</t>
        </is>
      </c>
      <c r="AQ624" t="inlineStr">
        <is>
          <t>No</t>
        </is>
      </c>
      <c r="AS624">
        <f>HYPERLINK("https://creighton-primo.hosted.exlibrisgroup.com/primo-explore/search?tab=default_tab&amp;search_scope=EVERYTHING&amp;vid=01CRU&amp;lang=en_US&amp;offset=0&amp;query=any,contains,991005212099702656","Catalog Record")</f>
        <v/>
      </c>
      <c r="AT624">
        <f>HYPERLINK("http://www.worldcat.org/oclc/8170089","WorldCat Record")</f>
        <v/>
      </c>
      <c r="AU624" t="inlineStr">
        <is>
          <t>19931130:eng</t>
        </is>
      </c>
      <c r="AV624" t="inlineStr">
        <is>
          <t>8170089</t>
        </is>
      </c>
      <c r="AW624" t="inlineStr">
        <is>
          <t>991005212099702656</t>
        </is>
      </c>
      <c r="AX624" t="inlineStr">
        <is>
          <t>991005212099702656</t>
        </is>
      </c>
      <c r="AY624" t="inlineStr">
        <is>
          <t>2256674130002656</t>
        </is>
      </c>
      <c r="AZ624" t="inlineStr">
        <is>
          <t>BOOK</t>
        </is>
      </c>
      <c r="BB624" t="inlineStr">
        <is>
          <t>9780531098639</t>
        </is>
      </c>
      <c r="BC624" t="inlineStr">
        <is>
          <t>32285000294974</t>
        </is>
      </c>
      <c r="BD624" t="inlineStr">
        <is>
          <t>893418559</t>
        </is>
      </c>
    </row>
    <row r="625">
      <c r="A625" t="inlineStr">
        <is>
          <t>No</t>
        </is>
      </c>
      <c r="B625" t="inlineStr">
        <is>
          <t>DS146.U6 W35 2003</t>
        </is>
      </c>
      <c r="C625" t="inlineStr">
        <is>
          <t>0                      DS 0146000U  6                  W  35          2003</t>
        </is>
      </c>
      <c r="D625" t="inlineStr">
        <is>
          <t>The American axis : Henry Ford, Charles Lindbergh, and the rise of the Third Reich / Max Wallace.</t>
        </is>
      </c>
      <c r="F625" t="inlineStr">
        <is>
          <t>No</t>
        </is>
      </c>
      <c r="G625" t="inlineStr">
        <is>
          <t>1</t>
        </is>
      </c>
      <c r="H625" t="inlineStr">
        <is>
          <t>No</t>
        </is>
      </c>
      <c r="I625" t="inlineStr">
        <is>
          <t>No</t>
        </is>
      </c>
      <c r="J625" t="inlineStr">
        <is>
          <t>0</t>
        </is>
      </c>
      <c r="K625" t="inlineStr">
        <is>
          <t>Wallace, Max.</t>
        </is>
      </c>
      <c r="L625" t="inlineStr">
        <is>
          <t>New York : St. Martin's Press, 2003.</t>
        </is>
      </c>
      <c r="M625" t="inlineStr">
        <is>
          <t>2003</t>
        </is>
      </c>
      <c r="N625" t="inlineStr">
        <is>
          <t>1st ed.</t>
        </is>
      </c>
      <c r="O625" t="inlineStr">
        <is>
          <t>eng</t>
        </is>
      </c>
      <c r="P625" t="inlineStr">
        <is>
          <t>nyu</t>
        </is>
      </c>
      <c r="R625" t="inlineStr">
        <is>
          <t xml:space="preserve">DS </t>
        </is>
      </c>
      <c r="S625" t="n">
        <v>2</v>
      </c>
      <c r="T625" t="n">
        <v>2</v>
      </c>
      <c r="U625" t="inlineStr">
        <is>
          <t>2004-09-13</t>
        </is>
      </c>
      <c r="V625" t="inlineStr">
        <is>
          <t>2004-09-13</t>
        </is>
      </c>
      <c r="W625" t="inlineStr">
        <is>
          <t>2004-09-13</t>
        </is>
      </c>
      <c r="X625" t="inlineStr">
        <is>
          <t>2004-09-13</t>
        </is>
      </c>
      <c r="Y625" t="n">
        <v>853</v>
      </c>
      <c r="Z625" t="n">
        <v>790</v>
      </c>
      <c r="AA625" t="n">
        <v>841</v>
      </c>
      <c r="AB625" t="n">
        <v>5</v>
      </c>
      <c r="AC625" t="n">
        <v>6</v>
      </c>
      <c r="AD625" t="n">
        <v>28</v>
      </c>
      <c r="AE625" t="n">
        <v>29</v>
      </c>
      <c r="AF625" t="n">
        <v>11</v>
      </c>
      <c r="AG625" t="n">
        <v>12</v>
      </c>
      <c r="AH625" t="n">
        <v>7</v>
      </c>
      <c r="AI625" t="n">
        <v>7</v>
      </c>
      <c r="AJ625" t="n">
        <v>13</v>
      </c>
      <c r="AK625" t="n">
        <v>13</v>
      </c>
      <c r="AL625" t="n">
        <v>4</v>
      </c>
      <c r="AM625" t="n">
        <v>4</v>
      </c>
      <c r="AN625" t="n">
        <v>0</v>
      </c>
      <c r="AO625" t="n">
        <v>0</v>
      </c>
      <c r="AP625" t="inlineStr">
        <is>
          <t>No</t>
        </is>
      </c>
      <c r="AQ625" t="inlineStr">
        <is>
          <t>No</t>
        </is>
      </c>
      <c r="AS625">
        <f>HYPERLINK("https://creighton-primo.hosted.exlibrisgroup.com/primo-explore/search?tab=default_tab&amp;search_scope=EVERYTHING&amp;vid=01CRU&amp;lang=en_US&amp;offset=0&amp;query=any,contains,991004359529702656","Catalog Record")</f>
        <v/>
      </c>
      <c r="AT625">
        <f>HYPERLINK("http://www.worldcat.org/oclc/51454223","WorldCat Record")</f>
        <v/>
      </c>
      <c r="AU625" t="inlineStr">
        <is>
          <t>674861:eng</t>
        </is>
      </c>
      <c r="AV625" t="inlineStr">
        <is>
          <t>51454223</t>
        </is>
      </c>
      <c r="AW625" t="inlineStr">
        <is>
          <t>991004359529702656</t>
        </is>
      </c>
      <c r="AX625" t="inlineStr">
        <is>
          <t>991004359529702656</t>
        </is>
      </c>
      <c r="AY625" t="inlineStr">
        <is>
          <t>2256450590002656</t>
        </is>
      </c>
      <c r="AZ625" t="inlineStr">
        <is>
          <t>BOOK</t>
        </is>
      </c>
      <c r="BB625" t="inlineStr">
        <is>
          <t>9780312290221</t>
        </is>
      </c>
      <c r="BC625" t="inlineStr">
        <is>
          <t>32285004986401</t>
        </is>
      </c>
      <c r="BD625" t="inlineStr">
        <is>
          <t>893794766</t>
        </is>
      </c>
    </row>
    <row r="626">
      <c r="A626" t="inlineStr">
        <is>
          <t>No</t>
        </is>
      </c>
      <c r="B626" t="inlineStr">
        <is>
          <t>DS147 .K37</t>
        </is>
      </c>
      <c r="C626" t="inlineStr">
        <is>
          <t>0                      DS 0147000K  37</t>
        </is>
      </c>
      <c r="D626" t="inlineStr">
        <is>
          <t>Out of the ghetto; the social background of Jewish emancipation, 1770-1870.</t>
        </is>
      </c>
      <c r="F626" t="inlineStr">
        <is>
          <t>No</t>
        </is>
      </c>
      <c r="G626" t="inlineStr">
        <is>
          <t>1</t>
        </is>
      </c>
      <c r="H626" t="inlineStr">
        <is>
          <t>No</t>
        </is>
      </c>
      <c r="I626" t="inlineStr">
        <is>
          <t>No</t>
        </is>
      </c>
      <c r="J626" t="inlineStr">
        <is>
          <t>0</t>
        </is>
      </c>
      <c r="K626" t="inlineStr">
        <is>
          <t>Katz, Jacob, 1904-1998.</t>
        </is>
      </c>
      <c r="L626" t="inlineStr">
        <is>
          <t>Cambridge, Mass., Harvard University Press, 1973.</t>
        </is>
      </c>
      <c r="M626" t="inlineStr">
        <is>
          <t>1973</t>
        </is>
      </c>
      <c r="O626" t="inlineStr">
        <is>
          <t>eng</t>
        </is>
      </c>
      <c r="P626" t="inlineStr">
        <is>
          <t>mau</t>
        </is>
      </c>
      <c r="R626" t="inlineStr">
        <is>
          <t xml:space="preserve">DS </t>
        </is>
      </c>
      <c r="S626" t="n">
        <v>0</v>
      </c>
      <c r="T626" t="n">
        <v>0</v>
      </c>
      <c r="U626" t="inlineStr">
        <is>
          <t>2003-04-28</t>
        </is>
      </c>
      <c r="V626" t="inlineStr">
        <is>
          <t>2003-04-28</t>
        </is>
      </c>
      <c r="W626" t="inlineStr">
        <is>
          <t>1997-02-27</t>
        </is>
      </c>
      <c r="X626" t="inlineStr">
        <is>
          <t>1997-02-27</t>
        </is>
      </c>
      <c r="Y626" t="n">
        <v>664</v>
      </c>
      <c r="Z626" t="n">
        <v>546</v>
      </c>
      <c r="AA626" t="n">
        <v>1278</v>
      </c>
      <c r="AB626" t="n">
        <v>3</v>
      </c>
      <c r="AC626" t="n">
        <v>5</v>
      </c>
      <c r="AD626" t="n">
        <v>19</v>
      </c>
      <c r="AE626" t="n">
        <v>39</v>
      </c>
      <c r="AF626" t="n">
        <v>7</v>
      </c>
      <c r="AG626" t="n">
        <v>19</v>
      </c>
      <c r="AH626" t="n">
        <v>5</v>
      </c>
      <c r="AI626" t="n">
        <v>10</v>
      </c>
      <c r="AJ626" t="n">
        <v>9</v>
      </c>
      <c r="AK626" t="n">
        <v>17</v>
      </c>
      <c r="AL626" t="n">
        <v>2</v>
      </c>
      <c r="AM626" t="n">
        <v>4</v>
      </c>
      <c r="AN626" t="n">
        <v>0</v>
      </c>
      <c r="AO626" t="n">
        <v>0</v>
      </c>
      <c r="AP626" t="inlineStr">
        <is>
          <t>No</t>
        </is>
      </c>
      <c r="AQ626" t="inlineStr">
        <is>
          <t>Yes</t>
        </is>
      </c>
      <c r="AR626">
        <f>HYPERLINK("http://catalog.hathitrust.org/Record/001247733","HathiTrust Record")</f>
        <v/>
      </c>
      <c r="AS626">
        <f>HYPERLINK("https://creighton-primo.hosted.exlibrisgroup.com/primo-explore/search?tab=default_tab&amp;search_scope=EVERYTHING&amp;vid=01CRU&amp;lang=en_US&amp;offset=0&amp;query=any,contains,991003032909702656","Catalog Record")</f>
        <v/>
      </c>
      <c r="AT626">
        <f>HYPERLINK("http://www.worldcat.org/oclc/595415","WorldCat Record")</f>
        <v/>
      </c>
      <c r="AU626" t="inlineStr">
        <is>
          <t>139397372:eng</t>
        </is>
      </c>
      <c r="AV626" t="inlineStr">
        <is>
          <t>595415</t>
        </is>
      </c>
      <c r="AW626" t="inlineStr">
        <is>
          <t>991003032909702656</t>
        </is>
      </c>
      <c r="AX626" t="inlineStr">
        <is>
          <t>991003032909702656</t>
        </is>
      </c>
      <c r="AY626" t="inlineStr">
        <is>
          <t>2272348910002656</t>
        </is>
      </c>
      <c r="AZ626" t="inlineStr">
        <is>
          <t>BOOK</t>
        </is>
      </c>
      <c r="BB626" t="inlineStr">
        <is>
          <t>9780674647756</t>
        </is>
      </c>
      <c r="BC626" t="inlineStr">
        <is>
          <t>32285002463734</t>
        </is>
      </c>
      <c r="BD626" t="inlineStr">
        <is>
          <t>893717251</t>
        </is>
      </c>
    </row>
    <row r="627">
      <c r="A627" t="inlineStr">
        <is>
          <t>No</t>
        </is>
      </c>
      <c r="B627" t="inlineStr">
        <is>
          <t>DS148 .H93 1995</t>
        </is>
      </c>
      <c r="C627" t="inlineStr">
        <is>
          <t>0                      DS 0148000H  93          1995</t>
        </is>
      </c>
      <c r="D627" t="inlineStr">
        <is>
          <t>Gender and assimilation in modern Jewish history : the roles and representation of women / Paula E. Hyman.</t>
        </is>
      </c>
      <c r="F627" t="inlineStr">
        <is>
          <t>No</t>
        </is>
      </c>
      <c r="G627" t="inlineStr">
        <is>
          <t>1</t>
        </is>
      </c>
      <c r="H627" t="inlineStr">
        <is>
          <t>No</t>
        </is>
      </c>
      <c r="I627" t="inlineStr">
        <is>
          <t>No</t>
        </is>
      </c>
      <c r="J627" t="inlineStr">
        <is>
          <t>0</t>
        </is>
      </c>
      <c r="K627" t="inlineStr">
        <is>
          <t>Hyman, Paula, 1946-2011.</t>
        </is>
      </c>
      <c r="L627" t="inlineStr">
        <is>
          <t>Seattle : University of Washington Press, c1995.</t>
        </is>
      </c>
      <c r="M627" t="inlineStr">
        <is>
          <t>1995</t>
        </is>
      </c>
      <c r="O627" t="inlineStr">
        <is>
          <t>eng</t>
        </is>
      </c>
      <c r="P627" t="inlineStr">
        <is>
          <t>wau</t>
        </is>
      </c>
      <c r="Q627" t="inlineStr">
        <is>
          <t>The Samuel &amp; Althea Stroum lectures in Jewish studies</t>
        </is>
      </c>
      <c r="R627" t="inlineStr">
        <is>
          <t xml:space="preserve">DS </t>
        </is>
      </c>
      <c r="S627" t="n">
        <v>2</v>
      </c>
      <c r="T627" t="n">
        <v>2</v>
      </c>
      <c r="U627" t="inlineStr">
        <is>
          <t>2008-05-06</t>
        </is>
      </c>
      <c r="V627" t="inlineStr">
        <is>
          <t>2008-05-06</t>
        </is>
      </c>
      <c r="W627" t="inlineStr">
        <is>
          <t>1997-05-21</t>
        </is>
      </c>
      <c r="X627" t="inlineStr">
        <is>
          <t>1997-05-21</t>
        </is>
      </c>
      <c r="Y627" t="n">
        <v>554</v>
      </c>
      <c r="Z627" t="n">
        <v>470</v>
      </c>
      <c r="AA627" t="n">
        <v>651</v>
      </c>
      <c r="AB627" t="n">
        <v>3</v>
      </c>
      <c r="AC627" t="n">
        <v>5</v>
      </c>
      <c r="AD627" t="n">
        <v>27</v>
      </c>
      <c r="AE627" t="n">
        <v>39</v>
      </c>
      <c r="AF627" t="n">
        <v>15</v>
      </c>
      <c r="AG627" t="n">
        <v>23</v>
      </c>
      <c r="AH627" t="n">
        <v>6</v>
      </c>
      <c r="AI627" t="n">
        <v>9</v>
      </c>
      <c r="AJ627" t="n">
        <v>13</v>
      </c>
      <c r="AK627" t="n">
        <v>17</v>
      </c>
      <c r="AL627" t="n">
        <v>2</v>
      </c>
      <c r="AM627" t="n">
        <v>3</v>
      </c>
      <c r="AN627" t="n">
        <v>0</v>
      </c>
      <c r="AO627" t="n">
        <v>0</v>
      </c>
      <c r="AP627" t="inlineStr">
        <is>
          <t>No</t>
        </is>
      </c>
      <c r="AQ627" t="inlineStr">
        <is>
          <t>No</t>
        </is>
      </c>
      <c r="AS627">
        <f>HYPERLINK("https://creighton-primo.hosted.exlibrisgroup.com/primo-explore/search?tab=default_tab&amp;search_scope=EVERYTHING&amp;vid=01CRU&amp;lang=en_US&amp;offset=0&amp;query=any,contains,991002400829702656","Catalog Record")</f>
        <v/>
      </c>
      <c r="AT627">
        <f>HYPERLINK("http://www.worldcat.org/oclc/31206701","WorldCat Record")</f>
        <v/>
      </c>
      <c r="AU627" t="inlineStr">
        <is>
          <t>864046793:eng</t>
        </is>
      </c>
      <c r="AV627" t="inlineStr">
        <is>
          <t>31206701</t>
        </is>
      </c>
      <c r="AW627" t="inlineStr">
        <is>
          <t>991002400829702656</t>
        </is>
      </c>
      <c r="AX627" t="inlineStr">
        <is>
          <t>991002400829702656</t>
        </is>
      </c>
      <c r="AY627" t="inlineStr">
        <is>
          <t>2259487650002656</t>
        </is>
      </c>
      <c r="AZ627" t="inlineStr">
        <is>
          <t>BOOK</t>
        </is>
      </c>
      <c r="BB627" t="inlineStr">
        <is>
          <t>9780295974255</t>
        </is>
      </c>
      <c r="BC627" t="inlineStr">
        <is>
          <t>32285002610730</t>
        </is>
      </c>
      <c r="BD627" t="inlineStr">
        <is>
          <t>893498071</t>
        </is>
      </c>
    </row>
    <row r="628">
      <c r="A628" t="inlineStr">
        <is>
          <t>No</t>
        </is>
      </c>
      <c r="B628" t="inlineStr">
        <is>
          <t>DS148 .J47 1993</t>
        </is>
      </c>
      <c r="C628" t="inlineStr">
        <is>
          <t>0                      DS 0148000J  47          1993</t>
        </is>
      </c>
      <c r="D628" t="inlineStr">
        <is>
          <t>International perspectives on church and state / Menachem Mor, editor.</t>
        </is>
      </c>
      <c r="F628" t="inlineStr">
        <is>
          <t>No</t>
        </is>
      </c>
      <c r="G628" t="inlineStr">
        <is>
          <t>1</t>
        </is>
      </c>
      <c r="H628" t="inlineStr">
        <is>
          <t>Yes</t>
        </is>
      </c>
      <c r="I628" t="inlineStr">
        <is>
          <t>No</t>
        </is>
      </c>
      <c r="J628" t="inlineStr">
        <is>
          <t>0</t>
        </is>
      </c>
      <c r="L628" t="inlineStr">
        <is>
          <t>Omaha, Neb. : Center for the Study of Religion and Society, Creighton University Press ; Bronx, NY : Fordham University Press, c1993.</t>
        </is>
      </c>
      <c r="M628" t="inlineStr">
        <is>
          <t>1993</t>
        </is>
      </c>
      <c r="O628" t="inlineStr">
        <is>
          <t>eng</t>
        </is>
      </c>
      <c r="P628" t="inlineStr">
        <is>
          <t>nbu</t>
        </is>
      </c>
      <c r="Q628" t="inlineStr">
        <is>
          <t>Studies in Jewish civilization ; 4</t>
        </is>
      </c>
      <c r="R628" t="inlineStr">
        <is>
          <t xml:space="preserve">DS </t>
        </is>
      </c>
      <c r="S628" t="n">
        <v>1</v>
      </c>
      <c r="T628" t="n">
        <v>2</v>
      </c>
      <c r="U628" t="inlineStr">
        <is>
          <t>1994-11-29</t>
        </is>
      </c>
      <c r="V628" t="inlineStr">
        <is>
          <t>2005-03-18</t>
        </is>
      </c>
      <c r="W628" t="inlineStr">
        <is>
          <t>1994-04-21</t>
        </is>
      </c>
      <c r="X628" t="inlineStr">
        <is>
          <t>2002-12-03</t>
        </is>
      </c>
      <c r="Y628" t="n">
        <v>154</v>
      </c>
      <c r="Z628" t="n">
        <v>136</v>
      </c>
      <c r="AA628" t="n">
        <v>280</v>
      </c>
      <c r="AB628" t="n">
        <v>3</v>
      </c>
      <c r="AC628" t="n">
        <v>5</v>
      </c>
      <c r="AD628" t="n">
        <v>12</v>
      </c>
      <c r="AE628" t="n">
        <v>15</v>
      </c>
      <c r="AF628" t="n">
        <v>1</v>
      </c>
      <c r="AG628" t="n">
        <v>2</v>
      </c>
      <c r="AH628" t="n">
        <v>2</v>
      </c>
      <c r="AI628" t="n">
        <v>2</v>
      </c>
      <c r="AJ628" t="n">
        <v>6</v>
      </c>
      <c r="AK628" t="n">
        <v>6</v>
      </c>
      <c r="AL628" t="n">
        <v>1</v>
      </c>
      <c r="AM628" t="n">
        <v>3</v>
      </c>
      <c r="AN628" t="n">
        <v>4</v>
      </c>
      <c r="AO628" t="n">
        <v>4</v>
      </c>
      <c r="AP628" t="inlineStr">
        <is>
          <t>No</t>
        </is>
      </c>
      <c r="AQ628" t="inlineStr">
        <is>
          <t>Yes</t>
        </is>
      </c>
      <c r="AR628">
        <f>HYPERLINK("http://catalog.hathitrust.org/Record/002796276","HathiTrust Record")</f>
        <v/>
      </c>
      <c r="AS628">
        <f>HYPERLINK("https://creighton-primo.hosted.exlibrisgroup.com/primo-explore/search?tab=default_tab&amp;search_scope=EVERYTHING&amp;vid=01CRU&amp;lang=en_US&amp;offset=0&amp;query=any,contains,991001689609702656","Catalog Record")</f>
        <v/>
      </c>
      <c r="AT628">
        <f>HYPERLINK("http://www.worldcat.org/oclc/29926533","WorldCat Record")</f>
        <v/>
      </c>
      <c r="AU628" t="inlineStr">
        <is>
          <t>1067869:eng</t>
        </is>
      </c>
      <c r="AV628" t="inlineStr">
        <is>
          <t>29926533</t>
        </is>
      </c>
      <c r="AW628" t="inlineStr">
        <is>
          <t>991001689609702656</t>
        </is>
      </c>
      <c r="AX628" t="inlineStr">
        <is>
          <t>991001689609702656</t>
        </is>
      </c>
      <c r="AY628" t="inlineStr">
        <is>
          <t>2269051520002656</t>
        </is>
      </c>
      <c r="AZ628" t="inlineStr">
        <is>
          <t>BOOK</t>
        </is>
      </c>
      <c r="BB628" t="inlineStr">
        <is>
          <t>9781881871057</t>
        </is>
      </c>
      <c r="BC628" t="inlineStr">
        <is>
          <t>32285001863967</t>
        </is>
      </c>
      <c r="BD628" t="inlineStr">
        <is>
          <t>893433035</t>
        </is>
      </c>
    </row>
    <row r="629">
      <c r="A629" t="inlineStr">
        <is>
          <t>No</t>
        </is>
      </c>
      <c r="B629" t="inlineStr">
        <is>
          <t>DS148 .J47 1993</t>
        </is>
      </c>
      <c r="C629" t="inlineStr">
        <is>
          <t>0                      DS 0148000J  47          1993</t>
        </is>
      </c>
      <c r="D629" t="inlineStr">
        <is>
          <t>International perspectives on church and state / Menachem Mor, editor.</t>
        </is>
      </c>
      <c r="F629" t="inlineStr">
        <is>
          <t>No</t>
        </is>
      </c>
      <c r="G629" t="inlineStr">
        <is>
          <t>1</t>
        </is>
      </c>
      <c r="H629" t="inlineStr">
        <is>
          <t>Yes</t>
        </is>
      </c>
      <c r="I629" t="inlineStr">
        <is>
          <t>No</t>
        </is>
      </c>
      <c r="J629" t="inlineStr">
        <is>
          <t>0</t>
        </is>
      </c>
      <c r="L629" t="inlineStr">
        <is>
          <t>Omaha, Neb. : Center for the Study of Religion and Society, Creighton University Press ; Bronx, NY : Fordham University Press, c1993.</t>
        </is>
      </c>
      <c r="M629" t="inlineStr">
        <is>
          <t>1993</t>
        </is>
      </c>
      <c r="O629" t="inlineStr">
        <is>
          <t>eng</t>
        </is>
      </c>
      <c r="P629" t="inlineStr">
        <is>
          <t>nbu</t>
        </is>
      </c>
      <c r="Q629" t="inlineStr">
        <is>
          <t>Studies in Jewish civilization ; 4</t>
        </is>
      </c>
      <c r="R629" t="inlineStr">
        <is>
          <t xml:space="preserve">DS </t>
        </is>
      </c>
      <c r="S629" t="n">
        <v>0</v>
      </c>
      <c r="T629" t="n">
        <v>2</v>
      </c>
      <c r="V629" t="inlineStr">
        <is>
          <t>2005-03-18</t>
        </is>
      </c>
      <c r="W629" t="inlineStr">
        <is>
          <t>1997-03-18</t>
        </is>
      </c>
      <c r="X629" t="inlineStr">
        <is>
          <t>2002-12-03</t>
        </is>
      </c>
      <c r="Y629" t="n">
        <v>154</v>
      </c>
      <c r="Z629" t="n">
        <v>136</v>
      </c>
      <c r="AA629" t="n">
        <v>280</v>
      </c>
      <c r="AB629" t="n">
        <v>3</v>
      </c>
      <c r="AC629" t="n">
        <v>5</v>
      </c>
      <c r="AD629" t="n">
        <v>12</v>
      </c>
      <c r="AE629" t="n">
        <v>15</v>
      </c>
      <c r="AF629" t="n">
        <v>1</v>
      </c>
      <c r="AG629" t="n">
        <v>2</v>
      </c>
      <c r="AH629" t="n">
        <v>2</v>
      </c>
      <c r="AI629" t="n">
        <v>2</v>
      </c>
      <c r="AJ629" t="n">
        <v>6</v>
      </c>
      <c r="AK629" t="n">
        <v>6</v>
      </c>
      <c r="AL629" t="n">
        <v>1</v>
      </c>
      <c r="AM629" t="n">
        <v>3</v>
      </c>
      <c r="AN629" t="n">
        <v>4</v>
      </c>
      <c r="AO629" t="n">
        <v>4</v>
      </c>
      <c r="AP629" t="inlineStr">
        <is>
          <t>No</t>
        </is>
      </c>
      <c r="AQ629" t="inlineStr">
        <is>
          <t>Yes</t>
        </is>
      </c>
      <c r="AR629">
        <f>HYPERLINK("http://catalog.hathitrust.org/Record/002796276","HathiTrust Record")</f>
        <v/>
      </c>
      <c r="AS629">
        <f>HYPERLINK("https://creighton-primo.hosted.exlibrisgroup.com/primo-explore/search?tab=default_tab&amp;search_scope=EVERYTHING&amp;vid=01CRU&amp;lang=en_US&amp;offset=0&amp;query=any,contains,991001689609702656","Catalog Record")</f>
        <v/>
      </c>
      <c r="AT629">
        <f>HYPERLINK("http://www.worldcat.org/oclc/29926533","WorldCat Record")</f>
        <v/>
      </c>
      <c r="AU629" t="inlineStr">
        <is>
          <t>1067869:eng</t>
        </is>
      </c>
      <c r="AV629" t="inlineStr">
        <is>
          <t>29926533</t>
        </is>
      </c>
      <c r="AW629" t="inlineStr">
        <is>
          <t>991001689609702656</t>
        </is>
      </c>
      <c r="AX629" t="inlineStr">
        <is>
          <t>991001689609702656</t>
        </is>
      </c>
      <c r="AY629" t="inlineStr">
        <is>
          <t>2269051520002656</t>
        </is>
      </c>
      <c r="AZ629" t="inlineStr">
        <is>
          <t>BOOK</t>
        </is>
      </c>
      <c r="BB629" t="inlineStr">
        <is>
          <t>9781881871057</t>
        </is>
      </c>
      <c r="BC629" t="inlineStr">
        <is>
          <t>32285002452604</t>
        </is>
      </c>
      <c r="BD629" t="inlineStr">
        <is>
          <t>893426765</t>
        </is>
      </c>
    </row>
    <row r="630">
      <c r="A630" t="inlineStr">
        <is>
          <t>No</t>
        </is>
      </c>
      <c r="B630" t="inlineStr">
        <is>
          <t>DS149 .A57 1975</t>
        </is>
      </c>
      <c r="C630" t="inlineStr">
        <is>
          <t>0                      DS 0149000A  57          1975</t>
        </is>
      </c>
      <c r="D630" t="inlineStr">
        <is>
          <t>Publish it not : the Middle East cover-up / Michael Adams, Christopher Mayhew.</t>
        </is>
      </c>
      <c r="F630" t="inlineStr">
        <is>
          <t>No</t>
        </is>
      </c>
      <c r="G630" t="inlineStr">
        <is>
          <t>1</t>
        </is>
      </c>
      <c r="H630" t="inlineStr">
        <is>
          <t>No</t>
        </is>
      </c>
      <c r="I630" t="inlineStr">
        <is>
          <t>No</t>
        </is>
      </c>
      <c r="J630" t="inlineStr">
        <is>
          <t>0</t>
        </is>
      </c>
      <c r="K630" t="inlineStr">
        <is>
          <t>Adams, Michael, 1920-</t>
        </is>
      </c>
      <c r="L630" t="inlineStr">
        <is>
          <t>London : Longman, 1975.</t>
        </is>
      </c>
      <c r="M630" t="inlineStr">
        <is>
          <t>1975</t>
        </is>
      </c>
      <c r="O630" t="inlineStr">
        <is>
          <t>eng</t>
        </is>
      </c>
      <c r="P630" t="inlineStr">
        <is>
          <t>enk</t>
        </is>
      </c>
      <c r="R630" t="inlineStr">
        <is>
          <t xml:space="preserve">DS </t>
        </is>
      </c>
      <c r="S630" t="n">
        <v>5</v>
      </c>
      <c r="T630" t="n">
        <v>5</v>
      </c>
      <c r="U630" t="inlineStr">
        <is>
          <t>2003-09-05</t>
        </is>
      </c>
      <c r="V630" t="inlineStr">
        <is>
          <t>2003-09-05</t>
        </is>
      </c>
      <c r="W630" t="inlineStr">
        <is>
          <t>1997-02-27</t>
        </is>
      </c>
      <c r="X630" t="inlineStr">
        <is>
          <t>1997-02-27</t>
        </is>
      </c>
      <c r="Y630" t="n">
        <v>279</v>
      </c>
      <c r="Z630" t="n">
        <v>147</v>
      </c>
      <c r="AA630" t="n">
        <v>162</v>
      </c>
      <c r="AB630" t="n">
        <v>2</v>
      </c>
      <c r="AC630" t="n">
        <v>2</v>
      </c>
      <c r="AD630" t="n">
        <v>5</v>
      </c>
      <c r="AE630" t="n">
        <v>6</v>
      </c>
      <c r="AF630" t="n">
        <v>2</v>
      </c>
      <c r="AG630" t="n">
        <v>2</v>
      </c>
      <c r="AH630" t="n">
        <v>1</v>
      </c>
      <c r="AI630" t="n">
        <v>1</v>
      </c>
      <c r="AJ630" t="n">
        <v>2</v>
      </c>
      <c r="AK630" t="n">
        <v>3</v>
      </c>
      <c r="AL630" t="n">
        <v>1</v>
      </c>
      <c r="AM630" t="n">
        <v>1</v>
      </c>
      <c r="AN630" t="n">
        <v>0</v>
      </c>
      <c r="AO630" t="n">
        <v>0</v>
      </c>
      <c r="AP630" t="inlineStr">
        <is>
          <t>No</t>
        </is>
      </c>
      <c r="AQ630" t="inlineStr">
        <is>
          <t>Yes</t>
        </is>
      </c>
      <c r="AR630">
        <f>HYPERLINK("http://catalog.hathitrust.org/Record/006255220","HathiTrust Record")</f>
        <v/>
      </c>
      <c r="AS630">
        <f>HYPERLINK("https://creighton-primo.hosted.exlibrisgroup.com/primo-explore/search?tab=default_tab&amp;search_scope=EVERYTHING&amp;vid=01CRU&amp;lang=en_US&amp;offset=0&amp;query=any,contains,991004119269702656","Catalog Record")</f>
        <v/>
      </c>
      <c r="AT630">
        <f>HYPERLINK("http://www.worldcat.org/oclc/2423823","WorldCat Record")</f>
        <v/>
      </c>
      <c r="AU630" t="inlineStr">
        <is>
          <t>5056582:eng</t>
        </is>
      </c>
      <c r="AV630" t="inlineStr">
        <is>
          <t>2423823</t>
        </is>
      </c>
      <c r="AW630" t="inlineStr">
        <is>
          <t>991004119269702656</t>
        </is>
      </c>
      <c r="AX630" t="inlineStr">
        <is>
          <t>991004119269702656</t>
        </is>
      </c>
      <c r="AY630" t="inlineStr">
        <is>
          <t>2262989890002656</t>
        </is>
      </c>
      <c r="AZ630" t="inlineStr">
        <is>
          <t>BOOK</t>
        </is>
      </c>
      <c r="BB630" t="inlineStr">
        <is>
          <t>9780582780590</t>
        </is>
      </c>
      <c r="BC630" t="inlineStr">
        <is>
          <t>32285002463742</t>
        </is>
      </c>
      <c r="BD630" t="inlineStr">
        <is>
          <t>893810364</t>
        </is>
      </c>
    </row>
    <row r="631">
      <c r="A631" t="inlineStr">
        <is>
          <t>No</t>
        </is>
      </c>
      <c r="B631" t="inlineStr">
        <is>
          <t>DS149 .A58 1988</t>
        </is>
      </c>
      <c r="C631" t="inlineStr">
        <is>
          <t>0                      DS 0149000A  58          1988</t>
        </is>
      </c>
      <c r="D631" t="inlineStr">
        <is>
          <t>Anti-zionism : analytical reflections / editors: Roselle Tekiner, Samir Abed-Rabbo, Norton Mezvinsky.</t>
        </is>
      </c>
      <c r="F631" t="inlineStr">
        <is>
          <t>No</t>
        </is>
      </c>
      <c r="G631" t="inlineStr">
        <is>
          <t>1</t>
        </is>
      </c>
      <c r="H631" t="inlineStr">
        <is>
          <t>No</t>
        </is>
      </c>
      <c r="I631" t="inlineStr">
        <is>
          <t>No</t>
        </is>
      </c>
      <c r="J631" t="inlineStr">
        <is>
          <t>0</t>
        </is>
      </c>
      <c r="L631" t="inlineStr">
        <is>
          <t>Brattleboro, Vt. : Amana Books, c1988.</t>
        </is>
      </c>
      <c r="M631" t="inlineStr">
        <is>
          <t>1988</t>
        </is>
      </c>
      <c r="O631" t="inlineStr">
        <is>
          <t>eng</t>
        </is>
      </c>
      <c r="P631" t="inlineStr">
        <is>
          <t>vtu</t>
        </is>
      </c>
      <c r="R631" t="inlineStr">
        <is>
          <t xml:space="preserve">DS </t>
        </is>
      </c>
      <c r="S631" t="n">
        <v>6</v>
      </c>
      <c r="T631" t="n">
        <v>6</v>
      </c>
      <c r="U631" t="inlineStr">
        <is>
          <t>2005-09-19</t>
        </is>
      </c>
      <c r="V631" t="inlineStr">
        <is>
          <t>2005-09-19</t>
        </is>
      </c>
      <c r="W631" t="inlineStr">
        <is>
          <t>1995-10-03</t>
        </is>
      </c>
      <c r="X631" t="inlineStr">
        <is>
          <t>1995-10-03</t>
        </is>
      </c>
      <c r="Y631" t="n">
        <v>124</v>
      </c>
      <c r="Z631" t="n">
        <v>118</v>
      </c>
      <c r="AA631" t="n">
        <v>352</v>
      </c>
      <c r="AB631" t="n">
        <v>2</v>
      </c>
      <c r="AC631" t="n">
        <v>4</v>
      </c>
      <c r="AD631" t="n">
        <v>5</v>
      </c>
      <c r="AE631" t="n">
        <v>16</v>
      </c>
      <c r="AF631" t="n">
        <v>3</v>
      </c>
      <c r="AG631" t="n">
        <v>6</v>
      </c>
      <c r="AH631" t="n">
        <v>1</v>
      </c>
      <c r="AI631" t="n">
        <v>4</v>
      </c>
      <c r="AJ631" t="n">
        <v>1</v>
      </c>
      <c r="AK631" t="n">
        <v>7</v>
      </c>
      <c r="AL631" t="n">
        <v>1</v>
      </c>
      <c r="AM631" t="n">
        <v>2</v>
      </c>
      <c r="AN631" t="n">
        <v>0</v>
      </c>
      <c r="AO631" t="n">
        <v>0</v>
      </c>
      <c r="AP631" t="inlineStr">
        <is>
          <t>No</t>
        </is>
      </c>
      <c r="AQ631" t="inlineStr">
        <is>
          <t>No</t>
        </is>
      </c>
      <c r="AS631">
        <f>HYPERLINK("https://creighton-primo.hosted.exlibrisgroup.com/primo-explore/search?tab=default_tab&amp;search_scope=EVERYTHING&amp;vid=01CRU&amp;lang=en_US&amp;offset=0&amp;query=any,contains,991001446789702656","Catalog Record")</f>
        <v/>
      </c>
      <c r="AT631">
        <f>HYPERLINK("http://www.worldcat.org/oclc/19289322","WorldCat Record")</f>
        <v/>
      </c>
      <c r="AU631" t="inlineStr">
        <is>
          <t>918869755:eng</t>
        </is>
      </c>
      <c r="AV631" t="inlineStr">
        <is>
          <t>19289322</t>
        </is>
      </c>
      <c r="AW631" t="inlineStr">
        <is>
          <t>991001446789702656</t>
        </is>
      </c>
      <c r="AX631" t="inlineStr">
        <is>
          <t>991001446789702656</t>
        </is>
      </c>
      <c r="AY631" t="inlineStr">
        <is>
          <t>2255105760002656</t>
        </is>
      </c>
      <c r="AZ631" t="inlineStr">
        <is>
          <t>BOOK</t>
        </is>
      </c>
      <c r="BB631" t="inlineStr">
        <is>
          <t>9780915597734</t>
        </is>
      </c>
      <c r="BC631" t="inlineStr">
        <is>
          <t>32285002095510</t>
        </is>
      </c>
      <c r="BD631" t="inlineStr">
        <is>
          <t>893509627</t>
        </is>
      </c>
    </row>
    <row r="632">
      <c r="A632" t="inlineStr">
        <is>
          <t>No</t>
        </is>
      </c>
      <c r="B632" t="inlineStr">
        <is>
          <t>DS149 .A88 1985</t>
        </is>
      </c>
      <c r="C632" t="inlineStr">
        <is>
          <t>0                      DS 0149000A  88          1985</t>
        </is>
      </c>
      <c r="D632" t="inlineStr">
        <is>
          <t>The tragedy of Zionism : revolution and democracy in the land of Israel / Bernard Avishai.</t>
        </is>
      </c>
      <c r="F632" t="inlineStr">
        <is>
          <t>No</t>
        </is>
      </c>
      <c r="G632" t="inlineStr">
        <is>
          <t>1</t>
        </is>
      </c>
      <c r="H632" t="inlineStr">
        <is>
          <t>No</t>
        </is>
      </c>
      <c r="I632" t="inlineStr">
        <is>
          <t>No</t>
        </is>
      </c>
      <c r="J632" t="inlineStr">
        <is>
          <t>0</t>
        </is>
      </c>
      <c r="K632" t="inlineStr">
        <is>
          <t>Avishai, Bernard.</t>
        </is>
      </c>
      <c r="L632" t="inlineStr">
        <is>
          <t>New York : Farrar Straus Giroux, 1985.</t>
        </is>
      </c>
      <c r="M632" t="inlineStr">
        <is>
          <t>1985</t>
        </is>
      </c>
      <c r="N632" t="inlineStr">
        <is>
          <t>1st ed.</t>
        </is>
      </c>
      <c r="O632" t="inlineStr">
        <is>
          <t>eng</t>
        </is>
      </c>
      <c r="P632" t="inlineStr">
        <is>
          <t>nyu</t>
        </is>
      </c>
      <c r="R632" t="inlineStr">
        <is>
          <t xml:space="preserve">DS </t>
        </is>
      </c>
      <c r="S632" t="n">
        <v>7</v>
      </c>
      <c r="T632" t="n">
        <v>7</v>
      </c>
      <c r="U632" t="inlineStr">
        <is>
          <t>1992-11-18</t>
        </is>
      </c>
      <c r="V632" t="inlineStr">
        <is>
          <t>1992-11-18</t>
        </is>
      </c>
      <c r="W632" t="inlineStr">
        <is>
          <t>1990-10-03</t>
        </is>
      </c>
      <c r="X632" t="inlineStr">
        <is>
          <t>1990-10-03</t>
        </is>
      </c>
      <c r="Y632" t="n">
        <v>672</v>
      </c>
      <c r="Z632" t="n">
        <v>564</v>
      </c>
      <c r="AA632" t="n">
        <v>593</v>
      </c>
      <c r="AB632" t="n">
        <v>3</v>
      </c>
      <c r="AC632" t="n">
        <v>3</v>
      </c>
      <c r="AD632" t="n">
        <v>22</v>
      </c>
      <c r="AE632" t="n">
        <v>23</v>
      </c>
      <c r="AF632" t="n">
        <v>7</v>
      </c>
      <c r="AG632" t="n">
        <v>8</v>
      </c>
      <c r="AH632" t="n">
        <v>4</v>
      </c>
      <c r="AI632" t="n">
        <v>5</v>
      </c>
      <c r="AJ632" t="n">
        <v>13</v>
      </c>
      <c r="AK632" t="n">
        <v>13</v>
      </c>
      <c r="AL632" t="n">
        <v>2</v>
      </c>
      <c r="AM632" t="n">
        <v>2</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HYPERLINK("https://creighton-primo.hosted.exlibrisgroup.com/primo-explore/search?tab=default_tab&amp;search_scope=EVERYTHING&amp;vid=01CRU&amp;lang=en_US&amp;offset=0&amp;query=any,contains,991000628029702656","Catalog Record")</f>
        <v/>
      </c>
      <c r="AT632">
        <f>HYPERLINK("http://www.worldcat.org/oclc/12050282","WorldCat Record")</f>
        <v/>
      </c>
      <c r="AU632" t="inlineStr">
        <is>
          <t>4346508:eng</t>
        </is>
      </c>
      <c r="AV632" t="inlineStr">
        <is>
          <t>12050282</t>
        </is>
      </c>
      <c r="AW632" t="inlineStr">
        <is>
          <t>991000628029702656</t>
        </is>
      </c>
      <c r="AX632" t="inlineStr">
        <is>
          <t>991000628029702656</t>
        </is>
      </c>
      <c r="AY632" t="inlineStr">
        <is>
          <t>2266884710002656</t>
        </is>
      </c>
      <c r="AZ632" t="inlineStr">
        <is>
          <t>BOOK</t>
        </is>
      </c>
      <c r="BB632" t="inlineStr">
        <is>
          <t>9780374278632</t>
        </is>
      </c>
      <c r="BC632" t="inlineStr">
        <is>
          <t>32285000294982</t>
        </is>
      </c>
      <c r="BD632" t="inlineStr">
        <is>
          <t>893255580</t>
        </is>
      </c>
    </row>
    <row r="633">
      <c r="A633" t="inlineStr">
        <is>
          <t>No</t>
        </is>
      </c>
      <c r="B633" t="inlineStr">
        <is>
          <t>DS149 .B3376 1993</t>
        </is>
      </c>
      <c r="C633" t="inlineStr">
        <is>
          <t>0                      DS 0149000B  3376        1993</t>
        </is>
      </c>
      <c r="D633" t="inlineStr">
        <is>
          <t>Original sins : reflections on the history of Zionism and Israel / by Benjamin Beit-Hallahmi.</t>
        </is>
      </c>
      <c r="F633" t="inlineStr">
        <is>
          <t>No</t>
        </is>
      </c>
      <c r="G633" t="inlineStr">
        <is>
          <t>1</t>
        </is>
      </c>
      <c r="H633" t="inlineStr">
        <is>
          <t>No</t>
        </is>
      </c>
      <c r="I633" t="inlineStr">
        <is>
          <t>No</t>
        </is>
      </c>
      <c r="J633" t="inlineStr">
        <is>
          <t>0</t>
        </is>
      </c>
      <c r="K633" t="inlineStr">
        <is>
          <t>Beit-Hallahmi, Benjamin.</t>
        </is>
      </c>
      <c r="L633" t="inlineStr">
        <is>
          <t>New York : Olive Branch Press, 1993.</t>
        </is>
      </c>
      <c r="M633" t="inlineStr">
        <is>
          <t>1993</t>
        </is>
      </c>
      <c r="N633" t="inlineStr">
        <is>
          <t>1st. American ed.</t>
        </is>
      </c>
      <c r="O633" t="inlineStr">
        <is>
          <t>eng</t>
        </is>
      </c>
      <c r="P633" t="inlineStr">
        <is>
          <t>nyu</t>
        </is>
      </c>
      <c r="R633" t="inlineStr">
        <is>
          <t xml:space="preserve">DS </t>
        </is>
      </c>
      <c r="S633" t="n">
        <v>7</v>
      </c>
      <c r="T633" t="n">
        <v>7</v>
      </c>
      <c r="U633" t="inlineStr">
        <is>
          <t>2010-10-12</t>
        </is>
      </c>
      <c r="V633" t="inlineStr">
        <is>
          <t>2010-10-12</t>
        </is>
      </c>
      <c r="W633" t="inlineStr">
        <is>
          <t>2003-03-03</t>
        </is>
      </c>
      <c r="X633" t="inlineStr">
        <is>
          <t>2003-03-03</t>
        </is>
      </c>
      <c r="Y633" t="n">
        <v>220</v>
      </c>
      <c r="Z633" t="n">
        <v>190</v>
      </c>
      <c r="AA633" t="n">
        <v>268</v>
      </c>
      <c r="AB633" t="n">
        <v>2</v>
      </c>
      <c r="AC633" t="n">
        <v>2</v>
      </c>
      <c r="AD633" t="n">
        <v>10</v>
      </c>
      <c r="AE633" t="n">
        <v>15</v>
      </c>
      <c r="AF633" t="n">
        <v>3</v>
      </c>
      <c r="AG633" t="n">
        <v>4</v>
      </c>
      <c r="AH633" t="n">
        <v>2</v>
      </c>
      <c r="AI633" t="n">
        <v>3</v>
      </c>
      <c r="AJ633" t="n">
        <v>6</v>
      </c>
      <c r="AK633" t="n">
        <v>11</v>
      </c>
      <c r="AL633" t="n">
        <v>1</v>
      </c>
      <c r="AM633" t="n">
        <v>1</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HYPERLINK("https://creighton-primo.hosted.exlibrisgroup.com/primo-explore/search?tab=default_tab&amp;search_scope=EVERYTHING&amp;vid=01CRU&amp;lang=en_US&amp;offset=0&amp;query=any,contains,991003981979702656","Catalog Record")</f>
        <v/>
      </c>
      <c r="AT633">
        <f>HYPERLINK("http://www.worldcat.org/oclc/28024537","WorldCat Record")</f>
        <v/>
      </c>
      <c r="AU633" t="inlineStr">
        <is>
          <t>24225966:eng</t>
        </is>
      </c>
      <c r="AV633" t="inlineStr">
        <is>
          <t>28024537</t>
        </is>
      </c>
      <c r="AW633" t="inlineStr">
        <is>
          <t>991003981979702656</t>
        </is>
      </c>
      <c r="AX633" t="inlineStr">
        <is>
          <t>991003981979702656</t>
        </is>
      </c>
      <c r="AY633" t="inlineStr">
        <is>
          <t>2266461130002656</t>
        </is>
      </c>
      <c r="AZ633" t="inlineStr">
        <is>
          <t>BOOK</t>
        </is>
      </c>
      <c r="BB633" t="inlineStr">
        <is>
          <t>9781566561303</t>
        </is>
      </c>
      <c r="BC633" t="inlineStr">
        <is>
          <t>32285004682067</t>
        </is>
      </c>
      <c r="BD633" t="inlineStr">
        <is>
          <t>893894434</t>
        </is>
      </c>
    </row>
    <row r="634">
      <c r="A634" t="inlineStr">
        <is>
          <t>No</t>
        </is>
      </c>
      <c r="B634" t="inlineStr">
        <is>
          <t>DS149 .C627 1987</t>
        </is>
      </c>
      <c r="C634" t="inlineStr">
        <is>
          <t>0                      DS 0149000C  627         1987</t>
        </is>
      </c>
      <c r="D634" t="inlineStr">
        <is>
          <t>Zion and state : nation, class, and the shaping of modern Israel / Mitchell Cohen.</t>
        </is>
      </c>
      <c r="F634" t="inlineStr">
        <is>
          <t>No</t>
        </is>
      </c>
      <c r="G634" t="inlineStr">
        <is>
          <t>1</t>
        </is>
      </c>
      <c r="H634" t="inlineStr">
        <is>
          <t>No</t>
        </is>
      </c>
      <c r="I634" t="inlineStr">
        <is>
          <t>No</t>
        </is>
      </c>
      <c r="J634" t="inlineStr">
        <is>
          <t>0</t>
        </is>
      </c>
      <c r="K634" t="inlineStr">
        <is>
          <t>Cohen, Mitchell, 1952-</t>
        </is>
      </c>
      <c r="L634" t="inlineStr">
        <is>
          <t>Oxford [Oxfordshire] ; New York : B. Blackwell, 1987.</t>
        </is>
      </c>
      <c r="M634" t="inlineStr">
        <is>
          <t>1987</t>
        </is>
      </c>
      <c r="O634" t="inlineStr">
        <is>
          <t>eng</t>
        </is>
      </c>
      <c r="P634" t="inlineStr">
        <is>
          <t>enk</t>
        </is>
      </c>
      <c r="R634" t="inlineStr">
        <is>
          <t xml:space="preserve">DS </t>
        </is>
      </c>
      <c r="S634" t="n">
        <v>4</v>
      </c>
      <c r="T634" t="n">
        <v>4</v>
      </c>
      <c r="U634" t="inlineStr">
        <is>
          <t>2001-04-17</t>
        </is>
      </c>
      <c r="V634" t="inlineStr">
        <is>
          <t>2001-04-17</t>
        </is>
      </c>
      <c r="W634" t="inlineStr">
        <is>
          <t>1990-10-03</t>
        </is>
      </c>
      <c r="X634" t="inlineStr">
        <is>
          <t>1990-10-03</t>
        </is>
      </c>
      <c r="Y634" t="n">
        <v>413</v>
      </c>
      <c r="Z634" t="n">
        <v>315</v>
      </c>
      <c r="AA634" t="n">
        <v>391</v>
      </c>
      <c r="AB634" t="n">
        <v>2</v>
      </c>
      <c r="AC634" t="n">
        <v>2</v>
      </c>
      <c r="AD634" t="n">
        <v>13</v>
      </c>
      <c r="AE634" t="n">
        <v>18</v>
      </c>
      <c r="AF634" t="n">
        <v>4</v>
      </c>
      <c r="AG634" t="n">
        <v>7</v>
      </c>
      <c r="AH634" t="n">
        <v>5</v>
      </c>
      <c r="AI634" t="n">
        <v>6</v>
      </c>
      <c r="AJ634" t="n">
        <v>6</v>
      </c>
      <c r="AK634" t="n">
        <v>11</v>
      </c>
      <c r="AL634" t="n">
        <v>1</v>
      </c>
      <c r="AM634" t="n">
        <v>1</v>
      </c>
      <c r="AN634" t="n">
        <v>0</v>
      </c>
      <c r="AO634" t="n">
        <v>0</v>
      </c>
      <c r="AP634" t="inlineStr">
        <is>
          <t>No</t>
        </is>
      </c>
      <c r="AQ634" t="inlineStr">
        <is>
          <t>No</t>
        </is>
      </c>
      <c r="AS634">
        <f>HYPERLINK("https://creighton-primo.hosted.exlibrisgroup.com/primo-explore/search?tab=default_tab&amp;search_scope=EVERYTHING&amp;vid=01CRU&amp;lang=en_US&amp;offset=0&amp;query=any,contains,991000919009702656","Catalog Record")</f>
        <v/>
      </c>
      <c r="AT634">
        <f>HYPERLINK("http://www.worldcat.org/oclc/14188720","WorldCat Record")</f>
        <v/>
      </c>
      <c r="AU634" t="inlineStr">
        <is>
          <t>863898569:eng</t>
        </is>
      </c>
      <c r="AV634" t="inlineStr">
        <is>
          <t>14188720</t>
        </is>
      </c>
      <c r="AW634" t="inlineStr">
        <is>
          <t>991000919009702656</t>
        </is>
      </c>
      <c r="AX634" t="inlineStr">
        <is>
          <t>991000919009702656</t>
        </is>
      </c>
      <c r="AY634" t="inlineStr">
        <is>
          <t>2259937010002656</t>
        </is>
      </c>
      <c r="AZ634" t="inlineStr">
        <is>
          <t>BOOK</t>
        </is>
      </c>
      <c r="BB634" t="inlineStr">
        <is>
          <t>9780631152439</t>
        </is>
      </c>
      <c r="BC634" t="inlineStr">
        <is>
          <t>32285000294990</t>
        </is>
      </c>
      <c r="BD634" t="inlineStr">
        <is>
          <t>893790987</t>
        </is>
      </c>
    </row>
    <row r="635">
      <c r="A635" t="inlineStr">
        <is>
          <t>No</t>
        </is>
      </c>
      <c r="B635" t="inlineStr">
        <is>
          <t>DS149 .E594</t>
        </is>
      </c>
      <c r="C635" t="inlineStr">
        <is>
          <t>0                      DS 0149000E  594</t>
        </is>
      </c>
      <c r="D635" t="inlineStr">
        <is>
          <t>The land of promise : a critique of political Zionism / Abdelwahab M. Elmessiri ; with a foreword by John Davis.</t>
        </is>
      </c>
      <c r="F635" t="inlineStr">
        <is>
          <t>No</t>
        </is>
      </c>
      <c r="G635" t="inlineStr">
        <is>
          <t>1</t>
        </is>
      </c>
      <c r="H635" t="inlineStr">
        <is>
          <t>No</t>
        </is>
      </c>
      <c r="I635" t="inlineStr">
        <is>
          <t>No</t>
        </is>
      </c>
      <c r="J635" t="inlineStr">
        <is>
          <t>0</t>
        </is>
      </c>
      <c r="K635" t="inlineStr">
        <is>
          <t>Elmessiri, Abdelwahab M., 1938-2008.</t>
        </is>
      </c>
      <c r="L635" t="inlineStr">
        <is>
          <t>New Brunswick, N.J. : North American, c1977.</t>
        </is>
      </c>
      <c r="M635" t="inlineStr">
        <is>
          <t>1977</t>
        </is>
      </c>
      <c r="O635" t="inlineStr">
        <is>
          <t>eng</t>
        </is>
      </c>
      <c r="P635" t="inlineStr">
        <is>
          <t>nju</t>
        </is>
      </c>
      <c r="R635" t="inlineStr">
        <is>
          <t xml:space="preserve">DS </t>
        </is>
      </c>
      <c r="S635" t="n">
        <v>4</v>
      </c>
      <c r="T635" t="n">
        <v>4</v>
      </c>
      <c r="U635" t="inlineStr">
        <is>
          <t>2005-09-19</t>
        </is>
      </c>
      <c r="V635" t="inlineStr">
        <is>
          <t>2005-09-19</t>
        </is>
      </c>
      <c r="W635" t="inlineStr">
        <is>
          <t>1992-03-30</t>
        </is>
      </c>
      <c r="X635" t="inlineStr">
        <is>
          <t>1992-03-30</t>
        </is>
      </c>
      <c r="Y635" t="n">
        <v>402</v>
      </c>
      <c r="Z635" t="n">
        <v>355</v>
      </c>
      <c r="AA635" t="n">
        <v>363</v>
      </c>
      <c r="AB635" t="n">
        <v>2</v>
      </c>
      <c r="AC635" t="n">
        <v>2</v>
      </c>
      <c r="AD635" t="n">
        <v>15</v>
      </c>
      <c r="AE635" t="n">
        <v>15</v>
      </c>
      <c r="AF635" t="n">
        <v>5</v>
      </c>
      <c r="AG635" t="n">
        <v>5</v>
      </c>
      <c r="AH635" t="n">
        <v>4</v>
      </c>
      <c r="AI635" t="n">
        <v>4</v>
      </c>
      <c r="AJ635" t="n">
        <v>7</v>
      </c>
      <c r="AK635" t="n">
        <v>7</v>
      </c>
      <c r="AL635" t="n">
        <v>1</v>
      </c>
      <c r="AM635" t="n">
        <v>1</v>
      </c>
      <c r="AN635" t="n">
        <v>1</v>
      </c>
      <c r="AO635" t="n">
        <v>1</v>
      </c>
      <c r="AP635" t="inlineStr">
        <is>
          <t>No</t>
        </is>
      </c>
      <c r="AQ635" t="inlineStr">
        <is>
          <t>Yes</t>
        </is>
      </c>
      <c r="AR635">
        <f>HYPERLINK("http://catalog.hathitrust.org/Record/000294716","HathiTrust Record")</f>
        <v/>
      </c>
      <c r="AS635">
        <f>HYPERLINK("https://creighton-primo.hosted.exlibrisgroup.com/primo-explore/search?tab=default_tab&amp;search_scope=EVERYTHING&amp;vid=01CRU&amp;lang=en_US&amp;offset=0&amp;query=any,contains,991004373859702656","Catalog Record")</f>
        <v/>
      </c>
      <c r="AT635">
        <f>HYPERLINK("http://www.worldcat.org/oclc/3203297","WorldCat Record")</f>
        <v/>
      </c>
      <c r="AU635" t="inlineStr">
        <is>
          <t>366275640:eng</t>
        </is>
      </c>
      <c r="AV635" t="inlineStr">
        <is>
          <t>3203297</t>
        </is>
      </c>
      <c r="AW635" t="inlineStr">
        <is>
          <t>991004373859702656</t>
        </is>
      </c>
      <c r="AX635" t="inlineStr">
        <is>
          <t>991004373859702656</t>
        </is>
      </c>
      <c r="AY635" t="inlineStr">
        <is>
          <t>2268835260002656</t>
        </is>
      </c>
      <c r="AZ635" t="inlineStr">
        <is>
          <t>BOOK</t>
        </is>
      </c>
      <c r="BB635" t="inlineStr">
        <is>
          <t>9780930244026</t>
        </is>
      </c>
      <c r="BC635" t="inlineStr">
        <is>
          <t>32285001029742</t>
        </is>
      </c>
      <c r="BD635" t="inlineStr">
        <is>
          <t>893429986</t>
        </is>
      </c>
    </row>
    <row r="636">
      <c r="A636" t="inlineStr">
        <is>
          <t>No</t>
        </is>
      </c>
      <c r="B636" t="inlineStr">
        <is>
          <t>DS149 .F884 1977</t>
        </is>
      </c>
      <c r="C636" t="inlineStr">
        <is>
          <t>0                      DS 0149000F  884         1977</t>
        </is>
      </c>
      <c r="D636" t="inlineStr">
        <is>
          <t>Germany, Turkey, and Zionism, 1897-1918 / Isaiah Friedman.</t>
        </is>
      </c>
      <c r="F636" t="inlineStr">
        <is>
          <t>No</t>
        </is>
      </c>
      <c r="G636" t="inlineStr">
        <is>
          <t>1</t>
        </is>
      </c>
      <c r="H636" t="inlineStr">
        <is>
          <t>No</t>
        </is>
      </c>
      <c r="I636" t="inlineStr">
        <is>
          <t>No</t>
        </is>
      </c>
      <c r="J636" t="inlineStr">
        <is>
          <t>0</t>
        </is>
      </c>
      <c r="K636" t="inlineStr">
        <is>
          <t>Friedman, Isaiah.</t>
        </is>
      </c>
      <c r="L636" t="inlineStr">
        <is>
          <t>Oxford [Eng.] : Clarendon Press, 1977.</t>
        </is>
      </c>
      <c r="M636" t="inlineStr">
        <is>
          <t>1977</t>
        </is>
      </c>
      <c r="O636" t="inlineStr">
        <is>
          <t>eng</t>
        </is>
      </c>
      <c r="P636" t="inlineStr">
        <is>
          <t>enk</t>
        </is>
      </c>
      <c r="R636" t="inlineStr">
        <is>
          <t xml:space="preserve">DS </t>
        </is>
      </c>
      <c r="S636" t="n">
        <v>5</v>
      </c>
      <c r="T636" t="n">
        <v>5</v>
      </c>
      <c r="U636" t="inlineStr">
        <is>
          <t>2004-04-27</t>
        </is>
      </c>
      <c r="V636" t="inlineStr">
        <is>
          <t>2004-04-27</t>
        </is>
      </c>
      <c r="W636" t="inlineStr">
        <is>
          <t>1990-10-08</t>
        </is>
      </c>
      <c r="X636" t="inlineStr">
        <is>
          <t>1990-10-08</t>
        </is>
      </c>
      <c r="Y636" t="n">
        <v>562</v>
      </c>
      <c r="Z636" t="n">
        <v>396</v>
      </c>
      <c r="AA636" t="n">
        <v>414</v>
      </c>
      <c r="AB636" t="n">
        <v>3</v>
      </c>
      <c r="AC636" t="n">
        <v>3</v>
      </c>
      <c r="AD636" t="n">
        <v>18</v>
      </c>
      <c r="AE636" t="n">
        <v>18</v>
      </c>
      <c r="AF636" t="n">
        <v>5</v>
      </c>
      <c r="AG636" t="n">
        <v>5</v>
      </c>
      <c r="AH636" t="n">
        <v>7</v>
      </c>
      <c r="AI636" t="n">
        <v>7</v>
      </c>
      <c r="AJ636" t="n">
        <v>10</v>
      </c>
      <c r="AK636" t="n">
        <v>10</v>
      </c>
      <c r="AL636" t="n">
        <v>2</v>
      </c>
      <c r="AM636" t="n">
        <v>2</v>
      </c>
      <c r="AN636" t="n">
        <v>0</v>
      </c>
      <c r="AO636" t="n">
        <v>0</v>
      </c>
      <c r="AP636" t="inlineStr">
        <is>
          <t>No</t>
        </is>
      </c>
      <c r="AQ636" t="inlineStr">
        <is>
          <t>Yes</t>
        </is>
      </c>
      <c r="AR636">
        <f>HYPERLINK("http://catalog.hathitrust.org/Record/000738016","HathiTrust Record")</f>
        <v/>
      </c>
      <c r="AS636">
        <f>HYPERLINK("https://creighton-primo.hosted.exlibrisgroup.com/primo-explore/search?tab=default_tab&amp;search_scope=EVERYTHING&amp;vid=01CRU&amp;lang=en_US&amp;offset=0&amp;query=any,contains,991004280909702656","Catalog Record")</f>
        <v/>
      </c>
      <c r="AT636">
        <f>HYPERLINK("http://www.worldcat.org/oclc/2910884","WorldCat Record")</f>
        <v/>
      </c>
      <c r="AU636" t="inlineStr">
        <is>
          <t>6496718:eng</t>
        </is>
      </c>
      <c r="AV636" t="inlineStr">
        <is>
          <t>2910884</t>
        </is>
      </c>
      <c r="AW636" t="inlineStr">
        <is>
          <t>991004280909702656</t>
        </is>
      </c>
      <c r="AX636" t="inlineStr">
        <is>
          <t>991004280909702656</t>
        </is>
      </c>
      <c r="AY636" t="inlineStr">
        <is>
          <t>2264568980002656</t>
        </is>
      </c>
      <c r="AZ636" t="inlineStr">
        <is>
          <t>BOOK</t>
        </is>
      </c>
      <c r="BB636" t="inlineStr">
        <is>
          <t>9780198225287</t>
        </is>
      </c>
      <c r="BC636" t="inlineStr">
        <is>
          <t>32285000335017</t>
        </is>
      </c>
      <c r="BD636" t="inlineStr">
        <is>
          <t>893687563</t>
        </is>
      </c>
    </row>
    <row r="637">
      <c r="A637" t="inlineStr">
        <is>
          <t>No</t>
        </is>
      </c>
      <c r="B637" t="inlineStr">
        <is>
          <t>DS149 .G25 1979</t>
        </is>
      </c>
      <c r="C637" t="inlineStr">
        <is>
          <t>0                      DS 0149000G  25          1979</t>
        </is>
      </c>
      <c r="D637" t="inlineStr">
        <is>
          <t>Truman, American Jewry, and Israel, 1945-1948 / by Zvi Ganin.</t>
        </is>
      </c>
      <c r="F637" t="inlineStr">
        <is>
          <t>No</t>
        </is>
      </c>
      <c r="G637" t="inlineStr">
        <is>
          <t>1</t>
        </is>
      </c>
      <c r="H637" t="inlineStr">
        <is>
          <t>No</t>
        </is>
      </c>
      <c r="I637" t="inlineStr">
        <is>
          <t>No</t>
        </is>
      </c>
      <c r="J637" t="inlineStr">
        <is>
          <t>0</t>
        </is>
      </c>
      <c r="K637" t="inlineStr">
        <is>
          <t>Ganin, Zvi.</t>
        </is>
      </c>
      <c r="L637" t="inlineStr">
        <is>
          <t>New York : Holmes &amp; Meier Publishers, 1979.</t>
        </is>
      </c>
      <c r="M637" t="inlineStr">
        <is>
          <t>1979</t>
        </is>
      </c>
      <c r="O637" t="inlineStr">
        <is>
          <t>eng</t>
        </is>
      </c>
      <c r="P637" t="inlineStr">
        <is>
          <t>nyu</t>
        </is>
      </c>
      <c r="R637" t="inlineStr">
        <is>
          <t xml:space="preserve">DS </t>
        </is>
      </c>
      <c r="S637" t="n">
        <v>2</v>
      </c>
      <c r="T637" t="n">
        <v>2</v>
      </c>
      <c r="U637" t="inlineStr">
        <is>
          <t>1993-02-25</t>
        </is>
      </c>
      <c r="V637" t="inlineStr">
        <is>
          <t>1993-02-25</t>
        </is>
      </c>
      <c r="W637" t="inlineStr">
        <is>
          <t>1990-10-08</t>
        </is>
      </c>
      <c r="X637" t="inlineStr">
        <is>
          <t>1990-10-08</t>
        </is>
      </c>
      <c r="Y637" t="n">
        <v>607</v>
      </c>
      <c r="Z637" t="n">
        <v>513</v>
      </c>
      <c r="AA637" t="n">
        <v>515</v>
      </c>
      <c r="AB637" t="n">
        <v>4</v>
      </c>
      <c r="AC637" t="n">
        <v>4</v>
      </c>
      <c r="AD637" t="n">
        <v>28</v>
      </c>
      <c r="AE637" t="n">
        <v>28</v>
      </c>
      <c r="AF637" t="n">
        <v>11</v>
      </c>
      <c r="AG637" t="n">
        <v>11</v>
      </c>
      <c r="AH637" t="n">
        <v>6</v>
      </c>
      <c r="AI637" t="n">
        <v>6</v>
      </c>
      <c r="AJ637" t="n">
        <v>17</v>
      </c>
      <c r="AK637" t="n">
        <v>17</v>
      </c>
      <c r="AL637" t="n">
        <v>3</v>
      </c>
      <c r="AM637" t="n">
        <v>3</v>
      </c>
      <c r="AN637" t="n">
        <v>0</v>
      </c>
      <c r="AO637" t="n">
        <v>0</v>
      </c>
      <c r="AP637" t="inlineStr">
        <is>
          <t>No</t>
        </is>
      </c>
      <c r="AQ637" t="inlineStr">
        <is>
          <t>Yes</t>
        </is>
      </c>
      <c r="AR637">
        <f>HYPERLINK("http://catalog.hathitrust.org/Record/000256491","HathiTrust Record")</f>
        <v/>
      </c>
      <c r="AS637">
        <f>HYPERLINK("https://creighton-primo.hosted.exlibrisgroup.com/primo-explore/search?tab=default_tab&amp;search_scope=EVERYTHING&amp;vid=01CRU&amp;lang=en_US&amp;offset=0&amp;query=any,contains,991004660189702656","Catalog Record")</f>
        <v/>
      </c>
      <c r="AT637">
        <f>HYPERLINK("http://www.worldcat.org/oclc/4496542","WorldCat Record")</f>
        <v/>
      </c>
      <c r="AU637" t="inlineStr">
        <is>
          <t>505615:eng</t>
        </is>
      </c>
      <c r="AV637" t="inlineStr">
        <is>
          <t>4496542</t>
        </is>
      </c>
      <c r="AW637" t="inlineStr">
        <is>
          <t>991004660189702656</t>
        </is>
      </c>
      <c r="AX637" t="inlineStr">
        <is>
          <t>991004660189702656</t>
        </is>
      </c>
      <c r="AY637" t="inlineStr">
        <is>
          <t>2268695360002656</t>
        </is>
      </c>
      <c r="AZ637" t="inlineStr">
        <is>
          <t>BOOK</t>
        </is>
      </c>
      <c r="BB637" t="inlineStr">
        <is>
          <t>9780841904019</t>
        </is>
      </c>
      <c r="BC637" t="inlineStr">
        <is>
          <t>32285000335025</t>
        </is>
      </c>
      <c r="BD637" t="inlineStr">
        <is>
          <t>893526364</t>
        </is>
      </c>
    </row>
    <row r="638">
      <c r="A638" t="inlineStr">
        <is>
          <t>No</t>
        </is>
      </c>
      <c r="B638" t="inlineStr">
        <is>
          <t>DS149 .G5225 1978</t>
        </is>
      </c>
      <c r="C638" t="inlineStr">
        <is>
          <t>0                      DS 0149000G  5225        1978</t>
        </is>
      </c>
      <c r="D638" t="inlineStr">
        <is>
          <t>Exile and return : the struggle for a Jewish homeland / Martin Gilbert.</t>
        </is>
      </c>
      <c r="F638" t="inlineStr">
        <is>
          <t>No</t>
        </is>
      </c>
      <c r="G638" t="inlineStr">
        <is>
          <t>1</t>
        </is>
      </c>
      <c r="H638" t="inlineStr">
        <is>
          <t>No</t>
        </is>
      </c>
      <c r="I638" t="inlineStr">
        <is>
          <t>No</t>
        </is>
      </c>
      <c r="J638" t="inlineStr">
        <is>
          <t>0</t>
        </is>
      </c>
      <c r="K638" t="inlineStr">
        <is>
          <t>Gilbert, Martin, 1936-2015.</t>
        </is>
      </c>
      <c r="L638" t="inlineStr">
        <is>
          <t>Philadelphia : Lippincott, c1978.</t>
        </is>
      </c>
      <c r="M638" t="inlineStr">
        <is>
          <t>1978</t>
        </is>
      </c>
      <c r="O638" t="inlineStr">
        <is>
          <t>eng</t>
        </is>
      </c>
      <c r="P638" t="inlineStr">
        <is>
          <t>pau</t>
        </is>
      </c>
      <c r="R638" t="inlineStr">
        <is>
          <t xml:space="preserve">DS </t>
        </is>
      </c>
      <c r="S638" t="n">
        <v>2</v>
      </c>
      <c r="T638" t="n">
        <v>2</v>
      </c>
      <c r="U638" t="inlineStr">
        <is>
          <t>1997-04-12</t>
        </is>
      </c>
      <c r="V638" t="inlineStr">
        <is>
          <t>1997-04-12</t>
        </is>
      </c>
      <c r="W638" t="inlineStr">
        <is>
          <t>1990-10-08</t>
        </is>
      </c>
      <c r="X638" t="inlineStr">
        <is>
          <t>1990-10-08</t>
        </is>
      </c>
      <c r="Y638" t="n">
        <v>539</v>
      </c>
      <c r="Z638" t="n">
        <v>502</v>
      </c>
      <c r="AA638" t="n">
        <v>509</v>
      </c>
      <c r="AB638" t="n">
        <v>5</v>
      </c>
      <c r="AC638" t="n">
        <v>5</v>
      </c>
      <c r="AD638" t="n">
        <v>21</v>
      </c>
      <c r="AE638" t="n">
        <v>21</v>
      </c>
      <c r="AF638" t="n">
        <v>8</v>
      </c>
      <c r="AG638" t="n">
        <v>8</v>
      </c>
      <c r="AH638" t="n">
        <v>7</v>
      </c>
      <c r="AI638" t="n">
        <v>7</v>
      </c>
      <c r="AJ638" t="n">
        <v>8</v>
      </c>
      <c r="AK638" t="n">
        <v>8</v>
      </c>
      <c r="AL638" t="n">
        <v>3</v>
      </c>
      <c r="AM638" t="n">
        <v>3</v>
      </c>
      <c r="AN638" t="n">
        <v>0</v>
      </c>
      <c r="AO638" t="n">
        <v>0</v>
      </c>
      <c r="AP638" t="inlineStr">
        <is>
          <t>No</t>
        </is>
      </c>
      <c r="AQ638" t="inlineStr">
        <is>
          <t>Yes</t>
        </is>
      </c>
      <c r="AR638">
        <f>HYPERLINK("http://catalog.hathitrust.org/Record/000023744","HathiTrust Record")</f>
        <v/>
      </c>
      <c r="AS638">
        <f>HYPERLINK("https://creighton-primo.hosted.exlibrisgroup.com/primo-explore/search?tab=default_tab&amp;search_scope=EVERYTHING&amp;vid=01CRU&amp;lang=en_US&amp;offset=0&amp;query=any,contains,991004544139702656","Catalog Record")</f>
        <v/>
      </c>
      <c r="AT638">
        <f>HYPERLINK("http://www.worldcat.org/oclc/3912551","WorldCat Record")</f>
        <v/>
      </c>
      <c r="AU638" t="inlineStr">
        <is>
          <t>3856369297:eng</t>
        </is>
      </c>
      <c r="AV638" t="inlineStr">
        <is>
          <t>3912551</t>
        </is>
      </c>
      <c r="AW638" t="inlineStr">
        <is>
          <t>991004544139702656</t>
        </is>
      </c>
      <c r="AX638" t="inlineStr">
        <is>
          <t>991004544139702656</t>
        </is>
      </c>
      <c r="AY638" t="inlineStr">
        <is>
          <t>2260227350002656</t>
        </is>
      </c>
      <c r="AZ638" t="inlineStr">
        <is>
          <t>BOOK</t>
        </is>
      </c>
      <c r="BB638" t="inlineStr">
        <is>
          <t>9780397012497</t>
        </is>
      </c>
      <c r="BC638" t="inlineStr">
        <is>
          <t>32285000335033</t>
        </is>
      </c>
      <c r="BD638" t="inlineStr">
        <is>
          <t>893353445</t>
        </is>
      </c>
    </row>
    <row r="639">
      <c r="A639" t="inlineStr">
        <is>
          <t>No</t>
        </is>
      </c>
      <c r="B639" t="inlineStr">
        <is>
          <t>DS149 .G5326 1982</t>
        </is>
      </c>
      <c r="C639" t="inlineStr">
        <is>
          <t>0                      DS 0149000G  5326        1982</t>
        </is>
      </c>
      <c r="D639" t="inlineStr">
        <is>
          <t>The triangular connection : America, Israel, and American Jews / Edward Bernard Glick.</t>
        </is>
      </c>
      <c r="F639" t="inlineStr">
        <is>
          <t>No</t>
        </is>
      </c>
      <c r="G639" t="inlineStr">
        <is>
          <t>1</t>
        </is>
      </c>
      <c r="H639" t="inlineStr">
        <is>
          <t>No</t>
        </is>
      </c>
      <c r="I639" t="inlineStr">
        <is>
          <t>No</t>
        </is>
      </c>
      <c r="J639" t="inlineStr">
        <is>
          <t>0</t>
        </is>
      </c>
      <c r="K639" t="inlineStr">
        <is>
          <t>Glick, Edward Bernard.</t>
        </is>
      </c>
      <c r="L639" t="inlineStr">
        <is>
          <t>London ; Boston : George Allen &amp; Unwin, 1982.</t>
        </is>
      </c>
      <c r="M639" t="inlineStr">
        <is>
          <t>1982</t>
        </is>
      </c>
      <c r="O639" t="inlineStr">
        <is>
          <t>eng</t>
        </is>
      </c>
      <c r="P639" t="inlineStr">
        <is>
          <t>enk</t>
        </is>
      </c>
      <c r="R639" t="inlineStr">
        <is>
          <t xml:space="preserve">DS </t>
        </is>
      </c>
      <c r="S639" t="n">
        <v>1</v>
      </c>
      <c r="T639" t="n">
        <v>1</v>
      </c>
      <c r="U639" t="inlineStr">
        <is>
          <t>2003-10-28</t>
        </is>
      </c>
      <c r="V639" t="inlineStr">
        <is>
          <t>2003-10-28</t>
        </is>
      </c>
      <c r="W639" t="inlineStr">
        <is>
          <t>1990-10-08</t>
        </is>
      </c>
      <c r="X639" t="inlineStr">
        <is>
          <t>1990-10-08</t>
        </is>
      </c>
      <c r="Y639" t="n">
        <v>432</v>
      </c>
      <c r="Z639" t="n">
        <v>315</v>
      </c>
      <c r="AA639" t="n">
        <v>339</v>
      </c>
      <c r="AB639" t="n">
        <v>3</v>
      </c>
      <c r="AC639" t="n">
        <v>3</v>
      </c>
      <c r="AD639" t="n">
        <v>10</v>
      </c>
      <c r="AE639" t="n">
        <v>10</v>
      </c>
      <c r="AF639" t="n">
        <v>2</v>
      </c>
      <c r="AG639" t="n">
        <v>2</v>
      </c>
      <c r="AH639" t="n">
        <v>5</v>
      </c>
      <c r="AI639" t="n">
        <v>5</v>
      </c>
      <c r="AJ639" t="n">
        <v>4</v>
      </c>
      <c r="AK639" t="n">
        <v>4</v>
      </c>
      <c r="AL639" t="n">
        <v>2</v>
      </c>
      <c r="AM639" t="n">
        <v>2</v>
      </c>
      <c r="AN639" t="n">
        <v>0</v>
      </c>
      <c r="AO639" t="n">
        <v>0</v>
      </c>
      <c r="AP639" t="inlineStr">
        <is>
          <t>No</t>
        </is>
      </c>
      <c r="AQ639" t="inlineStr">
        <is>
          <t>No</t>
        </is>
      </c>
      <c r="AS639">
        <f>HYPERLINK("https://creighton-primo.hosted.exlibrisgroup.com/primo-explore/search?tab=default_tab&amp;search_scope=EVERYTHING&amp;vid=01CRU&amp;lang=en_US&amp;offset=0&amp;query=any,contains,991005237959702656","Catalog Record")</f>
        <v/>
      </c>
      <c r="AT639">
        <f>HYPERLINK("http://www.worldcat.org/oclc/8389473","WorldCat Record")</f>
        <v/>
      </c>
      <c r="AU639" t="inlineStr">
        <is>
          <t>197153640:eng</t>
        </is>
      </c>
      <c r="AV639" t="inlineStr">
        <is>
          <t>8389473</t>
        </is>
      </c>
      <c r="AW639" t="inlineStr">
        <is>
          <t>991005237959702656</t>
        </is>
      </c>
      <c r="AX639" t="inlineStr">
        <is>
          <t>991005237959702656</t>
        </is>
      </c>
      <c r="AY639" t="inlineStr">
        <is>
          <t>2261001660002656</t>
        </is>
      </c>
      <c r="AZ639" t="inlineStr">
        <is>
          <t>BOOK</t>
        </is>
      </c>
      <c r="BB639" t="inlineStr">
        <is>
          <t>9780043530085</t>
        </is>
      </c>
      <c r="BC639" t="inlineStr">
        <is>
          <t>32285000335041</t>
        </is>
      </c>
      <c r="BD639" t="inlineStr">
        <is>
          <t>893533423</t>
        </is>
      </c>
    </row>
    <row r="640">
      <c r="A640" t="inlineStr">
        <is>
          <t>No</t>
        </is>
      </c>
      <c r="B640" t="inlineStr">
        <is>
          <t>DS149 .H34</t>
        </is>
      </c>
      <c r="C640" t="inlineStr">
        <is>
          <t>0                      DS 0149000H  34</t>
        </is>
      </c>
      <c r="D640" t="inlineStr">
        <is>
          <t>The idea of the Jewish state.</t>
        </is>
      </c>
      <c r="F640" t="inlineStr">
        <is>
          <t>No</t>
        </is>
      </c>
      <c r="G640" t="inlineStr">
        <is>
          <t>1</t>
        </is>
      </c>
      <c r="H640" t="inlineStr">
        <is>
          <t>No</t>
        </is>
      </c>
      <c r="I640" t="inlineStr">
        <is>
          <t>No</t>
        </is>
      </c>
      <c r="J640" t="inlineStr">
        <is>
          <t>0</t>
        </is>
      </c>
      <c r="K640" t="inlineStr">
        <is>
          <t>Halpern, Ben.</t>
        </is>
      </c>
      <c r="L640" t="inlineStr">
        <is>
          <t>Cambridge, Harvard University Press, 1961.</t>
        </is>
      </c>
      <c r="M640" t="inlineStr">
        <is>
          <t>1961</t>
        </is>
      </c>
      <c r="O640" t="inlineStr">
        <is>
          <t>eng</t>
        </is>
      </c>
      <c r="P640" t="inlineStr">
        <is>
          <t>mau</t>
        </is>
      </c>
      <c r="Q640" t="inlineStr">
        <is>
          <t>Harvard Middle Eastern studies ; 3</t>
        </is>
      </c>
      <c r="R640" t="inlineStr">
        <is>
          <t xml:space="preserve">DS </t>
        </is>
      </c>
      <c r="S640" t="n">
        <v>2</v>
      </c>
      <c r="T640" t="n">
        <v>2</v>
      </c>
      <c r="U640" t="inlineStr">
        <is>
          <t>1997-04-11</t>
        </is>
      </c>
      <c r="V640" t="inlineStr">
        <is>
          <t>1997-04-11</t>
        </is>
      </c>
      <c r="W640" t="inlineStr">
        <is>
          <t>1997-02-27</t>
        </is>
      </c>
      <c r="X640" t="inlineStr">
        <is>
          <t>1997-02-27</t>
        </is>
      </c>
      <c r="Y640" t="n">
        <v>571</v>
      </c>
      <c r="Z640" t="n">
        <v>469</v>
      </c>
      <c r="AA640" t="n">
        <v>890</v>
      </c>
      <c r="AB640" t="n">
        <v>3</v>
      </c>
      <c r="AC640" t="n">
        <v>8</v>
      </c>
      <c r="AD640" t="n">
        <v>19</v>
      </c>
      <c r="AE640" t="n">
        <v>43</v>
      </c>
      <c r="AF640" t="n">
        <v>5</v>
      </c>
      <c r="AG640" t="n">
        <v>15</v>
      </c>
      <c r="AH640" t="n">
        <v>7</v>
      </c>
      <c r="AI640" t="n">
        <v>10</v>
      </c>
      <c r="AJ640" t="n">
        <v>9</v>
      </c>
      <c r="AK640" t="n">
        <v>20</v>
      </c>
      <c r="AL640" t="n">
        <v>2</v>
      </c>
      <c r="AM640" t="n">
        <v>7</v>
      </c>
      <c r="AN640" t="n">
        <v>0</v>
      </c>
      <c r="AO640" t="n">
        <v>0</v>
      </c>
      <c r="AP640" t="inlineStr">
        <is>
          <t>No</t>
        </is>
      </c>
      <c r="AQ640" t="inlineStr">
        <is>
          <t>Yes</t>
        </is>
      </c>
      <c r="AR640">
        <f>HYPERLINK("http://catalog.hathitrust.org/Record/001247793","HathiTrust Record")</f>
        <v/>
      </c>
      <c r="AS640">
        <f>HYPERLINK("https://creighton-primo.hosted.exlibrisgroup.com/primo-explore/search?tab=default_tab&amp;search_scope=EVERYTHING&amp;vid=01CRU&amp;lang=en_US&amp;offset=0&amp;query=any,contains,991002713639702656","Catalog Record")</f>
        <v/>
      </c>
      <c r="AT640">
        <f>HYPERLINK("http://www.worldcat.org/oclc/410688","WorldCat Record")</f>
        <v/>
      </c>
      <c r="AU640" t="inlineStr">
        <is>
          <t>1243225:eng</t>
        </is>
      </c>
      <c r="AV640" t="inlineStr">
        <is>
          <t>410688</t>
        </is>
      </c>
      <c r="AW640" t="inlineStr">
        <is>
          <t>991002713639702656</t>
        </is>
      </c>
      <c r="AX640" t="inlineStr">
        <is>
          <t>991002713639702656</t>
        </is>
      </c>
      <c r="AY640" t="inlineStr">
        <is>
          <t>2262561710002656</t>
        </is>
      </c>
      <c r="AZ640" t="inlineStr">
        <is>
          <t>BOOK</t>
        </is>
      </c>
      <c r="BC640" t="inlineStr">
        <is>
          <t>32285002463759</t>
        </is>
      </c>
      <c r="BD640" t="inlineStr">
        <is>
          <t>893498463</t>
        </is>
      </c>
    </row>
    <row r="641">
      <c r="A641" t="inlineStr">
        <is>
          <t>No</t>
        </is>
      </c>
      <c r="B641" t="inlineStr">
        <is>
          <t>DS149 .H427 1949</t>
        </is>
      </c>
      <c r="C641" t="inlineStr">
        <is>
          <t>0                      DS 0149000H  427         1949</t>
        </is>
      </c>
      <c r="D641" t="inlineStr">
        <is>
          <t>The Zionist idea.</t>
        </is>
      </c>
      <c r="F641" t="inlineStr">
        <is>
          <t>No</t>
        </is>
      </c>
      <c r="G641" t="inlineStr">
        <is>
          <t>1</t>
        </is>
      </c>
      <c r="H641" t="inlineStr">
        <is>
          <t>No</t>
        </is>
      </c>
      <c r="I641" t="inlineStr">
        <is>
          <t>No</t>
        </is>
      </c>
      <c r="J641" t="inlineStr">
        <is>
          <t>0</t>
        </is>
      </c>
      <c r="K641" t="inlineStr">
        <is>
          <t>Heller, Joseph, 1888-1957.</t>
        </is>
      </c>
      <c r="L641" t="inlineStr">
        <is>
          <t>New York : Schocken Books, [1949]</t>
        </is>
      </c>
      <c r="M641" t="inlineStr">
        <is>
          <t>1949</t>
        </is>
      </c>
      <c r="O641" t="inlineStr">
        <is>
          <t>eng</t>
        </is>
      </c>
      <c r="P641" t="inlineStr">
        <is>
          <t xml:space="preserve">xx </t>
        </is>
      </c>
      <c r="R641" t="inlineStr">
        <is>
          <t xml:space="preserve">DS </t>
        </is>
      </c>
      <c r="S641" t="n">
        <v>5</v>
      </c>
      <c r="T641" t="n">
        <v>5</v>
      </c>
      <c r="U641" t="inlineStr">
        <is>
          <t>2001-07-05</t>
        </is>
      </c>
      <c r="V641" t="inlineStr">
        <is>
          <t>2001-07-05</t>
        </is>
      </c>
      <c r="W641" t="inlineStr">
        <is>
          <t>1990-12-13</t>
        </is>
      </c>
      <c r="X641" t="inlineStr">
        <is>
          <t>1990-12-13</t>
        </is>
      </c>
      <c r="Y641" t="n">
        <v>254</v>
      </c>
      <c r="Z641" t="n">
        <v>221</v>
      </c>
      <c r="AA641" t="n">
        <v>233</v>
      </c>
      <c r="AB641" t="n">
        <v>1</v>
      </c>
      <c r="AC641" t="n">
        <v>1</v>
      </c>
      <c r="AD641" t="n">
        <v>5</v>
      </c>
      <c r="AE641" t="n">
        <v>6</v>
      </c>
      <c r="AF641" t="n">
        <v>1</v>
      </c>
      <c r="AG641" t="n">
        <v>1</v>
      </c>
      <c r="AH641" t="n">
        <v>4</v>
      </c>
      <c r="AI641" t="n">
        <v>4</v>
      </c>
      <c r="AJ641" t="n">
        <v>2</v>
      </c>
      <c r="AK641" t="n">
        <v>3</v>
      </c>
      <c r="AL641" t="n">
        <v>0</v>
      </c>
      <c r="AM641" t="n">
        <v>0</v>
      </c>
      <c r="AN641" t="n">
        <v>0</v>
      </c>
      <c r="AO641" t="n">
        <v>0</v>
      </c>
      <c r="AP641" t="inlineStr">
        <is>
          <t>No</t>
        </is>
      </c>
      <c r="AQ641" t="inlineStr">
        <is>
          <t>No</t>
        </is>
      </c>
      <c r="AR641">
        <f>HYPERLINK("http://catalog.hathitrust.org/Record/001247797","HathiTrust Record")</f>
        <v/>
      </c>
      <c r="AS641">
        <f>HYPERLINK("https://creighton-primo.hosted.exlibrisgroup.com/primo-explore/search?tab=default_tab&amp;search_scope=EVERYTHING&amp;vid=01CRU&amp;lang=en_US&amp;offset=0&amp;query=any,contains,991002709869702656","Catalog Record")</f>
        <v/>
      </c>
      <c r="AT641">
        <f>HYPERLINK("http://www.worldcat.org/oclc/408823","WorldCat Record")</f>
        <v/>
      </c>
      <c r="AU641" t="inlineStr">
        <is>
          <t>1444650:eng</t>
        </is>
      </c>
      <c r="AV641" t="inlineStr">
        <is>
          <t>408823</t>
        </is>
      </c>
      <c r="AW641" t="inlineStr">
        <is>
          <t>991002709869702656</t>
        </is>
      </c>
      <c r="AX641" t="inlineStr">
        <is>
          <t>991002709869702656</t>
        </is>
      </c>
      <c r="AY641" t="inlineStr">
        <is>
          <t>2264276100002656</t>
        </is>
      </c>
      <c r="AZ641" t="inlineStr">
        <is>
          <t>BOOK</t>
        </is>
      </c>
      <c r="BC641" t="inlineStr">
        <is>
          <t>32285000425503</t>
        </is>
      </c>
      <c r="BD641" t="inlineStr">
        <is>
          <t>893251549</t>
        </is>
      </c>
    </row>
    <row r="642">
      <c r="A642" t="inlineStr">
        <is>
          <t>No</t>
        </is>
      </c>
      <c r="B642" t="inlineStr">
        <is>
          <t>DS149 .H43758 2003</t>
        </is>
      </c>
      <c r="C642" t="inlineStr">
        <is>
          <t>0                      DS 0149000H  43758       2003</t>
        </is>
      </c>
      <c r="D642" t="inlineStr">
        <is>
          <t>The fate of zionism : a secular future for Israel &amp; Palestine / Arthur Hertzberg.</t>
        </is>
      </c>
      <c r="F642" t="inlineStr">
        <is>
          <t>No</t>
        </is>
      </c>
      <c r="G642" t="inlineStr">
        <is>
          <t>1</t>
        </is>
      </c>
      <c r="H642" t="inlineStr">
        <is>
          <t>No</t>
        </is>
      </c>
      <c r="I642" t="inlineStr">
        <is>
          <t>No</t>
        </is>
      </c>
      <c r="J642" t="inlineStr">
        <is>
          <t>0</t>
        </is>
      </c>
      <c r="K642" t="inlineStr">
        <is>
          <t>Hertzberg, Arthur.</t>
        </is>
      </c>
      <c r="L642" t="inlineStr">
        <is>
          <t>[San Francisco] : HarperSanFrancisco, 2003.</t>
        </is>
      </c>
      <c r="M642" t="inlineStr">
        <is>
          <t>2003</t>
        </is>
      </c>
      <c r="N642" t="inlineStr">
        <is>
          <t>1st ed.</t>
        </is>
      </c>
      <c r="O642" t="inlineStr">
        <is>
          <t>eng</t>
        </is>
      </c>
      <c r="P642" t="inlineStr">
        <is>
          <t>cau</t>
        </is>
      </c>
      <c r="R642" t="inlineStr">
        <is>
          <t xml:space="preserve">DS </t>
        </is>
      </c>
      <c r="S642" t="n">
        <v>3</v>
      </c>
      <c r="T642" t="n">
        <v>3</v>
      </c>
      <c r="U642" t="inlineStr">
        <is>
          <t>2010-04-21</t>
        </is>
      </c>
      <c r="V642" t="inlineStr">
        <is>
          <t>2010-04-21</t>
        </is>
      </c>
      <c r="W642" t="inlineStr">
        <is>
          <t>2004-01-07</t>
        </is>
      </c>
      <c r="X642" t="inlineStr">
        <is>
          <t>2004-01-07</t>
        </is>
      </c>
      <c r="Y642" t="n">
        <v>403</v>
      </c>
      <c r="Z642" t="n">
        <v>355</v>
      </c>
      <c r="AA642" t="n">
        <v>361</v>
      </c>
      <c r="AB642" t="n">
        <v>4</v>
      </c>
      <c r="AC642" t="n">
        <v>4</v>
      </c>
      <c r="AD642" t="n">
        <v>18</v>
      </c>
      <c r="AE642" t="n">
        <v>18</v>
      </c>
      <c r="AF642" t="n">
        <v>6</v>
      </c>
      <c r="AG642" t="n">
        <v>6</v>
      </c>
      <c r="AH642" t="n">
        <v>6</v>
      </c>
      <c r="AI642" t="n">
        <v>6</v>
      </c>
      <c r="AJ642" t="n">
        <v>8</v>
      </c>
      <c r="AK642" t="n">
        <v>8</v>
      </c>
      <c r="AL642" t="n">
        <v>3</v>
      </c>
      <c r="AM642" t="n">
        <v>3</v>
      </c>
      <c r="AN642" t="n">
        <v>0</v>
      </c>
      <c r="AO642" t="n">
        <v>0</v>
      </c>
      <c r="AP642" t="inlineStr">
        <is>
          <t>No</t>
        </is>
      </c>
      <c r="AQ642" t="inlineStr">
        <is>
          <t>No</t>
        </is>
      </c>
      <c r="AS642">
        <f>HYPERLINK("https://creighton-primo.hosted.exlibrisgroup.com/primo-explore/search?tab=default_tab&amp;search_scope=EVERYTHING&amp;vid=01CRU&amp;lang=en_US&amp;offset=0&amp;query=any,contains,991004196479702656","Catalog Record")</f>
        <v/>
      </c>
      <c r="AT642">
        <f>HYPERLINK("http://www.worldcat.org/oclc/53247921","WorldCat Record")</f>
        <v/>
      </c>
      <c r="AU642" t="inlineStr">
        <is>
          <t>649960:eng</t>
        </is>
      </c>
      <c r="AV642" t="inlineStr">
        <is>
          <t>53247921</t>
        </is>
      </c>
      <c r="AW642" t="inlineStr">
        <is>
          <t>991004196479702656</t>
        </is>
      </c>
      <c r="AX642" t="inlineStr">
        <is>
          <t>991004196479702656</t>
        </is>
      </c>
      <c r="AY642" t="inlineStr">
        <is>
          <t>2263582370002656</t>
        </is>
      </c>
      <c r="AZ642" t="inlineStr">
        <is>
          <t>BOOK</t>
        </is>
      </c>
      <c r="BB642" t="inlineStr">
        <is>
          <t>9780060557867</t>
        </is>
      </c>
      <c r="BC642" t="inlineStr">
        <is>
          <t>32285004632849</t>
        </is>
      </c>
      <c r="BD642" t="inlineStr">
        <is>
          <t>893788393</t>
        </is>
      </c>
    </row>
    <row r="643">
      <c r="A643" t="inlineStr">
        <is>
          <t>No</t>
        </is>
      </c>
      <c r="B643" t="inlineStr">
        <is>
          <t>DS149 .J33</t>
        </is>
      </c>
      <c r="C643" t="inlineStr">
        <is>
          <t>0                      DS 0149000J  33</t>
        </is>
      </c>
      <c r="D643" t="inlineStr">
        <is>
          <t>Zionism, Israel, and Asian nationalism, by G. H. Jansen.</t>
        </is>
      </c>
      <c r="F643" t="inlineStr">
        <is>
          <t>No</t>
        </is>
      </c>
      <c r="G643" t="inlineStr">
        <is>
          <t>1</t>
        </is>
      </c>
      <c r="H643" t="inlineStr">
        <is>
          <t>No</t>
        </is>
      </c>
      <c r="I643" t="inlineStr">
        <is>
          <t>No</t>
        </is>
      </c>
      <c r="J643" t="inlineStr">
        <is>
          <t>0</t>
        </is>
      </c>
      <c r="K643" t="inlineStr">
        <is>
          <t>Jansen, G. H. (Godfrey H.)</t>
        </is>
      </c>
      <c r="L643" t="inlineStr">
        <is>
          <t>Beirut, Institute for Palestine Studies, 1971.</t>
        </is>
      </c>
      <c r="M643" t="inlineStr">
        <is>
          <t>1971</t>
        </is>
      </c>
      <c r="O643" t="inlineStr">
        <is>
          <t>eng</t>
        </is>
      </c>
      <c r="P643" t="inlineStr">
        <is>
          <t xml:space="preserve">le </t>
        </is>
      </c>
      <c r="Q643" t="inlineStr">
        <is>
          <t>Institute for Palestine Studies. Monograph series, no. 29</t>
        </is>
      </c>
      <c r="R643" t="inlineStr">
        <is>
          <t xml:space="preserve">DS </t>
        </is>
      </c>
      <c r="S643" t="n">
        <v>2</v>
      </c>
      <c r="T643" t="n">
        <v>2</v>
      </c>
      <c r="U643" t="inlineStr">
        <is>
          <t>1999-07-21</t>
        </is>
      </c>
      <c r="V643" t="inlineStr">
        <is>
          <t>1999-07-21</t>
        </is>
      </c>
      <c r="W643" t="inlineStr">
        <is>
          <t>1992-02-18</t>
        </is>
      </c>
      <c r="X643" t="inlineStr">
        <is>
          <t>1992-02-18</t>
        </is>
      </c>
      <c r="Y643" t="n">
        <v>198</v>
      </c>
      <c r="Z643" t="n">
        <v>133</v>
      </c>
      <c r="AA643" t="n">
        <v>135</v>
      </c>
      <c r="AB643" t="n">
        <v>2</v>
      </c>
      <c r="AC643" t="n">
        <v>2</v>
      </c>
      <c r="AD643" t="n">
        <v>7</v>
      </c>
      <c r="AE643" t="n">
        <v>7</v>
      </c>
      <c r="AF643" t="n">
        <v>0</v>
      </c>
      <c r="AG643" t="n">
        <v>0</v>
      </c>
      <c r="AH643" t="n">
        <v>4</v>
      </c>
      <c r="AI643" t="n">
        <v>4</v>
      </c>
      <c r="AJ643" t="n">
        <v>4</v>
      </c>
      <c r="AK643" t="n">
        <v>4</v>
      </c>
      <c r="AL643" t="n">
        <v>1</v>
      </c>
      <c r="AM643" t="n">
        <v>1</v>
      </c>
      <c r="AN643" t="n">
        <v>0</v>
      </c>
      <c r="AO643" t="n">
        <v>0</v>
      </c>
      <c r="AP643" t="inlineStr">
        <is>
          <t>No</t>
        </is>
      </c>
      <c r="AQ643" t="inlineStr">
        <is>
          <t>Yes</t>
        </is>
      </c>
      <c r="AR643">
        <f>HYPERLINK("http://catalog.hathitrust.org/Record/000004954","HathiTrust Record")</f>
        <v/>
      </c>
      <c r="AS643">
        <f>HYPERLINK("https://creighton-primo.hosted.exlibrisgroup.com/primo-explore/search?tab=default_tab&amp;search_scope=EVERYTHING&amp;vid=01CRU&amp;lang=en_US&amp;offset=0&amp;query=any,contains,991002424609702656","Catalog Record")</f>
        <v/>
      </c>
      <c r="AT643">
        <f>HYPERLINK("http://www.worldcat.org/oclc/344182","WorldCat Record")</f>
        <v/>
      </c>
      <c r="AU643" t="inlineStr">
        <is>
          <t>367530955:eng</t>
        </is>
      </c>
      <c r="AV643" t="inlineStr">
        <is>
          <t>344182</t>
        </is>
      </c>
      <c r="AW643" t="inlineStr">
        <is>
          <t>991002424609702656</t>
        </is>
      </c>
      <c r="AX643" t="inlineStr">
        <is>
          <t>991002424609702656</t>
        </is>
      </c>
      <c r="AY643" t="inlineStr">
        <is>
          <t>2264878970002656</t>
        </is>
      </c>
      <c r="AZ643" t="inlineStr">
        <is>
          <t>BOOK</t>
        </is>
      </c>
      <c r="BC643" t="inlineStr">
        <is>
          <t>32285000946870</t>
        </is>
      </c>
      <c r="BD643" t="inlineStr">
        <is>
          <t>893716437</t>
        </is>
      </c>
    </row>
    <row r="644">
      <c r="A644" t="inlineStr">
        <is>
          <t>No</t>
        </is>
      </c>
      <c r="B644" t="inlineStr">
        <is>
          <t>DS149 .L256 1972</t>
        </is>
      </c>
      <c r="C644" t="inlineStr">
        <is>
          <t>0                      DS 0149000L  256         1972</t>
        </is>
      </c>
      <c r="D644" t="inlineStr">
        <is>
          <t>A history of Zionism / [by] Walter Laqueur.</t>
        </is>
      </c>
      <c r="F644" t="inlineStr">
        <is>
          <t>No</t>
        </is>
      </c>
      <c r="G644" t="inlineStr">
        <is>
          <t>1</t>
        </is>
      </c>
      <c r="H644" t="inlineStr">
        <is>
          <t>No</t>
        </is>
      </c>
      <c r="I644" t="inlineStr">
        <is>
          <t>No</t>
        </is>
      </c>
      <c r="J644" t="inlineStr">
        <is>
          <t>0</t>
        </is>
      </c>
      <c r="K644" t="inlineStr">
        <is>
          <t>Laqueur, Walter, 1921-2018.</t>
        </is>
      </c>
      <c r="L644" t="inlineStr">
        <is>
          <t>New York : Holt, Rinehart and Winston, [1972]</t>
        </is>
      </c>
      <c r="M644" t="inlineStr">
        <is>
          <t>1972</t>
        </is>
      </c>
      <c r="O644" t="inlineStr">
        <is>
          <t>eng</t>
        </is>
      </c>
      <c r="P644" t="inlineStr">
        <is>
          <t>nyu</t>
        </is>
      </c>
      <c r="R644" t="inlineStr">
        <is>
          <t xml:space="preserve">DS </t>
        </is>
      </c>
      <c r="S644" t="n">
        <v>5</v>
      </c>
      <c r="T644" t="n">
        <v>5</v>
      </c>
      <c r="U644" t="inlineStr">
        <is>
          <t>1999-04-02</t>
        </is>
      </c>
      <c r="V644" t="inlineStr">
        <is>
          <t>1999-04-02</t>
        </is>
      </c>
      <c r="W644" t="inlineStr">
        <is>
          <t>1992-03-12</t>
        </is>
      </c>
      <c r="X644" t="inlineStr">
        <is>
          <t>1992-03-12</t>
        </is>
      </c>
      <c r="Y644" t="n">
        <v>1208</v>
      </c>
      <c r="Z644" t="n">
        <v>1115</v>
      </c>
      <c r="AA644" t="n">
        <v>1655</v>
      </c>
      <c r="AB644" t="n">
        <v>6</v>
      </c>
      <c r="AC644" t="n">
        <v>9</v>
      </c>
      <c r="AD644" t="n">
        <v>33</v>
      </c>
      <c r="AE644" t="n">
        <v>53</v>
      </c>
      <c r="AF644" t="n">
        <v>14</v>
      </c>
      <c r="AG644" t="n">
        <v>22</v>
      </c>
      <c r="AH644" t="n">
        <v>7</v>
      </c>
      <c r="AI644" t="n">
        <v>11</v>
      </c>
      <c r="AJ644" t="n">
        <v>16</v>
      </c>
      <c r="AK644" t="n">
        <v>25</v>
      </c>
      <c r="AL644" t="n">
        <v>5</v>
      </c>
      <c r="AM644" t="n">
        <v>8</v>
      </c>
      <c r="AN644" t="n">
        <v>0</v>
      </c>
      <c r="AO644" t="n">
        <v>0</v>
      </c>
      <c r="AP644" t="inlineStr">
        <is>
          <t>No</t>
        </is>
      </c>
      <c r="AQ644" t="inlineStr">
        <is>
          <t>No</t>
        </is>
      </c>
      <c r="AS644">
        <f>HYPERLINK("https://creighton-primo.hosted.exlibrisgroup.com/primo-explore/search?tab=default_tab&amp;search_scope=EVERYTHING&amp;vid=01CRU&amp;lang=en_US&amp;offset=0&amp;query=any,contains,991002851019702656","Catalog Record")</f>
        <v/>
      </c>
      <c r="AT644">
        <f>HYPERLINK("http://www.worldcat.org/oclc/487000","WorldCat Record")</f>
        <v/>
      </c>
      <c r="AU644" t="inlineStr">
        <is>
          <t>1150911301:eng</t>
        </is>
      </c>
      <c r="AV644" t="inlineStr">
        <is>
          <t>487000</t>
        </is>
      </c>
      <c r="AW644" t="inlineStr">
        <is>
          <t>991002851019702656</t>
        </is>
      </c>
      <c r="AX644" t="inlineStr">
        <is>
          <t>991002851019702656</t>
        </is>
      </c>
      <c r="AY644" t="inlineStr">
        <is>
          <t>2255210290002656</t>
        </is>
      </c>
      <c r="AZ644" t="inlineStr">
        <is>
          <t>BOOK</t>
        </is>
      </c>
      <c r="BB644" t="inlineStr">
        <is>
          <t>9780030916144</t>
        </is>
      </c>
      <c r="BC644" t="inlineStr">
        <is>
          <t>32285000998723</t>
        </is>
      </c>
      <c r="BD644" t="inlineStr">
        <is>
          <t>893352552</t>
        </is>
      </c>
    </row>
    <row r="645">
      <c r="A645" t="inlineStr">
        <is>
          <t>No</t>
        </is>
      </c>
      <c r="B645" t="inlineStr">
        <is>
          <t>DS149 .R32313 1996</t>
        </is>
      </c>
      <c r="C645" t="inlineStr">
        <is>
          <t>0                      DS 0149000R  32313       1996</t>
        </is>
      </c>
      <c r="D645" t="inlineStr">
        <is>
          <t>Messianism, Zionism, and Jewish religious radicalism / Aviezer Ravitzky ; translated by Michael Swirsky and Jonathan Chipman.</t>
        </is>
      </c>
      <c r="F645" t="inlineStr">
        <is>
          <t>No</t>
        </is>
      </c>
      <c r="G645" t="inlineStr">
        <is>
          <t>1</t>
        </is>
      </c>
      <c r="H645" t="inlineStr">
        <is>
          <t>No</t>
        </is>
      </c>
      <c r="I645" t="inlineStr">
        <is>
          <t>No</t>
        </is>
      </c>
      <c r="J645" t="inlineStr">
        <is>
          <t>0</t>
        </is>
      </c>
      <c r="K645" t="inlineStr">
        <is>
          <t>Ravitzky, Aviezer.</t>
        </is>
      </c>
      <c r="L645" t="inlineStr">
        <is>
          <t>Chicago : University of Chicago Press, 1996.</t>
        </is>
      </c>
      <c r="M645" t="inlineStr">
        <is>
          <t>1996</t>
        </is>
      </c>
      <c r="O645" t="inlineStr">
        <is>
          <t>eng</t>
        </is>
      </c>
      <c r="P645" t="inlineStr">
        <is>
          <t>ilu</t>
        </is>
      </c>
      <c r="Q645" t="inlineStr">
        <is>
          <t>Chicago studies in the history of Judaism</t>
        </is>
      </c>
      <c r="R645" t="inlineStr">
        <is>
          <t xml:space="preserve">DS </t>
        </is>
      </c>
      <c r="S645" t="n">
        <v>3</v>
      </c>
      <c r="T645" t="n">
        <v>3</v>
      </c>
      <c r="U645" t="inlineStr">
        <is>
          <t>2003-09-24</t>
        </is>
      </c>
      <c r="V645" t="inlineStr">
        <is>
          <t>2003-09-24</t>
        </is>
      </c>
      <c r="W645" t="inlineStr">
        <is>
          <t>1996-11-15</t>
        </is>
      </c>
      <c r="X645" t="inlineStr">
        <is>
          <t>1996-11-15</t>
        </is>
      </c>
      <c r="Y645" t="n">
        <v>389</v>
      </c>
      <c r="Z645" t="n">
        <v>301</v>
      </c>
      <c r="AA645" t="n">
        <v>301</v>
      </c>
      <c r="AB645" t="n">
        <v>2</v>
      </c>
      <c r="AC645" t="n">
        <v>2</v>
      </c>
      <c r="AD645" t="n">
        <v>23</v>
      </c>
      <c r="AE645" t="n">
        <v>23</v>
      </c>
      <c r="AF645" t="n">
        <v>9</v>
      </c>
      <c r="AG645" t="n">
        <v>9</v>
      </c>
      <c r="AH645" t="n">
        <v>5</v>
      </c>
      <c r="AI645" t="n">
        <v>5</v>
      </c>
      <c r="AJ645" t="n">
        <v>13</v>
      </c>
      <c r="AK645" t="n">
        <v>13</v>
      </c>
      <c r="AL645" t="n">
        <v>1</v>
      </c>
      <c r="AM645" t="n">
        <v>1</v>
      </c>
      <c r="AN645" t="n">
        <v>1</v>
      </c>
      <c r="AO645" t="n">
        <v>1</v>
      </c>
      <c r="AP645" t="inlineStr">
        <is>
          <t>No</t>
        </is>
      </c>
      <c r="AQ645" t="inlineStr">
        <is>
          <t>No</t>
        </is>
      </c>
      <c r="AS645">
        <f>HYPERLINK("https://creighton-primo.hosted.exlibrisgroup.com/primo-explore/search?tab=default_tab&amp;search_scope=EVERYTHING&amp;vid=01CRU&amp;lang=en_US&amp;offset=0&amp;query=any,contains,991002606569702656","Catalog Record")</f>
        <v/>
      </c>
      <c r="AT645">
        <f>HYPERLINK("http://www.worldcat.org/oclc/34149879","WorldCat Record")</f>
        <v/>
      </c>
      <c r="AU645" t="inlineStr">
        <is>
          <t>40097118:eng</t>
        </is>
      </c>
      <c r="AV645" t="inlineStr">
        <is>
          <t>34149879</t>
        </is>
      </c>
      <c r="AW645" t="inlineStr">
        <is>
          <t>991002606569702656</t>
        </is>
      </c>
      <c r="AX645" t="inlineStr">
        <is>
          <t>991002606569702656</t>
        </is>
      </c>
      <c r="AY645" t="inlineStr">
        <is>
          <t>2271515660002656</t>
        </is>
      </c>
      <c r="AZ645" t="inlineStr">
        <is>
          <t>BOOK</t>
        </is>
      </c>
      <c r="BB645" t="inlineStr">
        <is>
          <t>9780226705774</t>
        </is>
      </c>
      <c r="BC645" t="inlineStr">
        <is>
          <t>32285002373511</t>
        </is>
      </c>
      <c r="BD645" t="inlineStr">
        <is>
          <t>893409302</t>
        </is>
      </c>
    </row>
    <row r="646">
      <c r="A646" t="inlineStr">
        <is>
          <t>No</t>
        </is>
      </c>
      <c r="B646" t="inlineStr">
        <is>
          <t>DS149 .R54513</t>
        </is>
      </c>
      <c r="C646" t="inlineStr">
        <is>
          <t>0                      DS 0149000R  54513</t>
        </is>
      </c>
      <c r="D646" t="inlineStr">
        <is>
          <t>Israel : a colonial-settler state? / Maxime Rodinson ; with an introd. by Peter Buch. [Translated from the French by David Thorstad.</t>
        </is>
      </c>
      <c r="F646" t="inlineStr">
        <is>
          <t>No</t>
        </is>
      </c>
      <c r="G646" t="inlineStr">
        <is>
          <t>1</t>
        </is>
      </c>
      <c r="H646" t="inlineStr">
        <is>
          <t>No</t>
        </is>
      </c>
      <c r="I646" t="inlineStr">
        <is>
          <t>No</t>
        </is>
      </c>
      <c r="J646" t="inlineStr">
        <is>
          <t>0</t>
        </is>
      </c>
      <c r="K646" t="inlineStr">
        <is>
          <t>Rodinson, Maxime.</t>
        </is>
      </c>
      <c r="L646" t="inlineStr">
        <is>
          <t>New York : Monad Press ; distributed by Pathfinder Press, [1973]</t>
        </is>
      </c>
      <c r="M646" t="inlineStr">
        <is>
          <t>1973</t>
        </is>
      </c>
      <c r="N646" t="inlineStr">
        <is>
          <t>1st ed.]</t>
        </is>
      </c>
      <c r="O646" t="inlineStr">
        <is>
          <t>eng</t>
        </is>
      </c>
      <c r="P646" t="inlineStr">
        <is>
          <t>nyu</t>
        </is>
      </c>
      <c r="R646" t="inlineStr">
        <is>
          <t xml:space="preserve">DS </t>
        </is>
      </c>
      <c r="S646" t="n">
        <v>1</v>
      </c>
      <c r="T646" t="n">
        <v>1</v>
      </c>
      <c r="U646" t="inlineStr">
        <is>
          <t>2007-11-15</t>
        </is>
      </c>
      <c r="V646" t="inlineStr">
        <is>
          <t>2007-11-15</t>
        </is>
      </c>
      <c r="W646" t="inlineStr">
        <is>
          <t>1991-02-14</t>
        </is>
      </c>
      <c r="X646" t="inlineStr">
        <is>
          <t>1991-02-14</t>
        </is>
      </c>
      <c r="Y646" t="n">
        <v>544</v>
      </c>
      <c r="Z646" t="n">
        <v>449</v>
      </c>
      <c r="AA646" t="n">
        <v>494</v>
      </c>
      <c r="AB646" t="n">
        <v>3</v>
      </c>
      <c r="AC646" t="n">
        <v>3</v>
      </c>
      <c r="AD646" t="n">
        <v>17</v>
      </c>
      <c r="AE646" t="n">
        <v>18</v>
      </c>
      <c r="AF646" t="n">
        <v>7</v>
      </c>
      <c r="AG646" t="n">
        <v>8</v>
      </c>
      <c r="AH646" t="n">
        <v>4</v>
      </c>
      <c r="AI646" t="n">
        <v>4</v>
      </c>
      <c r="AJ646" t="n">
        <v>9</v>
      </c>
      <c r="AK646" t="n">
        <v>10</v>
      </c>
      <c r="AL646" t="n">
        <v>2</v>
      </c>
      <c r="AM646" t="n">
        <v>2</v>
      </c>
      <c r="AN646" t="n">
        <v>0</v>
      </c>
      <c r="AO646" t="n">
        <v>0</v>
      </c>
      <c r="AP646" t="inlineStr">
        <is>
          <t>No</t>
        </is>
      </c>
      <c r="AQ646" t="inlineStr">
        <is>
          <t>Yes</t>
        </is>
      </c>
      <c r="AR646">
        <f>HYPERLINK("http://catalog.hathitrust.org/Record/001247839","HathiTrust Record")</f>
        <v/>
      </c>
      <c r="AS646">
        <f>HYPERLINK("https://creighton-primo.hosted.exlibrisgroup.com/primo-explore/search?tab=default_tab&amp;search_scope=EVERYTHING&amp;vid=01CRU&amp;lang=en_US&amp;offset=0&amp;query=any,contains,991003130879702656","Catalog Record")</f>
        <v/>
      </c>
      <c r="AT646">
        <f>HYPERLINK("http://www.worldcat.org/oclc/673646","WorldCat Record")</f>
        <v/>
      </c>
      <c r="AU646" t="inlineStr">
        <is>
          <t>1718522:eng</t>
        </is>
      </c>
      <c r="AV646" t="inlineStr">
        <is>
          <t>673646</t>
        </is>
      </c>
      <c r="AW646" t="inlineStr">
        <is>
          <t>991003130879702656</t>
        </is>
      </c>
      <c r="AX646" t="inlineStr">
        <is>
          <t>991003130879702656</t>
        </is>
      </c>
      <c r="AY646" t="inlineStr">
        <is>
          <t>2269011150002656</t>
        </is>
      </c>
      <c r="AZ646" t="inlineStr">
        <is>
          <t>BOOK</t>
        </is>
      </c>
      <c r="BC646" t="inlineStr">
        <is>
          <t>32285000510197</t>
        </is>
      </c>
      <c r="BD646" t="inlineStr">
        <is>
          <t>893246050</t>
        </is>
      </c>
    </row>
    <row r="647">
      <c r="A647" t="inlineStr">
        <is>
          <t>No</t>
        </is>
      </c>
      <c r="B647" t="inlineStr">
        <is>
          <t>DS149 .S476</t>
        </is>
      </c>
      <c r="C647" t="inlineStr">
        <is>
          <t>0                      DS 0149000S  476</t>
        </is>
      </c>
      <c r="D647" t="inlineStr">
        <is>
          <t>Israel: the view from Masada.</t>
        </is>
      </c>
      <c r="F647" t="inlineStr">
        <is>
          <t>No</t>
        </is>
      </c>
      <c r="G647" t="inlineStr">
        <is>
          <t>1</t>
        </is>
      </c>
      <c r="H647" t="inlineStr">
        <is>
          <t>No</t>
        </is>
      </c>
      <c r="I647" t="inlineStr">
        <is>
          <t>No</t>
        </is>
      </c>
      <c r="J647" t="inlineStr">
        <is>
          <t>0</t>
        </is>
      </c>
      <c r="K647" t="inlineStr">
        <is>
          <t>Sanders, Ronald, 1932-1991.</t>
        </is>
      </c>
      <c r="L647" t="inlineStr">
        <is>
          <t>New York, Harper &amp; Row [1966]</t>
        </is>
      </c>
      <c r="M647" t="inlineStr">
        <is>
          <t>1966</t>
        </is>
      </c>
      <c r="N647" t="inlineStr">
        <is>
          <t>[1st ed.]</t>
        </is>
      </c>
      <c r="O647" t="inlineStr">
        <is>
          <t>eng</t>
        </is>
      </c>
      <c r="P647" t="inlineStr">
        <is>
          <t>nyu</t>
        </is>
      </c>
      <c r="R647" t="inlineStr">
        <is>
          <t xml:space="preserve">DS </t>
        </is>
      </c>
      <c r="S647" t="n">
        <v>3</v>
      </c>
      <c r="T647" t="n">
        <v>3</v>
      </c>
      <c r="U647" t="inlineStr">
        <is>
          <t>2010-04-21</t>
        </is>
      </c>
      <c r="V647" t="inlineStr">
        <is>
          <t>2010-04-21</t>
        </is>
      </c>
      <c r="W647" t="inlineStr">
        <is>
          <t>1997-02-27</t>
        </is>
      </c>
      <c r="X647" t="inlineStr">
        <is>
          <t>1997-02-27</t>
        </is>
      </c>
      <c r="Y647" t="n">
        <v>451</v>
      </c>
      <c r="Z647" t="n">
        <v>420</v>
      </c>
      <c r="AA647" t="n">
        <v>429</v>
      </c>
      <c r="AB647" t="n">
        <v>3</v>
      </c>
      <c r="AC647" t="n">
        <v>3</v>
      </c>
      <c r="AD647" t="n">
        <v>14</v>
      </c>
      <c r="AE647" t="n">
        <v>14</v>
      </c>
      <c r="AF647" t="n">
        <v>4</v>
      </c>
      <c r="AG647" t="n">
        <v>4</v>
      </c>
      <c r="AH647" t="n">
        <v>3</v>
      </c>
      <c r="AI647" t="n">
        <v>3</v>
      </c>
      <c r="AJ647" t="n">
        <v>7</v>
      </c>
      <c r="AK647" t="n">
        <v>7</v>
      </c>
      <c r="AL647" t="n">
        <v>2</v>
      </c>
      <c r="AM647" t="n">
        <v>2</v>
      </c>
      <c r="AN647" t="n">
        <v>0</v>
      </c>
      <c r="AO647" t="n">
        <v>0</v>
      </c>
      <c r="AP647" t="inlineStr">
        <is>
          <t>No</t>
        </is>
      </c>
      <c r="AQ647" t="inlineStr">
        <is>
          <t>Yes</t>
        </is>
      </c>
      <c r="AR647">
        <f>HYPERLINK("http://catalog.hathitrust.org/Record/001247843","HathiTrust Record")</f>
        <v/>
      </c>
      <c r="AS647">
        <f>HYPERLINK("https://creighton-primo.hosted.exlibrisgroup.com/primo-explore/search?tab=default_tab&amp;search_scope=EVERYTHING&amp;vid=01CRU&amp;lang=en_US&amp;offset=0&amp;query=any,contains,991003182589702656","Catalog Record")</f>
        <v/>
      </c>
      <c r="AT647">
        <f>HYPERLINK("http://www.worldcat.org/oclc/712097","WorldCat Record")</f>
        <v/>
      </c>
      <c r="AU647" t="inlineStr">
        <is>
          <t>181172403:eng</t>
        </is>
      </c>
      <c r="AV647" t="inlineStr">
        <is>
          <t>712097</t>
        </is>
      </c>
      <c r="AW647" t="inlineStr">
        <is>
          <t>991003182589702656</t>
        </is>
      </c>
      <c r="AX647" t="inlineStr">
        <is>
          <t>991003182589702656</t>
        </is>
      </c>
      <c r="AY647" t="inlineStr">
        <is>
          <t>2256816770002656</t>
        </is>
      </c>
      <c r="AZ647" t="inlineStr">
        <is>
          <t>BOOK</t>
        </is>
      </c>
      <c r="BC647" t="inlineStr">
        <is>
          <t>32285002463783</t>
        </is>
      </c>
      <c r="BD647" t="inlineStr">
        <is>
          <t>893799454</t>
        </is>
      </c>
    </row>
    <row r="648">
      <c r="A648" t="inlineStr">
        <is>
          <t>No</t>
        </is>
      </c>
      <c r="B648" t="inlineStr">
        <is>
          <t>DS149 .S49793 1979</t>
        </is>
      </c>
      <c r="C648" t="inlineStr">
        <is>
          <t>0                      DS 0149000S  49793       1979</t>
        </is>
      </c>
      <c r="D648" t="inlineStr">
        <is>
          <t>Coming home to Zion : a pictorial history of pre-Israel Palestine / Abraham Shulman.</t>
        </is>
      </c>
      <c r="F648" t="inlineStr">
        <is>
          <t>No</t>
        </is>
      </c>
      <c r="G648" t="inlineStr">
        <is>
          <t>1</t>
        </is>
      </c>
      <c r="H648" t="inlineStr">
        <is>
          <t>No</t>
        </is>
      </c>
      <c r="I648" t="inlineStr">
        <is>
          <t>No</t>
        </is>
      </c>
      <c r="J648" t="inlineStr">
        <is>
          <t>0</t>
        </is>
      </c>
      <c r="K648" t="inlineStr">
        <is>
          <t>Shulman, Abraham.</t>
        </is>
      </c>
      <c r="L648" t="inlineStr">
        <is>
          <t>Garden City, N.Y. : Doubleday, 1979.</t>
        </is>
      </c>
      <c r="M648" t="inlineStr">
        <is>
          <t>1979</t>
        </is>
      </c>
      <c r="N648" t="inlineStr">
        <is>
          <t>1st ed.</t>
        </is>
      </c>
      <c r="O648" t="inlineStr">
        <is>
          <t>eng</t>
        </is>
      </c>
      <c r="P648" t="inlineStr">
        <is>
          <t>nyu</t>
        </is>
      </c>
      <c r="R648" t="inlineStr">
        <is>
          <t xml:space="preserve">DS </t>
        </is>
      </c>
      <c r="S648" t="n">
        <v>2</v>
      </c>
      <c r="T648" t="n">
        <v>2</v>
      </c>
      <c r="U648" t="inlineStr">
        <is>
          <t>1997-04-12</t>
        </is>
      </c>
      <c r="V648" t="inlineStr">
        <is>
          <t>1997-04-12</t>
        </is>
      </c>
      <c r="W648" t="inlineStr">
        <is>
          <t>1995-09-06</t>
        </is>
      </c>
      <c r="X648" t="inlineStr">
        <is>
          <t>1995-09-06</t>
        </is>
      </c>
      <c r="Y648" t="n">
        <v>287</v>
      </c>
      <c r="Z648" t="n">
        <v>263</v>
      </c>
      <c r="AA648" t="n">
        <v>269</v>
      </c>
      <c r="AB648" t="n">
        <v>2</v>
      </c>
      <c r="AC648" t="n">
        <v>2</v>
      </c>
      <c r="AD648" t="n">
        <v>5</v>
      </c>
      <c r="AE648" t="n">
        <v>5</v>
      </c>
      <c r="AF648" t="n">
        <v>2</v>
      </c>
      <c r="AG648" t="n">
        <v>2</v>
      </c>
      <c r="AH648" t="n">
        <v>1</v>
      </c>
      <c r="AI648" t="n">
        <v>1</v>
      </c>
      <c r="AJ648" t="n">
        <v>2</v>
      </c>
      <c r="AK648" t="n">
        <v>2</v>
      </c>
      <c r="AL648" t="n">
        <v>1</v>
      </c>
      <c r="AM648" t="n">
        <v>1</v>
      </c>
      <c r="AN648" t="n">
        <v>0</v>
      </c>
      <c r="AO648" t="n">
        <v>0</v>
      </c>
      <c r="AP648" t="inlineStr">
        <is>
          <t>No</t>
        </is>
      </c>
      <c r="AQ648" t="inlineStr">
        <is>
          <t>Yes</t>
        </is>
      </c>
      <c r="AR648">
        <f>HYPERLINK("http://catalog.hathitrust.org/Record/005900559","HathiTrust Record")</f>
        <v/>
      </c>
      <c r="AS648">
        <f>HYPERLINK("https://creighton-primo.hosted.exlibrisgroup.com/primo-explore/search?tab=default_tab&amp;search_scope=EVERYTHING&amp;vid=01CRU&amp;lang=en_US&amp;offset=0&amp;query=any,contains,991004657899702656","Catalog Record")</f>
        <v/>
      </c>
      <c r="AT648">
        <f>HYPERLINK("http://www.worldcat.org/oclc/4495811","WorldCat Record")</f>
        <v/>
      </c>
      <c r="AU648" t="inlineStr">
        <is>
          <t>1006947594:eng</t>
        </is>
      </c>
      <c r="AV648" t="inlineStr">
        <is>
          <t>4495811</t>
        </is>
      </c>
      <c r="AW648" t="inlineStr">
        <is>
          <t>991004657899702656</t>
        </is>
      </c>
      <c r="AX648" t="inlineStr">
        <is>
          <t>991004657899702656</t>
        </is>
      </c>
      <c r="AY648" t="inlineStr">
        <is>
          <t>2267969090002656</t>
        </is>
      </c>
      <c r="AZ648" t="inlineStr">
        <is>
          <t>BOOK</t>
        </is>
      </c>
      <c r="BB648" t="inlineStr">
        <is>
          <t>9780385142564</t>
        </is>
      </c>
      <c r="BC648" t="inlineStr">
        <is>
          <t>32285002092038</t>
        </is>
      </c>
      <c r="BD648" t="inlineStr">
        <is>
          <t>893807328</t>
        </is>
      </c>
    </row>
    <row r="649">
      <c r="A649" t="inlineStr">
        <is>
          <t>No</t>
        </is>
      </c>
      <c r="B649" t="inlineStr">
        <is>
          <t>DS149 .S597 1974</t>
        </is>
      </c>
      <c r="C649" t="inlineStr">
        <is>
          <t>0                      DS 0149000S  597         1974</t>
        </is>
      </c>
      <c r="D649" t="inlineStr">
        <is>
          <t>Zionism; the dream and the reality; a Jewish critique; edited by Gary V. Smith.</t>
        </is>
      </c>
      <c r="F649" t="inlineStr">
        <is>
          <t>No</t>
        </is>
      </c>
      <c r="G649" t="inlineStr">
        <is>
          <t>1</t>
        </is>
      </c>
      <c r="H649" t="inlineStr">
        <is>
          <t>No</t>
        </is>
      </c>
      <c r="I649" t="inlineStr">
        <is>
          <t>No</t>
        </is>
      </c>
      <c r="J649" t="inlineStr">
        <is>
          <t>0</t>
        </is>
      </c>
      <c r="K649" t="inlineStr">
        <is>
          <t>Smith, Gary V., compiler.</t>
        </is>
      </c>
      <c r="L649" t="inlineStr">
        <is>
          <t>Newton Abbot, [Eng.] David &amp; Charles; New York, Barnes &amp; Noble Books [1974]</t>
        </is>
      </c>
      <c r="M649" t="inlineStr">
        <is>
          <t>1974</t>
        </is>
      </c>
      <c r="O649" t="inlineStr">
        <is>
          <t>eng</t>
        </is>
      </c>
      <c r="P649" t="inlineStr">
        <is>
          <t>enk</t>
        </is>
      </c>
      <c r="R649" t="inlineStr">
        <is>
          <t xml:space="preserve">DS </t>
        </is>
      </c>
      <c r="S649" t="n">
        <v>2</v>
      </c>
      <c r="T649" t="n">
        <v>2</v>
      </c>
      <c r="U649" t="inlineStr">
        <is>
          <t>2004-06-27</t>
        </is>
      </c>
      <c r="V649" t="inlineStr">
        <is>
          <t>2004-06-27</t>
        </is>
      </c>
      <c r="W649" t="inlineStr">
        <is>
          <t>1997-02-27</t>
        </is>
      </c>
      <c r="X649" t="inlineStr">
        <is>
          <t>1997-02-27</t>
        </is>
      </c>
      <c r="Y649" t="n">
        <v>470</v>
      </c>
      <c r="Z649" t="n">
        <v>373</v>
      </c>
      <c r="AA649" t="n">
        <v>384</v>
      </c>
      <c r="AB649" t="n">
        <v>2</v>
      </c>
      <c r="AC649" t="n">
        <v>2</v>
      </c>
      <c r="AD649" t="n">
        <v>15</v>
      </c>
      <c r="AE649" t="n">
        <v>15</v>
      </c>
      <c r="AF649" t="n">
        <v>4</v>
      </c>
      <c r="AG649" t="n">
        <v>4</v>
      </c>
      <c r="AH649" t="n">
        <v>3</v>
      </c>
      <c r="AI649" t="n">
        <v>3</v>
      </c>
      <c r="AJ649" t="n">
        <v>8</v>
      </c>
      <c r="AK649" t="n">
        <v>8</v>
      </c>
      <c r="AL649" t="n">
        <v>1</v>
      </c>
      <c r="AM649" t="n">
        <v>1</v>
      </c>
      <c r="AN649" t="n">
        <v>0</v>
      </c>
      <c r="AO649" t="n">
        <v>0</v>
      </c>
      <c r="AP649" t="inlineStr">
        <is>
          <t>No</t>
        </is>
      </c>
      <c r="AQ649" t="inlineStr">
        <is>
          <t>Yes</t>
        </is>
      </c>
      <c r="AR649">
        <f>HYPERLINK("http://catalog.hathitrust.org/Record/000041142","HathiTrust Record")</f>
        <v/>
      </c>
      <c r="AS649">
        <f>HYPERLINK("https://creighton-primo.hosted.exlibrisgroup.com/primo-explore/search?tab=default_tab&amp;search_scope=EVERYTHING&amp;vid=01CRU&amp;lang=en_US&amp;offset=0&amp;query=any,contains,991004378079702656","Catalog Record")</f>
        <v/>
      </c>
      <c r="AT649">
        <f>HYPERLINK("http://www.worldcat.org/oclc/3207273","WorldCat Record")</f>
        <v/>
      </c>
      <c r="AU649" t="inlineStr">
        <is>
          <t>6397360:eng</t>
        </is>
      </c>
      <c r="AV649" t="inlineStr">
        <is>
          <t>3207273</t>
        </is>
      </c>
      <c r="AW649" t="inlineStr">
        <is>
          <t>991004378079702656</t>
        </is>
      </c>
      <c r="AX649" t="inlineStr">
        <is>
          <t>991004378079702656</t>
        </is>
      </c>
      <c r="AY649" t="inlineStr">
        <is>
          <t>2272127600002656</t>
        </is>
      </c>
      <c r="AZ649" t="inlineStr">
        <is>
          <t>BOOK</t>
        </is>
      </c>
      <c r="BB649" t="inlineStr">
        <is>
          <t>9780064963749</t>
        </is>
      </c>
      <c r="BC649" t="inlineStr">
        <is>
          <t>32285002463791</t>
        </is>
      </c>
      <c r="BD649" t="inlineStr">
        <is>
          <t>893794782</t>
        </is>
      </c>
    </row>
    <row r="650">
      <c r="A650" t="inlineStr">
        <is>
          <t>No</t>
        </is>
      </c>
      <c r="B650" t="inlineStr">
        <is>
          <t>DS149 .V5</t>
        </is>
      </c>
      <c r="C650" t="inlineStr">
        <is>
          <t>0                      DS 0149000V  5</t>
        </is>
      </c>
      <c r="D650" t="inlineStr">
        <is>
          <t>The origins of Zionism / David Vital.</t>
        </is>
      </c>
      <c r="F650" t="inlineStr">
        <is>
          <t>No</t>
        </is>
      </c>
      <c r="G650" t="inlineStr">
        <is>
          <t>1</t>
        </is>
      </c>
      <c r="H650" t="inlineStr">
        <is>
          <t>No</t>
        </is>
      </c>
      <c r="I650" t="inlineStr">
        <is>
          <t>No</t>
        </is>
      </c>
      <c r="J650" t="inlineStr">
        <is>
          <t>0</t>
        </is>
      </c>
      <c r="K650" t="inlineStr">
        <is>
          <t>Vital, David.</t>
        </is>
      </c>
      <c r="L650" t="inlineStr">
        <is>
          <t>Oxford [Eng.] : Clarendon Press, 1975.</t>
        </is>
      </c>
      <c r="M650" t="inlineStr">
        <is>
          <t>1975</t>
        </is>
      </c>
      <c r="O650" t="inlineStr">
        <is>
          <t>eng</t>
        </is>
      </c>
      <c r="P650" t="inlineStr">
        <is>
          <t>enk</t>
        </is>
      </c>
      <c r="R650" t="inlineStr">
        <is>
          <t xml:space="preserve">DS </t>
        </is>
      </c>
      <c r="S650" t="n">
        <v>5</v>
      </c>
      <c r="T650" t="n">
        <v>5</v>
      </c>
      <c r="U650" t="inlineStr">
        <is>
          <t>2007-12-05</t>
        </is>
      </c>
      <c r="V650" t="inlineStr">
        <is>
          <t>2007-12-05</t>
        </is>
      </c>
      <c r="W650" t="inlineStr">
        <is>
          <t>1993-04-01</t>
        </is>
      </c>
      <c r="X650" t="inlineStr">
        <is>
          <t>1993-04-01</t>
        </is>
      </c>
      <c r="Y650" t="n">
        <v>593</v>
      </c>
      <c r="Z650" t="n">
        <v>425</v>
      </c>
      <c r="AA650" t="n">
        <v>684</v>
      </c>
      <c r="AB650" t="n">
        <v>2</v>
      </c>
      <c r="AC650" t="n">
        <v>3</v>
      </c>
      <c r="AD650" t="n">
        <v>24</v>
      </c>
      <c r="AE650" t="n">
        <v>27</v>
      </c>
      <c r="AF650" t="n">
        <v>8</v>
      </c>
      <c r="AG650" t="n">
        <v>9</v>
      </c>
      <c r="AH650" t="n">
        <v>7</v>
      </c>
      <c r="AI650" t="n">
        <v>7</v>
      </c>
      <c r="AJ650" t="n">
        <v>15</v>
      </c>
      <c r="AK650" t="n">
        <v>16</v>
      </c>
      <c r="AL650" t="n">
        <v>1</v>
      </c>
      <c r="AM650" t="n">
        <v>2</v>
      </c>
      <c r="AN650" t="n">
        <v>1</v>
      </c>
      <c r="AO650" t="n">
        <v>1</v>
      </c>
      <c r="AP650" t="inlineStr">
        <is>
          <t>No</t>
        </is>
      </c>
      <c r="AQ650" t="inlineStr">
        <is>
          <t>Yes</t>
        </is>
      </c>
      <c r="AR650">
        <f>HYPERLINK("http://catalog.hathitrust.org/Record/000690300","HathiTrust Record")</f>
        <v/>
      </c>
      <c r="AS650">
        <f>HYPERLINK("https://creighton-primo.hosted.exlibrisgroup.com/primo-explore/search?tab=default_tab&amp;search_scope=EVERYTHING&amp;vid=01CRU&amp;lang=en_US&amp;offset=0&amp;query=any,contains,991004287809702656","Catalog Record")</f>
        <v/>
      </c>
      <c r="AT650">
        <f>HYPERLINK("http://www.worldcat.org/oclc/2931318","WorldCat Record")</f>
        <v/>
      </c>
      <c r="AU650" t="inlineStr">
        <is>
          <t>416226:eng</t>
        </is>
      </c>
      <c r="AV650" t="inlineStr">
        <is>
          <t>2931318</t>
        </is>
      </c>
      <c r="AW650" t="inlineStr">
        <is>
          <t>991004287809702656</t>
        </is>
      </c>
      <c r="AX650" t="inlineStr">
        <is>
          <t>991004287809702656</t>
        </is>
      </c>
      <c r="AY650" t="inlineStr">
        <is>
          <t>2266829210002656</t>
        </is>
      </c>
      <c r="AZ650" t="inlineStr">
        <is>
          <t>BOOK</t>
        </is>
      </c>
      <c r="BB650" t="inlineStr">
        <is>
          <t>9780198271949</t>
        </is>
      </c>
      <c r="BC650" t="inlineStr">
        <is>
          <t>32285001597003</t>
        </is>
      </c>
      <c r="BD650" t="inlineStr">
        <is>
          <t>893775855</t>
        </is>
      </c>
    </row>
    <row r="651">
      <c r="A651" t="inlineStr">
        <is>
          <t>No</t>
        </is>
      </c>
      <c r="B651" t="inlineStr">
        <is>
          <t>DS149 .V515 1987</t>
        </is>
      </c>
      <c r="C651" t="inlineStr">
        <is>
          <t>0                      DS 0149000V  515         1987</t>
        </is>
      </c>
      <c r="D651" t="inlineStr">
        <is>
          <t>Zionism : the crucial phase / David Vital.</t>
        </is>
      </c>
      <c r="F651" t="inlineStr">
        <is>
          <t>No</t>
        </is>
      </c>
      <c r="G651" t="inlineStr">
        <is>
          <t>1</t>
        </is>
      </c>
      <c r="H651" t="inlineStr">
        <is>
          <t>No</t>
        </is>
      </c>
      <c r="I651" t="inlineStr">
        <is>
          <t>No</t>
        </is>
      </c>
      <c r="J651" t="inlineStr">
        <is>
          <t>0</t>
        </is>
      </c>
      <c r="K651" t="inlineStr">
        <is>
          <t>Vital, David.</t>
        </is>
      </c>
      <c r="L651" t="inlineStr">
        <is>
          <t>Oxford [Oxfordshire] : Clarendon Press ; New York : Oxford University Press, 1987.</t>
        </is>
      </c>
      <c r="M651" t="inlineStr">
        <is>
          <t>1987</t>
        </is>
      </c>
      <c r="O651" t="inlineStr">
        <is>
          <t>eng</t>
        </is>
      </c>
      <c r="P651" t="inlineStr">
        <is>
          <t>enk</t>
        </is>
      </c>
      <c r="R651" t="inlineStr">
        <is>
          <t xml:space="preserve">DS </t>
        </is>
      </c>
      <c r="S651" t="n">
        <v>2</v>
      </c>
      <c r="T651" t="n">
        <v>2</v>
      </c>
      <c r="U651" t="inlineStr">
        <is>
          <t>2007-10-15</t>
        </is>
      </c>
      <c r="V651" t="inlineStr">
        <is>
          <t>2007-10-15</t>
        </is>
      </c>
      <c r="W651" t="inlineStr">
        <is>
          <t>1990-10-08</t>
        </is>
      </c>
      <c r="X651" t="inlineStr">
        <is>
          <t>1990-10-08</t>
        </is>
      </c>
      <c r="Y651" t="n">
        <v>473</v>
      </c>
      <c r="Z651" t="n">
        <v>351</v>
      </c>
      <c r="AA651" t="n">
        <v>356</v>
      </c>
      <c r="AB651" t="n">
        <v>3</v>
      </c>
      <c r="AC651" t="n">
        <v>3</v>
      </c>
      <c r="AD651" t="n">
        <v>21</v>
      </c>
      <c r="AE651" t="n">
        <v>21</v>
      </c>
      <c r="AF651" t="n">
        <v>7</v>
      </c>
      <c r="AG651" t="n">
        <v>7</v>
      </c>
      <c r="AH651" t="n">
        <v>7</v>
      </c>
      <c r="AI651" t="n">
        <v>7</v>
      </c>
      <c r="AJ651" t="n">
        <v>12</v>
      </c>
      <c r="AK651" t="n">
        <v>12</v>
      </c>
      <c r="AL651" t="n">
        <v>2</v>
      </c>
      <c r="AM651" t="n">
        <v>2</v>
      </c>
      <c r="AN651" t="n">
        <v>0</v>
      </c>
      <c r="AO651" t="n">
        <v>0</v>
      </c>
      <c r="AP651" t="inlineStr">
        <is>
          <t>No</t>
        </is>
      </c>
      <c r="AQ651" t="inlineStr">
        <is>
          <t>No</t>
        </is>
      </c>
      <c r="AS651">
        <f>HYPERLINK("https://creighton-primo.hosted.exlibrisgroup.com/primo-explore/search?tab=default_tab&amp;search_scope=EVERYTHING&amp;vid=01CRU&amp;lang=en_US&amp;offset=0&amp;query=any,contains,991001048389702656","Catalog Record")</f>
        <v/>
      </c>
      <c r="AT651">
        <f>HYPERLINK("http://www.worldcat.org/oclc/15630688","WorldCat Record")</f>
        <v/>
      </c>
      <c r="AU651" t="inlineStr">
        <is>
          <t>3902653630:eng</t>
        </is>
      </c>
      <c r="AV651" t="inlineStr">
        <is>
          <t>15630688</t>
        </is>
      </c>
      <c r="AW651" t="inlineStr">
        <is>
          <t>991001048389702656</t>
        </is>
      </c>
      <c r="AX651" t="inlineStr">
        <is>
          <t>991001048389702656</t>
        </is>
      </c>
      <c r="AY651" t="inlineStr">
        <is>
          <t>2262359970002656</t>
        </is>
      </c>
      <c r="AZ651" t="inlineStr">
        <is>
          <t>BOOK</t>
        </is>
      </c>
      <c r="BB651" t="inlineStr">
        <is>
          <t>9780198219323</t>
        </is>
      </c>
      <c r="BC651" t="inlineStr">
        <is>
          <t>32285000335090</t>
        </is>
      </c>
      <c r="BD651" t="inlineStr">
        <is>
          <t>893903262</t>
        </is>
      </c>
    </row>
    <row r="652">
      <c r="A652" t="inlineStr">
        <is>
          <t>No</t>
        </is>
      </c>
      <c r="B652" t="inlineStr">
        <is>
          <t>DS149 .V52 1982</t>
        </is>
      </c>
      <c r="C652" t="inlineStr">
        <is>
          <t>0                      DS 0149000V  52          1982</t>
        </is>
      </c>
      <c r="D652" t="inlineStr">
        <is>
          <t>Zionism, the formative years / David Vital.</t>
        </is>
      </c>
      <c r="F652" t="inlineStr">
        <is>
          <t>No</t>
        </is>
      </c>
      <c r="G652" t="inlineStr">
        <is>
          <t>1</t>
        </is>
      </c>
      <c r="H652" t="inlineStr">
        <is>
          <t>No</t>
        </is>
      </c>
      <c r="I652" t="inlineStr">
        <is>
          <t>No</t>
        </is>
      </c>
      <c r="J652" t="inlineStr">
        <is>
          <t>0</t>
        </is>
      </c>
      <c r="K652" t="inlineStr">
        <is>
          <t>Vital, David.</t>
        </is>
      </c>
      <c r="L652" t="inlineStr">
        <is>
          <t>Oxford : Clarendon Press ; New York : Oxford University Press, 1982.</t>
        </is>
      </c>
      <c r="M652" t="inlineStr">
        <is>
          <t>1982</t>
        </is>
      </c>
      <c r="O652" t="inlineStr">
        <is>
          <t>eng</t>
        </is>
      </c>
      <c r="P652" t="inlineStr">
        <is>
          <t>enk</t>
        </is>
      </c>
      <c r="R652" t="inlineStr">
        <is>
          <t xml:space="preserve">DS </t>
        </is>
      </c>
      <c r="S652" t="n">
        <v>2</v>
      </c>
      <c r="T652" t="n">
        <v>2</v>
      </c>
      <c r="U652" t="inlineStr">
        <is>
          <t>2007-10-15</t>
        </is>
      </c>
      <c r="V652" t="inlineStr">
        <is>
          <t>2007-10-15</t>
        </is>
      </c>
      <c r="W652" t="inlineStr">
        <is>
          <t>1990-10-08</t>
        </is>
      </c>
      <c r="X652" t="inlineStr">
        <is>
          <t>1990-10-08</t>
        </is>
      </c>
      <c r="Y652" t="n">
        <v>711</v>
      </c>
      <c r="Z652" t="n">
        <v>541</v>
      </c>
      <c r="AA652" t="n">
        <v>576</v>
      </c>
      <c r="AB652" t="n">
        <v>3</v>
      </c>
      <c r="AC652" t="n">
        <v>3</v>
      </c>
      <c r="AD652" t="n">
        <v>23</v>
      </c>
      <c r="AE652" t="n">
        <v>24</v>
      </c>
      <c r="AF652" t="n">
        <v>8</v>
      </c>
      <c r="AG652" t="n">
        <v>9</v>
      </c>
      <c r="AH652" t="n">
        <v>8</v>
      </c>
      <c r="AI652" t="n">
        <v>8</v>
      </c>
      <c r="AJ652" t="n">
        <v>12</v>
      </c>
      <c r="AK652" t="n">
        <v>12</v>
      </c>
      <c r="AL652" t="n">
        <v>2</v>
      </c>
      <c r="AM652" t="n">
        <v>2</v>
      </c>
      <c r="AN652" t="n">
        <v>0</v>
      </c>
      <c r="AO652" t="n">
        <v>0</v>
      </c>
      <c r="AP652" t="inlineStr">
        <is>
          <t>No</t>
        </is>
      </c>
      <c r="AQ652" t="inlineStr">
        <is>
          <t>Yes</t>
        </is>
      </c>
      <c r="AR652">
        <f>HYPERLINK("http://catalog.hathitrust.org/Record/000243661","HathiTrust Record")</f>
        <v/>
      </c>
      <c r="AS652">
        <f>HYPERLINK("https://creighton-primo.hosted.exlibrisgroup.com/primo-explore/search?tab=default_tab&amp;search_scope=EVERYTHING&amp;vid=01CRU&amp;lang=en_US&amp;offset=0&amp;query=any,contains,991000014499702656","Catalog Record")</f>
        <v/>
      </c>
      <c r="AT652">
        <f>HYPERLINK("http://www.worldcat.org/oclc/8552112","WorldCat Record")</f>
        <v/>
      </c>
      <c r="AU652" t="inlineStr">
        <is>
          <t>416227:eng</t>
        </is>
      </c>
      <c r="AV652" t="inlineStr">
        <is>
          <t>8552112</t>
        </is>
      </c>
      <c r="AW652" t="inlineStr">
        <is>
          <t>991000014499702656</t>
        </is>
      </c>
      <c r="AX652" t="inlineStr">
        <is>
          <t>991000014499702656</t>
        </is>
      </c>
      <c r="AY652" t="inlineStr">
        <is>
          <t>2259438880002656</t>
        </is>
      </c>
      <c r="AZ652" t="inlineStr">
        <is>
          <t>BOOK</t>
        </is>
      </c>
      <c r="BB652" t="inlineStr">
        <is>
          <t>9780198274438</t>
        </is>
      </c>
      <c r="BC652" t="inlineStr">
        <is>
          <t>32285000335108</t>
        </is>
      </c>
      <c r="BD652" t="inlineStr">
        <is>
          <t>893626155</t>
        </is>
      </c>
    </row>
    <row r="653">
      <c r="A653" t="inlineStr">
        <is>
          <t>No</t>
        </is>
      </c>
      <c r="B653" t="inlineStr">
        <is>
          <t>DS149.5.E85 B47 1997</t>
        </is>
      </c>
      <c r="C653" t="inlineStr">
        <is>
          <t>0                      DS 0149500E  85                 B  47          1997</t>
        </is>
      </c>
      <c r="D653" t="inlineStr">
        <is>
          <t>Western Jewry and the Zionist project, 1914-1933 / Michael Berkowitz.</t>
        </is>
      </c>
      <c r="F653" t="inlineStr">
        <is>
          <t>No</t>
        </is>
      </c>
      <c r="G653" t="inlineStr">
        <is>
          <t>1</t>
        </is>
      </c>
      <c r="H653" t="inlineStr">
        <is>
          <t>No</t>
        </is>
      </c>
      <c r="I653" t="inlineStr">
        <is>
          <t>No</t>
        </is>
      </c>
      <c r="J653" t="inlineStr">
        <is>
          <t>0</t>
        </is>
      </c>
      <c r="K653" t="inlineStr">
        <is>
          <t>Berkowitz, Michael.</t>
        </is>
      </c>
      <c r="L653" t="inlineStr">
        <is>
          <t>Cambridge ; New York : Cambridge University Press, 1997.</t>
        </is>
      </c>
      <c r="M653" t="inlineStr">
        <is>
          <t>1997</t>
        </is>
      </c>
      <c r="O653" t="inlineStr">
        <is>
          <t>eng</t>
        </is>
      </c>
      <c r="P653" t="inlineStr">
        <is>
          <t>enk</t>
        </is>
      </c>
      <c r="R653" t="inlineStr">
        <is>
          <t xml:space="preserve">DS </t>
        </is>
      </c>
      <c r="S653" t="n">
        <v>1</v>
      </c>
      <c r="T653" t="n">
        <v>1</v>
      </c>
      <c r="U653" t="inlineStr">
        <is>
          <t>2007-10-15</t>
        </is>
      </c>
      <c r="V653" t="inlineStr">
        <is>
          <t>2007-10-15</t>
        </is>
      </c>
      <c r="W653" t="inlineStr">
        <is>
          <t>1998-11-09</t>
        </is>
      </c>
      <c r="X653" t="inlineStr">
        <is>
          <t>1998-11-09</t>
        </is>
      </c>
      <c r="Y653" t="n">
        <v>316</v>
      </c>
      <c r="Z653" t="n">
        <v>242</v>
      </c>
      <c r="AA653" t="n">
        <v>245</v>
      </c>
      <c r="AB653" t="n">
        <v>3</v>
      </c>
      <c r="AC653" t="n">
        <v>3</v>
      </c>
      <c r="AD653" t="n">
        <v>15</v>
      </c>
      <c r="AE653" t="n">
        <v>15</v>
      </c>
      <c r="AF653" t="n">
        <v>3</v>
      </c>
      <c r="AG653" t="n">
        <v>3</v>
      </c>
      <c r="AH653" t="n">
        <v>5</v>
      </c>
      <c r="AI653" t="n">
        <v>5</v>
      </c>
      <c r="AJ653" t="n">
        <v>10</v>
      </c>
      <c r="AK653" t="n">
        <v>10</v>
      </c>
      <c r="AL653" t="n">
        <v>2</v>
      </c>
      <c r="AM653" t="n">
        <v>2</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HYPERLINK("https://creighton-primo.hosted.exlibrisgroup.com/primo-explore/search?tab=default_tab&amp;search_scope=EVERYTHING&amp;vid=01CRU&amp;lang=en_US&amp;offset=0&amp;query=any,contains,991002628229702656","Catalog Record")</f>
        <v/>
      </c>
      <c r="AT653">
        <f>HYPERLINK("http://www.worldcat.org/oclc/34471701","WorldCat Record")</f>
        <v/>
      </c>
      <c r="AU653" t="inlineStr">
        <is>
          <t>39539280:eng</t>
        </is>
      </c>
      <c r="AV653" t="inlineStr">
        <is>
          <t>34471701</t>
        </is>
      </c>
      <c r="AW653" t="inlineStr">
        <is>
          <t>991002628229702656</t>
        </is>
      </c>
      <c r="AX653" t="inlineStr">
        <is>
          <t>991002628229702656</t>
        </is>
      </c>
      <c r="AY653" t="inlineStr">
        <is>
          <t>2266294760002656</t>
        </is>
      </c>
      <c r="AZ653" t="inlineStr">
        <is>
          <t>BOOK</t>
        </is>
      </c>
      <c r="BB653" t="inlineStr">
        <is>
          <t>9780521470872</t>
        </is>
      </c>
      <c r="BC653" t="inlineStr">
        <is>
          <t>32285003486528</t>
        </is>
      </c>
      <c r="BD653" t="inlineStr">
        <is>
          <t>893245410</t>
        </is>
      </c>
    </row>
    <row r="654">
      <c r="A654" t="inlineStr">
        <is>
          <t>No</t>
        </is>
      </c>
      <c r="B654" t="inlineStr">
        <is>
          <t>DS149.5.E85 E44 2003</t>
        </is>
      </c>
      <c r="C654" t="inlineStr">
        <is>
          <t>0                      DS 0149500E  85                 E  44          2003</t>
        </is>
      </c>
      <c r="D654" t="inlineStr">
        <is>
          <t>The emergence of modern Jewish politics : Bundism and Zionism in Eastern Europe / edited by Zvi Gitelman.</t>
        </is>
      </c>
      <c r="F654" t="inlineStr">
        <is>
          <t>No</t>
        </is>
      </c>
      <c r="G654" t="inlineStr">
        <is>
          <t>1</t>
        </is>
      </c>
      <c r="H654" t="inlineStr">
        <is>
          <t>No</t>
        </is>
      </c>
      <c r="I654" t="inlineStr">
        <is>
          <t>No</t>
        </is>
      </c>
      <c r="J654" t="inlineStr">
        <is>
          <t>0</t>
        </is>
      </c>
      <c r="L654" t="inlineStr">
        <is>
          <t>Pittsbugh, Pa. : University of Pittsburgh Press, c2003.</t>
        </is>
      </c>
      <c r="M654" t="inlineStr">
        <is>
          <t>2003</t>
        </is>
      </c>
      <c r="O654" t="inlineStr">
        <is>
          <t>eng</t>
        </is>
      </c>
      <c r="P654" t="inlineStr">
        <is>
          <t>pau</t>
        </is>
      </c>
      <c r="Q654" t="inlineStr">
        <is>
          <t>Pitt series in Russian and East European studies</t>
        </is>
      </c>
      <c r="R654" t="inlineStr">
        <is>
          <t xml:space="preserve">DS </t>
        </is>
      </c>
      <c r="S654" t="n">
        <v>1</v>
      </c>
      <c r="T654" t="n">
        <v>1</v>
      </c>
      <c r="U654" t="inlineStr">
        <is>
          <t>2003-11-17</t>
        </is>
      </c>
      <c r="V654" t="inlineStr">
        <is>
          <t>2003-11-17</t>
        </is>
      </c>
      <c r="W654" t="inlineStr">
        <is>
          <t>2003-11-17</t>
        </is>
      </c>
      <c r="X654" t="inlineStr">
        <is>
          <t>2003-11-17</t>
        </is>
      </c>
      <c r="Y654" t="n">
        <v>265</v>
      </c>
      <c r="Z654" t="n">
        <v>197</v>
      </c>
      <c r="AA654" t="n">
        <v>428</v>
      </c>
      <c r="AB654" t="n">
        <v>2</v>
      </c>
      <c r="AC654" t="n">
        <v>3</v>
      </c>
      <c r="AD654" t="n">
        <v>12</v>
      </c>
      <c r="AE654" t="n">
        <v>25</v>
      </c>
      <c r="AF654" t="n">
        <v>5</v>
      </c>
      <c r="AG654" t="n">
        <v>13</v>
      </c>
      <c r="AH654" t="n">
        <v>6</v>
      </c>
      <c r="AI654" t="n">
        <v>7</v>
      </c>
      <c r="AJ654" t="n">
        <v>5</v>
      </c>
      <c r="AK654" t="n">
        <v>11</v>
      </c>
      <c r="AL654" t="n">
        <v>1</v>
      </c>
      <c r="AM654" t="n">
        <v>2</v>
      </c>
      <c r="AN654" t="n">
        <v>0</v>
      </c>
      <c r="AO654" t="n">
        <v>0</v>
      </c>
      <c r="AP654" t="inlineStr">
        <is>
          <t>No</t>
        </is>
      </c>
      <c r="AQ654" t="inlineStr">
        <is>
          <t>Yes</t>
        </is>
      </c>
      <c r="AR654">
        <f>HYPERLINK("http://catalog.hathitrust.org/Record/003831653","HathiTrust Record")</f>
        <v/>
      </c>
      <c r="AS654">
        <f>HYPERLINK("https://creighton-primo.hosted.exlibrisgroup.com/primo-explore/search?tab=default_tab&amp;search_scope=EVERYTHING&amp;vid=01CRU&amp;lang=en_US&amp;offset=0&amp;query=any,contains,991004159119702656","Catalog Record")</f>
        <v/>
      </c>
      <c r="AT654">
        <f>HYPERLINK("http://www.worldcat.org/oclc/50204117","WorldCat Record")</f>
        <v/>
      </c>
      <c r="AU654" t="inlineStr">
        <is>
          <t>795425570:eng</t>
        </is>
      </c>
      <c r="AV654" t="inlineStr">
        <is>
          <t>50204117</t>
        </is>
      </c>
      <c r="AW654" t="inlineStr">
        <is>
          <t>991004159119702656</t>
        </is>
      </c>
      <c r="AX654" t="inlineStr">
        <is>
          <t>991004159119702656</t>
        </is>
      </c>
      <c r="AY654" t="inlineStr">
        <is>
          <t>2256763890002656</t>
        </is>
      </c>
      <c r="AZ654" t="inlineStr">
        <is>
          <t>BOOK</t>
        </is>
      </c>
      <c r="BB654" t="inlineStr">
        <is>
          <t>9780822941880</t>
        </is>
      </c>
      <c r="BC654" t="inlineStr">
        <is>
          <t>32285004798202</t>
        </is>
      </c>
      <c r="BD654" t="inlineStr">
        <is>
          <t>893228996</t>
        </is>
      </c>
    </row>
    <row r="655">
      <c r="A655" t="inlineStr">
        <is>
          <t>No</t>
        </is>
      </c>
      <c r="B655" t="inlineStr">
        <is>
          <t>DS149.5.I75 S4413 2002</t>
        </is>
      </c>
      <c r="C655" t="inlineStr">
        <is>
          <t>0                      DS 0149500I  75                 S  4413        2002</t>
        </is>
      </c>
      <c r="D655" t="inlineStr">
        <is>
          <t>Elvis in Jerusalem : post-Zionism and the Americanization of Israel / Tom Segev ; translated by Haim Watzman.</t>
        </is>
      </c>
      <c r="F655" t="inlineStr">
        <is>
          <t>No</t>
        </is>
      </c>
      <c r="G655" t="inlineStr">
        <is>
          <t>1</t>
        </is>
      </c>
      <c r="H655" t="inlineStr">
        <is>
          <t>No</t>
        </is>
      </c>
      <c r="I655" t="inlineStr">
        <is>
          <t>No</t>
        </is>
      </c>
      <c r="J655" t="inlineStr">
        <is>
          <t>0</t>
        </is>
      </c>
      <c r="K655" t="inlineStr">
        <is>
          <t>Segev, Tom, 1945-</t>
        </is>
      </c>
      <c r="L655" t="inlineStr">
        <is>
          <t>New York : Metropolitan Books, 2002.</t>
        </is>
      </c>
      <c r="M655" t="inlineStr">
        <is>
          <t>2002</t>
        </is>
      </c>
      <c r="N655" t="inlineStr">
        <is>
          <t>1st American ed.</t>
        </is>
      </c>
      <c r="O655" t="inlineStr">
        <is>
          <t>eng</t>
        </is>
      </c>
      <c r="P655" t="inlineStr">
        <is>
          <t>nyu</t>
        </is>
      </c>
      <c r="R655" t="inlineStr">
        <is>
          <t xml:space="preserve">DS </t>
        </is>
      </c>
      <c r="S655" t="n">
        <v>4</v>
      </c>
      <c r="T655" t="n">
        <v>4</v>
      </c>
      <c r="U655" t="inlineStr">
        <is>
          <t>2007-04-22</t>
        </is>
      </c>
      <c r="V655" t="inlineStr">
        <is>
          <t>2007-04-22</t>
        </is>
      </c>
      <c r="W655" t="inlineStr">
        <is>
          <t>2002-06-27</t>
        </is>
      </c>
      <c r="X655" t="inlineStr">
        <is>
          <t>2002-06-27</t>
        </is>
      </c>
      <c r="Y655" t="n">
        <v>462</v>
      </c>
      <c r="Z655" t="n">
        <v>408</v>
      </c>
      <c r="AA655" t="n">
        <v>420</v>
      </c>
      <c r="AB655" t="n">
        <v>1</v>
      </c>
      <c r="AC655" t="n">
        <v>1</v>
      </c>
      <c r="AD655" t="n">
        <v>16</v>
      </c>
      <c r="AE655" t="n">
        <v>16</v>
      </c>
      <c r="AF655" t="n">
        <v>6</v>
      </c>
      <c r="AG655" t="n">
        <v>6</v>
      </c>
      <c r="AH655" t="n">
        <v>4</v>
      </c>
      <c r="AI655" t="n">
        <v>4</v>
      </c>
      <c r="AJ655" t="n">
        <v>11</v>
      </c>
      <c r="AK655" t="n">
        <v>11</v>
      </c>
      <c r="AL655" t="n">
        <v>0</v>
      </c>
      <c r="AM655" t="n">
        <v>0</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HYPERLINK("https://creighton-primo.hosted.exlibrisgroup.com/primo-explore/search?tab=default_tab&amp;search_scope=EVERYTHING&amp;vid=01CRU&amp;lang=en_US&amp;offset=0&amp;query=any,contains,991003821299702656","Catalog Record")</f>
        <v/>
      </c>
      <c r="AT655">
        <f>HYPERLINK("http://www.worldcat.org/oclc/48965165","WorldCat Record")</f>
        <v/>
      </c>
      <c r="AU655" t="inlineStr">
        <is>
          <t>1001069:eng</t>
        </is>
      </c>
      <c r="AV655" t="inlineStr">
        <is>
          <t>48965165</t>
        </is>
      </c>
      <c r="AW655" t="inlineStr">
        <is>
          <t>991003821299702656</t>
        </is>
      </c>
      <c r="AX655" t="inlineStr">
        <is>
          <t>991003821299702656</t>
        </is>
      </c>
      <c r="AY655" t="inlineStr">
        <is>
          <t>2267263290002656</t>
        </is>
      </c>
      <c r="AZ655" t="inlineStr">
        <is>
          <t>BOOK</t>
        </is>
      </c>
      <c r="BB655" t="inlineStr">
        <is>
          <t>9780805070200</t>
        </is>
      </c>
      <c r="BC655" t="inlineStr">
        <is>
          <t>32285004495965</t>
        </is>
      </c>
      <c r="BD655" t="inlineStr">
        <is>
          <t>893806255</t>
        </is>
      </c>
    </row>
    <row r="656">
      <c r="A656" t="inlineStr">
        <is>
          <t>No</t>
        </is>
      </c>
      <c r="B656" t="inlineStr">
        <is>
          <t>DS149.A1 K65 1990</t>
        </is>
      </c>
      <c r="C656" t="inlineStr">
        <is>
          <t>0                      DS 0149000A  1                  K  65          1990</t>
        </is>
      </c>
      <c r="D656" t="inlineStr">
        <is>
          <t>Jews against Zionism : the American Council for Judaism, 1942-1948 / Thomas A. Kolsky.</t>
        </is>
      </c>
      <c r="F656" t="inlineStr">
        <is>
          <t>No</t>
        </is>
      </c>
      <c r="G656" t="inlineStr">
        <is>
          <t>1</t>
        </is>
      </c>
      <c r="H656" t="inlineStr">
        <is>
          <t>No</t>
        </is>
      </c>
      <c r="I656" t="inlineStr">
        <is>
          <t>No</t>
        </is>
      </c>
      <c r="J656" t="inlineStr">
        <is>
          <t>0</t>
        </is>
      </c>
      <c r="K656" t="inlineStr">
        <is>
          <t>Kolsky, Thomas A.</t>
        </is>
      </c>
      <c r="L656" t="inlineStr">
        <is>
          <t>Philadelphia : Temple University Press, 1990.</t>
        </is>
      </c>
      <c r="M656" t="inlineStr">
        <is>
          <t>1990</t>
        </is>
      </c>
      <c r="O656" t="inlineStr">
        <is>
          <t>eng</t>
        </is>
      </c>
      <c r="P656" t="inlineStr">
        <is>
          <t>pau</t>
        </is>
      </c>
      <c r="R656" t="inlineStr">
        <is>
          <t xml:space="preserve">DS </t>
        </is>
      </c>
      <c r="S656" t="n">
        <v>6</v>
      </c>
      <c r="T656" t="n">
        <v>6</v>
      </c>
      <c r="U656" t="inlineStr">
        <is>
          <t>2003-09-24</t>
        </is>
      </c>
      <c r="V656" t="inlineStr">
        <is>
          <t>2003-09-24</t>
        </is>
      </c>
      <c r="W656" t="inlineStr">
        <is>
          <t>1993-11-23</t>
        </is>
      </c>
      <c r="X656" t="inlineStr">
        <is>
          <t>1993-11-23</t>
        </is>
      </c>
      <c r="Y656" t="n">
        <v>400</v>
      </c>
      <c r="Z656" t="n">
        <v>349</v>
      </c>
      <c r="AA656" t="n">
        <v>565</v>
      </c>
      <c r="AB656" t="n">
        <v>3</v>
      </c>
      <c r="AC656" t="n">
        <v>3</v>
      </c>
      <c r="AD656" t="n">
        <v>21</v>
      </c>
      <c r="AE656" t="n">
        <v>28</v>
      </c>
      <c r="AF656" t="n">
        <v>7</v>
      </c>
      <c r="AG656" t="n">
        <v>12</v>
      </c>
      <c r="AH656" t="n">
        <v>4</v>
      </c>
      <c r="AI656" t="n">
        <v>7</v>
      </c>
      <c r="AJ656" t="n">
        <v>13</v>
      </c>
      <c r="AK656" t="n">
        <v>15</v>
      </c>
      <c r="AL656" t="n">
        <v>2</v>
      </c>
      <c r="AM656" t="n">
        <v>2</v>
      </c>
      <c r="AN656" t="n">
        <v>0</v>
      </c>
      <c r="AO656" t="n">
        <v>0</v>
      </c>
      <c r="AP656" t="inlineStr">
        <is>
          <t>No</t>
        </is>
      </c>
      <c r="AQ656" t="inlineStr">
        <is>
          <t>No</t>
        </is>
      </c>
      <c r="AS656">
        <f>HYPERLINK("https://creighton-primo.hosted.exlibrisgroup.com/primo-explore/search?tab=default_tab&amp;search_scope=EVERYTHING&amp;vid=01CRU&amp;lang=en_US&amp;offset=0&amp;query=any,contains,991001581649702656","Catalog Record")</f>
        <v/>
      </c>
      <c r="AT656">
        <f>HYPERLINK("http://www.worldcat.org/oclc/20490845","WorldCat Record")</f>
        <v/>
      </c>
      <c r="AU656" t="inlineStr">
        <is>
          <t>8356080:eng</t>
        </is>
      </c>
      <c r="AV656" t="inlineStr">
        <is>
          <t>20490845</t>
        </is>
      </c>
      <c r="AW656" t="inlineStr">
        <is>
          <t>991001581649702656</t>
        </is>
      </c>
      <c r="AX656" t="inlineStr">
        <is>
          <t>991001581649702656</t>
        </is>
      </c>
      <c r="AY656" t="inlineStr">
        <is>
          <t>2257551660002656</t>
        </is>
      </c>
      <c r="AZ656" t="inlineStr">
        <is>
          <t>BOOK</t>
        </is>
      </c>
      <c r="BB656" t="inlineStr">
        <is>
          <t>9780877226949</t>
        </is>
      </c>
      <c r="BC656" t="inlineStr">
        <is>
          <t>32285001812519</t>
        </is>
      </c>
      <c r="BD656" t="inlineStr">
        <is>
          <t>893522659</t>
        </is>
      </c>
    </row>
    <row r="657">
      <c r="A657" t="inlineStr">
        <is>
          <t>No</t>
        </is>
      </c>
      <c r="B657" t="inlineStr">
        <is>
          <t>DS149.A1 Z78</t>
        </is>
      </c>
      <c r="C657" t="inlineStr">
        <is>
          <t>0                      DS 0149000A  1                  Z  78</t>
        </is>
      </c>
      <c r="D657" t="inlineStr">
        <is>
          <t>Leadership of the American Zionist Organization, 1897-1930.</t>
        </is>
      </c>
      <c r="F657" t="inlineStr">
        <is>
          <t>No</t>
        </is>
      </c>
      <c r="G657" t="inlineStr">
        <is>
          <t>1</t>
        </is>
      </c>
      <c r="H657" t="inlineStr">
        <is>
          <t>No</t>
        </is>
      </c>
      <c r="I657" t="inlineStr">
        <is>
          <t>No</t>
        </is>
      </c>
      <c r="J657" t="inlineStr">
        <is>
          <t>0</t>
        </is>
      </c>
      <c r="K657" t="inlineStr">
        <is>
          <t>Shapiro, Yonathan.</t>
        </is>
      </c>
      <c r="L657" t="inlineStr">
        <is>
          <t>Urbana : University of Illinois Press, [1971]</t>
        </is>
      </c>
      <c r="M657" t="inlineStr">
        <is>
          <t>1971</t>
        </is>
      </c>
      <c r="O657" t="inlineStr">
        <is>
          <t>eng</t>
        </is>
      </c>
      <c r="P657" t="inlineStr">
        <is>
          <t>ilu</t>
        </is>
      </c>
      <c r="R657" t="inlineStr">
        <is>
          <t xml:space="preserve">DS </t>
        </is>
      </c>
      <c r="S657" t="n">
        <v>2</v>
      </c>
      <c r="T657" t="n">
        <v>2</v>
      </c>
      <c r="U657" t="inlineStr">
        <is>
          <t>1993-03-29</t>
        </is>
      </c>
      <c r="V657" t="inlineStr">
        <is>
          <t>1993-03-29</t>
        </is>
      </c>
      <c r="W657" t="inlineStr">
        <is>
          <t>1991-02-22</t>
        </is>
      </c>
      <c r="X657" t="inlineStr">
        <is>
          <t>1991-02-22</t>
        </is>
      </c>
      <c r="Y657" t="n">
        <v>421</v>
      </c>
      <c r="Z657" t="n">
        <v>357</v>
      </c>
      <c r="AA657" t="n">
        <v>363</v>
      </c>
      <c r="AB657" t="n">
        <v>3</v>
      </c>
      <c r="AC657" t="n">
        <v>3</v>
      </c>
      <c r="AD657" t="n">
        <v>20</v>
      </c>
      <c r="AE657" t="n">
        <v>20</v>
      </c>
      <c r="AF657" t="n">
        <v>4</v>
      </c>
      <c r="AG657" t="n">
        <v>4</v>
      </c>
      <c r="AH657" t="n">
        <v>7</v>
      </c>
      <c r="AI657" t="n">
        <v>7</v>
      </c>
      <c r="AJ657" t="n">
        <v>11</v>
      </c>
      <c r="AK657" t="n">
        <v>11</v>
      </c>
      <c r="AL657" t="n">
        <v>2</v>
      </c>
      <c r="AM657" t="n">
        <v>2</v>
      </c>
      <c r="AN657" t="n">
        <v>0</v>
      </c>
      <c r="AO657" t="n">
        <v>0</v>
      </c>
      <c r="AP657" t="inlineStr">
        <is>
          <t>No</t>
        </is>
      </c>
      <c r="AQ657" t="inlineStr">
        <is>
          <t>Yes</t>
        </is>
      </c>
      <c r="AR657">
        <f>HYPERLINK("http://catalog.hathitrust.org/Record/001247739","HathiTrust Record")</f>
        <v/>
      </c>
      <c r="AS657">
        <f>HYPERLINK("https://creighton-primo.hosted.exlibrisgroup.com/primo-explore/search?tab=default_tab&amp;search_scope=EVERYTHING&amp;vid=01CRU&amp;lang=en_US&amp;offset=0&amp;query=any,contains,991000832139702656","Catalog Record")</f>
        <v/>
      </c>
      <c r="AT657">
        <f>HYPERLINK("http://www.worldcat.org/oclc/148182","WorldCat Record")</f>
        <v/>
      </c>
      <c r="AU657" t="inlineStr">
        <is>
          <t>1333050:eng</t>
        </is>
      </c>
      <c r="AV657" t="inlineStr">
        <is>
          <t>148182</t>
        </is>
      </c>
      <c r="AW657" t="inlineStr">
        <is>
          <t>991000832139702656</t>
        </is>
      </c>
      <c r="AX657" t="inlineStr">
        <is>
          <t>991000832139702656</t>
        </is>
      </c>
      <c r="AY657" t="inlineStr">
        <is>
          <t>2259928540002656</t>
        </is>
      </c>
      <c r="AZ657" t="inlineStr">
        <is>
          <t>BOOK</t>
        </is>
      </c>
      <c r="BB657" t="inlineStr">
        <is>
          <t>9780252001321</t>
        </is>
      </c>
      <c r="BC657" t="inlineStr">
        <is>
          <t>32285000499714</t>
        </is>
      </c>
      <c r="BD657" t="inlineStr">
        <is>
          <t>893772015</t>
        </is>
      </c>
    </row>
    <row r="658">
      <c r="A658" t="inlineStr">
        <is>
          <t>No</t>
        </is>
      </c>
      <c r="B658" t="inlineStr">
        <is>
          <t>DS149.A4 I5 1977</t>
        </is>
      </c>
      <c r="C658" t="inlineStr">
        <is>
          <t>0                      DS 0149000A  4                  I  5           1977</t>
        </is>
      </c>
      <c r="D658" t="inlineStr">
        <is>
          <t>Zionism &amp; racism : proceedings of an international symposium ; [papers] / [Walter Lehn, editor].</t>
        </is>
      </c>
      <c r="F658" t="inlineStr">
        <is>
          <t>No</t>
        </is>
      </c>
      <c r="G658" t="inlineStr">
        <is>
          <t>1</t>
        </is>
      </c>
      <c r="H658" t="inlineStr">
        <is>
          <t>No</t>
        </is>
      </c>
      <c r="I658" t="inlineStr">
        <is>
          <t>No</t>
        </is>
      </c>
      <c r="J658" t="inlineStr">
        <is>
          <t>0</t>
        </is>
      </c>
      <c r="K658" t="inlineStr">
        <is>
          <t>International Symposium on Zionism and Racism (1976 : Tripoli, Libya)</t>
        </is>
      </c>
      <c r="L658" t="inlineStr">
        <is>
          <t>Tripoli : International Organization for the Elimination of All Forms of Racial Discrimination, 1977.</t>
        </is>
      </c>
      <c r="M658" t="inlineStr">
        <is>
          <t>1977</t>
        </is>
      </c>
      <c r="O658" t="inlineStr">
        <is>
          <t>eng</t>
        </is>
      </c>
      <c r="P658" t="inlineStr">
        <is>
          <t xml:space="preserve">ly </t>
        </is>
      </c>
      <c r="R658" t="inlineStr">
        <is>
          <t xml:space="preserve">DS </t>
        </is>
      </c>
      <c r="S658" t="n">
        <v>13</v>
      </c>
      <c r="T658" t="n">
        <v>13</v>
      </c>
      <c r="U658" t="inlineStr">
        <is>
          <t>2005-09-19</t>
        </is>
      </c>
      <c r="V658" t="inlineStr">
        <is>
          <t>2005-09-19</t>
        </is>
      </c>
      <c r="W658" t="inlineStr">
        <is>
          <t>1992-03-10</t>
        </is>
      </c>
      <c r="X658" t="inlineStr">
        <is>
          <t>1992-03-10</t>
        </is>
      </c>
      <c r="Y658" t="n">
        <v>453</v>
      </c>
      <c r="Z658" t="n">
        <v>453</v>
      </c>
      <c r="AA658" t="n">
        <v>608</v>
      </c>
      <c r="AB658" t="n">
        <v>6</v>
      </c>
      <c r="AC658" t="n">
        <v>7</v>
      </c>
      <c r="AD658" t="n">
        <v>27</v>
      </c>
      <c r="AE658" t="n">
        <v>35</v>
      </c>
      <c r="AF658" t="n">
        <v>8</v>
      </c>
      <c r="AG658" t="n">
        <v>13</v>
      </c>
      <c r="AH658" t="n">
        <v>6</v>
      </c>
      <c r="AI658" t="n">
        <v>7</v>
      </c>
      <c r="AJ658" t="n">
        <v>13</v>
      </c>
      <c r="AK658" t="n">
        <v>18</v>
      </c>
      <c r="AL658" t="n">
        <v>5</v>
      </c>
      <c r="AM658" t="n">
        <v>6</v>
      </c>
      <c r="AN658" t="n">
        <v>0</v>
      </c>
      <c r="AO658" t="n">
        <v>0</v>
      </c>
      <c r="AP658" t="inlineStr">
        <is>
          <t>No</t>
        </is>
      </c>
      <c r="AQ658" t="inlineStr">
        <is>
          <t>Yes</t>
        </is>
      </c>
      <c r="AR658">
        <f>HYPERLINK("http://catalog.hathitrust.org/Record/006783226","HathiTrust Record")</f>
        <v/>
      </c>
      <c r="AS658">
        <f>HYPERLINK("https://creighton-primo.hosted.exlibrisgroup.com/primo-explore/search?tab=default_tab&amp;search_scope=EVERYTHING&amp;vid=01CRU&amp;lang=en_US&amp;offset=0&amp;query=any,contains,991004478899702656","Catalog Record")</f>
        <v/>
      </c>
      <c r="AT658">
        <f>HYPERLINK("http://www.worldcat.org/oclc/3620706","WorldCat Record")</f>
        <v/>
      </c>
      <c r="AU658" t="inlineStr">
        <is>
          <t>17334844:eng</t>
        </is>
      </c>
      <c r="AV658" t="inlineStr">
        <is>
          <t>3620706</t>
        </is>
      </c>
      <c r="AW658" t="inlineStr">
        <is>
          <t>991004478899702656</t>
        </is>
      </c>
      <c r="AX658" t="inlineStr">
        <is>
          <t>991004478899702656</t>
        </is>
      </c>
      <c r="AY658" t="inlineStr">
        <is>
          <t>2262274990002656</t>
        </is>
      </c>
      <c r="AZ658" t="inlineStr">
        <is>
          <t>BOOK</t>
        </is>
      </c>
      <c r="BC658" t="inlineStr">
        <is>
          <t>32285000994490</t>
        </is>
      </c>
      <c r="BD658" t="inlineStr">
        <is>
          <t>893712644</t>
        </is>
      </c>
    </row>
    <row r="659">
      <c r="A659" t="inlineStr">
        <is>
          <t>No</t>
        </is>
      </c>
      <c r="B659" t="inlineStr">
        <is>
          <t>DS150.R5 S52 1988</t>
        </is>
      </c>
      <c r="C659" t="inlineStr">
        <is>
          <t>0                      DS 0150000R  5                  S  52          1988</t>
        </is>
      </c>
      <c r="D659" t="inlineStr">
        <is>
          <t>Jabotinsky and the revisionist movement, 1925-1948 / Yaacov Shavit.</t>
        </is>
      </c>
      <c r="F659" t="inlineStr">
        <is>
          <t>No</t>
        </is>
      </c>
      <c r="G659" t="inlineStr">
        <is>
          <t>1</t>
        </is>
      </c>
      <c r="H659" t="inlineStr">
        <is>
          <t>No</t>
        </is>
      </c>
      <c r="I659" t="inlineStr">
        <is>
          <t>No</t>
        </is>
      </c>
      <c r="J659" t="inlineStr">
        <is>
          <t>0</t>
        </is>
      </c>
      <c r="K659" t="inlineStr">
        <is>
          <t>Shaviṭ, Yaʻaḳov, 1944-</t>
        </is>
      </c>
      <c r="L659" t="inlineStr">
        <is>
          <t>London, England ; Totawa, N.J. : F. Cass, 1988.</t>
        </is>
      </c>
      <c r="M659" t="inlineStr">
        <is>
          <t>1988</t>
        </is>
      </c>
      <c r="O659" t="inlineStr">
        <is>
          <t>eng</t>
        </is>
      </c>
      <c r="P659" t="inlineStr">
        <is>
          <t>enk</t>
        </is>
      </c>
      <c r="R659" t="inlineStr">
        <is>
          <t xml:space="preserve">DS </t>
        </is>
      </c>
      <c r="S659" t="n">
        <v>4</v>
      </c>
      <c r="T659" t="n">
        <v>4</v>
      </c>
      <c r="U659" t="inlineStr">
        <is>
          <t>2000-11-13</t>
        </is>
      </c>
      <c r="V659" t="inlineStr">
        <is>
          <t>2000-11-13</t>
        </is>
      </c>
      <c r="W659" t="inlineStr">
        <is>
          <t>1996-05-16</t>
        </is>
      </c>
      <c r="X659" t="inlineStr">
        <is>
          <t>1996-05-16</t>
        </is>
      </c>
      <c r="Y659" t="n">
        <v>269</v>
      </c>
      <c r="Z659" t="n">
        <v>208</v>
      </c>
      <c r="AA659" t="n">
        <v>231</v>
      </c>
      <c r="AB659" t="n">
        <v>3</v>
      </c>
      <c r="AC659" t="n">
        <v>3</v>
      </c>
      <c r="AD659" t="n">
        <v>11</v>
      </c>
      <c r="AE659" t="n">
        <v>11</v>
      </c>
      <c r="AF659" t="n">
        <v>4</v>
      </c>
      <c r="AG659" t="n">
        <v>4</v>
      </c>
      <c r="AH659" t="n">
        <v>4</v>
      </c>
      <c r="AI659" t="n">
        <v>4</v>
      </c>
      <c r="AJ659" t="n">
        <v>6</v>
      </c>
      <c r="AK659" t="n">
        <v>6</v>
      </c>
      <c r="AL659" t="n">
        <v>2</v>
      </c>
      <c r="AM659" t="n">
        <v>2</v>
      </c>
      <c r="AN659" t="n">
        <v>0</v>
      </c>
      <c r="AO659" t="n">
        <v>0</v>
      </c>
      <c r="AP659" t="inlineStr">
        <is>
          <t>No</t>
        </is>
      </c>
      <c r="AQ659" t="inlineStr">
        <is>
          <t>No</t>
        </is>
      </c>
      <c r="AS659">
        <f>HYPERLINK("https://creighton-primo.hosted.exlibrisgroup.com/primo-explore/search?tab=default_tab&amp;search_scope=EVERYTHING&amp;vid=01CRU&amp;lang=en_US&amp;offset=0&amp;query=any,contains,991001242389702656","Catalog Record")</f>
        <v/>
      </c>
      <c r="AT659">
        <f>HYPERLINK("http://www.worldcat.org/oclc/17621428","WorldCat Record")</f>
        <v/>
      </c>
      <c r="AU659" t="inlineStr">
        <is>
          <t>2698618:eng</t>
        </is>
      </c>
      <c r="AV659" t="inlineStr">
        <is>
          <t>17621428</t>
        </is>
      </c>
      <c r="AW659" t="inlineStr">
        <is>
          <t>991001242389702656</t>
        </is>
      </c>
      <c r="AX659" t="inlineStr">
        <is>
          <t>991001242389702656</t>
        </is>
      </c>
      <c r="AY659" t="inlineStr">
        <is>
          <t>2261061540002656</t>
        </is>
      </c>
      <c r="AZ659" t="inlineStr">
        <is>
          <t>BOOK</t>
        </is>
      </c>
      <c r="BB659" t="inlineStr">
        <is>
          <t>9780714633251</t>
        </is>
      </c>
      <c r="BC659" t="inlineStr">
        <is>
          <t>32285002168929</t>
        </is>
      </c>
      <c r="BD659" t="inlineStr">
        <is>
          <t>893321772</t>
        </is>
      </c>
    </row>
    <row r="660">
      <c r="A660" t="inlineStr">
        <is>
          <t>No</t>
        </is>
      </c>
      <c r="B660" t="inlineStr">
        <is>
          <t>DS150.R56 H4513 1995</t>
        </is>
      </c>
      <c r="C660" t="inlineStr">
        <is>
          <t>0                      DS 0150000R  56                 H  4513        1995</t>
        </is>
      </c>
      <c r="D660" t="inlineStr">
        <is>
          <t>The Stern Gang : ideology, politics, and terror, 1940-1949 / Joseph Heller.</t>
        </is>
      </c>
      <c r="F660" t="inlineStr">
        <is>
          <t>No</t>
        </is>
      </c>
      <c r="G660" t="inlineStr">
        <is>
          <t>1</t>
        </is>
      </c>
      <c r="H660" t="inlineStr">
        <is>
          <t>No</t>
        </is>
      </c>
      <c r="I660" t="inlineStr">
        <is>
          <t>No</t>
        </is>
      </c>
      <c r="J660" t="inlineStr">
        <is>
          <t>0</t>
        </is>
      </c>
      <c r="K660" t="inlineStr">
        <is>
          <t>Heller, Joseph, 1937-</t>
        </is>
      </c>
      <c r="L660" t="inlineStr">
        <is>
          <t>London ; Portland, Or. : Frank Cass, 1995.</t>
        </is>
      </c>
      <c r="M660" t="inlineStr">
        <is>
          <t>1995</t>
        </is>
      </c>
      <c r="O660" t="inlineStr">
        <is>
          <t>eng</t>
        </is>
      </c>
      <c r="P660" t="inlineStr">
        <is>
          <t>enk</t>
        </is>
      </c>
      <c r="R660" t="inlineStr">
        <is>
          <t xml:space="preserve">DS </t>
        </is>
      </c>
      <c r="S660" t="n">
        <v>2</v>
      </c>
      <c r="T660" t="n">
        <v>2</v>
      </c>
      <c r="U660" t="inlineStr">
        <is>
          <t>2000-11-13</t>
        </is>
      </c>
      <c r="V660" t="inlineStr">
        <is>
          <t>2000-11-13</t>
        </is>
      </c>
      <c r="W660" t="inlineStr">
        <is>
          <t>1996-09-26</t>
        </is>
      </c>
      <c r="X660" t="inlineStr">
        <is>
          <t>1996-09-26</t>
        </is>
      </c>
      <c r="Y660" t="n">
        <v>349</v>
      </c>
      <c r="Z660" t="n">
        <v>265</v>
      </c>
      <c r="AA660" t="n">
        <v>288</v>
      </c>
      <c r="AB660" t="n">
        <v>1</v>
      </c>
      <c r="AC660" t="n">
        <v>1</v>
      </c>
      <c r="AD660" t="n">
        <v>16</v>
      </c>
      <c r="AE660" t="n">
        <v>16</v>
      </c>
      <c r="AF660" t="n">
        <v>4</v>
      </c>
      <c r="AG660" t="n">
        <v>4</v>
      </c>
      <c r="AH660" t="n">
        <v>7</v>
      </c>
      <c r="AI660" t="n">
        <v>7</v>
      </c>
      <c r="AJ660" t="n">
        <v>11</v>
      </c>
      <c r="AK660" t="n">
        <v>11</v>
      </c>
      <c r="AL660" t="n">
        <v>0</v>
      </c>
      <c r="AM660" t="n">
        <v>0</v>
      </c>
      <c r="AN660" t="n">
        <v>0</v>
      </c>
      <c r="AO660" t="n">
        <v>0</v>
      </c>
      <c r="AP660" t="inlineStr">
        <is>
          <t>No</t>
        </is>
      </c>
      <c r="AQ660" t="inlineStr">
        <is>
          <t>No</t>
        </is>
      </c>
      <c r="AS660">
        <f>HYPERLINK("https://creighton-primo.hosted.exlibrisgroup.com/primo-explore/search?tab=default_tab&amp;search_scope=EVERYTHING&amp;vid=01CRU&amp;lang=en_US&amp;offset=0&amp;query=any,contains,991002345629702656","Catalog Record")</f>
        <v/>
      </c>
      <c r="AT660">
        <f>HYPERLINK("http://www.worldcat.org/oclc/30544067","WorldCat Record")</f>
        <v/>
      </c>
      <c r="AU660" t="inlineStr">
        <is>
          <t>2700829:eng</t>
        </is>
      </c>
      <c r="AV660" t="inlineStr">
        <is>
          <t>30544067</t>
        </is>
      </c>
      <c r="AW660" t="inlineStr">
        <is>
          <t>991002345629702656</t>
        </is>
      </c>
      <c r="AX660" t="inlineStr">
        <is>
          <t>991002345629702656</t>
        </is>
      </c>
      <c r="AY660" t="inlineStr">
        <is>
          <t>2261268680002656</t>
        </is>
      </c>
      <c r="AZ660" t="inlineStr">
        <is>
          <t>BOOK</t>
        </is>
      </c>
      <c r="BB660" t="inlineStr">
        <is>
          <t>9780714641065</t>
        </is>
      </c>
      <c r="BC660" t="inlineStr">
        <is>
          <t>32285002320108</t>
        </is>
      </c>
      <c r="BD660" t="inlineStr">
        <is>
          <t>893421238</t>
        </is>
      </c>
    </row>
    <row r="661">
      <c r="A661" t="inlineStr">
        <is>
          <t>No</t>
        </is>
      </c>
      <c r="B661" t="inlineStr">
        <is>
          <t>DS151.L44 A33 1975</t>
        </is>
      </c>
      <c r="C661" t="inlineStr">
        <is>
          <t>0                      DS 0151000L  44                 A  33          1975</t>
        </is>
      </c>
      <c r="D661" t="inlineStr">
        <is>
          <t>Childhood in exile / by Shmarya Levin.</t>
        </is>
      </c>
      <c r="F661" t="inlineStr">
        <is>
          <t>No</t>
        </is>
      </c>
      <c r="G661" t="inlineStr">
        <is>
          <t>1</t>
        </is>
      </c>
      <c r="H661" t="inlineStr">
        <is>
          <t>No</t>
        </is>
      </c>
      <c r="I661" t="inlineStr">
        <is>
          <t>No</t>
        </is>
      </c>
      <c r="J661" t="inlineStr">
        <is>
          <t>0</t>
        </is>
      </c>
      <c r="K661" t="inlineStr">
        <is>
          <t>Levin, Shmarya, 1867-1935.</t>
        </is>
      </c>
      <c r="L661" t="inlineStr">
        <is>
          <t>New York : Arno Press, 1975 [c1929]</t>
        </is>
      </c>
      <c r="M661" t="inlineStr">
        <is>
          <t>1975</t>
        </is>
      </c>
      <c r="O661" t="inlineStr">
        <is>
          <t>eng</t>
        </is>
      </c>
      <c r="P661" t="inlineStr">
        <is>
          <t>nyu</t>
        </is>
      </c>
      <c r="Q661" t="inlineStr">
        <is>
          <t>The Modern Jewish experience</t>
        </is>
      </c>
      <c r="R661" t="inlineStr">
        <is>
          <t xml:space="preserve">DS </t>
        </is>
      </c>
      <c r="S661" t="n">
        <v>1</v>
      </c>
      <c r="T661" t="n">
        <v>1</v>
      </c>
      <c r="U661" t="inlineStr">
        <is>
          <t>2005-02-05</t>
        </is>
      </c>
      <c r="V661" t="inlineStr">
        <is>
          <t>2005-02-05</t>
        </is>
      </c>
      <c r="W661" t="inlineStr">
        <is>
          <t>1997-02-27</t>
        </is>
      </c>
      <c r="X661" t="inlineStr">
        <is>
          <t>1997-02-27</t>
        </is>
      </c>
      <c r="Y661" t="n">
        <v>61</v>
      </c>
      <c r="Z661" t="n">
        <v>52</v>
      </c>
      <c r="AA661" t="n">
        <v>179</v>
      </c>
      <c r="AB661" t="n">
        <v>1</v>
      </c>
      <c r="AC661" t="n">
        <v>1</v>
      </c>
      <c r="AD661" t="n">
        <v>3</v>
      </c>
      <c r="AE661" t="n">
        <v>4</v>
      </c>
      <c r="AF661" t="n">
        <v>2</v>
      </c>
      <c r="AG661" t="n">
        <v>2</v>
      </c>
      <c r="AH661" t="n">
        <v>0</v>
      </c>
      <c r="AI661" t="n">
        <v>1</v>
      </c>
      <c r="AJ661" t="n">
        <v>2</v>
      </c>
      <c r="AK661" t="n">
        <v>3</v>
      </c>
      <c r="AL661" t="n">
        <v>0</v>
      </c>
      <c r="AM661" t="n">
        <v>0</v>
      </c>
      <c r="AN661" t="n">
        <v>0</v>
      </c>
      <c r="AO661" t="n">
        <v>0</v>
      </c>
      <c r="AP661" t="inlineStr">
        <is>
          <t>No</t>
        </is>
      </c>
      <c r="AQ661" t="inlineStr">
        <is>
          <t>No</t>
        </is>
      </c>
      <c r="AS661">
        <f>HYPERLINK("https://creighton-primo.hosted.exlibrisgroup.com/primo-explore/search?tab=default_tab&amp;search_scope=EVERYTHING&amp;vid=01CRU&amp;lang=en_US&amp;offset=0&amp;query=any,contains,991003936329702656","Catalog Record")</f>
        <v/>
      </c>
      <c r="AT661">
        <f>HYPERLINK("http://www.worldcat.org/oclc/1914796","WorldCat Record")</f>
        <v/>
      </c>
      <c r="AU661" t="inlineStr">
        <is>
          <t>2181692:eng</t>
        </is>
      </c>
      <c r="AV661" t="inlineStr">
        <is>
          <t>1914796</t>
        </is>
      </c>
      <c r="AW661" t="inlineStr">
        <is>
          <t>991003936329702656</t>
        </is>
      </c>
      <c r="AX661" t="inlineStr">
        <is>
          <t>991003936329702656</t>
        </is>
      </c>
      <c r="AY661" t="inlineStr">
        <is>
          <t>2255688200002656</t>
        </is>
      </c>
      <c r="AZ661" t="inlineStr">
        <is>
          <t>BOOK</t>
        </is>
      </c>
      <c r="BB661" t="inlineStr">
        <is>
          <t>9780405067242</t>
        </is>
      </c>
      <c r="BC661" t="inlineStr">
        <is>
          <t>32285002463833</t>
        </is>
      </c>
      <c r="BD661" t="inlineStr">
        <is>
          <t>893506173</t>
        </is>
      </c>
    </row>
    <row r="662">
      <c r="A662" t="inlineStr">
        <is>
          <t>No</t>
        </is>
      </c>
      <c r="B662" t="inlineStr">
        <is>
          <t>DS151.R6 S3 1978</t>
        </is>
      </c>
      <c r="C662" t="inlineStr">
        <is>
          <t>0                      DS 0151000R  6                  S  3           1978</t>
        </is>
      </c>
      <c r="D662" t="inlineStr">
        <is>
          <t>Two Rothschilds and the land of Israel / by Simon Schama.</t>
        </is>
      </c>
      <c r="F662" t="inlineStr">
        <is>
          <t>No</t>
        </is>
      </c>
      <c r="G662" t="inlineStr">
        <is>
          <t>1</t>
        </is>
      </c>
      <c r="H662" t="inlineStr">
        <is>
          <t>No</t>
        </is>
      </c>
      <c r="I662" t="inlineStr">
        <is>
          <t>No</t>
        </is>
      </c>
      <c r="J662" t="inlineStr">
        <is>
          <t>0</t>
        </is>
      </c>
      <c r="K662" t="inlineStr">
        <is>
          <t>Schama, Simon.</t>
        </is>
      </c>
      <c r="L662" t="inlineStr">
        <is>
          <t>New York : Knopf : distributed by Random House, 1978.</t>
        </is>
      </c>
      <c r="M662" t="inlineStr">
        <is>
          <t>1978</t>
        </is>
      </c>
      <c r="N662" t="inlineStr">
        <is>
          <t>1st American ed.</t>
        </is>
      </c>
      <c r="O662" t="inlineStr">
        <is>
          <t>eng</t>
        </is>
      </c>
      <c r="P662" t="inlineStr">
        <is>
          <t>nyu</t>
        </is>
      </c>
      <c r="R662" t="inlineStr">
        <is>
          <t xml:space="preserve">DS </t>
        </is>
      </c>
      <c r="S662" t="n">
        <v>1</v>
      </c>
      <c r="T662" t="n">
        <v>1</v>
      </c>
      <c r="U662" t="inlineStr">
        <is>
          <t>2006-09-18</t>
        </is>
      </c>
      <c r="V662" t="inlineStr">
        <is>
          <t>2006-09-18</t>
        </is>
      </c>
      <c r="W662" t="inlineStr">
        <is>
          <t>1990-10-08</t>
        </is>
      </c>
      <c r="X662" t="inlineStr">
        <is>
          <t>1990-10-08</t>
        </is>
      </c>
      <c r="Y662" t="n">
        <v>460</v>
      </c>
      <c r="Z662" t="n">
        <v>423</v>
      </c>
      <c r="AA662" t="n">
        <v>461</v>
      </c>
      <c r="AB662" t="n">
        <v>2</v>
      </c>
      <c r="AC662" t="n">
        <v>4</v>
      </c>
      <c r="AD662" t="n">
        <v>12</v>
      </c>
      <c r="AE662" t="n">
        <v>14</v>
      </c>
      <c r="AF662" t="n">
        <v>3</v>
      </c>
      <c r="AG662" t="n">
        <v>3</v>
      </c>
      <c r="AH662" t="n">
        <v>6</v>
      </c>
      <c r="AI662" t="n">
        <v>6</v>
      </c>
      <c r="AJ662" t="n">
        <v>5</v>
      </c>
      <c r="AK662" t="n">
        <v>5</v>
      </c>
      <c r="AL662" t="n">
        <v>0</v>
      </c>
      <c r="AM662" t="n">
        <v>2</v>
      </c>
      <c r="AN662" t="n">
        <v>1</v>
      </c>
      <c r="AO662" t="n">
        <v>1</v>
      </c>
      <c r="AP662" t="inlineStr">
        <is>
          <t>No</t>
        </is>
      </c>
      <c r="AQ662" t="inlineStr">
        <is>
          <t>Yes</t>
        </is>
      </c>
      <c r="AR662">
        <f>HYPERLINK("http://catalog.hathitrust.org/Record/000257347","HathiTrust Record")</f>
        <v/>
      </c>
      <c r="AS662">
        <f>HYPERLINK("https://creighton-primo.hosted.exlibrisgroup.com/primo-explore/search?tab=default_tab&amp;search_scope=EVERYTHING&amp;vid=01CRU&amp;lang=en_US&amp;offset=0&amp;query=any,contains,991004668379702656","Catalog Record")</f>
        <v/>
      </c>
      <c r="AT662">
        <f>HYPERLINK("http://www.worldcat.org/oclc/4512790","WorldCat Record")</f>
        <v/>
      </c>
      <c r="AU662" t="inlineStr">
        <is>
          <t>4721055:eng</t>
        </is>
      </c>
      <c r="AV662" t="inlineStr">
        <is>
          <t>4512790</t>
        </is>
      </c>
      <c r="AW662" t="inlineStr">
        <is>
          <t>991004668379702656</t>
        </is>
      </c>
      <c r="AX662" t="inlineStr">
        <is>
          <t>991004668379702656</t>
        </is>
      </c>
      <c r="AY662" t="inlineStr">
        <is>
          <t>2271350260002656</t>
        </is>
      </c>
      <c r="AZ662" t="inlineStr">
        <is>
          <t>BOOK</t>
        </is>
      </c>
      <c r="BB662" t="inlineStr">
        <is>
          <t>9780394501376</t>
        </is>
      </c>
      <c r="BC662" t="inlineStr">
        <is>
          <t>32285000335116</t>
        </is>
      </c>
      <c r="BD662" t="inlineStr">
        <is>
          <t>893513528</t>
        </is>
      </c>
    </row>
    <row r="663">
      <c r="A663" t="inlineStr">
        <is>
          <t>No</t>
        </is>
      </c>
      <c r="B663" t="inlineStr">
        <is>
          <t>DS153.3 .E27 1992</t>
        </is>
      </c>
      <c r="C663" t="inlineStr">
        <is>
          <t>0                      DS 0153300E  27          1992</t>
        </is>
      </c>
      <c r="D663" t="inlineStr">
        <is>
          <t>Early Edom and Moab : the beginning of the Iron age in Southern Jordan / edited by Piotr Bienkowski.</t>
        </is>
      </c>
      <c r="F663" t="inlineStr">
        <is>
          <t>No</t>
        </is>
      </c>
      <c r="G663" t="inlineStr">
        <is>
          <t>1</t>
        </is>
      </c>
      <c r="H663" t="inlineStr">
        <is>
          <t>No</t>
        </is>
      </c>
      <c r="I663" t="inlineStr">
        <is>
          <t>No</t>
        </is>
      </c>
      <c r="J663" t="inlineStr">
        <is>
          <t>0</t>
        </is>
      </c>
      <c r="L663" t="inlineStr">
        <is>
          <t>Sheffield, [Eng.] : J. R. Collis : National Museums and Galleries on Merseyside, c1992.</t>
        </is>
      </c>
      <c r="M663" t="inlineStr">
        <is>
          <t>1992</t>
        </is>
      </c>
      <c r="O663" t="inlineStr">
        <is>
          <t>eng</t>
        </is>
      </c>
      <c r="P663" t="inlineStr">
        <is>
          <t>enk</t>
        </is>
      </c>
      <c r="Q663" t="inlineStr">
        <is>
          <t>Sheffield archaeological monographs ; 7</t>
        </is>
      </c>
      <c r="R663" t="inlineStr">
        <is>
          <t xml:space="preserve">DS </t>
        </is>
      </c>
      <c r="S663" t="n">
        <v>0</v>
      </c>
      <c r="T663" t="n">
        <v>0</v>
      </c>
      <c r="U663" t="inlineStr">
        <is>
          <t>2003-01-09</t>
        </is>
      </c>
      <c r="V663" t="inlineStr">
        <is>
          <t>2003-01-09</t>
        </is>
      </c>
      <c r="W663" t="inlineStr">
        <is>
          <t>1997-06-16</t>
        </is>
      </c>
      <c r="X663" t="inlineStr">
        <is>
          <t>1997-06-16</t>
        </is>
      </c>
      <c r="Y663" t="n">
        <v>183</v>
      </c>
      <c r="Z663" t="n">
        <v>104</v>
      </c>
      <c r="AA663" t="n">
        <v>105</v>
      </c>
      <c r="AB663" t="n">
        <v>1</v>
      </c>
      <c r="AC663" t="n">
        <v>1</v>
      </c>
      <c r="AD663" t="n">
        <v>9</v>
      </c>
      <c r="AE663" t="n">
        <v>9</v>
      </c>
      <c r="AF663" t="n">
        <v>5</v>
      </c>
      <c r="AG663" t="n">
        <v>5</v>
      </c>
      <c r="AH663" t="n">
        <v>2</v>
      </c>
      <c r="AI663" t="n">
        <v>2</v>
      </c>
      <c r="AJ663" t="n">
        <v>2</v>
      </c>
      <c r="AK663" t="n">
        <v>2</v>
      </c>
      <c r="AL663" t="n">
        <v>0</v>
      </c>
      <c r="AM663" t="n">
        <v>0</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HYPERLINK("https://creighton-primo.hosted.exlibrisgroup.com/primo-explore/search?tab=default_tab&amp;search_scope=EVERYTHING&amp;vid=01CRU&amp;lang=en_US&amp;offset=0&amp;query=any,contains,991002146199702656","Catalog Record")</f>
        <v/>
      </c>
      <c r="AT663">
        <f>HYPERLINK("http://www.worldcat.org/oclc/27649232","WorldCat Record")</f>
        <v/>
      </c>
      <c r="AU663" t="inlineStr">
        <is>
          <t>836928114:eng</t>
        </is>
      </c>
      <c r="AV663" t="inlineStr">
        <is>
          <t>27649232</t>
        </is>
      </c>
      <c r="AW663" t="inlineStr">
        <is>
          <t>991002146199702656</t>
        </is>
      </c>
      <c r="AX663" t="inlineStr">
        <is>
          <t>991002146199702656</t>
        </is>
      </c>
      <c r="AY663" t="inlineStr">
        <is>
          <t>2267291470002656</t>
        </is>
      </c>
      <c r="AZ663" t="inlineStr">
        <is>
          <t>BOOK</t>
        </is>
      </c>
      <c r="BB663" t="inlineStr">
        <is>
          <t>9780906090459</t>
        </is>
      </c>
      <c r="BC663" t="inlineStr">
        <is>
          <t>32285002751534</t>
        </is>
      </c>
      <c r="BD663" t="inlineStr">
        <is>
          <t>893341080</t>
        </is>
      </c>
    </row>
    <row r="664">
      <c r="A664" t="inlineStr">
        <is>
          <t>No</t>
        </is>
      </c>
      <c r="B664" t="inlineStr">
        <is>
          <t>DS153.55.P34 M57</t>
        </is>
      </c>
      <c r="C664" t="inlineStr">
        <is>
          <t>0                      DS 0153550P  34                 M  57</t>
        </is>
      </c>
      <c r="D664" t="inlineStr">
        <is>
          <t>West Bank/East Bank : the Palestinians in Jordan, 1949-1967 / Shaul Mishal. --</t>
        </is>
      </c>
      <c r="F664" t="inlineStr">
        <is>
          <t>No</t>
        </is>
      </c>
      <c r="G664" t="inlineStr">
        <is>
          <t>1</t>
        </is>
      </c>
      <c r="H664" t="inlineStr">
        <is>
          <t>No</t>
        </is>
      </c>
      <c r="I664" t="inlineStr">
        <is>
          <t>No</t>
        </is>
      </c>
      <c r="J664" t="inlineStr">
        <is>
          <t>0</t>
        </is>
      </c>
      <c r="K664" t="inlineStr">
        <is>
          <t>Mishal, Shaul, 1945-</t>
        </is>
      </c>
      <c r="L664" t="inlineStr">
        <is>
          <t>New Haven : Yale University Press, 1978.</t>
        </is>
      </c>
      <c r="M664" t="inlineStr">
        <is>
          <t>1978</t>
        </is>
      </c>
      <c r="O664" t="inlineStr">
        <is>
          <t>eng</t>
        </is>
      </c>
      <c r="P664" t="inlineStr">
        <is>
          <t>ctu</t>
        </is>
      </c>
      <c r="R664" t="inlineStr">
        <is>
          <t xml:space="preserve">DS </t>
        </is>
      </c>
      <c r="S664" t="n">
        <v>2</v>
      </c>
      <c r="T664" t="n">
        <v>2</v>
      </c>
      <c r="U664" t="inlineStr">
        <is>
          <t>1998-04-20</t>
        </is>
      </c>
      <c r="V664" t="inlineStr">
        <is>
          <t>1998-04-20</t>
        </is>
      </c>
      <c r="W664" t="inlineStr">
        <is>
          <t>1990-04-30</t>
        </is>
      </c>
      <c r="X664" t="inlineStr">
        <is>
          <t>1990-04-30</t>
        </is>
      </c>
      <c r="Y664" t="n">
        <v>605</v>
      </c>
      <c r="Z664" t="n">
        <v>494</v>
      </c>
      <c r="AA664" t="n">
        <v>495</v>
      </c>
      <c r="AB664" t="n">
        <v>4</v>
      </c>
      <c r="AC664" t="n">
        <v>4</v>
      </c>
      <c r="AD664" t="n">
        <v>22</v>
      </c>
      <c r="AE664" t="n">
        <v>22</v>
      </c>
      <c r="AF664" t="n">
        <v>9</v>
      </c>
      <c r="AG664" t="n">
        <v>9</v>
      </c>
      <c r="AH664" t="n">
        <v>6</v>
      </c>
      <c r="AI664" t="n">
        <v>6</v>
      </c>
      <c r="AJ664" t="n">
        <v>9</v>
      </c>
      <c r="AK664" t="n">
        <v>9</v>
      </c>
      <c r="AL664" t="n">
        <v>3</v>
      </c>
      <c r="AM664" t="n">
        <v>3</v>
      </c>
      <c r="AN664" t="n">
        <v>0</v>
      </c>
      <c r="AO664" t="n">
        <v>0</v>
      </c>
      <c r="AP664" t="inlineStr">
        <is>
          <t>No</t>
        </is>
      </c>
      <c r="AQ664" t="inlineStr">
        <is>
          <t>No</t>
        </is>
      </c>
      <c r="AS664">
        <f>HYPERLINK("https://creighton-primo.hosted.exlibrisgroup.com/primo-explore/search?tab=default_tab&amp;search_scope=EVERYTHING&amp;vid=01CRU&amp;lang=en_US&amp;offset=0&amp;query=any,contains,991004419679702656","Catalog Record")</f>
        <v/>
      </c>
      <c r="AT664">
        <f>HYPERLINK("http://www.worldcat.org/oclc/3380009","WorldCat Record")</f>
        <v/>
      </c>
      <c r="AU664" t="inlineStr">
        <is>
          <t>889344203:eng</t>
        </is>
      </c>
      <c r="AV664" t="inlineStr">
        <is>
          <t>3380009</t>
        </is>
      </c>
      <c r="AW664" t="inlineStr">
        <is>
          <t>991004419679702656</t>
        </is>
      </c>
      <c r="AX664" t="inlineStr">
        <is>
          <t>991004419679702656</t>
        </is>
      </c>
      <c r="AY664" t="inlineStr">
        <is>
          <t>2272733770002656</t>
        </is>
      </c>
      <c r="AZ664" t="inlineStr">
        <is>
          <t>BOOK</t>
        </is>
      </c>
      <c r="BB664" t="inlineStr">
        <is>
          <t>9780300021912</t>
        </is>
      </c>
      <c r="BC664" t="inlineStr">
        <is>
          <t>32285000128784</t>
        </is>
      </c>
      <c r="BD664" t="inlineStr">
        <is>
          <t>893343816</t>
        </is>
      </c>
    </row>
    <row r="665">
      <c r="A665" t="inlineStr">
        <is>
          <t>No</t>
        </is>
      </c>
      <c r="B665" t="inlineStr">
        <is>
          <t>DS153.55.P34 P4 1981</t>
        </is>
      </c>
      <c r="C665" t="inlineStr">
        <is>
          <t>0                      DS 0153550P  34                 P  4           1981</t>
        </is>
      </c>
      <c r="D665" t="inlineStr">
        <is>
          <t>The Palestinian refugees in Jordan 1948-1957 / Avi Plascov.</t>
        </is>
      </c>
      <c r="F665" t="inlineStr">
        <is>
          <t>No</t>
        </is>
      </c>
      <c r="G665" t="inlineStr">
        <is>
          <t>1</t>
        </is>
      </c>
      <c r="H665" t="inlineStr">
        <is>
          <t>No</t>
        </is>
      </c>
      <c r="I665" t="inlineStr">
        <is>
          <t>No</t>
        </is>
      </c>
      <c r="J665" t="inlineStr">
        <is>
          <t>0</t>
        </is>
      </c>
      <c r="K665" t="inlineStr">
        <is>
          <t>Plascov, Avi.</t>
        </is>
      </c>
      <c r="L665" t="inlineStr">
        <is>
          <t>London ; Totowa, N.J. : F. Cass, c1981.</t>
        </is>
      </c>
      <c r="M665" t="inlineStr">
        <is>
          <t>1981</t>
        </is>
      </c>
      <c r="O665" t="inlineStr">
        <is>
          <t>eng</t>
        </is>
      </c>
      <c r="P665" t="inlineStr">
        <is>
          <t>enk</t>
        </is>
      </c>
      <c r="R665" t="inlineStr">
        <is>
          <t xml:space="preserve">DS </t>
        </is>
      </c>
      <c r="S665" t="n">
        <v>3</v>
      </c>
      <c r="T665" t="n">
        <v>3</v>
      </c>
      <c r="U665" t="inlineStr">
        <is>
          <t>2010-11-20</t>
        </is>
      </c>
      <c r="V665" t="inlineStr">
        <is>
          <t>2010-11-20</t>
        </is>
      </c>
      <c r="W665" t="inlineStr">
        <is>
          <t>1990-04-30</t>
        </is>
      </c>
      <c r="X665" t="inlineStr">
        <is>
          <t>1990-04-30</t>
        </is>
      </c>
      <c r="Y665" t="n">
        <v>461</v>
      </c>
      <c r="Z665" t="n">
        <v>367</v>
      </c>
      <c r="AA665" t="n">
        <v>386</v>
      </c>
      <c r="AB665" t="n">
        <v>2</v>
      </c>
      <c r="AC665" t="n">
        <v>2</v>
      </c>
      <c r="AD665" t="n">
        <v>14</v>
      </c>
      <c r="AE665" t="n">
        <v>14</v>
      </c>
      <c r="AF665" t="n">
        <v>5</v>
      </c>
      <c r="AG665" t="n">
        <v>5</v>
      </c>
      <c r="AH665" t="n">
        <v>2</v>
      </c>
      <c r="AI665" t="n">
        <v>2</v>
      </c>
      <c r="AJ665" t="n">
        <v>11</v>
      </c>
      <c r="AK665" t="n">
        <v>11</v>
      </c>
      <c r="AL665" t="n">
        <v>1</v>
      </c>
      <c r="AM665" t="n">
        <v>1</v>
      </c>
      <c r="AN665" t="n">
        <v>0</v>
      </c>
      <c r="AO665" t="n">
        <v>0</v>
      </c>
      <c r="AP665" t="inlineStr">
        <is>
          <t>No</t>
        </is>
      </c>
      <c r="AQ665" t="inlineStr">
        <is>
          <t>No</t>
        </is>
      </c>
      <c r="AS665">
        <f>HYPERLINK("https://creighton-primo.hosted.exlibrisgroup.com/primo-explore/search?tab=default_tab&amp;search_scope=EVERYTHING&amp;vid=01CRU&amp;lang=en_US&amp;offset=0&amp;query=any,contains,991005142299702656","Catalog Record")</f>
        <v/>
      </c>
      <c r="AT665">
        <f>HYPERLINK("http://www.worldcat.org/oclc/7625031","WorldCat Record")</f>
        <v/>
      </c>
      <c r="AU665" t="inlineStr">
        <is>
          <t>446597:eng</t>
        </is>
      </c>
      <c r="AV665" t="inlineStr">
        <is>
          <t>7625031</t>
        </is>
      </c>
      <c r="AW665" t="inlineStr">
        <is>
          <t>991005142299702656</t>
        </is>
      </c>
      <c r="AX665" t="inlineStr">
        <is>
          <t>991005142299702656</t>
        </is>
      </c>
      <c r="AY665" t="inlineStr">
        <is>
          <t>2262452730002656</t>
        </is>
      </c>
      <c r="AZ665" t="inlineStr">
        <is>
          <t>BOOK</t>
        </is>
      </c>
      <c r="BB665" t="inlineStr">
        <is>
          <t>9780714631202</t>
        </is>
      </c>
      <c r="BC665" t="inlineStr">
        <is>
          <t>32285000128792</t>
        </is>
      </c>
      <c r="BD665" t="inlineStr">
        <is>
          <t>893783087</t>
        </is>
      </c>
    </row>
    <row r="666">
      <c r="A666" t="inlineStr">
        <is>
          <t>No</t>
        </is>
      </c>
      <c r="B666" t="inlineStr">
        <is>
          <t>DS154.2 .B65 1988</t>
        </is>
      </c>
      <c r="C666" t="inlineStr">
        <is>
          <t>0                      DS 0154200B  65          1988</t>
        </is>
      </c>
      <c r="D666" t="inlineStr">
        <is>
          <t>The early biblical community in Transjordan / Robert G. Boling.</t>
        </is>
      </c>
      <c r="F666" t="inlineStr">
        <is>
          <t>No</t>
        </is>
      </c>
      <c r="G666" t="inlineStr">
        <is>
          <t>1</t>
        </is>
      </c>
      <c r="H666" t="inlineStr">
        <is>
          <t>No</t>
        </is>
      </c>
      <c r="I666" t="inlineStr">
        <is>
          <t>No</t>
        </is>
      </c>
      <c r="J666" t="inlineStr">
        <is>
          <t>0</t>
        </is>
      </c>
      <c r="K666" t="inlineStr">
        <is>
          <t>Boling, Robert G.</t>
        </is>
      </c>
      <c r="L666" t="inlineStr">
        <is>
          <t>Sheffield : Almond Press, 1988.</t>
        </is>
      </c>
      <c r="M666" t="inlineStr">
        <is>
          <t>1988</t>
        </is>
      </c>
      <c r="O666" t="inlineStr">
        <is>
          <t>eng</t>
        </is>
      </c>
      <c r="P666" t="inlineStr">
        <is>
          <t>enk</t>
        </is>
      </c>
      <c r="Q666" t="inlineStr">
        <is>
          <t>The Social world of biblical antiquity , 0265-1408 ; 6</t>
        </is>
      </c>
      <c r="R666" t="inlineStr">
        <is>
          <t xml:space="preserve">DS </t>
        </is>
      </c>
      <c r="S666" t="n">
        <v>1</v>
      </c>
      <c r="T666" t="n">
        <v>1</v>
      </c>
      <c r="U666" t="inlineStr">
        <is>
          <t>1993-08-31</t>
        </is>
      </c>
      <c r="V666" t="inlineStr">
        <is>
          <t>1993-08-31</t>
        </is>
      </c>
      <c r="W666" t="inlineStr">
        <is>
          <t>1989-10-23</t>
        </is>
      </c>
      <c r="X666" t="inlineStr">
        <is>
          <t>1989-10-23</t>
        </is>
      </c>
      <c r="Y666" t="n">
        <v>273</v>
      </c>
      <c r="Z666" t="n">
        <v>184</v>
      </c>
      <c r="AA666" t="n">
        <v>189</v>
      </c>
      <c r="AB666" t="n">
        <v>1</v>
      </c>
      <c r="AC666" t="n">
        <v>1</v>
      </c>
      <c r="AD666" t="n">
        <v>14</v>
      </c>
      <c r="AE666" t="n">
        <v>14</v>
      </c>
      <c r="AF666" t="n">
        <v>7</v>
      </c>
      <c r="AG666" t="n">
        <v>7</v>
      </c>
      <c r="AH666" t="n">
        <v>3</v>
      </c>
      <c r="AI666" t="n">
        <v>3</v>
      </c>
      <c r="AJ666" t="n">
        <v>7</v>
      </c>
      <c r="AK666" t="n">
        <v>7</v>
      </c>
      <c r="AL666" t="n">
        <v>0</v>
      </c>
      <c r="AM666" t="n">
        <v>0</v>
      </c>
      <c r="AN666" t="n">
        <v>0</v>
      </c>
      <c r="AO666" t="n">
        <v>0</v>
      </c>
      <c r="AP666" t="inlineStr">
        <is>
          <t>No</t>
        </is>
      </c>
      <c r="AQ666" t="inlineStr">
        <is>
          <t>Yes</t>
        </is>
      </c>
      <c r="AR666">
        <f>HYPERLINK("http://catalog.hathitrust.org/Record/000930300","HathiTrust Record")</f>
        <v/>
      </c>
      <c r="AS666">
        <f>HYPERLINK("https://creighton-primo.hosted.exlibrisgroup.com/primo-explore/search?tab=default_tab&amp;search_scope=EVERYTHING&amp;vid=01CRU&amp;lang=en_US&amp;offset=0&amp;query=any,contains,991001192909702656","Catalog Record")</f>
        <v/>
      </c>
      <c r="AT666">
        <f>HYPERLINK("http://www.worldcat.org/oclc/17262214","WorldCat Record")</f>
        <v/>
      </c>
      <c r="AU666" t="inlineStr">
        <is>
          <t>15588362:eng</t>
        </is>
      </c>
      <c r="AV666" t="inlineStr">
        <is>
          <t>17262214</t>
        </is>
      </c>
      <c r="AW666" t="inlineStr">
        <is>
          <t>991001192909702656</t>
        </is>
      </c>
      <c r="AX666" t="inlineStr">
        <is>
          <t>991001192909702656</t>
        </is>
      </c>
      <c r="AY666" t="inlineStr">
        <is>
          <t>2268336670002656</t>
        </is>
      </c>
      <c r="AZ666" t="inlineStr">
        <is>
          <t>BOOK</t>
        </is>
      </c>
      <c r="BB666" t="inlineStr">
        <is>
          <t>9781850750932</t>
        </is>
      </c>
      <c r="BC666" t="inlineStr">
        <is>
          <t>32285000002393</t>
        </is>
      </c>
      <c r="BD666" t="inlineStr">
        <is>
          <t>893684139</t>
        </is>
      </c>
    </row>
    <row r="667">
      <c r="A667" t="inlineStr">
        <is>
          <t>No</t>
        </is>
      </c>
      <c r="B667" t="inlineStr">
        <is>
          <t>DS154.2 .L38</t>
        </is>
      </c>
      <c r="C667" t="inlineStr">
        <is>
          <t>0                      DS 0154200L  38</t>
        </is>
      </c>
      <c r="D667" t="inlineStr">
        <is>
          <t>The Nabataeans in historical perspective.</t>
        </is>
      </c>
      <c r="F667" t="inlineStr">
        <is>
          <t>No</t>
        </is>
      </c>
      <c r="G667" t="inlineStr">
        <is>
          <t>1</t>
        </is>
      </c>
      <c r="H667" t="inlineStr">
        <is>
          <t>No</t>
        </is>
      </c>
      <c r="I667" t="inlineStr">
        <is>
          <t>No</t>
        </is>
      </c>
      <c r="J667" t="inlineStr">
        <is>
          <t>0</t>
        </is>
      </c>
      <c r="K667" t="inlineStr">
        <is>
          <t>Lawlor, John Irving.</t>
        </is>
      </c>
      <c r="L667" t="inlineStr">
        <is>
          <t>Grand Rapids, Baker Book House [1974]</t>
        </is>
      </c>
      <c r="M667" t="inlineStr">
        <is>
          <t>1974</t>
        </is>
      </c>
      <c r="O667" t="inlineStr">
        <is>
          <t>eng</t>
        </is>
      </c>
      <c r="P667" t="inlineStr">
        <is>
          <t>miu</t>
        </is>
      </c>
      <c r="Q667" t="inlineStr">
        <is>
          <t>Baker studies in Biblical archaeology</t>
        </is>
      </c>
      <c r="R667" t="inlineStr">
        <is>
          <t xml:space="preserve">DS </t>
        </is>
      </c>
      <c r="S667" t="n">
        <v>1</v>
      </c>
      <c r="T667" t="n">
        <v>1</v>
      </c>
      <c r="U667" t="inlineStr">
        <is>
          <t>2007-04-16</t>
        </is>
      </c>
      <c r="V667" t="inlineStr">
        <is>
          <t>2007-04-16</t>
        </is>
      </c>
      <c r="W667" t="inlineStr">
        <is>
          <t>1997-03-06</t>
        </is>
      </c>
      <c r="X667" t="inlineStr">
        <is>
          <t>1997-03-06</t>
        </is>
      </c>
      <c r="Y667" t="n">
        <v>324</v>
      </c>
      <c r="Z667" t="n">
        <v>265</v>
      </c>
      <c r="AA667" t="n">
        <v>266</v>
      </c>
      <c r="AB667" t="n">
        <v>2</v>
      </c>
      <c r="AC667" t="n">
        <v>2</v>
      </c>
      <c r="AD667" t="n">
        <v>7</v>
      </c>
      <c r="AE667" t="n">
        <v>7</v>
      </c>
      <c r="AF667" t="n">
        <v>2</v>
      </c>
      <c r="AG667" t="n">
        <v>2</v>
      </c>
      <c r="AH667" t="n">
        <v>2</v>
      </c>
      <c r="AI667" t="n">
        <v>2</v>
      </c>
      <c r="AJ667" t="n">
        <v>4</v>
      </c>
      <c r="AK667" t="n">
        <v>4</v>
      </c>
      <c r="AL667" t="n">
        <v>0</v>
      </c>
      <c r="AM667" t="n">
        <v>0</v>
      </c>
      <c r="AN667" t="n">
        <v>0</v>
      </c>
      <c r="AO667" t="n">
        <v>0</v>
      </c>
      <c r="AP667" t="inlineStr">
        <is>
          <t>No</t>
        </is>
      </c>
      <c r="AQ667" t="inlineStr">
        <is>
          <t>No</t>
        </is>
      </c>
      <c r="AS667">
        <f>HYPERLINK("https://creighton-primo.hosted.exlibrisgroup.com/primo-explore/search?tab=default_tab&amp;search_scope=EVERYTHING&amp;vid=01CRU&amp;lang=en_US&amp;offset=0&amp;query=any,contains,991003312669702656","Catalog Record")</f>
        <v/>
      </c>
      <c r="AT667">
        <f>HYPERLINK("http://www.worldcat.org/oclc/836296","WorldCat Record")</f>
        <v/>
      </c>
      <c r="AU667" t="inlineStr">
        <is>
          <t>1766853:eng</t>
        </is>
      </c>
      <c r="AV667" t="inlineStr">
        <is>
          <t>836296</t>
        </is>
      </c>
      <c r="AW667" t="inlineStr">
        <is>
          <t>991003312669702656</t>
        </is>
      </c>
      <c r="AX667" t="inlineStr">
        <is>
          <t>991003312669702656</t>
        </is>
      </c>
      <c r="AY667" t="inlineStr">
        <is>
          <t>2268927860002656</t>
        </is>
      </c>
      <c r="AZ667" t="inlineStr">
        <is>
          <t>BOOK</t>
        </is>
      </c>
      <c r="BB667" t="inlineStr">
        <is>
          <t>9780801055362</t>
        </is>
      </c>
      <c r="BC667" t="inlineStr">
        <is>
          <t>32285002455029</t>
        </is>
      </c>
      <c r="BD667" t="inlineStr">
        <is>
          <t>893868294</t>
        </is>
      </c>
    </row>
    <row r="668">
      <c r="A668" t="inlineStr">
        <is>
          <t>No</t>
        </is>
      </c>
      <c r="B668" t="inlineStr">
        <is>
          <t>DS154.2 .M33 1994</t>
        </is>
      </c>
      <c r="C668" t="inlineStr">
        <is>
          <t>0                      DS 0154200M  33          1994</t>
        </is>
      </c>
      <c r="D668" t="inlineStr">
        <is>
          <t>Ammon, Moab, and Edom : early states/nations of Jordan in the biblical period (end of the 2nd and during the 1st millennium B.C.) / by Burton MacDonald.</t>
        </is>
      </c>
      <c r="F668" t="inlineStr">
        <is>
          <t>No</t>
        </is>
      </c>
      <c r="G668" t="inlineStr">
        <is>
          <t>1</t>
        </is>
      </c>
      <c r="H668" t="inlineStr">
        <is>
          <t>No</t>
        </is>
      </c>
      <c r="I668" t="inlineStr">
        <is>
          <t>No</t>
        </is>
      </c>
      <c r="J668" t="inlineStr">
        <is>
          <t>0</t>
        </is>
      </c>
      <c r="K668" t="inlineStr">
        <is>
          <t>MacDonald, Burton, 1939-</t>
        </is>
      </c>
      <c r="L668" t="inlineStr">
        <is>
          <t>Amman : Al Kutba, 1994.</t>
        </is>
      </c>
      <c r="M668" t="inlineStr">
        <is>
          <t>1994</t>
        </is>
      </c>
      <c r="O668" t="inlineStr">
        <is>
          <t>eng</t>
        </is>
      </c>
      <c r="P668" t="inlineStr">
        <is>
          <t xml:space="preserve">jo </t>
        </is>
      </c>
      <c r="R668" t="inlineStr">
        <is>
          <t xml:space="preserve">DS </t>
        </is>
      </c>
      <c r="S668" t="n">
        <v>0</v>
      </c>
      <c r="T668" t="n">
        <v>0</v>
      </c>
      <c r="U668" t="inlineStr">
        <is>
          <t>2007-11-20</t>
        </is>
      </c>
      <c r="V668" t="inlineStr">
        <is>
          <t>2007-11-20</t>
        </is>
      </c>
      <c r="W668" t="inlineStr">
        <is>
          <t>1996-03-21</t>
        </is>
      </c>
      <c r="X668" t="inlineStr">
        <is>
          <t>1996-03-21</t>
        </is>
      </c>
      <c r="Y668" t="n">
        <v>47</v>
      </c>
      <c r="Z668" t="n">
        <v>27</v>
      </c>
      <c r="AA668" t="n">
        <v>27</v>
      </c>
      <c r="AB668" t="n">
        <v>1</v>
      </c>
      <c r="AC668" t="n">
        <v>1</v>
      </c>
      <c r="AD668" t="n">
        <v>0</v>
      </c>
      <c r="AE668" t="n">
        <v>0</v>
      </c>
      <c r="AF668" t="n">
        <v>0</v>
      </c>
      <c r="AG668" t="n">
        <v>0</v>
      </c>
      <c r="AH668" t="n">
        <v>0</v>
      </c>
      <c r="AI668" t="n">
        <v>0</v>
      </c>
      <c r="AJ668" t="n">
        <v>0</v>
      </c>
      <c r="AK668" t="n">
        <v>0</v>
      </c>
      <c r="AL668" t="n">
        <v>0</v>
      </c>
      <c r="AM668" t="n">
        <v>0</v>
      </c>
      <c r="AN668" t="n">
        <v>0</v>
      </c>
      <c r="AO668" t="n">
        <v>0</v>
      </c>
      <c r="AP668" t="inlineStr">
        <is>
          <t>No</t>
        </is>
      </c>
      <c r="AQ668" t="inlineStr">
        <is>
          <t>No</t>
        </is>
      </c>
      <c r="AS668">
        <f>HYPERLINK("https://creighton-primo.hosted.exlibrisgroup.com/primo-explore/search?tab=default_tab&amp;search_scope=EVERYTHING&amp;vid=01CRU&amp;lang=en_US&amp;offset=0&amp;query=any,contains,991002492199702656","Catalog Record")</f>
        <v/>
      </c>
      <c r="AT668">
        <f>HYPERLINK("http://www.worldcat.org/oclc/32430317","WorldCat Record")</f>
        <v/>
      </c>
      <c r="AU668" t="inlineStr">
        <is>
          <t>36662312:eng</t>
        </is>
      </c>
      <c r="AV668" t="inlineStr">
        <is>
          <t>32430317</t>
        </is>
      </c>
      <c r="AW668" t="inlineStr">
        <is>
          <t>991002492199702656</t>
        </is>
      </c>
      <c r="AX668" t="inlineStr">
        <is>
          <t>991002492199702656</t>
        </is>
      </c>
      <c r="AY668" t="inlineStr">
        <is>
          <t>2256551120002656</t>
        </is>
      </c>
      <c r="AZ668" t="inlineStr">
        <is>
          <t>BOOK</t>
        </is>
      </c>
      <c r="BC668" t="inlineStr">
        <is>
          <t>32285002145828</t>
        </is>
      </c>
      <c r="BD668" t="inlineStr">
        <is>
          <t>893898812</t>
        </is>
      </c>
    </row>
    <row r="669">
      <c r="A669" t="inlineStr">
        <is>
          <t>No</t>
        </is>
      </c>
      <c r="B669" t="inlineStr">
        <is>
          <t>DS154.22 .B68 1983</t>
        </is>
      </c>
      <c r="C669" t="inlineStr">
        <is>
          <t>0                      DS 0154220B  68          1983</t>
        </is>
      </c>
      <c r="D669" t="inlineStr">
        <is>
          <t>Roman Arabia / G.W. Bowersock.</t>
        </is>
      </c>
      <c r="F669" t="inlineStr">
        <is>
          <t>No</t>
        </is>
      </c>
      <c r="G669" t="inlineStr">
        <is>
          <t>1</t>
        </is>
      </c>
      <c r="H669" t="inlineStr">
        <is>
          <t>No</t>
        </is>
      </c>
      <c r="I669" t="inlineStr">
        <is>
          <t>No</t>
        </is>
      </c>
      <c r="J669" t="inlineStr">
        <is>
          <t>0</t>
        </is>
      </c>
      <c r="K669" t="inlineStr">
        <is>
          <t>Bowersock, G. W. (Glen Warren), 1936-</t>
        </is>
      </c>
      <c r="L669" t="inlineStr">
        <is>
          <t>Cambridge, Mass. : Harvard University Press, 1983.</t>
        </is>
      </c>
      <c r="M669" t="inlineStr">
        <is>
          <t>1983</t>
        </is>
      </c>
      <c r="O669" t="inlineStr">
        <is>
          <t>eng</t>
        </is>
      </c>
      <c r="P669" t="inlineStr">
        <is>
          <t>mau</t>
        </is>
      </c>
      <c r="R669" t="inlineStr">
        <is>
          <t xml:space="preserve">DS </t>
        </is>
      </c>
      <c r="S669" t="n">
        <v>1</v>
      </c>
      <c r="T669" t="n">
        <v>1</v>
      </c>
      <c r="U669" t="inlineStr">
        <is>
          <t>2002-10-28</t>
        </is>
      </c>
      <c r="V669" t="inlineStr">
        <is>
          <t>2002-10-28</t>
        </is>
      </c>
      <c r="W669" t="inlineStr">
        <is>
          <t>1990-10-08</t>
        </is>
      </c>
      <c r="X669" t="inlineStr">
        <is>
          <t>1990-10-08</t>
        </is>
      </c>
      <c r="Y669" t="n">
        <v>759</v>
      </c>
      <c r="Z669" t="n">
        <v>576</v>
      </c>
      <c r="AA669" t="n">
        <v>640</v>
      </c>
      <c r="AB669" t="n">
        <v>4</v>
      </c>
      <c r="AC669" t="n">
        <v>4</v>
      </c>
      <c r="AD669" t="n">
        <v>31</v>
      </c>
      <c r="AE669" t="n">
        <v>32</v>
      </c>
      <c r="AF669" t="n">
        <v>13</v>
      </c>
      <c r="AG669" t="n">
        <v>13</v>
      </c>
      <c r="AH669" t="n">
        <v>7</v>
      </c>
      <c r="AI669" t="n">
        <v>7</v>
      </c>
      <c r="AJ669" t="n">
        <v>18</v>
      </c>
      <c r="AK669" t="n">
        <v>19</v>
      </c>
      <c r="AL669" t="n">
        <v>3</v>
      </c>
      <c r="AM669" t="n">
        <v>3</v>
      </c>
      <c r="AN669" t="n">
        <v>0</v>
      </c>
      <c r="AO669" t="n">
        <v>0</v>
      </c>
      <c r="AP669" t="inlineStr">
        <is>
          <t>No</t>
        </is>
      </c>
      <c r="AQ669" t="inlineStr">
        <is>
          <t>Yes</t>
        </is>
      </c>
      <c r="AR669">
        <f>HYPERLINK("http://catalog.hathitrust.org/Record/000276984","HathiTrust Record")</f>
        <v/>
      </c>
      <c r="AS669">
        <f>HYPERLINK("https://creighton-primo.hosted.exlibrisgroup.com/primo-explore/search?tab=default_tab&amp;search_scope=EVERYTHING&amp;vid=01CRU&amp;lang=en_US&amp;offset=0&amp;query=any,contains,991000122479702656","Catalog Record")</f>
        <v/>
      </c>
      <c r="AT669">
        <f>HYPERLINK("http://www.worldcat.org/oclc/9080742","WorldCat Record")</f>
        <v/>
      </c>
      <c r="AU669" t="inlineStr">
        <is>
          <t>2683906:eng</t>
        </is>
      </c>
      <c r="AV669" t="inlineStr">
        <is>
          <t>9080742</t>
        </is>
      </c>
      <c r="AW669" t="inlineStr">
        <is>
          <t>991000122479702656</t>
        </is>
      </c>
      <c r="AX669" t="inlineStr">
        <is>
          <t>991000122479702656</t>
        </is>
      </c>
      <c r="AY669" t="inlineStr">
        <is>
          <t>2255566040002656</t>
        </is>
      </c>
      <c r="AZ669" t="inlineStr">
        <is>
          <t>BOOK</t>
        </is>
      </c>
      <c r="BB669" t="inlineStr">
        <is>
          <t>9780674777552</t>
        </is>
      </c>
      <c r="BC669" t="inlineStr">
        <is>
          <t>32285000335124</t>
        </is>
      </c>
      <c r="BD669" t="inlineStr">
        <is>
          <t>893595303</t>
        </is>
      </c>
    </row>
    <row r="670">
      <c r="A670" t="inlineStr">
        <is>
          <t>No</t>
        </is>
      </c>
      <c r="B670" t="inlineStr">
        <is>
          <t>DS154.5 .R63 2004</t>
        </is>
      </c>
      <c r="C670" t="inlineStr">
        <is>
          <t>0                      DS 0154500R  63          2004</t>
        </is>
      </c>
      <c r="D670" t="inlineStr">
        <is>
          <t>A History of Jordan / Philip Robins.</t>
        </is>
      </c>
      <c r="F670" t="inlineStr">
        <is>
          <t>No</t>
        </is>
      </c>
      <c r="G670" t="inlineStr">
        <is>
          <t>1</t>
        </is>
      </c>
      <c r="H670" t="inlineStr">
        <is>
          <t>No</t>
        </is>
      </c>
      <c r="I670" t="inlineStr">
        <is>
          <t>No</t>
        </is>
      </c>
      <c r="J670" t="inlineStr">
        <is>
          <t>0</t>
        </is>
      </c>
      <c r="K670" t="inlineStr">
        <is>
          <t>Robins, Philip.</t>
        </is>
      </c>
      <c r="L670" t="inlineStr">
        <is>
          <t>Cambridge, U.K. ; New York : Cambridge University Press, 2004.</t>
        </is>
      </c>
      <c r="M670" t="inlineStr">
        <is>
          <t>2004</t>
        </is>
      </c>
      <c r="O670" t="inlineStr">
        <is>
          <t>eng</t>
        </is>
      </c>
      <c r="P670" t="inlineStr">
        <is>
          <t>enk</t>
        </is>
      </c>
      <c r="R670" t="inlineStr">
        <is>
          <t xml:space="preserve">DS </t>
        </is>
      </c>
      <c r="S670" t="n">
        <v>3</v>
      </c>
      <c r="T670" t="n">
        <v>3</v>
      </c>
      <c r="U670" t="inlineStr">
        <is>
          <t>2010-11-20</t>
        </is>
      </c>
      <c r="V670" t="inlineStr">
        <is>
          <t>2010-11-20</t>
        </is>
      </c>
      <c r="W670" t="inlineStr">
        <is>
          <t>2004-06-09</t>
        </is>
      </c>
      <c r="X670" t="inlineStr">
        <is>
          <t>2004-06-09</t>
        </is>
      </c>
      <c r="Y670" t="n">
        <v>672</v>
      </c>
      <c r="Z670" t="n">
        <v>494</v>
      </c>
      <c r="AA670" t="n">
        <v>552</v>
      </c>
      <c r="AB670" t="n">
        <v>5</v>
      </c>
      <c r="AC670" t="n">
        <v>5</v>
      </c>
      <c r="AD670" t="n">
        <v>23</v>
      </c>
      <c r="AE670" t="n">
        <v>26</v>
      </c>
      <c r="AF670" t="n">
        <v>8</v>
      </c>
      <c r="AG670" t="n">
        <v>9</v>
      </c>
      <c r="AH670" t="n">
        <v>7</v>
      </c>
      <c r="AI670" t="n">
        <v>7</v>
      </c>
      <c r="AJ670" t="n">
        <v>9</v>
      </c>
      <c r="AK670" t="n">
        <v>12</v>
      </c>
      <c r="AL670" t="n">
        <v>4</v>
      </c>
      <c r="AM670" t="n">
        <v>4</v>
      </c>
      <c r="AN670" t="n">
        <v>0</v>
      </c>
      <c r="AO670" t="n">
        <v>0</v>
      </c>
      <c r="AP670" t="inlineStr">
        <is>
          <t>No</t>
        </is>
      </c>
      <c r="AQ670" t="inlineStr">
        <is>
          <t>No</t>
        </is>
      </c>
      <c r="AS670">
        <f>HYPERLINK("https://creighton-primo.hosted.exlibrisgroup.com/primo-explore/search?tab=default_tab&amp;search_scope=EVERYTHING&amp;vid=01CRU&amp;lang=en_US&amp;offset=0&amp;query=any,contains,991004293939702656","Catalog Record")</f>
        <v/>
      </c>
      <c r="AT670">
        <f>HYPERLINK("http://www.worldcat.org/oclc/54079507","WorldCat Record")</f>
        <v/>
      </c>
      <c r="AU670" t="inlineStr">
        <is>
          <t>709310:eng</t>
        </is>
      </c>
      <c r="AV670" t="inlineStr">
        <is>
          <t>54079507</t>
        </is>
      </c>
      <c r="AW670" t="inlineStr">
        <is>
          <t>991004293939702656</t>
        </is>
      </c>
      <c r="AX670" t="inlineStr">
        <is>
          <t>991004293939702656</t>
        </is>
      </c>
      <c r="AY670" t="inlineStr">
        <is>
          <t>2267702440002656</t>
        </is>
      </c>
      <c r="AZ670" t="inlineStr">
        <is>
          <t>BOOK</t>
        </is>
      </c>
      <c r="BB670" t="inlineStr">
        <is>
          <t>9780521591171</t>
        </is>
      </c>
      <c r="BC670" t="inlineStr">
        <is>
          <t>32285004908397</t>
        </is>
      </c>
      <c r="BD670" t="inlineStr">
        <is>
          <t>893869550</t>
        </is>
      </c>
    </row>
    <row r="671">
      <c r="A671" t="inlineStr">
        <is>
          <t>No</t>
        </is>
      </c>
      <c r="B671" t="inlineStr">
        <is>
          <t>DS154.52.N87 A3 2003</t>
        </is>
      </c>
      <c r="C671" t="inlineStr">
        <is>
          <t>0                      DS 0154520N  87                 A  3           2003</t>
        </is>
      </c>
      <c r="D671" t="inlineStr">
        <is>
          <t>Leap of faith : memoirs of an unexpected life / Queen Noor.</t>
        </is>
      </c>
      <c r="F671" t="inlineStr">
        <is>
          <t>No</t>
        </is>
      </c>
      <c r="G671" t="inlineStr">
        <is>
          <t>1</t>
        </is>
      </c>
      <c r="H671" t="inlineStr">
        <is>
          <t>No</t>
        </is>
      </c>
      <c r="I671" t="inlineStr">
        <is>
          <t>No</t>
        </is>
      </c>
      <c r="J671" t="inlineStr">
        <is>
          <t>0</t>
        </is>
      </c>
      <c r="K671" t="inlineStr">
        <is>
          <t>Noor, Queen, consort of Hussein, King of Jordan, 1951-</t>
        </is>
      </c>
      <c r="L671" t="inlineStr">
        <is>
          <t>New York : Miramax Books, c2003.</t>
        </is>
      </c>
      <c r="M671" t="inlineStr">
        <is>
          <t>2003</t>
        </is>
      </c>
      <c r="N671" t="inlineStr">
        <is>
          <t>1st ed.</t>
        </is>
      </c>
      <c r="O671" t="inlineStr">
        <is>
          <t>eng</t>
        </is>
      </c>
      <c r="P671" t="inlineStr">
        <is>
          <t>nyu</t>
        </is>
      </c>
      <c r="R671" t="inlineStr">
        <is>
          <t xml:space="preserve">DS </t>
        </is>
      </c>
      <c r="S671" t="n">
        <v>7</v>
      </c>
      <c r="T671" t="n">
        <v>7</v>
      </c>
      <c r="U671" t="inlineStr">
        <is>
          <t>2006-03-08</t>
        </is>
      </c>
      <c r="V671" t="inlineStr">
        <is>
          <t>2006-03-08</t>
        </is>
      </c>
      <c r="W671" t="inlineStr">
        <is>
          <t>2003-06-16</t>
        </is>
      </c>
      <c r="X671" t="inlineStr">
        <is>
          <t>2003-06-16</t>
        </is>
      </c>
      <c r="Y671" t="n">
        <v>2348</v>
      </c>
      <c r="Z671" t="n">
        <v>2254</v>
      </c>
      <c r="AA671" t="n">
        <v>2553</v>
      </c>
      <c r="AB671" t="n">
        <v>28</v>
      </c>
      <c r="AC671" t="n">
        <v>29</v>
      </c>
      <c r="AD671" t="n">
        <v>29</v>
      </c>
      <c r="AE671" t="n">
        <v>31</v>
      </c>
      <c r="AF671" t="n">
        <v>15</v>
      </c>
      <c r="AG671" t="n">
        <v>15</v>
      </c>
      <c r="AH671" t="n">
        <v>5</v>
      </c>
      <c r="AI671" t="n">
        <v>5</v>
      </c>
      <c r="AJ671" t="n">
        <v>12</v>
      </c>
      <c r="AK671" t="n">
        <v>13</v>
      </c>
      <c r="AL671" t="n">
        <v>3</v>
      </c>
      <c r="AM671" t="n">
        <v>4</v>
      </c>
      <c r="AN671" t="n">
        <v>1</v>
      </c>
      <c r="AO671" t="n">
        <v>1</v>
      </c>
      <c r="AP671" t="inlineStr">
        <is>
          <t>No</t>
        </is>
      </c>
      <c r="AQ671" t="inlineStr">
        <is>
          <t>Yes</t>
        </is>
      </c>
      <c r="AR671">
        <f>HYPERLINK("http://catalog.hathitrust.org/Record/004314460","HathiTrust Record")</f>
        <v/>
      </c>
      <c r="AS671">
        <f>HYPERLINK("https://creighton-primo.hosted.exlibrisgroup.com/primo-explore/search?tab=default_tab&amp;search_scope=EVERYTHING&amp;vid=01CRU&amp;lang=en_US&amp;offset=0&amp;query=any,contains,991004058699702656","Catalog Record")</f>
        <v/>
      </c>
      <c r="AT671">
        <f>HYPERLINK("http://www.worldcat.org/oclc/51830518","WorldCat Record")</f>
        <v/>
      </c>
      <c r="AU671" t="inlineStr">
        <is>
          <t>796384995:eng</t>
        </is>
      </c>
      <c r="AV671" t="inlineStr">
        <is>
          <t>51830518</t>
        </is>
      </c>
      <c r="AW671" t="inlineStr">
        <is>
          <t>991004058699702656</t>
        </is>
      </c>
      <c r="AX671" t="inlineStr">
        <is>
          <t>991004058699702656</t>
        </is>
      </c>
      <c r="AY671" t="inlineStr">
        <is>
          <t>2258600450002656</t>
        </is>
      </c>
      <c r="AZ671" t="inlineStr">
        <is>
          <t>BOOK</t>
        </is>
      </c>
      <c r="BB671" t="inlineStr">
        <is>
          <t>9780786867172</t>
        </is>
      </c>
      <c r="BC671" t="inlineStr">
        <is>
          <t>32285004752605</t>
        </is>
      </c>
      <c r="BD671" t="inlineStr">
        <is>
          <t>893900743</t>
        </is>
      </c>
    </row>
    <row r="672">
      <c r="A672" t="inlineStr">
        <is>
          <t>No</t>
        </is>
      </c>
      <c r="B672" t="inlineStr">
        <is>
          <t>DS154.55 .B55 2002</t>
        </is>
      </c>
      <c r="C672" t="inlineStr">
        <is>
          <t>0                      DS 0154550B  55          2002</t>
        </is>
      </c>
      <c r="D672" t="inlineStr">
        <is>
          <t>The political legacy of King Hussein / Alexander Bligh.</t>
        </is>
      </c>
      <c r="F672" t="inlineStr">
        <is>
          <t>No</t>
        </is>
      </c>
      <c r="G672" t="inlineStr">
        <is>
          <t>1</t>
        </is>
      </c>
      <c r="H672" t="inlineStr">
        <is>
          <t>No</t>
        </is>
      </c>
      <c r="I672" t="inlineStr">
        <is>
          <t>No</t>
        </is>
      </c>
      <c r="J672" t="inlineStr">
        <is>
          <t>0</t>
        </is>
      </c>
      <c r="K672" t="inlineStr">
        <is>
          <t>Bligh, Alexander, 1949-</t>
        </is>
      </c>
      <c r="L672" t="inlineStr">
        <is>
          <t>Brighton ; Portland, Or. : Sussex Academic Press, 2002.</t>
        </is>
      </c>
      <c r="M672" t="inlineStr">
        <is>
          <t>2002</t>
        </is>
      </c>
      <c r="O672" t="inlineStr">
        <is>
          <t>eng</t>
        </is>
      </c>
      <c r="P672" t="inlineStr">
        <is>
          <t>enk</t>
        </is>
      </c>
      <c r="R672" t="inlineStr">
        <is>
          <t xml:space="preserve">DS </t>
        </is>
      </c>
      <c r="S672" t="n">
        <v>1</v>
      </c>
      <c r="T672" t="n">
        <v>1</v>
      </c>
      <c r="U672" t="inlineStr">
        <is>
          <t>2004-10-07</t>
        </is>
      </c>
      <c r="V672" t="inlineStr">
        <is>
          <t>2004-10-07</t>
        </is>
      </c>
      <c r="W672" t="inlineStr">
        <is>
          <t>2004-10-07</t>
        </is>
      </c>
      <c r="X672" t="inlineStr">
        <is>
          <t>2004-10-07</t>
        </is>
      </c>
      <c r="Y672" t="n">
        <v>200</v>
      </c>
      <c r="Z672" t="n">
        <v>161</v>
      </c>
      <c r="AA672" t="n">
        <v>169</v>
      </c>
      <c r="AB672" t="n">
        <v>2</v>
      </c>
      <c r="AC672" t="n">
        <v>2</v>
      </c>
      <c r="AD672" t="n">
        <v>12</v>
      </c>
      <c r="AE672" t="n">
        <v>12</v>
      </c>
      <c r="AF672" t="n">
        <v>3</v>
      </c>
      <c r="AG672" t="n">
        <v>3</v>
      </c>
      <c r="AH672" t="n">
        <v>6</v>
      </c>
      <c r="AI672" t="n">
        <v>6</v>
      </c>
      <c r="AJ672" t="n">
        <v>6</v>
      </c>
      <c r="AK672" t="n">
        <v>6</v>
      </c>
      <c r="AL672" t="n">
        <v>1</v>
      </c>
      <c r="AM672" t="n">
        <v>1</v>
      </c>
      <c r="AN672" t="n">
        <v>1</v>
      </c>
      <c r="AO672" t="n">
        <v>1</v>
      </c>
      <c r="AP672" t="inlineStr">
        <is>
          <t>No</t>
        </is>
      </c>
      <c r="AQ672" t="inlineStr">
        <is>
          <t>Yes</t>
        </is>
      </c>
      <c r="AR672">
        <f>HYPERLINK("http://catalog.hathitrust.org/Record/004276822","HathiTrust Record")</f>
        <v/>
      </c>
      <c r="AS672">
        <f>HYPERLINK("https://creighton-primo.hosted.exlibrisgroup.com/primo-explore/search?tab=default_tab&amp;search_scope=EVERYTHING&amp;vid=01CRU&amp;lang=en_US&amp;offset=0&amp;query=any,contains,991004368879702656","Catalog Record")</f>
        <v/>
      </c>
      <c r="AT672">
        <f>HYPERLINK("http://www.worldcat.org/oclc/48871030","WorldCat Record")</f>
        <v/>
      </c>
      <c r="AU672" t="inlineStr">
        <is>
          <t>9578574:eng</t>
        </is>
      </c>
      <c r="AV672" t="inlineStr">
        <is>
          <t>48871030</t>
        </is>
      </c>
      <c r="AW672" t="inlineStr">
        <is>
          <t>991004368879702656</t>
        </is>
      </c>
      <c r="AX672" t="inlineStr">
        <is>
          <t>991004368879702656</t>
        </is>
      </c>
      <c r="AY672" t="inlineStr">
        <is>
          <t>2255850270002656</t>
        </is>
      </c>
      <c r="AZ672" t="inlineStr">
        <is>
          <t>BOOK</t>
        </is>
      </c>
      <c r="BB672" t="inlineStr">
        <is>
          <t>9781902210728</t>
        </is>
      </c>
      <c r="BC672" t="inlineStr">
        <is>
          <t>32285005001861</t>
        </is>
      </c>
      <c r="BD672" t="inlineStr">
        <is>
          <t>893693865</t>
        </is>
      </c>
    </row>
    <row r="673">
      <c r="A673" t="inlineStr">
        <is>
          <t>No</t>
        </is>
      </c>
      <c r="B673" t="inlineStr">
        <is>
          <t>DS154.55 .D32 1999</t>
        </is>
      </c>
      <c r="C673" t="inlineStr">
        <is>
          <t>0                      DS 0154550D  32          1999</t>
        </is>
      </c>
      <c r="D673" t="inlineStr">
        <is>
          <t>King Hussein : a life on the edge / Roland Dallas.</t>
        </is>
      </c>
      <c r="F673" t="inlineStr">
        <is>
          <t>No</t>
        </is>
      </c>
      <c r="G673" t="inlineStr">
        <is>
          <t>1</t>
        </is>
      </c>
      <c r="H673" t="inlineStr">
        <is>
          <t>No</t>
        </is>
      </c>
      <c r="I673" t="inlineStr">
        <is>
          <t>No</t>
        </is>
      </c>
      <c r="J673" t="inlineStr">
        <is>
          <t>0</t>
        </is>
      </c>
      <c r="K673" t="inlineStr">
        <is>
          <t>Dallas, Roland.</t>
        </is>
      </c>
      <c r="L673" t="inlineStr">
        <is>
          <t>New York : Fromm International, 1999.</t>
        </is>
      </c>
      <c r="M673" t="inlineStr">
        <is>
          <t>1999</t>
        </is>
      </c>
      <c r="N673" t="inlineStr">
        <is>
          <t>1st Fromm International ed.</t>
        </is>
      </c>
      <c r="O673" t="inlineStr">
        <is>
          <t>eng</t>
        </is>
      </c>
      <c r="P673" t="inlineStr">
        <is>
          <t>nyu</t>
        </is>
      </c>
      <c r="R673" t="inlineStr">
        <is>
          <t xml:space="preserve">DS </t>
        </is>
      </c>
      <c r="S673" t="n">
        <v>2</v>
      </c>
      <c r="T673" t="n">
        <v>2</v>
      </c>
      <c r="U673" t="inlineStr">
        <is>
          <t>2002-10-09</t>
        </is>
      </c>
      <c r="V673" t="inlineStr">
        <is>
          <t>2002-10-09</t>
        </is>
      </c>
      <c r="W673" t="inlineStr">
        <is>
          <t>2002-10-09</t>
        </is>
      </c>
      <c r="X673" t="inlineStr">
        <is>
          <t>2002-10-09</t>
        </is>
      </c>
      <c r="Y673" t="n">
        <v>793</v>
      </c>
      <c r="Z673" t="n">
        <v>753</v>
      </c>
      <c r="AA673" t="n">
        <v>777</v>
      </c>
      <c r="AB673" t="n">
        <v>7</v>
      </c>
      <c r="AC673" t="n">
        <v>7</v>
      </c>
      <c r="AD673" t="n">
        <v>24</v>
      </c>
      <c r="AE673" t="n">
        <v>25</v>
      </c>
      <c r="AF673" t="n">
        <v>9</v>
      </c>
      <c r="AG673" t="n">
        <v>9</v>
      </c>
      <c r="AH673" t="n">
        <v>6</v>
      </c>
      <c r="AI673" t="n">
        <v>6</v>
      </c>
      <c r="AJ673" t="n">
        <v>12</v>
      </c>
      <c r="AK673" t="n">
        <v>13</v>
      </c>
      <c r="AL673" t="n">
        <v>4</v>
      </c>
      <c r="AM673" t="n">
        <v>4</v>
      </c>
      <c r="AN673" t="n">
        <v>0</v>
      </c>
      <c r="AO673" t="n">
        <v>0</v>
      </c>
      <c r="AP673" t="inlineStr">
        <is>
          <t>No</t>
        </is>
      </c>
      <c r="AQ673" t="inlineStr">
        <is>
          <t>Yes</t>
        </is>
      </c>
      <c r="AR673">
        <f>HYPERLINK("http://catalog.hathitrust.org/Record/004052523","HathiTrust Record")</f>
        <v/>
      </c>
      <c r="AS673">
        <f>HYPERLINK("https://creighton-primo.hosted.exlibrisgroup.com/primo-explore/search?tab=default_tab&amp;search_scope=EVERYTHING&amp;vid=01CRU&amp;lang=en_US&amp;offset=0&amp;query=any,contains,991003884829702656","Catalog Record")</f>
        <v/>
      </c>
      <c r="AT673">
        <f>HYPERLINK("http://www.worldcat.org/oclc/41712141","WorldCat Record")</f>
        <v/>
      </c>
      <c r="AU673" t="inlineStr">
        <is>
          <t>793119656:eng</t>
        </is>
      </c>
      <c r="AV673" t="inlineStr">
        <is>
          <t>41712141</t>
        </is>
      </c>
      <c r="AW673" t="inlineStr">
        <is>
          <t>991003884829702656</t>
        </is>
      </c>
      <c r="AX673" t="inlineStr">
        <is>
          <t>991003884829702656</t>
        </is>
      </c>
      <c r="AY673" t="inlineStr">
        <is>
          <t>2263023780002656</t>
        </is>
      </c>
      <c r="AZ673" t="inlineStr">
        <is>
          <t>BOOK</t>
        </is>
      </c>
      <c r="BB673" t="inlineStr">
        <is>
          <t>9780880642422</t>
        </is>
      </c>
      <c r="BC673" t="inlineStr">
        <is>
          <t>32285004653753</t>
        </is>
      </c>
      <c r="BD673" t="inlineStr">
        <is>
          <t>893262997</t>
        </is>
      </c>
    </row>
    <row r="674">
      <c r="A674" t="inlineStr">
        <is>
          <t>No</t>
        </is>
      </c>
      <c r="B674" t="inlineStr">
        <is>
          <t>DS154.55 .D39 1986</t>
        </is>
      </c>
      <c r="C674" t="inlineStr">
        <is>
          <t>0                      DS 0154550D  39          1986</t>
        </is>
      </c>
      <c r="D674" t="inlineStr">
        <is>
          <t>East Bank/West Bank : Jordan and the prospects for peace / Arthur R. Day.</t>
        </is>
      </c>
      <c r="F674" t="inlineStr">
        <is>
          <t>No</t>
        </is>
      </c>
      <c r="G674" t="inlineStr">
        <is>
          <t>1</t>
        </is>
      </c>
      <c r="H674" t="inlineStr">
        <is>
          <t>No</t>
        </is>
      </c>
      <c r="I674" t="inlineStr">
        <is>
          <t>No</t>
        </is>
      </c>
      <c r="J674" t="inlineStr">
        <is>
          <t>0</t>
        </is>
      </c>
      <c r="K674" t="inlineStr">
        <is>
          <t>Day, Arthur R.</t>
        </is>
      </c>
      <c r="L674" t="inlineStr">
        <is>
          <t>New York, N.Y. : Council on Foreign Relations, c1986.</t>
        </is>
      </c>
      <c r="M674" t="inlineStr">
        <is>
          <t>1986</t>
        </is>
      </c>
      <c r="O674" t="inlineStr">
        <is>
          <t>eng</t>
        </is>
      </c>
      <c r="P674" t="inlineStr">
        <is>
          <t>nyu</t>
        </is>
      </c>
      <c r="R674" t="inlineStr">
        <is>
          <t xml:space="preserve">DS </t>
        </is>
      </c>
      <c r="S674" t="n">
        <v>3</v>
      </c>
      <c r="T674" t="n">
        <v>3</v>
      </c>
      <c r="U674" t="inlineStr">
        <is>
          <t>1998-04-20</t>
        </is>
      </c>
      <c r="V674" t="inlineStr">
        <is>
          <t>1998-04-20</t>
        </is>
      </c>
      <c r="W674" t="inlineStr">
        <is>
          <t>1990-04-30</t>
        </is>
      </c>
      <c r="X674" t="inlineStr">
        <is>
          <t>1990-04-30</t>
        </is>
      </c>
      <c r="Y674" t="n">
        <v>632</v>
      </c>
      <c r="Z674" t="n">
        <v>560</v>
      </c>
      <c r="AA674" t="n">
        <v>574</v>
      </c>
      <c r="AB674" t="n">
        <v>5</v>
      </c>
      <c r="AC674" t="n">
        <v>5</v>
      </c>
      <c r="AD674" t="n">
        <v>23</v>
      </c>
      <c r="AE674" t="n">
        <v>25</v>
      </c>
      <c r="AF674" t="n">
        <v>8</v>
      </c>
      <c r="AG674" t="n">
        <v>8</v>
      </c>
      <c r="AH674" t="n">
        <v>5</v>
      </c>
      <c r="AI674" t="n">
        <v>5</v>
      </c>
      <c r="AJ674" t="n">
        <v>10</v>
      </c>
      <c r="AK674" t="n">
        <v>10</v>
      </c>
      <c r="AL674" t="n">
        <v>4</v>
      </c>
      <c r="AM674" t="n">
        <v>4</v>
      </c>
      <c r="AN674" t="n">
        <v>0</v>
      </c>
      <c r="AO674" t="n">
        <v>2</v>
      </c>
      <c r="AP674" t="inlineStr">
        <is>
          <t>No</t>
        </is>
      </c>
      <c r="AQ674" t="inlineStr">
        <is>
          <t>Yes</t>
        </is>
      </c>
      <c r="AR674">
        <f>HYPERLINK("http://catalog.hathitrust.org/Record/000391263","HathiTrust Record")</f>
        <v/>
      </c>
      <c r="AS674">
        <f>HYPERLINK("https://creighton-primo.hosted.exlibrisgroup.com/primo-explore/search?tab=default_tab&amp;search_scope=EVERYTHING&amp;vid=01CRU&amp;lang=en_US&amp;offset=0&amp;query=any,contains,991000828749702656","Catalog Record")</f>
        <v/>
      </c>
      <c r="AT674">
        <f>HYPERLINK("http://www.worldcat.org/oclc/13426324","WorldCat Record")</f>
        <v/>
      </c>
      <c r="AU674" t="inlineStr">
        <is>
          <t>7328334:eng</t>
        </is>
      </c>
      <c r="AV674" t="inlineStr">
        <is>
          <t>13426324</t>
        </is>
      </c>
      <c r="AW674" t="inlineStr">
        <is>
          <t>991000828749702656</t>
        </is>
      </c>
      <c r="AX674" t="inlineStr">
        <is>
          <t>991000828749702656</t>
        </is>
      </c>
      <c r="AY674" t="inlineStr">
        <is>
          <t>2264603470002656</t>
        </is>
      </c>
      <c r="AZ674" t="inlineStr">
        <is>
          <t>BOOK</t>
        </is>
      </c>
      <c r="BB674" t="inlineStr">
        <is>
          <t>9780876090176</t>
        </is>
      </c>
      <c r="BC674" t="inlineStr">
        <is>
          <t>32285000128800</t>
        </is>
      </c>
      <c r="BD674" t="inlineStr">
        <is>
          <t>893327630</t>
        </is>
      </c>
    </row>
    <row r="675">
      <c r="A675" t="inlineStr">
        <is>
          <t>No</t>
        </is>
      </c>
      <c r="B675" t="inlineStr">
        <is>
          <t>DS154.55.H8 L86 1989</t>
        </is>
      </c>
      <c r="C675" t="inlineStr">
        <is>
          <t>0                      DS 0154550H  8                  L  86          1989</t>
        </is>
      </c>
      <c r="D675" t="inlineStr">
        <is>
          <t>Hussein of Jordan : searching for a just and lasting peace / James Lunt.</t>
        </is>
      </c>
      <c r="F675" t="inlineStr">
        <is>
          <t>No</t>
        </is>
      </c>
      <c r="G675" t="inlineStr">
        <is>
          <t>1</t>
        </is>
      </c>
      <c r="H675" t="inlineStr">
        <is>
          <t>No</t>
        </is>
      </c>
      <c r="I675" t="inlineStr">
        <is>
          <t>No</t>
        </is>
      </c>
      <c r="J675" t="inlineStr">
        <is>
          <t>0</t>
        </is>
      </c>
      <c r="K675" t="inlineStr">
        <is>
          <t>Lunt, James, 1917-2001.</t>
        </is>
      </c>
      <c r="L675" t="inlineStr">
        <is>
          <t>New York : W. Morrow, c1989.</t>
        </is>
      </c>
      <c r="M675" t="inlineStr">
        <is>
          <t>1989</t>
        </is>
      </c>
      <c r="N675" t="inlineStr">
        <is>
          <t>1st U.S. ed.</t>
        </is>
      </c>
      <c r="O675" t="inlineStr">
        <is>
          <t>eng</t>
        </is>
      </c>
      <c r="P675" t="inlineStr">
        <is>
          <t>nyu</t>
        </is>
      </c>
      <c r="R675" t="inlineStr">
        <is>
          <t xml:space="preserve">DS </t>
        </is>
      </c>
      <c r="S675" t="n">
        <v>2</v>
      </c>
      <c r="T675" t="n">
        <v>2</v>
      </c>
      <c r="U675" t="inlineStr">
        <is>
          <t>1999-02-15</t>
        </is>
      </c>
      <c r="V675" t="inlineStr">
        <is>
          <t>1999-02-15</t>
        </is>
      </c>
      <c r="W675" t="inlineStr">
        <is>
          <t>1990-08-15</t>
        </is>
      </c>
      <c r="X675" t="inlineStr">
        <is>
          <t>1990-08-15</t>
        </is>
      </c>
      <c r="Y675" t="n">
        <v>447</v>
      </c>
      <c r="Z675" t="n">
        <v>403</v>
      </c>
      <c r="AA675" t="n">
        <v>403</v>
      </c>
      <c r="AB675" t="n">
        <v>2</v>
      </c>
      <c r="AC675" t="n">
        <v>2</v>
      </c>
      <c r="AD675" t="n">
        <v>9</v>
      </c>
      <c r="AE675" t="n">
        <v>9</v>
      </c>
      <c r="AF675" t="n">
        <v>2</v>
      </c>
      <c r="AG675" t="n">
        <v>2</v>
      </c>
      <c r="AH675" t="n">
        <v>3</v>
      </c>
      <c r="AI675" t="n">
        <v>3</v>
      </c>
      <c r="AJ675" t="n">
        <v>4</v>
      </c>
      <c r="AK675" t="n">
        <v>4</v>
      </c>
      <c r="AL675" t="n">
        <v>1</v>
      </c>
      <c r="AM675" t="n">
        <v>1</v>
      </c>
      <c r="AN675" t="n">
        <v>0</v>
      </c>
      <c r="AO675" t="n">
        <v>0</v>
      </c>
      <c r="AP675" t="inlineStr">
        <is>
          <t>No</t>
        </is>
      </c>
      <c r="AQ675" t="inlineStr">
        <is>
          <t>No</t>
        </is>
      </c>
      <c r="AS675">
        <f>HYPERLINK("https://creighton-primo.hosted.exlibrisgroup.com/primo-explore/search?tab=default_tab&amp;search_scope=EVERYTHING&amp;vid=01CRU&amp;lang=en_US&amp;offset=0&amp;query=any,contains,991001535809702656","Catalog Record")</f>
        <v/>
      </c>
      <c r="AT675">
        <f>HYPERLINK("http://www.worldcat.org/oclc/20072505","WorldCat Record")</f>
        <v/>
      </c>
      <c r="AU675" t="inlineStr">
        <is>
          <t>3943491118:eng</t>
        </is>
      </c>
      <c r="AV675" t="inlineStr">
        <is>
          <t>20072505</t>
        </is>
      </c>
      <c r="AW675" t="inlineStr">
        <is>
          <t>991001535809702656</t>
        </is>
      </c>
      <c r="AX675" t="inlineStr">
        <is>
          <t>991001535809702656</t>
        </is>
      </c>
      <c r="AY675" t="inlineStr">
        <is>
          <t>2272336930002656</t>
        </is>
      </c>
      <c r="AZ675" t="inlineStr">
        <is>
          <t>BOOK</t>
        </is>
      </c>
      <c r="BB675" t="inlineStr">
        <is>
          <t>9780688064983</t>
        </is>
      </c>
      <c r="BC675" t="inlineStr">
        <is>
          <t>32285000243633</t>
        </is>
      </c>
      <c r="BD675" t="inlineStr">
        <is>
          <t>893709338</t>
        </is>
      </c>
    </row>
    <row r="676">
      <c r="A676" t="inlineStr">
        <is>
          <t>No</t>
        </is>
      </c>
      <c r="B676" t="inlineStr">
        <is>
          <t>DS154.9.A24 W56 2001</t>
        </is>
      </c>
      <c r="C676" t="inlineStr">
        <is>
          <t>0                      DS 0154900A  24                 W  56          2001</t>
        </is>
      </c>
      <c r="D676" t="inlineStr">
        <is>
          <t>Ancient Abila : an archeological history / John D. Wineland.</t>
        </is>
      </c>
      <c r="F676" t="inlineStr">
        <is>
          <t>No</t>
        </is>
      </c>
      <c r="G676" t="inlineStr">
        <is>
          <t>1</t>
        </is>
      </c>
      <c r="H676" t="inlineStr">
        <is>
          <t>No</t>
        </is>
      </c>
      <c r="I676" t="inlineStr">
        <is>
          <t>No</t>
        </is>
      </c>
      <c r="J676" t="inlineStr">
        <is>
          <t>0</t>
        </is>
      </c>
      <c r="K676" t="inlineStr">
        <is>
          <t>Wineland, John Dennis.</t>
        </is>
      </c>
      <c r="L676" t="inlineStr">
        <is>
          <t>Oxford, England : Archeopress : Available from Hadrian Books, 2001.</t>
        </is>
      </c>
      <c r="M676" t="inlineStr">
        <is>
          <t>2001</t>
        </is>
      </c>
      <c r="O676" t="inlineStr">
        <is>
          <t>eng</t>
        </is>
      </c>
      <c r="P676" t="inlineStr">
        <is>
          <t>enk</t>
        </is>
      </c>
      <c r="Q676" t="inlineStr">
        <is>
          <t>BAR international series ; 989</t>
        </is>
      </c>
      <c r="R676" t="inlineStr">
        <is>
          <t xml:space="preserve">DS </t>
        </is>
      </c>
      <c r="S676" t="n">
        <v>1</v>
      </c>
      <c r="T676" t="n">
        <v>1</v>
      </c>
      <c r="U676" t="inlineStr">
        <is>
          <t>2004-02-11</t>
        </is>
      </c>
      <c r="V676" t="inlineStr">
        <is>
          <t>2004-02-11</t>
        </is>
      </c>
      <c r="W676" t="inlineStr">
        <is>
          <t>2004-02-11</t>
        </is>
      </c>
      <c r="X676" t="inlineStr">
        <is>
          <t>2004-02-11</t>
        </is>
      </c>
      <c r="Y676" t="n">
        <v>90</v>
      </c>
      <c r="Z676" t="n">
        <v>60</v>
      </c>
      <c r="AA676" t="n">
        <v>63</v>
      </c>
      <c r="AB676" t="n">
        <v>1</v>
      </c>
      <c r="AC676" t="n">
        <v>1</v>
      </c>
      <c r="AD676" t="n">
        <v>1</v>
      </c>
      <c r="AE676" t="n">
        <v>1</v>
      </c>
      <c r="AF676" t="n">
        <v>0</v>
      </c>
      <c r="AG676" t="n">
        <v>0</v>
      </c>
      <c r="AH676" t="n">
        <v>0</v>
      </c>
      <c r="AI676" t="n">
        <v>0</v>
      </c>
      <c r="AJ676" t="n">
        <v>1</v>
      </c>
      <c r="AK676" t="n">
        <v>1</v>
      </c>
      <c r="AL676" t="n">
        <v>0</v>
      </c>
      <c r="AM676" t="n">
        <v>0</v>
      </c>
      <c r="AN676" t="n">
        <v>0</v>
      </c>
      <c r="AO676" t="n">
        <v>0</v>
      </c>
      <c r="AP676" t="inlineStr">
        <is>
          <t>No</t>
        </is>
      </c>
      <c r="AQ676" t="inlineStr">
        <is>
          <t>Yes</t>
        </is>
      </c>
      <c r="AR676">
        <f>HYPERLINK("http://catalog.hathitrust.org/Record/003589441","HathiTrust Record")</f>
        <v/>
      </c>
      <c r="AS676">
        <f>HYPERLINK("https://creighton-primo.hosted.exlibrisgroup.com/primo-explore/search?tab=default_tab&amp;search_scope=EVERYTHING&amp;vid=01CRU&amp;lang=en_US&amp;offset=0&amp;query=any,contains,991004219459702656","Catalog Record")</f>
        <v/>
      </c>
      <c r="AT676">
        <f>HYPERLINK("http://www.worldcat.org/oclc/49727128","WorldCat Record")</f>
        <v/>
      </c>
      <c r="AU676" t="inlineStr">
        <is>
          <t>144855701:eng</t>
        </is>
      </c>
      <c r="AV676" t="inlineStr">
        <is>
          <t>49727128</t>
        </is>
      </c>
      <c r="AW676" t="inlineStr">
        <is>
          <t>991004219459702656</t>
        </is>
      </c>
      <c r="AX676" t="inlineStr">
        <is>
          <t>991004219459702656</t>
        </is>
      </c>
      <c r="AY676" t="inlineStr">
        <is>
          <t>2264738510002656</t>
        </is>
      </c>
      <c r="AZ676" t="inlineStr">
        <is>
          <t>BOOK</t>
        </is>
      </c>
      <c r="BB676" t="inlineStr">
        <is>
          <t>9781841712741</t>
        </is>
      </c>
      <c r="BC676" t="inlineStr">
        <is>
          <t>32285004637756</t>
        </is>
      </c>
      <c r="BD676" t="inlineStr">
        <is>
          <t>893706117</t>
        </is>
      </c>
    </row>
    <row r="677">
      <c r="A677" t="inlineStr">
        <is>
          <t>No</t>
        </is>
      </c>
      <c r="B677" t="inlineStr">
        <is>
          <t>DS154.9.B37 M34 1986</t>
        </is>
      </c>
      <c r="C677" t="inlineStr">
        <is>
          <t>0                      DS 0154900B  37                 M  34          1986</t>
        </is>
      </c>
      <c r="D677" t="inlineStr">
        <is>
          <t>The late bronze and early iron ages of central Transjordan, the Baqʻah Valley project, 1977-1981 / Patrick E. McGovern ; with contributions by Robin M. Brown ... [et al.].</t>
        </is>
      </c>
      <c r="F677" t="inlineStr">
        <is>
          <t>No</t>
        </is>
      </c>
      <c r="G677" t="inlineStr">
        <is>
          <t>1</t>
        </is>
      </c>
      <c r="H677" t="inlineStr">
        <is>
          <t>No</t>
        </is>
      </c>
      <c r="I677" t="inlineStr">
        <is>
          <t>No</t>
        </is>
      </c>
      <c r="J677" t="inlineStr">
        <is>
          <t>0</t>
        </is>
      </c>
      <c r="K677" t="inlineStr">
        <is>
          <t>McGovern, Patrick E.</t>
        </is>
      </c>
      <c r="L677" t="inlineStr">
        <is>
          <t>Philadelphia : University Museum, University of Pennsylvania, 1986.</t>
        </is>
      </c>
      <c r="M677" t="inlineStr">
        <is>
          <t>1986</t>
        </is>
      </c>
      <c r="O677" t="inlineStr">
        <is>
          <t>eng</t>
        </is>
      </c>
      <c r="P677" t="inlineStr">
        <is>
          <t>pau</t>
        </is>
      </c>
      <c r="Q677" t="inlineStr">
        <is>
          <t>University Museum monograph ; 65</t>
        </is>
      </c>
      <c r="R677" t="inlineStr">
        <is>
          <t xml:space="preserve">DS </t>
        </is>
      </c>
      <c r="S677" t="n">
        <v>6</v>
      </c>
      <c r="T677" t="n">
        <v>6</v>
      </c>
      <c r="U677" t="inlineStr">
        <is>
          <t>2009-11-23</t>
        </is>
      </c>
      <c r="V677" t="inlineStr">
        <is>
          <t>2009-11-23</t>
        </is>
      </c>
      <c r="W677" t="inlineStr">
        <is>
          <t>1998-09-03</t>
        </is>
      </c>
      <c r="X677" t="inlineStr">
        <is>
          <t>1998-09-03</t>
        </is>
      </c>
      <c r="Y677" t="n">
        <v>149</v>
      </c>
      <c r="Z677" t="n">
        <v>111</v>
      </c>
      <c r="AA677" t="n">
        <v>111</v>
      </c>
      <c r="AB677" t="n">
        <v>2</v>
      </c>
      <c r="AC677" t="n">
        <v>2</v>
      </c>
      <c r="AD677" t="n">
        <v>6</v>
      </c>
      <c r="AE677" t="n">
        <v>6</v>
      </c>
      <c r="AF677" t="n">
        <v>1</v>
      </c>
      <c r="AG677" t="n">
        <v>1</v>
      </c>
      <c r="AH677" t="n">
        <v>1</v>
      </c>
      <c r="AI677" t="n">
        <v>1</v>
      </c>
      <c r="AJ677" t="n">
        <v>3</v>
      </c>
      <c r="AK677" t="n">
        <v>3</v>
      </c>
      <c r="AL677" t="n">
        <v>1</v>
      </c>
      <c r="AM677" t="n">
        <v>1</v>
      </c>
      <c r="AN677" t="n">
        <v>0</v>
      </c>
      <c r="AO677" t="n">
        <v>0</v>
      </c>
      <c r="AP677" t="inlineStr">
        <is>
          <t>No</t>
        </is>
      </c>
      <c r="AQ677" t="inlineStr">
        <is>
          <t>No</t>
        </is>
      </c>
      <c r="AS677">
        <f>HYPERLINK("https://creighton-primo.hosted.exlibrisgroup.com/primo-explore/search?tab=default_tab&amp;search_scope=EVERYTHING&amp;vid=01CRU&amp;lang=en_US&amp;offset=0&amp;query=any,contains,991001052129702656","Catalog Record")</f>
        <v/>
      </c>
      <c r="AT677">
        <f>HYPERLINK("http://www.worldcat.org/oclc/15657067","WorldCat Record")</f>
        <v/>
      </c>
      <c r="AU677" t="inlineStr">
        <is>
          <t>9917808:eng</t>
        </is>
      </c>
      <c r="AV677" t="inlineStr">
        <is>
          <t>15657067</t>
        </is>
      </c>
      <c r="AW677" t="inlineStr">
        <is>
          <t>991001052129702656</t>
        </is>
      </c>
      <c r="AX677" t="inlineStr">
        <is>
          <t>991001052129702656</t>
        </is>
      </c>
      <c r="AY677" t="inlineStr">
        <is>
          <t>2264313710002656</t>
        </is>
      </c>
      <c r="AZ677" t="inlineStr">
        <is>
          <t>BOOK</t>
        </is>
      </c>
      <c r="BB677" t="inlineStr">
        <is>
          <t>9780934718752</t>
        </is>
      </c>
      <c r="BC677" t="inlineStr">
        <is>
          <t>32285003465563</t>
        </is>
      </c>
      <c r="BD677" t="inlineStr">
        <is>
          <t>893407787</t>
        </is>
      </c>
    </row>
    <row r="678">
      <c r="A678" t="inlineStr">
        <is>
          <t>No</t>
        </is>
      </c>
      <c r="B678" t="inlineStr">
        <is>
          <t>DS154.9.E83 P73 1993</t>
        </is>
      </c>
      <c r="C678" t="inlineStr">
        <is>
          <t>0                      DS 0154900E  83                 P  73          1993</t>
        </is>
      </c>
      <c r="D678" t="inlineStr">
        <is>
          <t>Nelson Glueck's 1938-1940 excavations at Tell el-Kheleifeh : a reappraisal / Gary D. Pratico ; with contributions by Robert A. DiVito ... [et al.].</t>
        </is>
      </c>
      <c r="F678" t="inlineStr">
        <is>
          <t>No</t>
        </is>
      </c>
      <c r="G678" t="inlineStr">
        <is>
          <t>1</t>
        </is>
      </c>
      <c r="H678" t="inlineStr">
        <is>
          <t>No</t>
        </is>
      </c>
      <c r="I678" t="inlineStr">
        <is>
          <t>No</t>
        </is>
      </c>
      <c r="J678" t="inlineStr">
        <is>
          <t>0</t>
        </is>
      </c>
      <c r="K678" t="inlineStr">
        <is>
          <t>Pratico, Gary Davis.</t>
        </is>
      </c>
      <c r="L678" t="inlineStr">
        <is>
          <t>Atlanta, Ga. : Scholars Press, c1993.</t>
        </is>
      </c>
      <c r="M678" t="inlineStr">
        <is>
          <t>1993</t>
        </is>
      </c>
      <c r="O678" t="inlineStr">
        <is>
          <t>eng</t>
        </is>
      </c>
      <c r="P678" t="inlineStr">
        <is>
          <t>gau</t>
        </is>
      </c>
      <c r="Q678" t="inlineStr">
        <is>
          <t>American Schools of Oriental Research archaeological reports ; no. 03</t>
        </is>
      </c>
      <c r="R678" t="inlineStr">
        <is>
          <t xml:space="preserve">DS </t>
        </is>
      </c>
      <c r="S678" t="n">
        <v>3</v>
      </c>
      <c r="T678" t="n">
        <v>3</v>
      </c>
      <c r="U678" t="inlineStr">
        <is>
          <t>1999-11-23</t>
        </is>
      </c>
      <c r="V678" t="inlineStr">
        <is>
          <t>1999-11-23</t>
        </is>
      </c>
      <c r="W678" t="inlineStr">
        <is>
          <t>1998-03-31</t>
        </is>
      </c>
      <c r="X678" t="inlineStr">
        <is>
          <t>1998-03-31</t>
        </is>
      </c>
      <c r="Y678" t="n">
        <v>158</v>
      </c>
      <c r="Z678" t="n">
        <v>119</v>
      </c>
      <c r="AA678" t="n">
        <v>163</v>
      </c>
      <c r="AB678" t="n">
        <v>2</v>
      </c>
      <c r="AC678" t="n">
        <v>2</v>
      </c>
      <c r="AD678" t="n">
        <v>4</v>
      </c>
      <c r="AE678" t="n">
        <v>9</v>
      </c>
      <c r="AF678" t="n">
        <v>2</v>
      </c>
      <c r="AG678" t="n">
        <v>6</v>
      </c>
      <c r="AH678" t="n">
        <v>0</v>
      </c>
      <c r="AI678" t="n">
        <v>1</v>
      </c>
      <c r="AJ678" t="n">
        <v>2</v>
      </c>
      <c r="AK678" t="n">
        <v>3</v>
      </c>
      <c r="AL678" t="n">
        <v>1</v>
      </c>
      <c r="AM678" t="n">
        <v>1</v>
      </c>
      <c r="AN678" t="n">
        <v>0</v>
      </c>
      <c r="AO678" t="n">
        <v>0</v>
      </c>
      <c r="AP678" t="inlineStr">
        <is>
          <t>No</t>
        </is>
      </c>
      <c r="AQ678" t="inlineStr">
        <is>
          <t>Yes</t>
        </is>
      </c>
      <c r="AR678">
        <f>HYPERLINK("http://catalog.hathitrust.org/Record/003835035","HathiTrust Record")</f>
        <v/>
      </c>
      <c r="AS678">
        <f>HYPERLINK("https://creighton-primo.hosted.exlibrisgroup.com/primo-explore/search?tab=default_tab&amp;search_scope=EVERYTHING&amp;vid=01CRU&amp;lang=en_US&amp;offset=0&amp;query=any,contains,991002195849702656","Catalog Record")</f>
        <v/>
      </c>
      <c r="AT678">
        <f>HYPERLINK("http://www.worldcat.org/oclc/28222294","WorldCat Record")</f>
        <v/>
      </c>
      <c r="AU678" t="inlineStr">
        <is>
          <t>368697670:eng</t>
        </is>
      </c>
      <c r="AV678" t="inlineStr">
        <is>
          <t>28222294</t>
        </is>
      </c>
      <c r="AW678" t="inlineStr">
        <is>
          <t>991002195849702656</t>
        </is>
      </c>
      <c r="AX678" t="inlineStr">
        <is>
          <t>991002195849702656</t>
        </is>
      </c>
      <c r="AY678" t="inlineStr">
        <is>
          <t>2264029620002656</t>
        </is>
      </c>
      <c r="AZ678" t="inlineStr">
        <is>
          <t>BOOK</t>
        </is>
      </c>
      <c r="BC678" t="inlineStr">
        <is>
          <t>32285003381844</t>
        </is>
      </c>
      <c r="BD678" t="inlineStr">
        <is>
          <t>893433592</t>
        </is>
      </c>
    </row>
    <row r="679">
      <c r="A679" t="inlineStr">
        <is>
          <t>No</t>
        </is>
      </c>
      <c r="B679" t="inlineStr">
        <is>
          <t>DS154.9.S22 P75 1985</t>
        </is>
      </c>
      <c r="C679" t="inlineStr">
        <is>
          <t>0                      DS 0154900S  22                 P  75          1985</t>
        </is>
      </c>
      <c r="D679" t="inlineStr">
        <is>
          <t>Tell es-Saʻidiyeh : excavations on the Tell, 1964-1966 / James B. Pritchard.</t>
        </is>
      </c>
      <c r="F679" t="inlineStr">
        <is>
          <t>No</t>
        </is>
      </c>
      <c r="G679" t="inlineStr">
        <is>
          <t>1</t>
        </is>
      </c>
      <c r="H679" t="inlineStr">
        <is>
          <t>No</t>
        </is>
      </c>
      <c r="I679" t="inlineStr">
        <is>
          <t>No</t>
        </is>
      </c>
      <c r="J679" t="inlineStr">
        <is>
          <t>0</t>
        </is>
      </c>
      <c r="K679" t="inlineStr">
        <is>
          <t>Pritchard, James B. (James Bennett), 1909-1997.</t>
        </is>
      </c>
      <c r="L679" t="inlineStr">
        <is>
          <t>Philadelphia : University Museum, University of Pennsylvania, 1985.</t>
        </is>
      </c>
      <c r="M679" t="inlineStr">
        <is>
          <t>1985</t>
        </is>
      </c>
      <c r="O679" t="inlineStr">
        <is>
          <t>eng</t>
        </is>
      </c>
      <c r="P679" t="inlineStr">
        <is>
          <t>pau</t>
        </is>
      </c>
      <c r="Q679" t="inlineStr">
        <is>
          <t>University Museum monograph ; 60</t>
        </is>
      </c>
      <c r="R679" t="inlineStr">
        <is>
          <t xml:space="preserve">DS </t>
        </is>
      </c>
      <c r="S679" t="n">
        <v>0</v>
      </c>
      <c r="T679" t="n">
        <v>0</v>
      </c>
      <c r="U679" t="inlineStr">
        <is>
          <t>2006-07-19</t>
        </is>
      </c>
      <c r="V679" t="inlineStr">
        <is>
          <t>2006-07-19</t>
        </is>
      </c>
      <c r="W679" t="inlineStr">
        <is>
          <t>1998-09-03</t>
        </is>
      </c>
      <c r="X679" t="inlineStr">
        <is>
          <t>1998-09-03</t>
        </is>
      </c>
      <c r="Y679" t="n">
        <v>143</v>
      </c>
      <c r="Z679" t="n">
        <v>98</v>
      </c>
      <c r="AA679" t="n">
        <v>98</v>
      </c>
      <c r="AB679" t="n">
        <v>2</v>
      </c>
      <c r="AC679" t="n">
        <v>2</v>
      </c>
      <c r="AD679" t="n">
        <v>3</v>
      </c>
      <c r="AE679" t="n">
        <v>3</v>
      </c>
      <c r="AF679" t="n">
        <v>1</v>
      </c>
      <c r="AG679" t="n">
        <v>1</v>
      </c>
      <c r="AH679" t="n">
        <v>1</v>
      </c>
      <c r="AI679" t="n">
        <v>1</v>
      </c>
      <c r="AJ679" t="n">
        <v>0</v>
      </c>
      <c r="AK679" t="n">
        <v>0</v>
      </c>
      <c r="AL679" t="n">
        <v>1</v>
      </c>
      <c r="AM679" t="n">
        <v>1</v>
      </c>
      <c r="AN679" t="n">
        <v>0</v>
      </c>
      <c r="AO679" t="n">
        <v>0</v>
      </c>
      <c r="AP679" t="inlineStr">
        <is>
          <t>No</t>
        </is>
      </c>
      <c r="AQ679" t="inlineStr">
        <is>
          <t>No</t>
        </is>
      </c>
      <c r="AS679">
        <f>HYPERLINK("https://creighton-primo.hosted.exlibrisgroup.com/primo-explore/search?tab=default_tab&amp;search_scope=EVERYTHING&amp;vid=01CRU&amp;lang=en_US&amp;offset=0&amp;query=any,contains,991000553659702656","Catalog Record")</f>
        <v/>
      </c>
      <c r="AT679">
        <f>HYPERLINK("http://www.worldcat.org/oclc/11549075","WorldCat Record")</f>
        <v/>
      </c>
      <c r="AU679" t="inlineStr">
        <is>
          <t>806963125:eng</t>
        </is>
      </c>
      <c r="AV679" t="inlineStr">
        <is>
          <t>11549075</t>
        </is>
      </c>
      <c r="AW679" t="inlineStr">
        <is>
          <t>991000553659702656</t>
        </is>
      </c>
      <c r="AX679" t="inlineStr">
        <is>
          <t>991000553659702656</t>
        </is>
      </c>
      <c r="AY679" t="inlineStr">
        <is>
          <t>2261837260002656</t>
        </is>
      </c>
      <c r="AZ679" t="inlineStr">
        <is>
          <t>BOOK</t>
        </is>
      </c>
      <c r="BB679" t="inlineStr">
        <is>
          <t>9780934718608</t>
        </is>
      </c>
      <c r="BC679" t="inlineStr">
        <is>
          <t>32285003465514</t>
        </is>
      </c>
      <c r="BD679" t="inlineStr">
        <is>
          <t>893714689</t>
        </is>
      </c>
    </row>
    <row r="680">
      <c r="A680" t="inlineStr">
        <is>
          <t>No</t>
        </is>
      </c>
      <c r="B680" t="inlineStr">
        <is>
          <t>DS154.9.U45 U46 1998, v...</t>
        </is>
      </c>
      <c r="C680" t="inlineStr">
        <is>
          <t>0                      DS 0154900U  45                 U  46          1998                  v...</t>
        </is>
      </c>
      <c r="D680" t="inlineStr">
        <is>
          <t>Umm el-Jimal : a frontier town and its landscape in northern Jordan.</t>
        </is>
      </c>
      <c r="E680" t="inlineStr">
        <is>
          <t>V.1</t>
        </is>
      </c>
      <c r="F680" t="inlineStr">
        <is>
          <t>No</t>
        </is>
      </c>
      <c r="G680" t="inlineStr">
        <is>
          <t>1</t>
        </is>
      </c>
      <c r="H680" t="inlineStr">
        <is>
          <t>No</t>
        </is>
      </c>
      <c r="I680" t="inlineStr">
        <is>
          <t>No</t>
        </is>
      </c>
      <c r="J680" t="inlineStr">
        <is>
          <t>0</t>
        </is>
      </c>
      <c r="L680" t="inlineStr">
        <is>
          <t>Portsmouth, R.I. : Journal of Roman Archaeology, 1998-</t>
        </is>
      </c>
      <c r="M680" t="inlineStr">
        <is>
          <t>1998</t>
        </is>
      </c>
      <c r="O680" t="inlineStr">
        <is>
          <t>eng</t>
        </is>
      </c>
      <c r="P680" t="inlineStr">
        <is>
          <t>riu</t>
        </is>
      </c>
      <c r="Q680" t="inlineStr">
        <is>
          <t>Journal of Roman archaeology. Supplementary series ; no. 26</t>
        </is>
      </c>
      <c r="R680" t="inlineStr">
        <is>
          <t xml:space="preserve">DS </t>
        </is>
      </c>
      <c r="S680" t="n">
        <v>1</v>
      </c>
      <c r="T680" t="n">
        <v>1</v>
      </c>
      <c r="U680" t="inlineStr">
        <is>
          <t>2002-08-24</t>
        </is>
      </c>
      <c r="V680" t="inlineStr">
        <is>
          <t>2002-08-24</t>
        </is>
      </c>
      <c r="W680" t="inlineStr">
        <is>
          <t>1999-01-07</t>
        </is>
      </c>
      <c r="X680" t="inlineStr">
        <is>
          <t>1999-01-07</t>
        </is>
      </c>
      <c r="Y680" t="n">
        <v>158</v>
      </c>
      <c r="Z680" t="n">
        <v>108</v>
      </c>
      <c r="AA680" t="n">
        <v>110</v>
      </c>
      <c r="AB680" t="n">
        <v>1</v>
      </c>
      <c r="AC680" t="n">
        <v>1</v>
      </c>
      <c r="AD680" t="n">
        <v>4</v>
      </c>
      <c r="AE680" t="n">
        <v>4</v>
      </c>
      <c r="AF680" t="n">
        <v>0</v>
      </c>
      <c r="AG680" t="n">
        <v>0</v>
      </c>
      <c r="AH680" t="n">
        <v>2</v>
      </c>
      <c r="AI680" t="n">
        <v>2</v>
      </c>
      <c r="AJ680" t="n">
        <v>4</v>
      </c>
      <c r="AK680" t="n">
        <v>4</v>
      </c>
      <c r="AL680" t="n">
        <v>0</v>
      </c>
      <c r="AM680" t="n">
        <v>0</v>
      </c>
      <c r="AN680" t="n">
        <v>0</v>
      </c>
      <c r="AO680" t="n">
        <v>0</v>
      </c>
      <c r="AP680" t="inlineStr">
        <is>
          <t>No</t>
        </is>
      </c>
      <c r="AQ680" t="inlineStr">
        <is>
          <t>Yes</t>
        </is>
      </c>
      <c r="AR680">
        <f>HYPERLINK("http://catalog.hathitrust.org/Record/003259755","HathiTrust Record")</f>
        <v/>
      </c>
      <c r="AS680">
        <f>HYPERLINK("https://creighton-primo.hosted.exlibrisgroup.com/primo-explore/search?tab=default_tab&amp;search_scope=EVERYTHING&amp;vid=01CRU&amp;lang=en_US&amp;offset=0&amp;query=any,contains,991002935669702656","Catalog Record")</f>
        <v/>
      </c>
      <c r="AT680">
        <f>HYPERLINK("http://www.worldcat.org/oclc/39049661","WorldCat Record")</f>
        <v/>
      </c>
      <c r="AU680" t="inlineStr">
        <is>
          <t>3702154723:eng</t>
        </is>
      </c>
      <c r="AV680" t="inlineStr">
        <is>
          <t>39049661</t>
        </is>
      </c>
      <c r="AW680" t="inlineStr">
        <is>
          <t>991002935669702656</t>
        </is>
      </c>
      <c r="AX680" t="inlineStr">
        <is>
          <t>991002935669702656</t>
        </is>
      </c>
      <c r="AY680" t="inlineStr">
        <is>
          <t>2271624850002656</t>
        </is>
      </c>
      <c r="AZ680" t="inlineStr">
        <is>
          <t>BOOK</t>
        </is>
      </c>
      <c r="BB680" t="inlineStr">
        <is>
          <t>9781887829267</t>
        </is>
      </c>
      <c r="BC680" t="inlineStr">
        <is>
          <t>32285003510632</t>
        </is>
      </c>
      <c r="BD680" t="inlineStr">
        <is>
          <t>893505000</t>
        </is>
      </c>
    </row>
    <row r="681">
      <c r="A681" t="inlineStr">
        <is>
          <t>No</t>
        </is>
      </c>
      <c r="B681" t="inlineStr">
        <is>
          <t>DS155 .M3</t>
        </is>
      </c>
      <c r="C681" t="inlineStr">
        <is>
          <t>0                      DS 0155000M  3</t>
        </is>
      </c>
      <c r="D681" t="inlineStr">
        <is>
          <t>Roman rule in Asia Minor, to the end of the third century after Christ.</t>
        </is>
      </c>
      <c r="E681" t="inlineStr">
        <is>
          <t>V.1</t>
        </is>
      </c>
      <c r="F681" t="inlineStr">
        <is>
          <t>Yes</t>
        </is>
      </c>
      <c r="G681" t="inlineStr">
        <is>
          <t>1</t>
        </is>
      </c>
      <c r="H681" t="inlineStr">
        <is>
          <t>No</t>
        </is>
      </c>
      <c r="I681" t="inlineStr">
        <is>
          <t>No</t>
        </is>
      </c>
      <c r="J681" t="inlineStr">
        <is>
          <t>0</t>
        </is>
      </c>
      <c r="K681" t="inlineStr">
        <is>
          <t>Magie, David, 1877-</t>
        </is>
      </c>
      <c r="L681" t="inlineStr">
        <is>
          <t>Princeton, Princeton University Press, 1950.</t>
        </is>
      </c>
      <c r="M681" t="inlineStr">
        <is>
          <t>1950</t>
        </is>
      </c>
      <c r="O681" t="inlineStr">
        <is>
          <t>eng</t>
        </is>
      </c>
      <c r="P681" t="inlineStr">
        <is>
          <t>nju</t>
        </is>
      </c>
      <c r="R681" t="inlineStr">
        <is>
          <t xml:space="preserve">DS </t>
        </is>
      </c>
      <c r="S681" t="n">
        <v>1</v>
      </c>
      <c r="T681" t="n">
        <v>2</v>
      </c>
      <c r="U681" t="inlineStr">
        <is>
          <t>1996-12-13</t>
        </is>
      </c>
      <c r="V681" t="inlineStr">
        <is>
          <t>1996-12-13</t>
        </is>
      </c>
      <c r="W681" t="inlineStr">
        <is>
          <t>1992-10-27</t>
        </is>
      </c>
      <c r="X681" t="inlineStr">
        <is>
          <t>1992-10-27</t>
        </is>
      </c>
      <c r="Y681" t="n">
        <v>613</v>
      </c>
      <c r="Z681" t="n">
        <v>507</v>
      </c>
      <c r="AA681" t="n">
        <v>1045</v>
      </c>
      <c r="AB681" t="n">
        <v>3</v>
      </c>
      <c r="AC681" t="n">
        <v>13</v>
      </c>
      <c r="AD681" t="n">
        <v>29</v>
      </c>
      <c r="AE681" t="n">
        <v>51</v>
      </c>
      <c r="AF681" t="n">
        <v>11</v>
      </c>
      <c r="AG681" t="n">
        <v>20</v>
      </c>
      <c r="AH681" t="n">
        <v>7</v>
      </c>
      <c r="AI681" t="n">
        <v>10</v>
      </c>
      <c r="AJ681" t="n">
        <v>16</v>
      </c>
      <c r="AK681" t="n">
        <v>21</v>
      </c>
      <c r="AL681" t="n">
        <v>2</v>
      </c>
      <c r="AM681" t="n">
        <v>11</v>
      </c>
      <c r="AN681" t="n">
        <v>0</v>
      </c>
      <c r="AO681" t="n">
        <v>1</v>
      </c>
      <c r="AP681" t="inlineStr">
        <is>
          <t>No</t>
        </is>
      </c>
      <c r="AQ681" t="inlineStr">
        <is>
          <t>Yes</t>
        </is>
      </c>
      <c r="AR681">
        <f>HYPERLINK("http://catalog.hathitrust.org/Record/001248045","HathiTrust Record")</f>
        <v/>
      </c>
      <c r="AS681">
        <f>HYPERLINK("https://creighton-primo.hosted.exlibrisgroup.com/primo-explore/search?tab=default_tab&amp;search_scope=EVERYTHING&amp;vid=01CRU&amp;lang=en_US&amp;offset=0&amp;query=any,contains,991003056909702656","Catalog Record")</f>
        <v/>
      </c>
      <c r="AT681">
        <f>HYPERLINK("http://www.worldcat.org/oclc/615012","WorldCat Record")</f>
        <v/>
      </c>
      <c r="AU681" t="inlineStr">
        <is>
          <t>2282071:eng</t>
        </is>
      </c>
      <c r="AV681" t="inlineStr">
        <is>
          <t>615012</t>
        </is>
      </c>
      <c r="AW681" t="inlineStr">
        <is>
          <t>991003056909702656</t>
        </is>
      </c>
      <c r="AX681" t="inlineStr">
        <is>
          <t>991003056909702656</t>
        </is>
      </c>
      <c r="AY681" t="inlineStr">
        <is>
          <t>2267340290002656</t>
        </is>
      </c>
      <c r="AZ681" t="inlineStr">
        <is>
          <t>BOOK</t>
        </is>
      </c>
      <c r="BC681" t="inlineStr">
        <is>
          <t>32285001385607</t>
        </is>
      </c>
      <c r="BD681" t="inlineStr">
        <is>
          <t>893233789</t>
        </is>
      </c>
    </row>
    <row r="682">
      <c r="A682" t="inlineStr">
        <is>
          <t>No</t>
        </is>
      </c>
      <c r="B682" t="inlineStr">
        <is>
          <t>DS155 .M3</t>
        </is>
      </c>
      <c r="C682" t="inlineStr">
        <is>
          <t>0                      DS 0155000M  3</t>
        </is>
      </c>
      <c r="D682" t="inlineStr">
        <is>
          <t>Roman rule in Asia Minor, to the end of the third century after Christ.</t>
        </is>
      </c>
      <c r="E682" t="inlineStr">
        <is>
          <t>V.2</t>
        </is>
      </c>
      <c r="F682" t="inlineStr">
        <is>
          <t>Yes</t>
        </is>
      </c>
      <c r="G682" t="inlineStr">
        <is>
          <t>1</t>
        </is>
      </c>
      <c r="H682" t="inlineStr">
        <is>
          <t>No</t>
        </is>
      </c>
      <c r="I682" t="inlineStr">
        <is>
          <t>No</t>
        </is>
      </c>
      <c r="J682" t="inlineStr">
        <is>
          <t>0</t>
        </is>
      </c>
      <c r="K682" t="inlineStr">
        <is>
          <t>Magie, David, 1877-</t>
        </is>
      </c>
      <c r="L682" t="inlineStr">
        <is>
          <t>Princeton, Princeton University Press, 1950.</t>
        </is>
      </c>
      <c r="M682" t="inlineStr">
        <is>
          <t>1950</t>
        </is>
      </c>
      <c r="O682" t="inlineStr">
        <is>
          <t>eng</t>
        </is>
      </c>
      <c r="P682" t="inlineStr">
        <is>
          <t>nju</t>
        </is>
      </c>
      <c r="R682" t="inlineStr">
        <is>
          <t xml:space="preserve">DS </t>
        </is>
      </c>
      <c r="S682" t="n">
        <v>1</v>
      </c>
      <c r="T682" t="n">
        <v>2</v>
      </c>
      <c r="U682" t="inlineStr">
        <is>
          <t>1996-12-13</t>
        </is>
      </c>
      <c r="V682" t="inlineStr">
        <is>
          <t>1996-12-13</t>
        </is>
      </c>
      <c r="W682" t="inlineStr">
        <is>
          <t>1992-10-27</t>
        </is>
      </c>
      <c r="X682" t="inlineStr">
        <is>
          <t>1992-10-27</t>
        </is>
      </c>
      <c r="Y682" t="n">
        <v>613</v>
      </c>
      <c r="Z682" t="n">
        <v>507</v>
      </c>
      <c r="AA682" t="n">
        <v>1045</v>
      </c>
      <c r="AB682" t="n">
        <v>3</v>
      </c>
      <c r="AC682" t="n">
        <v>13</v>
      </c>
      <c r="AD682" t="n">
        <v>29</v>
      </c>
      <c r="AE682" t="n">
        <v>51</v>
      </c>
      <c r="AF682" t="n">
        <v>11</v>
      </c>
      <c r="AG682" t="n">
        <v>20</v>
      </c>
      <c r="AH682" t="n">
        <v>7</v>
      </c>
      <c r="AI682" t="n">
        <v>10</v>
      </c>
      <c r="AJ682" t="n">
        <v>16</v>
      </c>
      <c r="AK682" t="n">
        <v>21</v>
      </c>
      <c r="AL682" t="n">
        <v>2</v>
      </c>
      <c r="AM682" t="n">
        <v>11</v>
      </c>
      <c r="AN682" t="n">
        <v>0</v>
      </c>
      <c r="AO682" t="n">
        <v>1</v>
      </c>
      <c r="AP682" t="inlineStr">
        <is>
          <t>No</t>
        </is>
      </c>
      <c r="AQ682" t="inlineStr">
        <is>
          <t>Yes</t>
        </is>
      </c>
      <c r="AR682">
        <f>HYPERLINK("http://catalog.hathitrust.org/Record/001248045","HathiTrust Record")</f>
        <v/>
      </c>
      <c r="AS682">
        <f>HYPERLINK("https://creighton-primo.hosted.exlibrisgroup.com/primo-explore/search?tab=default_tab&amp;search_scope=EVERYTHING&amp;vid=01CRU&amp;lang=en_US&amp;offset=0&amp;query=any,contains,991003056909702656","Catalog Record")</f>
        <v/>
      </c>
      <c r="AT682">
        <f>HYPERLINK("http://www.worldcat.org/oclc/615012","WorldCat Record")</f>
        <v/>
      </c>
      <c r="AU682" t="inlineStr">
        <is>
          <t>2282071:eng</t>
        </is>
      </c>
      <c r="AV682" t="inlineStr">
        <is>
          <t>615012</t>
        </is>
      </c>
      <c r="AW682" t="inlineStr">
        <is>
          <t>991003056909702656</t>
        </is>
      </c>
      <c r="AX682" t="inlineStr">
        <is>
          <t>991003056909702656</t>
        </is>
      </c>
      <c r="AY682" t="inlineStr">
        <is>
          <t>2267340290002656</t>
        </is>
      </c>
      <c r="AZ682" t="inlineStr">
        <is>
          <t>BOOK</t>
        </is>
      </c>
      <c r="BC682" t="inlineStr">
        <is>
          <t>32285001385615</t>
        </is>
      </c>
      <c r="BD682" t="inlineStr">
        <is>
          <t>893227634</t>
        </is>
      </c>
    </row>
    <row r="683">
      <c r="A683" t="inlineStr">
        <is>
          <t>No</t>
        </is>
      </c>
      <c r="B683" t="inlineStr">
        <is>
          <t>DS155 .U73 2001</t>
        </is>
      </c>
      <c r="C683" t="inlineStr">
        <is>
          <t>0                      DS 0155000U  73          2001</t>
        </is>
      </c>
      <c r="D683" t="inlineStr">
        <is>
          <t>Urbanism in Western Asia Minor : new studies on Aphrodisias, Ephesos, Hierapolis, Pergamon, Perge, and Xanthos / edited by David Parrish, with contributions by H. Abbasoğlu ... [et al.].</t>
        </is>
      </c>
      <c r="F683" t="inlineStr">
        <is>
          <t>No</t>
        </is>
      </c>
      <c r="G683" t="inlineStr">
        <is>
          <t>1</t>
        </is>
      </c>
      <c r="H683" t="inlineStr">
        <is>
          <t>No</t>
        </is>
      </c>
      <c r="I683" t="inlineStr">
        <is>
          <t>No</t>
        </is>
      </c>
      <c r="J683" t="inlineStr">
        <is>
          <t>0</t>
        </is>
      </c>
      <c r="L683" t="inlineStr">
        <is>
          <t>Portsmouth, R.I. : Journal of Roman Archaeology, 2001.</t>
        </is>
      </c>
      <c r="M683" t="inlineStr">
        <is>
          <t>2001</t>
        </is>
      </c>
      <c r="O683" t="inlineStr">
        <is>
          <t>eng</t>
        </is>
      </c>
      <c r="P683" t="inlineStr">
        <is>
          <t>riu</t>
        </is>
      </c>
      <c r="Q683" t="inlineStr">
        <is>
          <t>Journal of Roman archaeology. Supplementary series, 1063-4304 ; no. 45</t>
        </is>
      </c>
      <c r="R683" t="inlineStr">
        <is>
          <t xml:space="preserve">DS </t>
        </is>
      </c>
      <c r="S683" t="n">
        <v>4</v>
      </c>
      <c r="T683" t="n">
        <v>4</v>
      </c>
      <c r="U683" t="inlineStr">
        <is>
          <t>2009-03-23</t>
        </is>
      </c>
      <c r="V683" t="inlineStr">
        <is>
          <t>2009-03-23</t>
        </is>
      </c>
      <c r="W683" t="inlineStr">
        <is>
          <t>2006-04-27</t>
        </is>
      </c>
      <c r="X683" t="inlineStr">
        <is>
          <t>2006-04-27</t>
        </is>
      </c>
      <c r="Y683" t="n">
        <v>212</v>
      </c>
      <c r="Z683" t="n">
        <v>130</v>
      </c>
      <c r="AA683" t="n">
        <v>131</v>
      </c>
      <c r="AB683" t="n">
        <v>2</v>
      </c>
      <c r="AC683" t="n">
        <v>2</v>
      </c>
      <c r="AD683" t="n">
        <v>8</v>
      </c>
      <c r="AE683" t="n">
        <v>8</v>
      </c>
      <c r="AF683" t="n">
        <v>1</v>
      </c>
      <c r="AG683" t="n">
        <v>1</v>
      </c>
      <c r="AH683" t="n">
        <v>4</v>
      </c>
      <c r="AI683" t="n">
        <v>4</v>
      </c>
      <c r="AJ683" t="n">
        <v>4</v>
      </c>
      <c r="AK683" t="n">
        <v>4</v>
      </c>
      <c r="AL683" t="n">
        <v>1</v>
      </c>
      <c r="AM683" t="n">
        <v>1</v>
      </c>
      <c r="AN683" t="n">
        <v>0</v>
      </c>
      <c r="AO683" t="n">
        <v>0</v>
      </c>
      <c r="AP683" t="inlineStr">
        <is>
          <t>No</t>
        </is>
      </c>
      <c r="AQ683" t="inlineStr">
        <is>
          <t>Yes</t>
        </is>
      </c>
      <c r="AR683">
        <f>HYPERLINK("http://catalog.hathitrust.org/Record/003592471","HathiTrust Record")</f>
        <v/>
      </c>
      <c r="AS683">
        <f>HYPERLINK("https://creighton-primo.hosted.exlibrisgroup.com/primo-explore/search?tab=default_tab&amp;search_scope=EVERYTHING&amp;vid=01CRU&amp;lang=en_US&amp;offset=0&amp;query=any,contains,991004691129702656","Catalog Record")</f>
        <v/>
      </c>
      <c r="AT683">
        <f>HYPERLINK("http://www.worldcat.org/oclc/48954179","WorldCat Record")</f>
        <v/>
      </c>
      <c r="AU683" t="inlineStr">
        <is>
          <t>892633814:eng</t>
        </is>
      </c>
      <c r="AV683" t="inlineStr">
        <is>
          <t>48954179</t>
        </is>
      </c>
      <c r="AW683" t="inlineStr">
        <is>
          <t>991004691129702656</t>
        </is>
      </c>
      <c r="AX683" t="inlineStr">
        <is>
          <t>991004691129702656</t>
        </is>
      </c>
      <c r="AY683" t="inlineStr">
        <is>
          <t>2267594410002656</t>
        </is>
      </c>
      <c r="AZ683" t="inlineStr">
        <is>
          <t>BOOK</t>
        </is>
      </c>
      <c r="BB683" t="inlineStr">
        <is>
          <t>9781887829458</t>
        </is>
      </c>
      <c r="BC683" t="inlineStr">
        <is>
          <t>32285005180905</t>
        </is>
      </c>
      <c r="BD683" t="inlineStr">
        <is>
          <t>893801230</t>
        </is>
      </c>
    </row>
    <row r="684">
      <c r="A684" t="inlineStr">
        <is>
          <t>No</t>
        </is>
      </c>
      <c r="B684" t="inlineStr">
        <is>
          <t>DS156.C3 V356 2003</t>
        </is>
      </c>
      <c r="C684" t="inlineStr">
        <is>
          <t>0                      DS 0156000C  3                  V  356         2003</t>
        </is>
      </c>
      <c r="D684" t="inlineStr">
        <is>
          <t>Families and friends in late Roman Cappadocia / Raymond Van Dam.</t>
        </is>
      </c>
      <c r="F684" t="inlineStr">
        <is>
          <t>No</t>
        </is>
      </c>
      <c r="G684" t="inlineStr">
        <is>
          <t>1</t>
        </is>
      </c>
      <c r="H684" t="inlineStr">
        <is>
          <t>No</t>
        </is>
      </c>
      <c r="I684" t="inlineStr">
        <is>
          <t>No</t>
        </is>
      </c>
      <c r="J684" t="inlineStr">
        <is>
          <t>0</t>
        </is>
      </c>
      <c r="K684" t="inlineStr">
        <is>
          <t>Van Dam, Raymond.</t>
        </is>
      </c>
      <c r="L684" t="inlineStr">
        <is>
          <t>Philadelphia : University of Pennsylvania Press, 2003.</t>
        </is>
      </c>
      <c r="M684" t="inlineStr">
        <is>
          <t>2003</t>
        </is>
      </c>
      <c r="O684" t="inlineStr">
        <is>
          <t>eng</t>
        </is>
      </c>
      <c r="P684" t="inlineStr">
        <is>
          <t>pau</t>
        </is>
      </c>
      <c r="R684" t="inlineStr">
        <is>
          <t xml:space="preserve">DS </t>
        </is>
      </c>
      <c r="S684" t="n">
        <v>2</v>
      </c>
      <c r="T684" t="n">
        <v>2</v>
      </c>
      <c r="U684" t="inlineStr">
        <is>
          <t>2008-02-01</t>
        </is>
      </c>
      <c r="V684" t="inlineStr">
        <is>
          <t>2008-02-01</t>
        </is>
      </c>
      <c r="W684" t="inlineStr">
        <is>
          <t>2008-01-09</t>
        </is>
      </c>
      <c r="X684" t="inlineStr">
        <is>
          <t>2008-01-09</t>
        </is>
      </c>
      <c r="Y684" t="n">
        <v>321</v>
      </c>
      <c r="Z684" t="n">
        <v>250</v>
      </c>
      <c r="AA684" t="n">
        <v>251</v>
      </c>
      <c r="AB684" t="n">
        <v>3</v>
      </c>
      <c r="AC684" t="n">
        <v>3</v>
      </c>
      <c r="AD684" t="n">
        <v>20</v>
      </c>
      <c r="AE684" t="n">
        <v>20</v>
      </c>
      <c r="AF684" t="n">
        <v>6</v>
      </c>
      <c r="AG684" t="n">
        <v>6</v>
      </c>
      <c r="AH684" t="n">
        <v>6</v>
      </c>
      <c r="AI684" t="n">
        <v>6</v>
      </c>
      <c r="AJ684" t="n">
        <v>12</v>
      </c>
      <c r="AK684" t="n">
        <v>12</v>
      </c>
      <c r="AL684" t="n">
        <v>2</v>
      </c>
      <c r="AM684" t="n">
        <v>2</v>
      </c>
      <c r="AN684" t="n">
        <v>0</v>
      </c>
      <c r="AO684" t="n">
        <v>0</v>
      </c>
      <c r="AP684" t="inlineStr">
        <is>
          <t>No</t>
        </is>
      </c>
      <c r="AQ684" t="inlineStr">
        <is>
          <t>No</t>
        </is>
      </c>
      <c r="AS684">
        <f>HYPERLINK("https://creighton-primo.hosted.exlibrisgroup.com/primo-explore/search?tab=default_tab&amp;search_scope=EVERYTHING&amp;vid=01CRU&amp;lang=en_US&amp;offset=0&amp;query=any,contains,991005165289702656","Catalog Record")</f>
        <v/>
      </c>
      <c r="AT684">
        <f>HYPERLINK("http://www.worldcat.org/oclc/50866851","WorldCat Record")</f>
        <v/>
      </c>
      <c r="AU684" t="inlineStr">
        <is>
          <t>706084:eng</t>
        </is>
      </c>
      <c r="AV684" t="inlineStr">
        <is>
          <t>50866851</t>
        </is>
      </c>
      <c r="AW684" t="inlineStr">
        <is>
          <t>991005165289702656</t>
        </is>
      </c>
      <c r="AX684" t="inlineStr">
        <is>
          <t>991005165289702656</t>
        </is>
      </c>
      <c r="AY684" t="inlineStr">
        <is>
          <t>2260244440002656</t>
        </is>
      </c>
      <c r="AZ684" t="inlineStr">
        <is>
          <t>BOOK</t>
        </is>
      </c>
      <c r="BB684" t="inlineStr">
        <is>
          <t>9780812237122</t>
        </is>
      </c>
      <c r="BC684" t="inlineStr">
        <is>
          <t>32285005376115</t>
        </is>
      </c>
      <c r="BD684" t="inlineStr">
        <is>
          <t>893350843</t>
        </is>
      </c>
    </row>
    <row r="685">
      <c r="A685" t="inlineStr">
        <is>
          <t>No</t>
        </is>
      </c>
      <c r="B685" t="inlineStr">
        <is>
          <t>DS156.C33 R89 1992</t>
        </is>
      </c>
      <c r="C685" t="inlineStr">
        <is>
          <t>0                      DS 0156000C  33                 R  89          1992</t>
        </is>
      </c>
      <c r="D685" t="inlineStr">
        <is>
          <t>Politics of a Persian dynasty : the Hecatomnids in the Fourth Century B.C. / Stephen Ruzicka.</t>
        </is>
      </c>
      <c r="F685" t="inlineStr">
        <is>
          <t>No</t>
        </is>
      </c>
      <c r="G685" t="inlineStr">
        <is>
          <t>1</t>
        </is>
      </c>
      <c r="H685" t="inlineStr">
        <is>
          <t>No</t>
        </is>
      </c>
      <c r="I685" t="inlineStr">
        <is>
          <t>No</t>
        </is>
      </c>
      <c r="J685" t="inlineStr">
        <is>
          <t>0</t>
        </is>
      </c>
      <c r="K685" t="inlineStr">
        <is>
          <t>Ruzicka, Stephen, 1946-</t>
        </is>
      </c>
      <c r="L685" t="inlineStr">
        <is>
          <t>Norman, OK : University of Oklahoma Press, 1992.</t>
        </is>
      </c>
      <c r="M685" t="inlineStr">
        <is>
          <t>1992</t>
        </is>
      </c>
      <c r="O685" t="inlineStr">
        <is>
          <t>eng</t>
        </is>
      </c>
      <c r="P685" t="inlineStr">
        <is>
          <t>oku</t>
        </is>
      </c>
      <c r="Q685" t="inlineStr">
        <is>
          <t>Oklahoma series in classical culture ; v. 14</t>
        </is>
      </c>
      <c r="R685" t="inlineStr">
        <is>
          <t xml:space="preserve">DS </t>
        </is>
      </c>
      <c r="S685" t="n">
        <v>3</v>
      </c>
      <c r="T685" t="n">
        <v>3</v>
      </c>
      <c r="U685" t="inlineStr">
        <is>
          <t>1996-01-22</t>
        </is>
      </c>
      <c r="V685" t="inlineStr">
        <is>
          <t>1996-01-22</t>
        </is>
      </c>
      <c r="W685" t="inlineStr">
        <is>
          <t>1993-01-18</t>
        </is>
      </c>
      <c r="X685" t="inlineStr">
        <is>
          <t>1993-01-18</t>
        </is>
      </c>
      <c r="Y685" t="n">
        <v>231</v>
      </c>
      <c r="Z685" t="n">
        <v>184</v>
      </c>
      <c r="AA685" t="n">
        <v>549</v>
      </c>
      <c r="AB685" t="n">
        <v>3</v>
      </c>
      <c r="AC685" t="n">
        <v>4</v>
      </c>
      <c r="AD685" t="n">
        <v>13</v>
      </c>
      <c r="AE685" t="n">
        <v>17</v>
      </c>
      <c r="AF685" t="n">
        <v>4</v>
      </c>
      <c r="AG685" t="n">
        <v>7</v>
      </c>
      <c r="AH685" t="n">
        <v>5</v>
      </c>
      <c r="AI685" t="n">
        <v>5</v>
      </c>
      <c r="AJ685" t="n">
        <v>8</v>
      </c>
      <c r="AK685" t="n">
        <v>8</v>
      </c>
      <c r="AL685" t="n">
        <v>2</v>
      </c>
      <c r="AM685" t="n">
        <v>3</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HYPERLINK("https://creighton-primo.hosted.exlibrisgroup.com/primo-explore/search?tab=default_tab&amp;search_scope=EVERYTHING&amp;vid=01CRU&amp;lang=en_US&amp;offset=0&amp;query=any,contains,991002027129702656","Catalog Record")</f>
        <v/>
      </c>
      <c r="AT685">
        <f>HYPERLINK("http://www.worldcat.org/oclc/25788421","WorldCat Record")</f>
        <v/>
      </c>
      <c r="AU685" t="inlineStr">
        <is>
          <t>799684770:eng</t>
        </is>
      </c>
      <c r="AV685" t="inlineStr">
        <is>
          <t>25788421</t>
        </is>
      </c>
      <c r="AW685" t="inlineStr">
        <is>
          <t>991002027129702656</t>
        </is>
      </c>
      <c r="AX685" t="inlineStr">
        <is>
          <t>991002027129702656</t>
        </is>
      </c>
      <c r="AY685" t="inlineStr">
        <is>
          <t>2254735500002656</t>
        </is>
      </c>
      <c r="AZ685" t="inlineStr">
        <is>
          <t>BOOK</t>
        </is>
      </c>
      <c r="BB685" t="inlineStr">
        <is>
          <t>9780806124605</t>
        </is>
      </c>
      <c r="BC685" t="inlineStr">
        <is>
          <t>32285001486991</t>
        </is>
      </c>
      <c r="BD685" t="inlineStr">
        <is>
          <t>893804142</t>
        </is>
      </c>
    </row>
    <row r="686">
      <c r="A686" t="inlineStr">
        <is>
          <t>No</t>
        </is>
      </c>
      <c r="B686" t="inlineStr">
        <is>
          <t>DS156.L8 O54 1992</t>
        </is>
      </c>
      <c r="C686" t="inlineStr">
        <is>
          <t>0                      DS 0156000L  8                  O  54          1992</t>
        </is>
      </c>
      <c r="D686" t="inlineStr">
        <is>
          <t>Lycia : western section of the southern coast of Turkey / Ü. Önen.</t>
        </is>
      </c>
      <c r="F686" t="inlineStr">
        <is>
          <t>No</t>
        </is>
      </c>
      <c r="G686" t="inlineStr">
        <is>
          <t>1</t>
        </is>
      </c>
      <c r="H686" t="inlineStr">
        <is>
          <t>No</t>
        </is>
      </c>
      <c r="I686" t="inlineStr">
        <is>
          <t>No</t>
        </is>
      </c>
      <c r="J686" t="inlineStr">
        <is>
          <t>0</t>
        </is>
      </c>
      <c r="K686" t="inlineStr">
        <is>
          <t>Önen, Ülgür, 1938-</t>
        </is>
      </c>
      <c r="L686" t="inlineStr">
        <is>
          <t>Istanbul : NET Turistik Yayinlar : Akademia, 1992.</t>
        </is>
      </c>
      <c r="M686" t="inlineStr">
        <is>
          <t>1992</t>
        </is>
      </c>
      <c r="N686" t="inlineStr">
        <is>
          <t>2nd ed.</t>
        </is>
      </c>
      <c r="O686" t="inlineStr">
        <is>
          <t>eng</t>
        </is>
      </c>
      <c r="P686" t="inlineStr">
        <is>
          <t xml:space="preserve">tu </t>
        </is>
      </c>
      <c r="R686" t="inlineStr">
        <is>
          <t xml:space="preserve">DS </t>
        </is>
      </c>
      <c r="S686" t="n">
        <v>1</v>
      </c>
      <c r="T686" t="n">
        <v>1</v>
      </c>
      <c r="U686" t="inlineStr">
        <is>
          <t>1999-10-26</t>
        </is>
      </c>
      <c r="V686" t="inlineStr">
        <is>
          <t>1999-10-26</t>
        </is>
      </c>
      <c r="W686" t="inlineStr">
        <is>
          <t>1994-03-22</t>
        </is>
      </c>
      <c r="X686" t="inlineStr">
        <is>
          <t>1994-03-22</t>
        </is>
      </c>
      <c r="Y686" t="n">
        <v>30</v>
      </c>
      <c r="Z686" t="n">
        <v>28</v>
      </c>
      <c r="AA686" t="n">
        <v>44</v>
      </c>
      <c r="AB686" t="n">
        <v>1</v>
      </c>
      <c r="AC686" t="n">
        <v>1</v>
      </c>
      <c r="AD686" t="n">
        <v>0</v>
      </c>
      <c r="AE686" t="n">
        <v>0</v>
      </c>
      <c r="AF686" t="n">
        <v>0</v>
      </c>
      <c r="AG686" t="n">
        <v>0</v>
      </c>
      <c r="AH686" t="n">
        <v>0</v>
      </c>
      <c r="AI686" t="n">
        <v>0</v>
      </c>
      <c r="AJ686" t="n">
        <v>0</v>
      </c>
      <c r="AK686" t="n">
        <v>0</v>
      </c>
      <c r="AL686" t="n">
        <v>0</v>
      </c>
      <c r="AM686" t="n">
        <v>0</v>
      </c>
      <c r="AN686" t="n">
        <v>0</v>
      </c>
      <c r="AO686" t="n">
        <v>0</v>
      </c>
      <c r="AP686" t="inlineStr">
        <is>
          <t>No</t>
        </is>
      </c>
      <c r="AQ686" t="inlineStr">
        <is>
          <t>Yes</t>
        </is>
      </c>
      <c r="AR686">
        <f>HYPERLINK("http://catalog.hathitrust.org/Record/002516077","HathiTrust Record")</f>
        <v/>
      </c>
      <c r="AS686">
        <f>HYPERLINK("https://creighton-primo.hosted.exlibrisgroup.com/primo-explore/search?tab=default_tab&amp;search_scope=EVERYTHING&amp;vid=01CRU&amp;lang=en_US&amp;offset=0&amp;query=any,contains,991001839889702656","Catalog Record")</f>
        <v/>
      </c>
      <c r="AT686">
        <f>HYPERLINK("http://www.worldcat.org/oclc/23136693","WorldCat Record")</f>
        <v/>
      </c>
      <c r="AU686" t="inlineStr">
        <is>
          <t>24571022:eng</t>
        </is>
      </c>
      <c r="AV686" t="inlineStr">
        <is>
          <t>23136693</t>
        </is>
      </c>
      <c r="AW686" t="inlineStr">
        <is>
          <t>991001839889702656</t>
        </is>
      </c>
      <c r="AX686" t="inlineStr">
        <is>
          <t>991001839889702656</t>
        </is>
      </c>
      <c r="AY686" t="inlineStr">
        <is>
          <t>2260413610002656</t>
        </is>
      </c>
      <c r="AZ686" t="inlineStr">
        <is>
          <t>BOOK</t>
        </is>
      </c>
      <c r="BB686" t="inlineStr">
        <is>
          <t>9789754790894</t>
        </is>
      </c>
      <c r="BC686" t="inlineStr">
        <is>
          <t>32285001857027</t>
        </is>
      </c>
      <c r="BD686" t="inlineStr">
        <is>
          <t>893420668</t>
        </is>
      </c>
    </row>
    <row r="687">
      <c r="A687" t="inlineStr">
        <is>
          <t>No</t>
        </is>
      </c>
      <c r="B687" t="inlineStr">
        <is>
          <t>DS156.P4 B39 1992</t>
        </is>
      </c>
      <c r="C687" t="inlineStr">
        <is>
          <t>0                      DS 0156000P  4                  B  39          1992</t>
        </is>
      </c>
      <c r="D687" t="inlineStr">
        <is>
          <t>Pergamon / Vehbi Bayraktar.</t>
        </is>
      </c>
      <c r="F687" t="inlineStr">
        <is>
          <t>No</t>
        </is>
      </c>
      <c r="G687" t="inlineStr">
        <is>
          <t>1</t>
        </is>
      </c>
      <c r="H687" t="inlineStr">
        <is>
          <t>No</t>
        </is>
      </c>
      <c r="I687" t="inlineStr">
        <is>
          <t>No</t>
        </is>
      </c>
      <c r="J687" t="inlineStr">
        <is>
          <t>0</t>
        </is>
      </c>
      <c r="K687" t="inlineStr">
        <is>
          <t>Bayraktar, Vehbi.</t>
        </is>
      </c>
      <c r="L687" t="inlineStr">
        <is>
          <t>Istanbul : NET, Turkistik Yayinlar, 1992, c1987.</t>
        </is>
      </c>
      <c r="M687" t="inlineStr">
        <is>
          <t>1992</t>
        </is>
      </c>
      <c r="N687" t="inlineStr">
        <is>
          <t>6th ed.</t>
        </is>
      </c>
      <c r="O687" t="inlineStr">
        <is>
          <t>eng</t>
        </is>
      </c>
      <c r="P687" t="inlineStr">
        <is>
          <t xml:space="preserve">tu </t>
        </is>
      </c>
      <c r="R687" t="inlineStr">
        <is>
          <t xml:space="preserve">DS </t>
        </is>
      </c>
      <c r="S687" t="n">
        <v>4</v>
      </c>
      <c r="T687" t="n">
        <v>4</v>
      </c>
      <c r="U687" t="inlineStr">
        <is>
          <t>2008-11-24</t>
        </is>
      </c>
      <c r="V687" t="inlineStr">
        <is>
          <t>2008-11-24</t>
        </is>
      </c>
      <c r="W687" t="inlineStr">
        <is>
          <t>1994-03-22</t>
        </is>
      </c>
      <c r="X687" t="inlineStr">
        <is>
          <t>1994-03-22</t>
        </is>
      </c>
      <c r="Y687" t="n">
        <v>25</v>
      </c>
      <c r="Z687" t="n">
        <v>19</v>
      </c>
      <c r="AA687" t="n">
        <v>88</v>
      </c>
      <c r="AB687" t="n">
        <v>1</v>
      </c>
      <c r="AC687" t="n">
        <v>1</v>
      </c>
      <c r="AD687" t="n">
        <v>2</v>
      </c>
      <c r="AE687" t="n">
        <v>3</v>
      </c>
      <c r="AF687" t="n">
        <v>2</v>
      </c>
      <c r="AG687" t="n">
        <v>3</v>
      </c>
      <c r="AH687" t="n">
        <v>0</v>
      </c>
      <c r="AI687" t="n">
        <v>1</v>
      </c>
      <c r="AJ687" t="n">
        <v>1</v>
      </c>
      <c r="AK687" t="n">
        <v>1</v>
      </c>
      <c r="AL687" t="n">
        <v>0</v>
      </c>
      <c r="AM687" t="n">
        <v>0</v>
      </c>
      <c r="AN687" t="n">
        <v>0</v>
      </c>
      <c r="AO687" t="n">
        <v>0</v>
      </c>
      <c r="AP687" t="inlineStr">
        <is>
          <t>No</t>
        </is>
      </c>
      <c r="AQ687" t="inlineStr">
        <is>
          <t>No</t>
        </is>
      </c>
      <c r="AS687">
        <f>HYPERLINK("https://creighton-primo.hosted.exlibrisgroup.com/primo-explore/search?tab=default_tab&amp;search_scope=EVERYTHING&amp;vid=01CRU&amp;lang=en_US&amp;offset=0&amp;query=any,contains,991002107479702656","Catalog Record")</f>
        <v/>
      </c>
      <c r="AT687">
        <f>HYPERLINK("http://www.worldcat.org/oclc/27030061","WorldCat Record")</f>
        <v/>
      </c>
      <c r="AU687" t="inlineStr">
        <is>
          <t>22049750:eng</t>
        </is>
      </c>
      <c r="AV687" t="inlineStr">
        <is>
          <t>27030061</t>
        </is>
      </c>
      <c r="AW687" t="inlineStr">
        <is>
          <t>991002107479702656</t>
        </is>
      </c>
      <c r="AX687" t="inlineStr">
        <is>
          <t>991002107479702656</t>
        </is>
      </c>
      <c r="AY687" t="inlineStr">
        <is>
          <t>2265241540002656</t>
        </is>
      </c>
      <c r="AZ687" t="inlineStr">
        <is>
          <t>BOOK</t>
        </is>
      </c>
      <c r="BB687" t="inlineStr">
        <is>
          <t>9789754790146</t>
        </is>
      </c>
      <c r="BC687" t="inlineStr">
        <is>
          <t>32285001856995</t>
        </is>
      </c>
      <c r="BD687" t="inlineStr">
        <is>
          <t>893420953</t>
        </is>
      </c>
    </row>
    <row r="688">
      <c r="A688" t="inlineStr">
        <is>
          <t>No</t>
        </is>
      </c>
      <c r="B688" t="inlineStr">
        <is>
          <t>DS156.P4 P46 1998</t>
        </is>
      </c>
      <c r="C688" t="inlineStr">
        <is>
          <t>0                      DS 0156000P  4                  P  46          1998</t>
        </is>
      </c>
      <c r="D688" t="inlineStr">
        <is>
          <t>Pergamon citadel of the gods : archaelogical record, literary description, and religious development / edited by Helmut Koester.</t>
        </is>
      </c>
      <c r="F688" t="inlineStr">
        <is>
          <t>No</t>
        </is>
      </c>
      <c r="G688" t="inlineStr">
        <is>
          <t>1</t>
        </is>
      </c>
      <c r="H688" t="inlineStr">
        <is>
          <t>No</t>
        </is>
      </c>
      <c r="I688" t="inlineStr">
        <is>
          <t>No</t>
        </is>
      </c>
      <c r="J688" t="inlineStr">
        <is>
          <t>0</t>
        </is>
      </c>
      <c r="L688" t="inlineStr">
        <is>
          <t>Harrisburg, Pa. : Trinity Press International, c1998.</t>
        </is>
      </c>
      <c r="M688" t="inlineStr">
        <is>
          <t>1998</t>
        </is>
      </c>
      <c r="O688" t="inlineStr">
        <is>
          <t>eng</t>
        </is>
      </c>
      <c r="P688" t="inlineStr">
        <is>
          <t>pau</t>
        </is>
      </c>
      <c r="Q688" t="inlineStr">
        <is>
          <t>Harvard theological studies ; 46</t>
        </is>
      </c>
      <c r="R688" t="inlineStr">
        <is>
          <t xml:space="preserve">DS </t>
        </is>
      </c>
      <c r="S688" t="n">
        <v>15</v>
      </c>
      <c r="T688" t="n">
        <v>15</v>
      </c>
      <c r="U688" t="inlineStr">
        <is>
          <t>2009-03-23</t>
        </is>
      </c>
      <c r="V688" t="inlineStr">
        <is>
          <t>2009-03-23</t>
        </is>
      </c>
      <c r="W688" t="inlineStr">
        <is>
          <t>2000-10-24</t>
        </is>
      </c>
      <c r="X688" t="inlineStr">
        <is>
          <t>2000-10-24</t>
        </is>
      </c>
      <c r="Y688" t="n">
        <v>313</v>
      </c>
      <c r="Z688" t="n">
        <v>245</v>
      </c>
      <c r="AA688" t="n">
        <v>248</v>
      </c>
      <c r="AB688" t="n">
        <v>2</v>
      </c>
      <c r="AC688" t="n">
        <v>2</v>
      </c>
      <c r="AD688" t="n">
        <v>17</v>
      </c>
      <c r="AE688" t="n">
        <v>17</v>
      </c>
      <c r="AF688" t="n">
        <v>6</v>
      </c>
      <c r="AG688" t="n">
        <v>6</v>
      </c>
      <c r="AH688" t="n">
        <v>7</v>
      </c>
      <c r="AI688" t="n">
        <v>7</v>
      </c>
      <c r="AJ688" t="n">
        <v>8</v>
      </c>
      <c r="AK688" t="n">
        <v>8</v>
      </c>
      <c r="AL688" t="n">
        <v>1</v>
      </c>
      <c r="AM688" t="n">
        <v>1</v>
      </c>
      <c r="AN688" t="n">
        <v>0</v>
      </c>
      <c r="AO688" t="n">
        <v>0</v>
      </c>
      <c r="AP688" t="inlineStr">
        <is>
          <t>No</t>
        </is>
      </c>
      <c r="AQ688" t="inlineStr">
        <is>
          <t>Yes</t>
        </is>
      </c>
      <c r="AR688">
        <f>HYPERLINK("http://catalog.hathitrust.org/Record/003318875","HathiTrust Record")</f>
        <v/>
      </c>
      <c r="AS688">
        <f>HYPERLINK("https://creighton-primo.hosted.exlibrisgroup.com/primo-explore/search?tab=default_tab&amp;search_scope=EVERYTHING&amp;vid=01CRU&amp;lang=en_US&amp;offset=0&amp;query=any,contains,991003229069702656","Catalog Record")</f>
        <v/>
      </c>
      <c r="AT688">
        <f>HYPERLINK("http://www.worldcat.org/oclc/39786706","WorldCat Record")</f>
        <v/>
      </c>
      <c r="AU688" t="inlineStr">
        <is>
          <t>891987764:eng</t>
        </is>
      </c>
      <c r="AV688" t="inlineStr">
        <is>
          <t>39786706</t>
        </is>
      </c>
      <c r="AW688" t="inlineStr">
        <is>
          <t>991003229069702656</t>
        </is>
      </c>
      <c r="AX688" t="inlineStr">
        <is>
          <t>991003229069702656</t>
        </is>
      </c>
      <c r="AY688" t="inlineStr">
        <is>
          <t>2270174890002656</t>
        </is>
      </c>
      <c r="AZ688" t="inlineStr">
        <is>
          <t>BOOK</t>
        </is>
      </c>
      <c r="BB688" t="inlineStr">
        <is>
          <t>9781563382611</t>
        </is>
      </c>
      <c r="BC688" t="inlineStr">
        <is>
          <t>32285003769766</t>
        </is>
      </c>
      <c r="BD688" t="inlineStr">
        <is>
          <t>893899746</t>
        </is>
      </c>
    </row>
    <row r="689">
      <c r="A689" t="inlineStr">
        <is>
          <t>No</t>
        </is>
      </c>
      <c r="B689" t="inlineStr">
        <is>
          <t>DS156.S3 A8 1983</t>
        </is>
      </c>
      <c r="C689" t="inlineStr">
        <is>
          <t>0                      DS 0156000S  3                  A  8           1983</t>
        </is>
      </c>
      <c r="D689" t="inlineStr">
        <is>
          <t>Sardis from prehistoric to Roman times : results of the Archaeological Exploration of Sardis, 1958-1975 / George M.A. Hanfmann ; assisted by William E. Mierse ; with contributions by Clive Foss ...[et al.].</t>
        </is>
      </c>
      <c r="F689" t="inlineStr">
        <is>
          <t>No</t>
        </is>
      </c>
      <c r="G689" t="inlineStr">
        <is>
          <t>1</t>
        </is>
      </c>
      <c r="H689" t="inlineStr">
        <is>
          <t>No</t>
        </is>
      </c>
      <c r="I689" t="inlineStr">
        <is>
          <t>No</t>
        </is>
      </c>
      <c r="J689" t="inlineStr">
        <is>
          <t>0</t>
        </is>
      </c>
      <c r="K689" t="inlineStr">
        <is>
          <t>Archaeological Exploration of Sardis (Program)</t>
        </is>
      </c>
      <c r="L689" t="inlineStr">
        <is>
          <t>Cambridge, Mass. : Harvard University Press, 1983.</t>
        </is>
      </c>
      <c r="M689" t="inlineStr">
        <is>
          <t>1983</t>
        </is>
      </c>
      <c r="O689" t="inlineStr">
        <is>
          <t>eng</t>
        </is>
      </c>
      <c r="P689" t="inlineStr">
        <is>
          <t>mau</t>
        </is>
      </c>
      <c r="R689" t="inlineStr">
        <is>
          <t xml:space="preserve">DS </t>
        </is>
      </c>
      <c r="S689" t="n">
        <v>12</v>
      </c>
      <c r="T689" t="n">
        <v>12</v>
      </c>
      <c r="U689" t="inlineStr">
        <is>
          <t>2007-09-07</t>
        </is>
      </c>
      <c r="V689" t="inlineStr">
        <is>
          <t>2007-09-07</t>
        </is>
      </c>
      <c r="W689" t="inlineStr">
        <is>
          <t>1990-10-08</t>
        </is>
      </c>
      <c r="X689" t="inlineStr">
        <is>
          <t>1990-10-08</t>
        </is>
      </c>
      <c r="Y689" t="n">
        <v>397</v>
      </c>
      <c r="Z689" t="n">
        <v>320</v>
      </c>
      <c r="AA689" t="n">
        <v>327</v>
      </c>
      <c r="AB689" t="n">
        <v>2</v>
      </c>
      <c r="AC689" t="n">
        <v>2</v>
      </c>
      <c r="AD689" t="n">
        <v>15</v>
      </c>
      <c r="AE689" t="n">
        <v>15</v>
      </c>
      <c r="AF689" t="n">
        <v>2</v>
      </c>
      <c r="AG689" t="n">
        <v>2</v>
      </c>
      <c r="AH689" t="n">
        <v>5</v>
      </c>
      <c r="AI689" t="n">
        <v>5</v>
      </c>
      <c r="AJ689" t="n">
        <v>10</v>
      </c>
      <c r="AK689" t="n">
        <v>10</v>
      </c>
      <c r="AL689" t="n">
        <v>1</v>
      </c>
      <c r="AM689" t="n">
        <v>1</v>
      </c>
      <c r="AN689" t="n">
        <v>0</v>
      </c>
      <c r="AO689" t="n">
        <v>0</v>
      </c>
      <c r="AP689" t="inlineStr">
        <is>
          <t>No</t>
        </is>
      </c>
      <c r="AQ689" t="inlineStr">
        <is>
          <t>Yes</t>
        </is>
      </c>
      <c r="AR689">
        <f>HYPERLINK("http://catalog.hathitrust.org/Record/000239591","HathiTrust Record")</f>
        <v/>
      </c>
      <c r="AS689">
        <f>HYPERLINK("https://creighton-primo.hosted.exlibrisgroup.com/primo-explore/search?tab=default_tab&amp;search_scope=EVERYTHING&amp;vid=01CRU&amp;lang=en_US&amp;offset=0&amp;query=any,contains,991005252679702656","Catalog Record")</f>
        <v/>
      </c>
      <c r="AT689">
        <f>HYPERLINK("http://www.worldcat.org/oclc/8495228","WorldCat Record")</f>
        <v/>
      </c>
      <c r="AU689" t="inlineStr">
        <is>
          <t>836642668:eng</t>
        </is>
      </c>
      <c r="AV689" t="inlineStr">
        <is>
          <t>8495228</t>
        </is>
      </c>
      <c r="AW689" t="inlineStr">
        <is>
          <t>991005252679702656</t>
        </is>
      </c>
      <c r="AX689" t="inlineStr">
        <is>
          <t>991005252679702656</t>
        </is>
      </c>
      <c r="AY689" t="inlineStr">
        <is>
          <t>2260769260002656</t>
        </is>
      </c>
      <c r="AZ689" t="inlineStr">
        <is>
          <t>BOOK</t>
        </is>
      </c>
      <c r="BB689" t="inlineStr">
        <is>
          <t>9780674789258</t>
        </is>
      </c>
      <c r="BC689" t="inlineStr">
        <is>
          <t>32285000335199</t>
        </is>
      </c>
      <c r="BD689" t="inlineStr">
        <is>
          <t>893600886</t>
        </is>
      </c>
    </row>
    <row r="690">
      <c r="A690" t="inlineStr">
        <is>
          <t>No</t>
        </is>
      </c>
      <c r="B690" t="inlineStr">
        <is>
          <t>DS156.S3 D87 2003</t>
        </is>
      </c>
      <c r="C690" t="inlineStr">
        <is>
          <t>0                      DS 0156000S  3                  D  87          2003</t>
        </is>
      </c>
      <c r="D690" t="inlineStr">
        <is>
          <t>Aspects of empire in Achaemenid Sardis / Elspeth R.M. Dusinberre.</t>
        </is>
      </c>
      <c r="F690" t="inlineStr">
        <is>
          <t>No</t>
        </is>
      </c>
      <c r="G690" t="inlineStr">
        <is>
          <t>1</t>
        </is>
      </c>
      <c r="H690" t="inlineStr">
        <is>
          <t>No</t>
        </is>
      </c>
      <c r="I690" t="inlineStr">
        <is>
          <t>No</t>
        </is>
      </c>
      <c r="J690" t="inlineStr">
        <is>
          <t>0</t>
        </is>
      </c>
      <c r="K690" t="inlineStr">
        <is>
          <t>Dusinberre, Elspeth R. M.</t>
        </is>
      </c>
      <c r="L690" t="inlineStr">
        <is>
          <t>Cambridge, UK ; New York : Cambridge University Press, 2003.</t>
        </is>
      </c>
      <c r="M690" t="inlineStr">
        <is>
          <t>2003</t>
        </is>
      </c>
      <c r="O690" t="inlineStr">
        <is>
          <t>eng</t>
        </is>
      </c>
      <c r="P690" t="inlineStr">
        <is>
          <t>enk</t>
        </is>
      </c>
      <c r="R690" t="inlineStr">
        <is>
          <t xml:space="preserve">DS </t>
        </is>
      </c>
      <c r="S690" t="n">
        <v>1</v>
      </c>
      <c r="T690" t="n">
        <v>1</v>
      </c>
      <c r="U690" t="inlineStr">
        <is>
          <t>2005-11-07</t>
        </is>
      </c>
      <c r="V690" t="inlineStr">
        <is>
          <t>2005-11-07</t>
        </is>
      </c>
      <c r="W690" t="inlineStr">
        <is>
          <t>2005-11-07</t>
        </is>
      </c>
      <c r="X690" t="inlineStr">
        <is>
          <t>2005-11-07</t>
        </is>
      </c>
      <c r="Y690" t="n">
        <v>240</v>
      </c>
      <c r="Z690" t="n">
        <v>154</v>
      </c>
      <c r="AA690" t="n">
        <v>157</v>
      </c>
      <c r="AB690" t="n">
        <v>1</v>
      </c>
      <c r="AC690" t="n">
        <v>1</v>
      </c>
      <c r="AD690" t="n">
        <v>6</v>
      </c>
      <c r="AE690" t="n">
        <v>6</v>
      </c>
      <c r="AF690" t="n">
        <v>3</v>
      </c>
      <c r="AG690" t="n">
        <v>3</v>
      </c>
      <c r="AH690" t="n">
        <v>2</v>
      </c>
      <c r="AI690" t="n">
        <v>2</v>
      </c>
      <c r="AJ690" t="n">
        <v>5</v>
      </c>
      <c r="AK690" t="n">
        <v>5</v>
      </c>
      <c r="AL690" t="n">
        <v>0</v>
      </c>
      <c r="AM690" t="n">
        <v>0</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HYPERLINK("https://creighton-primo.hosted.exlibrisgroup.com/primo-explore/search?tab=default_tab&amp;search_scope=EVERYTHING&amp;vid=01CRU&amp;lang=en_US&amp;offset=0&amp;query=any,contains,991004683329702656","Catalog Record")</f>
        <v/>
      </c>
      <c r="AT690">
        <f>HYPERLINK("http://www.worldcat.org/oclc/49942305","WorldCat Record")</f>
        <v/>
      </c>
      <c r="AU690" t="inlineStr">
        <is>
          <t>1028668:eng</t>
        </is>
      </c>
      <c r="AV690" t="inlineStr">
        <is>
          <t>49942305</t>
        </is>
      </c>
      <c r="AW690" t="inlineStr">
        <is>
          <t>991004683329702656</t>
        </is>
      </c>
      <c r="AX690" t="inlineStr">
        <is>
          <t>991004683329702656</t>
        </is>
      </c>
      <c r="AY690" t="inlineStr">
        <is>
          <t>2272500010002656</t>
        </is>
      </c>
      <c r="AZ690" t="inlineStr">
        <is>
          <t>BOOK</t>
        </is>
      </c>
      <c r="BB690" t="inlineStr">
        <is>
          <t>9780521009003</t>
        </is>
      </c>
      <c r="BC690" t="inlineStr">
        <is>
          <t>32285005144562</t>
        </is>
      </c>
      <c r="BD690" t="inlineStr">
        <is>
          <t>893417873</t>
        </is>
      </c>
    </row>
    <row r="691">
      <c r="A691" t="inlineStr">
        <is>
          <t>No</t>
        </is>
      </c>
      <c r="B691" t="inlineStr">
        <is>
          <t>DS156.S3 F67</t>
        </is>
      </c>
      <c r="C691" t="inlineStr">
        <is>
          <t>0                      DS 0156000S  3                  F  67</t>
        </is>
      </c>
      <c r="D691" t="inlineStr">
        <is>
          <t>Byzantine and Turkish Sardis / Clive Foss.</t>
        </is>
      </c>
      <c r="F691" t="inlineStr">
        <is>
          <t>No</t>
        </is>
      </c>
      <c r="G691" t="inlineStr">
        <is>
          <t>1</t>
        </is>
      </c>
      <c r="H691" t="inlineStr">
        <is>
          <t>No</t>
        </is>
      </c>
      <c r="I691" t="inlineStr">
        <is>
          <t>No</t>
        </is>
      </c>
      <c r="J691" t="inlineStr">
        <is>
          <t>0</t>
        </is>
      </c>
      <c r="K691" t="inlineStr">
        <is>
          <t>Foss, Clive.</t>
        </is>
      </c>
      <c r="L691" t="inlineStr">
        <is>
          <t>Cambridge, Mass. : Harvard University Press, 1976.</t>
        </is>
      </c>
      <c r="M691" t="inlineStr">
        <is>
          <t>1976</t>
        </is>
      </c>
      <c r="O691" t="inlineStr">
        <is>
          <t>eng</t>
        </is>
      </c>
      <c r="P691" t="inlineStr">
        <is>
          <t>mau</t>
        </is>
      </c>
      <c r="Q691" t="inlineStr">
        <is>
          <t>Monograph - Archaeological Exploration of Sardis ; 4</t>
        </is>
      </c>
      <c r="R691" t="inlineStr">
        <is>
          <t xml:space="preserve">DS </t>
        </is>
      </c>
      <c r="S691" t="n">
        <v>11</v>
      </c>
      <c r="T691" t="n">
        <v>11</v>
      </c>
      <c r="U691" t="inlineStr">
        <is>
          <t>2007-09-07</t>
        </is>
      </c>
      <c r="V691" t="inlineStr">
        <is>
          <t>2007-09-07</t>
        </is>
      </c>
      <c r="W691" t="inlineStr">
        <is>
          <t>1990-10-08</t>
        </is>
      </c>
      <c r="X691" t="inlineStr">
        <is>
          <t>1990-10-08</t>
        </is>
      </c>
      <c r="Y691" t="n">
        <v>328</v>
      </c>
      <c r="Z691" t="n">
        <v>237</v>
      </c>
      <c r="AA691" t="n">
        <v>411</v>
      </c>
      <c r="AB691" t="n">
        <v>4</v>
      </c>
      <c r="AC691" t="n">
        <v>5</v>
      </c>
      <c r="AD691" t="n">
        <v>11</v>
      </c>
      <c r="AE691" t="n">
        <v>22</v>
      </c>
      <c r="AF691" t="n">
        <v>2</v>
      </c>
      <c r="AG691" t="n">
        <v>6</v>
      </c>
      <c r="AH691" t="n">
        <v>3</v>
      </c>
      <c r="AI691" t="n">
        <v>7</v>
      </c>
      <c r="AJ691" t="n">
        <v>6</v>
      </c>
      <c r="AK691" t="n">
        <v>10</v>
      </c>
      <c r="AL691" t="n">
        <v>3</v>
      </c>
      <c r="AM691" t="n">
        <v>4</v>
      </c>
      <c r="AN691" t="n">
        <v>0</v>
      </c>
      <c r="AO691" t="n">
        <v>0</v>
      </c>
      <c r="AP691" t="inlineStr">
        <is>
          <t>No</t>
        </is>
      </c>
      <c r="AQ691" t="inlineStr">
        <is>
          <t>Yes</t>
        </is>
      </c>
      <c r="AR691">
        <f>HYPERLINK("http://catalog.hathitrust.org/Record/000039986","HathiTrust Record")</f>
        <v/>
      </c>
      <c r="AS691">
        <f>HYPERLINK("https://creighton-primo.hosted.exlibrisgroup.com/primo-explore/search?tab=default_tab&amp;search_scope=EVERYTHING&amp;vid=01CRU&amp;lang=en_US&amp;offset=0&amp;query=any,contains,991003704839702656","Catalog Record")</f>
        <v/>
      </c>
      <c r="AT691">
        <f>HYPERLINK("http://www.worldcat.org/oclc/1341510","WorldCat Record")</f>
        <v/>
      </c>
      <c r="AU691" t="inlineStr">
        <is>
          <t>2233268:eng</t>
        </is>
      </c>
      <c r="AV691" t="inlineStr">
        <is>
          <t>1341510</t>
        </is>
      </c>
      <c r="AW691" t="inlineStr">
        <is>
          <t>991003704839702656</t>
        </is>
      </c>
      <c r="AX691" t="inlineStr">
        <is>
          <t>991003704839702656</t>
        </is>
      </c>
      <c r="AY691" t="inlineStr">
        <is>
          <t>2262414730002656</t>
        </is>
      </c>
      <c r="AZ691" t="inlineStr">
        <is>
          <t>BOOK</t>
        </is>
      </c>
      <c r="BB691" t="inlineStr">
        <is>
          <t>9780674089693</t>
        </is>
      </c>
      <c r="BC691" t="inlineStr">
        <is>
          <t>32285000335207</t>
        </is>
      </c>
      <c r="BD691" t="inlineStr">
        <is>
          <t>893900265</t>
        </is>
      </c>
    </row>
    <row r="692">
      <c r="A692" t="inlineStr">
        <is>
          <t>No</t>
        </is>
      </c>
      <c r="B692" t="inlineStr">
        <is>
          <t>DS156.S3 P4</t>
        </is>
      </c>
      <c r="C692" t="inlineStr">
        <is>
          <t>0                      DS 0156000S  3                  P  4</t>
        </is>
      </c>
      <c r="D692" t="inlineStr">
        <is>
          <t>Sardis in the age of Croesus.</t>
        </is>
      </c>
      <c r="F692" t="inlineStr">
        <is>
          <t>No</t>
        </is>
      </c>
      <c r="G692" t="inlineStr">
        <is>
          <t>1</t>
        </is>
      </c>
      <c r="H692" t="inlineStr">
        <is>
          <t>No</t>
        </is>
      </c>
      <c r="I692" t="inlineStr">
        <is>
          <t>No</t>
        </is>
      </c>
      <c r="J692" t="inlineStr">
        <is>
          <t>0</t>
        </is>
      </c>
      <c r="K692" t="inlineStr">
        <is>
          <t>Pedley, John Griffiths.</t>
        </is>
      </c>
      <c r="L692" t="inlineStr">
        <is>
          <t>Norman, University of Oklahoma Press [1968]</t>
        </is>
      </c>
      <c r="M692" t="inlineStr">
        <is>
          <t>1968</t>
        </is>
      </c>
      <c r="N692" t="inlineStr">
        <is>
          <t>[1st ed.]</t>
        </is>
      </c>
      <c r="O692" t="inlineStr">
        <is>
          <t>eng</t>
        </is>
      </c>
      <c r="P692" t="inlineStr">
        <is>
          <t>oku</t>
        </is>
      </c>
      <c r="Q692" t="inlineStr">
        <is>
          <t>The Centers of civilization series</t>
        </is>
      </c>
      <c r="R692" t="inlineStr">
        <is>
          <t xml:space="preserve">DS </t>
        </is>
      </c>
      <c r="S692" t="n">
        <v>1</v>
      </c>
      <c r="T692" t="n">
        <v>1</v>
      </c>
      <c r="U692" t="inlineStr">
        <is>
          <t>2002-10-12</t>
        </is>
      </c>
      <c r="V692" t="inlineStr">
        <is>
          <t>2002-10-12</t>
        </is>
      </c>
      <c r="W692" t="inlineStr">
        <is>
          <t>1997-03-06</t>
        </is>
      </c>
      <c r="X692" t="inlineStr">
        <is>
          <t>1997-03-06</t>
        </is>
      </c>
      <c r="Y692" t="n">
        <v>621</v>
      </c>
      <c r="Z692" t="n">
        <v>556</v>
      </c>
      <c r="AA692" t="n">
        <v>557</v>
      </c>
      <c r="AB692" t="n">
        <v>3</v>
      </c>
      <c r="AC692" t="n">
        <v>3</v>
      </c>
      <c r="AD692" t="n">
        <v>29</v>
      </c>
      <c r="AE692" t="n">
        <v>29</v>
      </c>
      <c r="AF692" t="n">
        <v>10</v>
      </c>
      <c r="AG692" t="n">
        <v>10</v>
      </c>
      <c r="AH692" t="n">
        <v>9</v>
      </c>
      <c r="AI692" t="n">
        <v>9</v>
      </c>
      <c r="AJ692" t="n">
        <v>15</v>
      </c>
      <c r="AK692" t="n">
        <v>15</v>
      </c>
      <c r="AL692" t="n">
        <v>2</v>
      </c>
      <c r="AM692" t="n">
        <v>2</v>
      </c>
      <c r="AN692" t="n">
        <v>1</v>
      </c>
      <c r="AO692" t="n">
        <v>1</v>
      </c>
      <c r="AP692" t="inlineStr">
        <is>
          <t>No</t>
        </is>
      </c>
      <c r="AQ692" t="inlineStr">
        <is>
          <t>No</t>
        </is>
      </c>
      <c r="AS692">
        <f>HYPERLINK("https://creighton-primo.hosted.exlibrisgroup.com/primo-explore/search?tab=default_tab&amp;search_scope=EVERYTHING&amp;vid=01CRU&amp;lang=en_US&amp;offset=0&amp;query=any,contains,991002718899702656","Catalog Record")</f>
        <v/>
      </c>
      <c r="AT692">
        <f>HYPERLINK("http://www.worldcat.org/oclc/411993","WorldCat Record")</f>
        <v/>
      </c>
      <c r="AU692" t="inlineStr">
        <is>
          <t>1460470:eng</t>
        </is>
      </c>
      <c r="AV692" t="inlineStr">
        <is>
          <t>411993</t>
        </is>
      </c>
      <c r="AW692" t="inlineStr">
        <is>
          <t>991002718899702656</t>
        </is>
      </c>
      <c r="AX692" t="inlineStr">
        <is>
          <t>991002718899702656</t>
        </is>
      </c>
      <c r="AY692" t="inlineStr">
        <is>
          <t>2264650650002656</t>
        </is>
      </c>
      <c r="AZ692" t="inlineStr">
        <is>
          <t>BOOK</t>
        </is>
      </c>
      <c r="BC692" t="inlineStr">
        <is>
          <t>32285002455086</t>
        </is>
      </c>
      <c r="BD692" t="inlineStr">
        <is>
          <t>893498469</t>
        </is>
      </c>
    </row>
    <row r="693">
      <c r="A693" t="inlineStr">
        <is>
          <t>No</t>
        </is>
      </c>
      <c r="B693" t="inlineStr">
        <is>
          <t>DS175 .L35 1978</t>
        </is>
      </c>
      <c r="C693" t="inlineStr">
        <is>
          <t>0                      DS 0175000L  35          1978</t>
        </is>
      </c>
      <c r="D693" t="inlineStr">
        <is>
          <t>Armenia, cradle of civilization / by David Marshall Lang.</t>
        </is>
      </c>
      <c r="F693" t="inlineStr">
        <is>
          <t>No</t>
        </is>
      </c>
      <c r="G693" t="inlineStr">
        <is>
          <t>1</t>
        </is>
      </c>
      <c r="H693" t="inlineStr">
        <is>
          <t>No</t>
        </is>
      </c>
      <c r="I693" t="inlineStr">
        <is>
          <t>No</t>
        </is>
      </c>
      <c r="J693" t="inlineStr">
        <is>
          <t>0</t>
        </is>
      </c>
      <c r="K693" t="inlineStr">
        <is>
          <t>Lang, David Marshall.</t>
        </is>
      </c>
      <c r="L693" t="inlineStr">
        <is>
          <t>London ; Boston : Allen &amp; Unwin, c1978.</t>
        </is>
      </c>
      <c r="M693" t="inlineStr">
        <is>
          <t>1978</t>
        </is>
      </c>
      <c r="N693" t="inlineStr">
        <is>
          <t>2d ed., corr.</t>
        </is>
      </c>
      <c r="O693" t="inlineStr">
        <is>
          <t>eng</t>
        </is>
      </c>
      <c r="P693" t="inlineStr">
        <is>
          <t>enk</t>
        </is>
      </c>
      <c r="R693" t="inlineStr">
        <is>
          <t xml:space="preserve">DS </t>
        </is>
      </c>
      <c r="S693" t="n">
        <v>0</v>
      </c>
      <c r="T693" t="n">
        <v>0</v>
      </c>
      <c r="U693" t="inlineStr">
        <is>
          <t>2008-06-25</t>
        </is>
      </c>
      <c r="V693" t="inlineStr">
        <is>
          <t>2008-06-25</t>
        </is>
      </c>
      <c r="W693" t="inlineStr">
        <is>
          <t>1990-10-08</t>
        </is>
      </c>
      <c r="X693" t="inlineStr">
        <is>
          <t>1990-10-08</t>
        </is>
      </c>
      <c r="Y693" t="n">
        <v>373</v>
      </c>
      <c r="Z693" t="n">
        <v>306</v>
      </c>
      <c r="AA693" t="n">
        <v>547</v>
      </c>
      <c r="AB693" t="n">
        <v>1</v>
      </c>
      <c r="AC693" t="n">
        <v>3</v>
      </c>
      <c r="AD693" t="n">
        <v>13</v>
      </c>
      <c r="AE693" t="n">
        <v>20</v>
      </c>
      <c r="AF693" t="n">
        <v>3</v>
      </c>
      <c r="AG693" t="n">
        <v>4</v>
      </c>
      <c r="AH693" t="n">
        <v>7</v>
      </c>
      <c r="AI693" t="n">
        <v>9</v>
      </c>
      <c r="AJ693" t="n">
        <v>10</v>
      </c>
      <c r="AK693" t="n">
        <v>14</v>
      </c>
      <c r="AL693" t="n">
        <v>0</v>
      </c>
      <c r="AM693" t="n">
        <v>1</v>
      </c>
      <c r="AN693" t="n">
        <v>0</v>
      </c>
      <c r="AO693" t="n">
        <v>0</v>
      </c>
      <c r="AP693" t="inlineStr">
        <is>
          <t>No</t>
        </is>
      </c>
      <c r="AQ693" t="inlineStr">
        <is>
          <t>No</t>
        </is>
      </c>
      <c r="AS693">
        <f>HYPERLINK("https://creighton-primo.hosted.exlibrisgroup.com/primo-explore/search?tab=default_tab&amp;search_scope=EVERYTHING&amp;vid=01CRU&amp;lang=en_US&amp;offset=0&amp;query=any,contains,991004598379702656","Catalog Record")</f>
        <v/>
      </c>
      <c r="AT693">
        <f>HYPERLINK("http://www.worldcat.org/oclc/4158025","WorldCat Record")</f>
        <v/>
      </c>
      <c r="AU693" t="inlineStr">
        <is>
          <t>2909413193:eng</t>
        </is>
      </c>
      <c r="AV693" t="inlineStr">
        <is>
          <t>4158025</t>
        </is>
      </c>
      <c r="AW693" t="inlineStr">
        <is>
          <t>991004598379702656</t>
        </is>
      </c>
      <c r="AX693" t="inlineStr">
        <is>
          <t>991004598379702656</t>
        </is>
      </c>
      <c r="AY693" t="inlineStr">
        <is>
          <t>2255131340002656</t>
        </is>
      </c>
      <c r="AZ693" t="inlineStr">
        <is>
          <t>BOOK</t>
        </is>
      </c>
      <c r="BB693" t="inlineStr">
        <is>
          <t>9780049560086</t>
        </is>
      </c>
      <c r="BC693" t="inlineStr">
        <is>
          <t>32285000335215</t>
        </is>
      </c>
      <c r="BD693" t="inlineStr">
        <is>
          <t>893901416</t>
        </is>
      </c>
    </row>
    <row r="694">
      <c r="A694" t="inlineStr">
        <is>
          <t>No</t>
        </is>
      </c>
      <c r="B694" t="inlineStr">
        <is>
          <t>DS181 .K47</t>
        </is>
      </c>
      <c r="C694" t="inlineStr">
        <is>
          <t>0                      DS 0181000K  47</t>
        </is>
      </c>
      <c r="D694" t="inlineStr">
        <is>
          <t>Armênia e Roma, relações políticas nos anos de 190-A.C. - 387-D.C. / Yessai Ohannes Kerouzian. --</t>
        </is>
      </c>
      <c r="F694" t="inlineStr">
        <is>
          <t>No</t>
        </is>
      </c>
      <c r="G694" t="inlineStr">
        <is>
          <t>1</t>
        </is>
      </c>
      <c r="H694" t="inlineStr">
        <is>
          <t>No</t>
        </is>
      </c>
      <c r="I694" t="inlineStr">
        <is>
          <t>No</t>
        </is>
      </c>
      <c r="J694" t="inlineStr">
        <is>
          <t>0</t>
        </is>
      </c>
      <c r="K694" t="inlineStr">
        <is>
          <t>Kerouzian, Yessai Ohannes.</t>
        </is>
      </c>
      <c r="L694" t="inlineStr">
        <is>
          <t>Saõ Paulo : Facvldade de Filosofia, Ciências e Letras da Universidade de Saõ Paulo, 1977.</t>
        </is>
      </c>
      <c r="M694" t="inlineStr">
        <is>
          <t>1977</t>
        </is>
      </c>
      <c r="O694" t="inlineStr">
        <is>
          <t>por</t>
        </is>
      </c>
      <c r="P694" t="inlineStr">
        <is>
          <t xml:space="preserve">bl </t>
        </is>
      </c>
      <c r="Q694" t="inlineStr">
        <is>
          <t>Saõ Paulo, Brazil (City). Universidade. Faculdade de Filosofia, Ciências e Letras. Boletim no.8 nova série.</t>
        </is>
      </c>
      <c r="R694" t="inlineStr">
        <is>
          <t xml:space="preserve">DS </t>
        </is>
      </c>
      <c r="S694" t="n">
        <v>3</v>
      </c>
      <c r="T694" t="n">
        <v>3</v>
      </c>
      <c r="U694" t="inlineStr">
        <is>
          <t>1993-01-21</t>
        </is>
      </c>
      <c r="V694" t="inlineStr">
        <is>
          <t>1993-01-21</t>
        </is>
      </c>
      <c r="W694" t="inlineStr">
        <is>
          <t>1990-10-08</t>
        </is>
      </c>
      <c r="X694" t="inlineStr">
        <is>
          <t>1990-10-08</t>
        </is>
      </c>
      <c r="Y694" t="n">
        <v>39</v>
      </c>
      <c r="Z694" t="n">
        <v>26</v>
      </c>
      <c r="AA694" t="n">
        <v>28</v>
      </c>
      <c r="AB694" t="n">
        <v>1</v>
      </c>
      <c r="AC694" t="n">
        <v>1</v>
      </c>
      <c r="AD694" t="n">
        <v>0</v>
      </c>
      <c r="AE694" t="n">
        <v>0</v>
      </c>
      <c r="AF694" t="n">
        <v>0</v>
      </c>
      <c r="AG694" t="n">
        <v>0</v>
      </c>
      <c r="AH694" t="n">
        <v>0</v>
      </c>
      <c r="AI694" t="n">
        <v>0</v>
      </c>
      <c r="AJ694" t="n">
        <v>0</v>
      </c>
      <c r="AK694" t="n">
        <v>0</v>
      </c>
      <c r="AL694" t="n">
        <v>0</v>
      </c>
      <c r="AM694" t="n">
        <v>0</v>
      </c>
      <c r="AN694" t="n">
        <v>0</v>
      </c>
      <c r="AO694" t="n">
        <v>0</v>
      </c>
      <c r="AP694" t="inlineStr">
        <is>
          <t>No</t>
        </is>
      </c>
      <c r="AQ694" t="inlineStr">
        <is>
          <t>Yes</t>
        </is>
      </c>
      <c r="AR694">
        <f>HYPERLINK("http://catalog.hathitrust.org/Record/006119703","HathiTrust Record")</f>
        <v/>
      </c>
      <c r="AS694">
        <f>HYPERLINK("https://creighton-primo.hosted.exlibrisgroup.com/primo-explore/search?tab=default_tab&amp;search_scope=EVERYTHING&amp;vid=01CRU&amp;lang=en_US&amp;offset=0&amp;query=any,contains,991004623339702656","Catalog Record")</f>
        <v/>
      </c>
      <c r="AT694">
        <f>HYPERLINK("http://www.worldcat.org/oclc/5709873","WorldCat Record")</f>
        <v/>
      </c>
      <c r="AU694" t="inlineStr">
        <is>
          <t>14675127:por</t>
        </is>
      </c>
      <c r="AV694" t="inlineStr">
        <is>
          <t>5709873</t>
        </is>
      </c>
      <c r="AW694" t="inlineStr">
        <is>
          <t>991004623339702656</t>
        </is>
      </c>
      <c r="AX694" t="inlineStr">
        <is>
          <t>991004623339702656</t>
        </is>
      </c>
      <c r="AY694" t="inlineStr">
        <is>
          <t>2265023840002656</t>
        </is>
      </c>
      <c r="AZ694" t="inlineStr">
        <is>
          <t>BOOK</t>
        </is>
      </c>
      <c r="BC694" t="inlineStr">
        <is>
          <t>32285000335223</t>
        </is>
      </c>
      <c r="BD694" t="inlineStr">
        <is>
          <t>893810604</t>
        </is>
      </c>
    </row>
    <row r="695">
      <c r="A695" t="inlineStr">
        <is>
          <t>No</t>
        </is>
      </c>
      <c r="B695" t="inlineStr">
        <is>
          <t>DS181 .P3813 1989</t>
        </is>
      </c>
      <c r="C695" t="inlineStr">
        <is>
          <t>0                      DS 0181000P  3813        1989</t>
        </is>
      </c>
      <c r="D695" t="inlineStr">
        <is>
          <t>The epic histories attributed to Pʻawstos Buzand (Buzandaran patmutʻiwnkʻ) / translation and commentary by Nina G. Garsoïan.</t>
        </is>
      </c>
      <c r="F695" t="inlineStr">
        <is>
          <t>No</t>
        </is>
      </c>
      <c r="G695" t="inlineStr">
        <is>
          <t>1</t>
        </is>
      </c>
      <c r="H695" t="inlineStr">
        <is>
          <t>No</t>
        </is>
      </c>
      <c r="I695" t="inlineStr">
        <is>
          <t>No</t>
        </is>
      </c>
      <c r="J695" t="inlineStr">
        <is>
          <t>0</t>
        </is>
      </c>
      <c r="K695" t="inlineStr">
        <is>
          <t>Pʻawstos, Buzandatsʻi.</t>
        </is>
      </c>
      <c r="L695" t="inlineStr">
        <is>
          <t>Cambridge, Mass. : Distributed for the Dept. of Near Eastern Languages and Civilizations, Harvard University by Harvard University Press, 1989.</t>
        </is>
      </c>
      <c r="M695" t="inlineStr">
        <is>
          <t>1989</t>
        </is>
      </c>
      <c r="O695" t="inlineStr">
        <is>
          <t>eng</t>
        </is>
      </c>
      <c r="P695" t="inlineStr">
        <is>
          <t>mau</t>
        </is>
      </c>
      <c r="Q695" t="inlineStr">
        <is>
          <t>Harvard Armenian texts and studies ; 8</t>
        </is>
      </c>
      <c r="R695" t="inlineStr">
        <is>
          <t xml:space="preserve">DS </t>
        </is>
      </c>
      <c r="S695" t="n">
        <v>5</v>
      </c>
      <c r="T695" t="n">
        <v>5</v>
      </c>
      <c r="U695" t="inlineStr">
        <is>
          <t>2004-04-14</t>
        </is>
      </c>
      <c r="V695" t="inlineStr">
        <is>
          <t>2004-04-14</t>
        </is>
      </c>
      <c r="W695" t="inlineStr">
        <is>
          <t>1992-02-10</t>
        </is>
      </c>
      <c r="X695" t="inlineStr">
        <is>
          <t>1992-02-10</t>
        </is>
      </c>
      <c r="Y695" t="n">
        <v>158</v>
      </c>
      <c r="Z695" t="n">
        <v>122</v>
      </c>
      <c r="AA695" t="n">
        <v>129</v>
      </c>
      <c r="AB695" t="n">
        <v>1</v>
      </c>
      <c r="AC695" t="n">
        <v>1</v>
      </c>
      <c r="AD695" t="n">
        <v>7</v>
      </c>
      <c r="AE695" t="n">
        <v>7</v>
      </c>
      <c r="AF695" t="n">
        <v>1</v>
      </c>
      <c r="AG695" t="n">
        <v>1</v>
      </c>
      <c r="AH695" t="n">
        <v>4</v>
      </c>
      <c r="AI695" t="n">
        <v>4</v>
      </c>
      <c r="AJ695" t="n">
        <v>5</v>
      </c>
      <c r="AK695" t="n">
        <v>5</v>
      </c>
      <c r="AL695" t="n">
        <v>0</v>
      </c>
      <c r="AM695" t="n">
        <v>0</v>
      </c>
      <c r="AN695" t="n">
        <v>0</v>
      </c>
      <c r="AO695" t="n">
        <v>0</v>
      </c>
      <c r="AP695" t="inlineStr">
        <is>
          <t>No</t>
        </is>
      </c>
      <c r="AQ695" t="inlineStr">
        <is>
          <t>Yes</t>
        </is>
      </c>
      <c r="AR695">
        <f>HYPERLINK("http://catalog.hathitrust.org/Record/002169407","HathiTrust Record")</f>
        <v/>
      </c>
      <c r="AS695">
        <f>HYPERLINK("https://creighton-primo.hosted.exlibrisgroup.com/primo-explore/search?tab=default_tab&amp;search_scope=EVERYTHING&amp;vid=01CRU&amp;lang=en_US&amp;offset=0&amp;query=any,contains,991001791799702656","Catalog Record")</f>
        <v/>
      </c>
      <c r="AT695">
        <f>HYPERLINK("http://www.worldcat.org/oclc/22544415","WorldCat Record")</f>
        <v/>
      </c>
      <c r="AU695" t="inlineStr">
        <is>
          <t>4916655211:eng</t>
        </is>
      </c>
      <c r="AV695" t="inlineStr">
        <is>
          <t>22544415</t>
        </is>
      </c>
      <c r="AW695" t="inlineStr">
        <is>
          <t>991001791799702656</t>
        </is>
      </c>
      <c r="AX695" t="inlineStr">
        <is>
          <t>991001791799702656</t>
        </is>
      </c>
      <c r="AY695" t="inlineStr">
        <is>
          <t>2270461940002656</t>
        </is>
      </c>
      <c r="AZ695" t="inlineStr">
        <is>
          <t>BOOK</t>
        </is>
      </c>
      <c r="BB695" t="inlineStr">
        <is>
          <t>9780674258655</t>
        </is>
      </c>
      <c r="BC695" t="inlineStr">
        <is>
          <t>32285000869395</t>
        </is>
      </c>
      <c r="BD695" t="inlineStr">
        <is>
          <t>893529237</t>
        </is>
      </c>
    </row>
    <row r="696">
      <c r="A696" t="inlineStr">
        <is>
          <t>No</t>
        </is>
      </c>
      <c r="B696" t="inlineStr">
        <is>
          <t>DS19 .L3 1940</t>
        </is>
      </c>
      <c r="C696" t="inlineStr">
        <is>
          <t>0                      DS 0019000L  3           1940</t>
        </is>
      </c>
      <c r="D696" t="inlineStr">
        <is>
          <t>The march of the barbarians / by Harold Lamb.</t>
        </is>
      </c>
      <c r="F696" t="inlineStr">
        <is>
          <t>No</t>
        </is>
      </c>
      <c r="G696" t="inlineStr">
        <is>
          <t>1</t>
        </is>
      </c>
      <c r="H696" t="inlineStr">
        <is>
          <t>No</t>
        </is>
      </c>
      <c r="I696" t="inlineStr">
        <is>
          <t>No</t>
        </is>
      </c>
      <c r="J696" t="inlineStr">
        <is>
          <t>0</t>
        </is>
      </c>
      <c r="K696" t="inlineStr">
        <is>
          <t>Lamb, Harold, 1892-1962.</t>
        </is>
      </c>
      <c r="L696" t="inlineStr">
        <is>
          <t>New York : Doubleday, Doran &amp; Company, inc., 1940.</t>
        </is>
      </c>
      <c r="M696" t="inlineStr">
        <is>
          <t>1940</t>
        </is>
      </c>
      <c r="O696" t="inlineStr">
        <is>
          <t>eng</t>
        </is>
      </c>
      <c r="P696" t="inlineStr">
        <is>
          <t>nyu</t>
        </is>
      </c>
      <c r="R696" t="inlineStr">
        <is>
          <t xml:space="preserve">DS </t>
        </is>
      </c>
      <c r="S696" t="n">
        <v>5</v>
      </c>
      <c r="T696" t="n">
        <v>5</v>
      </c>
      <c r="U696" t="inlineStr">
        <is>
          <t>1998-02-16</t>
        </is>
      </c>
      <c r="V696" t="inlineStr">
        <is>
          <t>1998-02-16</t>
        </is>
      </c>
      <c r="W696" t="inlineStr">
        <is>
          <t>1994-12-01</t>
        </is>
      </c>
      <c r="X696" t="inlineStr">
        <is>
          <t>1994-12-01</t>
        </is>
      </c>
      <c r="Y696" t="n">
        <v>400</v>
      </c>
      <c r="Z696" t="n">
        <v>382</v>
      </c>
      <c r="AA696" t="n">
        <v>799</v>
      </c>
      <c r="AB696" t="n">
        <v>2</v>
      </c>
      <c r="AC696" t="n">
        <v>7</v>
      </c>
      <c r="AD696" t="n">
        <v>14</v>
      </c>
      <c r="AE696" t="n">
        <v>27</v>
      </c>
      <c r="AF696" t="n">
        <v>5</v>
      </c>
      <c r="AG696" t="n">
        <v>11</v>
      </c>
      <c r="AH696" t="n">
        <v>5</v>
      </c>
      <c r="AI696" t="n">
        <v>5</v>
      </c>
      <c r="AJ696" t="n">
        <v>7</v>
      </c>
      <c r="AK696" t="n">
        <v>12</v>
      </c>
      <c r="AL696" t="n">
        <v>1</v>
      </c>
      <c r="AM696" t="n">
        <v>4</v>
      </c>
      <c r="AN696" t="n">
        <v>0</v>
      </c>
      <c r="AO696" t="n">
        <v>0</v>
      </c>
      <c r="AP696" t="inlineStr">
        <is>
          <t>No</t>
        </is>
      </c>
      <c r="AQ696" t="inlineStr">
        <is>
          <t>Yes</t>
        </is>
      </c>
      <c r="AR696">
        <f>HYPERLINK("http://catalog.hathitrust.org/Record/001240103","HathiTrust Record")</f>
        <v/>
      </c>
      <c r="AS696">
        <f>HYPERLINK("https://creighton-primo.hosted.exlibrisgroup.com/primo-explore/search?tab=default_tab&amp;search_scope=EVERYTHING&amp;vid=01CRU&amp;lang=en_US&amp;offset=0&amp;query=any,contains,991001928509702656","Catalog Record")</f>
        <v/>
      </c>
      <c r="AT696">
        <f>HYPERLINK("http://www.worldcat.org/oclc/247956","WorldCat Record")</f>
        <v/>
      </c>
      <c r="AU696" t="inlineStr">
        <is>
          <t>1407413:eng</t>
        </is>
      </c>
      <c r="AV696" t="inlineStr">
        <is>
          <t>247956</t>
        </is>
      </c>
      <c r="AW696" t="inlineStr">
        <is>
          <t>991001928509702656</t>
        </is>
      </c>
      <c r="AX696" t="inlineStr">
        <is>
          <t>991001928509702656</t>
        </is>
      </c>
      <c r="AY696" t="inlineStr">
        <is>
          <t>2257946190002656</t>
        </is>
      </c>
      <c r="AZ696" t="inlineStr">
        <is>
          <t>BOOK</t>
        </is>
      </c>
      <c r="BC696" t="inlineStr">
        <is>
          <t>32285001969905</t>
        </is>
      </c>
      <c r="BD696" t="inlineStr">
        <is>
          <t>893250619</t>
        </is>
      </c>
    </row>
    <row r="697">
      <c r="A697" t="inlineStr">
        <is>
          <t>No</t>
        </is>
      </c>
      <c r="B697" t="inlineStr">
        <is>
          <t>DS19 .S27</t>
        </is>
      </c>
      <c r="C697" t="inlineStr">
        <is>
          <t>0                      DS 0019000S  27</t>
        </is>
      </c>
      <c r="D697" t="inlineStr">
        <is>
          <t>The history of the Mongol conquests / J. J. Saunders.</t>
        </is>
      </c>
      <c r="F697" t="inlineStr">
        <is>
          <t>No</t>
        </is>
      </c>
      <c r="G697" t="inlineStr">
        <is>
          <t>1</t>
        </is>
      </c>
      <c r="H697" t="inlineStr">
        <is>
          <t>No</t>
        </is>
      </c>
      <c r="I697" t="inlineStr">
        <is>
          <t>No</t>
        </is>
      </c>
      <c r="J697" t="inlineStr">
        <is>
          <t>0</t>
        </is>
      </c>
      <c r="K697" t="inlineStr">
        <is>
          <t>Saunders, J. J. (John Joseph), 1910-1972.</t>
        </is>
      </c>
      <c r="L697" t="inlineStr">
        <is>
          <t>London : Routledge &amp; K. Paul, c1971.</t>
        </is>
      </c>
      <c r="M697" t="inlineStr">
        <is>
          <t>1971</t>
        </is>
      </c>
      <c r="O697" t="inlineStr">
        <is>
          <t>eng</t>
        </is>
      </c>
      <c r="P697" t="inlineStr">
        <is>
          <t>enk</t>
        </is>
      </c>
      <c r="R697" t="inlineStr">
        <is>
          <t xml:space="preserve">DS </t>
        </is>
      </c>
      <c r="S697" t="n">
        <v>8</v>
      </c>
      <c r="T697" t="n">
        <v>8</v>
      </c>
      <c r="U697" t="inlineStr">
        <is>
          <t>2010-03-30</t>
        </is>
      </c>
      <c r="V697" t="inlineStr">
        <is>
          <t>2010-03-30</t>
        </is>
      </c>
      <c r="W697" t="inlineStr">
        <is>
          <t>1990-09-12</t>
        </is>
      </c>
      <c r="X697" t="inlineStr">
        <is>
          <t>1990-09-12</t>
        </is>
      </c>
      <c r="Y697" t="n">
        <v>441</v>
      </c>
      <c r="Z697" t="n">
        <v>260</v>
      </c>
      <c r="AA697" t="n">
        <v>778</v>
      </c>
      <c r="AB697" t="n">
        <v>2</v>
      </c>
      <c r="AC697" t="n">
        <v>5</v>
      </c>
      <c r="AD697" t="n">
        <v>12</v>
      </c>
      <c r="AE697" t="n">
        <v>30</v>
      </c>
      <c r="AF697" t="n">
        <v>2</v>
      </c>
      <c r="AG697" t="n">
        <v>12</v>
      </c>
      <c r="AH697" t="n">
        <v>5</v>
      </c>
      <c r="AI697" t="n">
        <v>9</v>
      </c>
      <c r="AJ697" t="n">
        <v>9</v>
      </c>
      <c r="AK697" t="n">
        <v>17</v>
      </c>
      <c r="AL697" t="n">
        <v>1</v>
      </c>
      <c r="AM697" t="n">
        <v>4</v>
      </c>
      <c r="AN697" t="n">
        <v>0</v>
      </c>
      <c r="AO697" t="n">
        <v>0</v>
      </c>
      <c r="AP697" t="inlineStr">
        <is>
          <t>No</t>
        </is>
      </c>
      <c r="AQ697" t="inlineStr">
        <is>
          <t>Yes</t>
        </is>
      </c>
      <c r="AR697">
        <f>HYPERLINK("http://catalog.hathitrust.org/Record/001240108","HathiTrust Record")</f>
        <v/>
      </c>
      <c r="AS697">
        <f>HYPERLINK("https://creighton-primo.hosted.exlibrisgroup.com/primo-explore/search?tab=default_tab&amp;search_scope=EVERYTHING&amp;vid=01CRU&amp;lang=en_US&amp;offset=0&amp;query=any,contains,991001926809702656","Catalog Record")</f>
        <v/>
      </c>
      <c r="AT697">
        <f>HYPERLINK("http://www.worldcat.org/oclc/246988","WorldCat Record")</f>
        <v/>
      </c>
      <c r="AU697" t="inlineStr">
        <is>
          <t>1403421:eng</t>
        </is>
      </c>
      <c r="AV697" t="inlineStr">
        <is>
          <t>246988</t>
        </is>
      </c>
      <c r="AW697" t="inlineStr">
        <is>
          <t>991001926809702656</t>
        </is>
      </c>
      <c r="AX697" t="inlineStr">
        <is>
          <t>991001926809702656</t>
        </is>
      </c>
      <c r="AY697" t="inlineStr">
        <is>
          <t>2257523070002656</t>
        </is>
      </c>
      <c r="AZ697" t="inlineStr">
        <is>
          <t>BOOK</t>
        </is>
      </c>
      <c r="BB697" t="inlineStr">
        <is>
          <t>9780710070739</t>
        </is>
      </c>
      <c r="BC697" t="inlineStr">
        <is>
          <t>32285000291186</t>
        </is>
      </c>
      <c r="BD697" t="inlineStr">
        <is>
          <t>893316171</t>
        </is>
      </c>
    </row>
    <row r="698">
      <c r="A698" t="inlineStr">
        <is>
          <t>No</t>
        </is>
      </c>
      <c r="B698" t="inlineStr">
        <is>
          <t>DS194 .W34 1980</t>
        </is>
      </c>
      <c r="C698" t="inlineStr">
        <is>
          <t>0                      DS 0194000W  34          1980</t>
        </is>
      </c>
      <c r="D698" t="inlineStr">
        <is>
          <t>Armenia, the survival of a nation / Christopher J. Walker.</t>
        </is>
      </c>
      <c r="F698" t="inlineStr">
        <is>
          <t>No</t>
        </is>
      </c>
      <c r="G698" t="inlineStr">
        <is>
          <t>1</t>
        </is>
      </c>
      <c r="H698" t="inlineStr">
        <is>
          <t>No</t>
        </is>
      </c>
      <c r="I698" t="inlineStr">
        <is>
          <t>No</t>
        </is>
      </c>
      <c r="J698" t="inlineStr">
        <is>
          <t>0</t>
        </is>
      </c>
      <c r="K698" t="inlineStr">
        <is>
          <t>Walker, Christopher J., 1942-2017.</t>
        </is>
      </c>
      <c r="L698" t="inlineStr">
        <is>
          <t>New York : St. Martin's Press, 1980.</t>
        </is>
      </c>
      <c r="M698" t="inlineStr">
        <is>
          <t>1980</t>
        </is>
      </c>
      <c r="O698" t="inlineStr">
        <is>
          <t>eng</t>
        </is>
      </c>
      <c r="P698" t="inlineStr">
        <is>
          <t>nyu</t>
        </is>
      </c>
      <c r="R698" t="inlineStr">
        <is>
          <t xml:space="preserve">DS </t>
        </is>
      </c>
      <c r="S698" t="n">
        <v>2</v>
      </c>
      <c r="T698" t="n">
        <v>2</v>
      </c>
      <c r="U698" t="inlineStr">
        <is>
          <t>2004-11-15</t>
        </is>
      </c>
      <c r="V698" t="inlineStr">
        <is>
          <t>2004-11-15</t>
        </is>
      </c>
      <c r="W698" t="inlineStr">
        <is>
          <t>1990-10-08</t>
        </is>
      </c>
      <c r="X698" t="inlineStr">
        <is>
          <t>1990-10-08</t>
        </is>
      </c>
      <c r="Y698" t="n">
        <v>487</v>
      </c>
      <c r="Z698" t="n">
        <v>455</v>
      </c>
      <c r="AA698" t="n">
        <v>731</v>
      </c>
      <c r="AB698" t="n">
        <v>1</v>
      </c>
      <c r="AC698" t="n">
        <v>4</v>
      </c>
      <c r="AD698" t="n">
        <v>19</v>
      </c>
      <c r="AE698" t="n">
        <v>26</v>
      </c>
      <c r="AF698" t="n">
        <v>9</v>
      </c>
      <c r="AG698" t="n">
        <v>13</v>
      </c>
      <c r="AH698" t="n">
        <v>5</v>
      </c>
      <c r="AI698" t="n">
        <v>6</v>
      </c>
      <c r="AJ698" t="n">
        <v>9</v>
      </c>
      <c r="AK698" t="n">
        <v>11</v>
      </c>
      <c r="AL698" t="n">
        <v>0</v>
      </c>
      <c r="AM698" t="n">
        <v>2</v>
      </c>
      <c r="AN698" t="n">
        <v>0</v>
      </c>
      <c r="AO698" t="n">
        <v>0</v>
      </c>
      <c r="AP698" t="inlineStr">
        <is>
          <t>No</t>
        </is>
      </c>
      <c r="AQ698" t="inlineStr">
        <is>
          <t>No</t>
        </is>
      </c>
      <c r="AS698">
        <f>HYPERLINK("https://creighton-primo.hosted.exlibrisgroup.com/primo-explore/search?tab=default_tab&amp;search_scope=EVERYTHING&amp;vid=01CRU&amp;lang=en_US&amp;offset=0&amp;query=any,contains,991004957259702656","Catalog Record")</f>
        <v/>
      </c>
      <c r="AT698">
        <f>HYPERLINK("http://www.worldcat.org/oclc/6280619","WorldCat Record")</f>
        <v/>
      </c>
      <c r="AU698" t="inlineStr">
        <is>
          <t>12697116:eng</t>
        </is>
      </c>
      <c r="AV698" t="inlineStr">
        <is>
          <t>6280619</t>
        </is>
      </c>
      <c r="AW698" t="inlineStr">
        <is>
          <t>991004957259702656</t>
        </is>
      </c>
      <c r="AX698" t="inlineStr">
        <is>
          <t>991004957259702656</t>
        </is>
      </c>
      <c r="AY698" t="inlineStr">
        <is>
          <t>2256107040002656</t>
        </is>
      </c>
      <c r="AZ698" t="inlineStr">
        <is>
          <t>BOOK</t>
        </is>
      </c>
      <c r="BB698" t="inlineStr">
        <is>
          <t>9780312049478</t>
        </is>
      </c>
      <c r="BC698" t="inlineStr">
        <is>
          <t>32285000335231</t>
        </is>
      </c>
      <c r="BD698" t="inlineStr">
        <is>
          <t>893501134</t>
        </is>
      </c>
    </row>
    <row r="699">
      <c r="A699" t="inlineStr">
        <is>
          <t>No</t>
        </is>
      </c>
      <c r="B699" t="inlineStr">
        <is>
          <t>DS195 .F45 1987</t>
        </is>
      </c>
      <c r="C699" t="inlineStr">
        <is>
          <t>0                      DS 0195000F  45          1987</t>
        </is>
      </c>
      <c r="D699" t="inlineStr">
        <is>
          <t>A myth of terror : Armenian extremism: its causes and its historical context : an illustrated exposé / by Erich Feigl.</t>
        </is>
      </c>
      <c r="F699" t="inlineStr">
        <is>
          <t>No</t>
        </is>
      </c>
      <c r="G699" t="inlineStr">
        <is>
          <t>1</t>
        </is>
      </c>
      <c r="H699" t="inlineStr">
        <is>
          <t>No</t>
        </is>
      </c>
      <c r="I699" t="inlineStr">
        <is>
          <t>No</t>
        </is>
      </c>
      <c r="J699" t="inlineStr">
        <is>
          <t>0</t>
        </is>
      </c>
      <c r="K699" t="inlineStr">
        <is>
          <t>Feigl, Erich.</t>
        </is>
      </c>
      <c r="L699" t="inlineStr">
        <is>
          <t>Freilassing [West Germany] ; Salzburg : Edition Zeitgeschichte, [1987?]</t>
        </is>
      </c>
      <c r="M699" t="inlineStr">
        <is>
          <t>1987</t>
        </is>
      </c>
      <c r="O699" t="inlineStr">
        <is>
          <t>eng</t>
        </is>
      </c>
      <c r="P699" t="inlineStr">
        <is>
          <t xml:space="preserve">au </t>
        </is>
      </c>
      <c r="R699" t="inlineStr">
        <is>
          <t xml:space="preserve">DS </t>
        </is>
      </c>
      <c r="S699" t="n">
        <v>4</v>
      </c>
      <c r="T699" t="n">
        <v>4</v>
      </c>
      <c r="U699" t="inlineStr">
        <is>
          <t>2004-11-15</t>
        </is>
      </c>
      <c r="V699" t="inlineStr">
        <is>
          <t>2004-11-15</t>
        </is>
      </c>
      <c r="W699" t="inlineStr">
        <is>
          <t>1990-10-08</t>
        </is>
      </c>
      <c r="X699" t="inlineStr">
        <is>
          <t>1990-10-08</t>
        </is>
      </c>
      <c r="Y699" t="n">
        <v>262</v>
      </c>
      <c r="Z699" t="n">
        <v>220</v>
      </c>
      <c r="AA699" t="n">
        <v>229</v>
      </c>
      <c r="AB699" t="n">
        <v>1</v>
      </c>
      <c r="AC699" t="n">
        <v>1</v>
      </c>
      <c r="AD699" t="n">
        <v>8</v>
      </c>
      <c r="AE699" t="n">
        <v>9</v>
      </c>
      <c r="AF699" t="n">
        <v>1</v>
      </c>
      <c r="AG699" t="n">
        <v>1</v>
      </c>
      <c r="AH699" t="n">
        <v>2</v>
      </c>
      <c r="AI699" t="n">
        <v>3</v>
      </c>
      <c r="AJ699" t="n">
        <v>6</v>
      </c>
      <c r="AK699" t="n">
        <v>7</v>
      </c>
      <c r="AL699" t="n">
        <v>0</v>
      </c>
      <c r="AM699" t="n">
        <v>0</v>
      </c>
      <c r="AN699" t="n">
        <v>0</v>
      </c>
      <c r="AO699" t="n">
        <v>0</v>
      </c>
      <c r="AP699" t="inlineStr">
        <is>
          <t>No</t>
        </is>
      </c>
      <c r="AQ699" t="inlineStr">
        <is>
          <t>Yes</t>
        </is>
      </c>
      <c r="AR699">
        <f>HYPERLINK("http://catalog.hathitrust.org/Record/009930030","HathiTrust Record")</f>
        <v/>
      </c>
      <c r="AS699">
        <f>HYPERLINK("https://creighton-primo.hosted.exlibrisgroup.com/primo-explore/search?tab=default_tab&amp;search_scope=EVERYTHING&amp;vid=01CRU&amp;lang=en_US&amp;offset=0&amp;query=any,contains,991001244179702656","Catalog Record")</f>
        <v/>
      </c>
      <c r="AT699">
        <f>HYPERLINK("http://www.worldcat.org/oclc/24848929","WorldCat Record")</f>
        <v/>
      </c>
      <c r="AU699" t="inlineStr">
        <is>
          <t>17162465:eng</t>
        </is>
      </c>
      <c r="AV699" t="inlineStr">
        <is>
          <t>24848929</t>
        </is>
      </c>
      <c r="AW699" t="inlineStr">
        <is>
          <t>991001244179702656</t>
        </is>
      </c>
      <c r="AX699" t="inlineStr">
        <is>
          <t>991001244179702656</t>
        </is>
      </c>
      <c r="AY699" t="inlineStr">
        <is>
          <t>2258276580002656</t>
        </is>
      </c>
      <c r="AZ699" t="inlineStr">
        <is>
          <t>BOOK</t>
        </is>
      </c>
      <c r="BC699" t="inlineStr">
        <is>
          <t>32285000335249</t>
        </is>
      </c>
      <c r="BD699" t="inlineStr">
        <is>
          <t>893891426</t>
        </is>
      </c>
    </row>
    <row r="700">
      <c r="A700" t="inlineStr">
        <is>
          <t>No</t>
        </is>
      </c>
      <c r="B700" t="inlineStr">
        <is>
          <t>DS203 .R39 2001</t>
        </is>
      </c>
      <c r="C700" t="inlineStr">
        <is>
          <t>0                      DS 0203000R  39          2001</t>
        </is>
      </c>
      <c r="D700" t="inlineStr">
        <is>
          <t>Living &amp; working in Saudi Arabia : your guide to a successful short or long-term stay / Rosalie Rayburn.</t>
        </is>
      </c>
      <c r="F700" t="inlineStr">
        <is>
          <t>No</t>
        </is>
      </c>
      <c r="G700" t="inlineStr">
        <is>
          <t>1</t>
        </is>
      </c>
      <c r="H700" t="inlineStr">
        <is>
          <t>No</t>
        </is>
      </c>
      <c r="I700" t="inlineStr">
        <is>
          <t>No</t>
        </is>
      </c>
      <c r="J700" t="inlineStr">
        <is>
          <t>0</t>
        </is>
      </c>
      <c r="K700" t="inlineStr">
        <is>
          <t>Rayburn, Rosalie.</t>
        </is>
      </c>
      <c r="L700" t="inlineStr">
        <is>
          <t>Oxford : How To Books, 2001.</t>
        </is>
      </c>
      <c r="M700" t="inlineStr">
        <is>
          <t>2001</t>
        </is>
      </c>
      <c r="N700" t="inlineStr">
        <is>
          <t>2nd ed.</t>
        </is>
      </c>
      <c r="O700" t="inlineStr">
        <is>
          <t>eng</t>
        </is>
      </c>
      <c r="P700" t="inlineStr">
        <is>
          <t>enk</t>
        </is>
      </c>
      <c r="Q700" t="inlineStr">
        <is>
          <t>How to books</t>
        </is>
      </c>
      <c r="R700" t="inlineStr">
        <is>
          <t xml:space="preserve">DS </t>
        </is>
      </c>
      <c r="S700" t="n">
        <v>3</v>
      </c>
      <c r="T700" t="n">
        <v>3</v>
      </c>
      <c r="U700" t="inlineStr">
        <is>
          <t>2008-04-22</t>
        </is>
      </c>
      <c r="V700" t="inlineStr">
        <is>
          <t>2008-04-22</t>
        </is>
      </c>
      <c r="W700" t="inlineStr">
        <is>
          <t>2002-04-02</t>
        </is>
      </c>
      <c r="X700" t="inlineStr">
        <is>
          <t>2002-04-02</t>
        </is>
      </c>
      <c r="Y700" t="n">
        <v>31</v>
      </c>
      <c r="Z700" t="n">
        <v>12</v>
      </c>
      <c r="AA700" t="n">
        <v>497</v>
      </c>
      <c r="AB700" t="n">
        <v>1</v>
      </c>
      <c r="AC700" t="n">
        <v>2</v>
      </c>
      <c r="AD700" t="n">
        <v>0</v>
      </c>
      <c r="AE700" t="n">
        <v>8</v>
      </c>
      <c r="AF700" t="n">
        <v>0</v>
      </c>
      <c r="AG700" t="n">
        <v>6</v>
      </c>
      <c r="AH700" t="n">
        <v>0</v>
      </c>
      <c r="AI700" t="n">
        <v>2</v>
      </c>
      <c r="AJ700" t="n">
        <v>0</v>
      </c>
      <c r="AK700" t="n">
        <v>1</v>
      </c>
      <c r="AL700" t="n">
        <v>0</v>
      </c>
      <c r="AM700" t="n">
        <v>1</v>
      </c>
      <c r="AN700" t="n">
        <v>0</v>
      </c>
      <c r="AO700" t="n">
        <v>0</v>
      </c>
      <c r="AP700" t="inlineStr">
        <is>
          <t>No</t>
        </is>
      </c>
      <c r="AQ700" t="inlineStr">
        <is>
          <t>No</t>
        </is>
      </c>
      <c r="AS700">
        <f>HYPERLINK("https://creighton-primo.hosted.exlibrisgroup.com/primo-explore/search?tab=default_tab&amp;search_scope=EVERYTHING&amp;vid=01CRU&amp;lang=en_US&amp;offset=0&amp;query=any,contains,991003716519702656","Catalog Record")</f>
        <v/>
      </c>
      <c r="AT700">
        <f>HYPERLINK("http://www.worldcat.org/oclc/47271887","WorldCat Record")</f>
        <v/>
      </c>
      <c r="AU700" t="inlineStr">
        <is>
          <t>693929:eng</t>
        </is>
      </c>
      <c r="AV700" t="inlineStr">
        <is>
          <t>47271887</t>
        </is>
      </c>
      <c r="AW700" t="inlineStr">
        <is>
          <t>991003716519702656</t>
        </is>
      </c>
      <c r="AX700" t="inlineStr">
        <is>
          <t>991003716519702656</t>
        </is>
      </c>
      <c r="AY700" t="inlineStr">
        <is>
          <t>2263298890002656</t>
        </is>
      </c>
      <c r="AZ700" t="inlineStr">
        <is>
          <t>BOOK</t>
        </is>
      </c>
      <c r="BB700" t="inlineStr">
        <is>
          <t>9781857036763</t>
        </is>
      </c>
      <c r="BC700" t="inlineStr">
        <is>
          <t>32285004459128</t>
        </is>
      </c>
      <c r="BD700" t="inlineStr">
        <is>
          <t>893258762</t>
        </is>
      </c>
    </row>
    <row r="701">
      <c r="A701" t="inlineStr">
        <is>
          <t>No</t>
        </is>
      </c>
      <c r="B701" t="inlineStr">
        <is>
          <t>DS204 .A68 1986</t>
        </is>
      </c>
      <c r="C701" t="inlineStr">
        <is>
          <t>0                      DS 0204000A  68          1986</t>
        </is>
      </c>
      <c r="D701" t="inlineStr">
        <is>
          <t>Arabia and the Gulf : from traditional society to modern states / edited by Ian Richard Netton.</t>
        </is>
      </c>
      <c r="F701" t="inlineStr">
        <is>
          <t>No</t>
        </is>
      </c>
      <c r="G701" t="inlineStr">
        <is>
          <t>1</t>
        </is>
      </c>
      <c r="H701" t="inlineStr">
        <is>
          <t>No</t>
        </is>
      </c>
      <c r="I701" t="inlineStr">
        <is>
          <t>No</t>
        </is>
      </c>
      <c r="J701" t="inlineStr">
        <is>
          <t>0</t>
        </is>
      </c>
      <c r="L701" t="inlineStr">
        <is>
          <t>Totowa, N.J. : Barnes &amp; Noble, 1986.</t>
        </is>
      </c>
      <c r="M701" t="inlineStr">
        <is>
          <t>1986</t>
        </is>
      </c>
      <c r="O701" t="inlineStr">
        <is>
          <t>eng</t>
        </is>
      </c>
      <c r="P701" t="inlineStr">
        <is>
          <t>nju</t>
        </is>
      </c>
      <c r="R701" t="inlineStr">
        <is>
          <t xml:space="preserve">DS </t>
        </is>
      </c>
      <c r="S701" t="n">
        <v>7</v>
      </c>
      <c r="T701" t="n">
        <v>7</v>
      </c>
      <c r="U701" t="inlineStr">
        <is>
          <t>2006-10-03</t>
        </is>
      </c>
      <c r="V701" t="inlineStr">
        <is>
          <t>2006-10-03</t>
        </is>
      </c>
      <c r="W701" t="inlineStr">
        <is>
          <t>1990-10-08</t>
        </is>
      </c>
      <c r="X701" t="inlineStr">
        <is>
          <t>1990-10-08</t>
        </is>
      </c>
      <c r="Y701" t="n">
        <v>210</v>
      </c>
      <c r="Z701" t="n">
        <v>196</v>
      </c>
      <c r="AA701" t="n">
        <v>259</v>
      </c>
      <c r="AB701" t="n">
        <v>1</v>
      </c>
      <c r="AC701" t="n">
        <v>2</v>
      </c>
      <c r="AD701" t="n">
        <v>8</v>
      </c>
      <c r="AE701" t="n">
        <v>9</v>
      </c>
      <c r="AF701" t="n">
        <v>3</v>
      </c>
      <c r="AG701" t="n">
        <v>3</v>
      </c>
      <c r="AH701" t="n">
        <v>2</v>
      </c>
      <c r="AI701" t="n">
        <v>2</v>
      </c>
      <c r="AJ701" t="n">
        <v>6</v>
      </c>
      <c r="AK701" t="n">
        <v>6</v>
      </c>
      <c r="AL701" t="n">
        <v>0</v>
      </c>
      <c r="AM701" t="n">
        <v>1</v>
      </c>
      <c r="AN701" t="n">
        <v>0</v>
      </c>
      <c r="AO701" t="n">
        <v>0</v>
      </c>
      <c r="AP701" t="inlineStr">
        <is>
          <t>No</t>
        </is>
      </c>
      <c r="AQ701" t="inlineStr">
        <is>
          <t>Yes</t>
        </is>
      </c>
      <c r="AR701">
        <f>HYPERLINK("http://catalog.hathitrust.org/Record/000815750","HathiTrust Record")</f>
        <v/>
      </c>
      <c r="AS701">
        <f>HYPERLINK("https://creighton-primo.hosted.exlibrisgroup.com/primo-explore/search?tab=default_tab&amp;search_scope=EVERYTHING&amp;vid=01CRU&amp;lang=en_US&amp;offset=0&amp;query=any,contains,991000872379702656","Catalog Record")</f>
        <v/>
      </c>
      <c r="AT701">
        <f>HYPERLINK("http://www.worldcat.org/oclc/13793770","WorldCat Record")</f>
        <v/>
      </c>
      <c r="AU701" t="inlineStr">
        <is>
          <t>836647155:eng</t>
        </is>
      </c>
      <c r="AV701" t="inlineStr">
        <is>
          <t>13793770</t>
        </is>
      </c>
      <c r="AW701" t="inlineStr">
        <is>
          <t>991000872379702656</t>
        </is>
      </c>
      <c r="AX701" t="inlineStr">
        <is>
          <t>991000872379702656</t>
        </is>
      </c>
      <c r="AY701" t="inlineStr">
        <is>
          <t>2272080700002656</t>
        </is>
      </c>
      <c r="AZ701" t="inlineStr">
        <is>
          <t>BOOK</t>
        </is>
      </c>
      <c r="BB701" t="inlineStr">
        <is>
          <t>9780389206583</t>
        </is>
      </c>
      <c r="BC701" t="inlineStr">
        <is>
          <t>32285000335256</t>
        </is>
      </c>
      <c r="BD701" t="inlineStr">
        <is>
          <t>893346050</t>
        </is>
      </c>
    </row>
    <row r="702">
      <c r="A702" t="inlineStr">
        <is>
          <t>No</t>
        </is>
      </c>
      <c r="B702" t="inlineStr">
        <is>
          <t>DS204 .C5</t>
        </is>
      </c>
      <c r="C702" t="inlineStr">
        <is>
          <t>0                      DS 0204000C  5</t>
        </is>
      </c>
      <c r="D702" t="inlineStr">
        <is>
          <t>Saudi Arabia / Frank A. Clements.</t>
        </is>
      </c>
      <c r="F702" t="inlineStr">
        <is>
          <t>No</t>
        </is>
      </c>
      <c r="G702" t="inlineStr">
        <is>
          <t>1</t>
        </is>
      </c>
      <c r="H702" t="inlineStr">
        <is>
          <t>No</t>
        </is>
      </c>
      <c r="I702" t="inlineStr">
        <is>
          <t>No</t>
        </is>
      </c>
      <c r="J702" t="inlineStr">
        <is>
          <t>0</t>
        </is>
      </c>
      <c r="K702" t="inlineStr">
        <is>
          <t>Clements, Frank, 1942-</t>
        </is>
      </c>
      <c r="L702" t="inlineStr">
        <is>
          <t>Oxford, Eng. ; Santa Barbara, Calif. : Clio Press, c1979.</t>
        </is>
      </c>
      <c r="M702" t="inlineStr">
        <is>
          <t>1979</t>
        </is>
      </c>
      <c r="O702" t="inlineStr">
        <is>
          <t>eng</t>
        </is>
      </c>
      <c r="P702" t="inlineStr">
        <is>
          <t>enk</t>
        </is>
      </c>
      <c r="Q702" t="inlineStr">
        <is>
          <t>World bibliographical series ; v. 5</t>
        </is>
      </c>
      <c r="R702" t="inlineStr">
        <is>
          <t xml:space="preserve">DS </t>
        </is>
      </c>
      <c r="S702" t="n">
        <v>2</v>
      </c>
      <c r="T702" t="n">
        <v>2</v>
      </c>
      <c r="U702" t="inlineStr">
        <is>
          <t>2004-02-16</t>
        </is>
      </c>
      <c r="V702" t="inlineStr">
        <is>
          <t>2004-02-16</t>
        </is>
      </c>
      <c r="W702" t="inlineStr">
        <is>
          <t>1998-04-02</t>
        </is>
      </c>
      <c r="X702" t="inlineStr">
        <is>
          <t>1998-04-02</t>
        </is>
      </c>
      <c r="Y702" t="n">
        <v>411</v>
      </c>
      <c r="Z702" t="n">
        <v>310</v>
      </c>
      <c r="AA702" t="n">
        <v>943</v>
      </c>
      <c r="AB702" t="n">
        <v>3</v>
      </c>
      <c r="AC702" t="n">
        <v>6</v>
      </c>
      <c r="AD702" t="n">
        <v>14</v>
      </c>
      <c r="AE702" t="n">
        <v>24</v>
      </c>
      <c r="AF702" t="n">
        <v>3</v>
      </c>
      <c r="AG702" t="n">
        <v>9</v>
      </c>
      <c r="AH702" t="n">
        <v>3</v>
      </c>
      <c r="AI702" t="n">
        <v>4</v>
      </c>
      <c r="AJ702" t="n">
        <v>8</v>
      </c>
      <c r="AK702" t="n">
        <v>11</v>
      </c>
      <c r="AL702" t="n">
        <v>2</v>
      </c>
      <c r="AM702" t="n">
        <v>5</v>
      </c>
      <c r="AN702" t="n">
        <v>0</v>
      </c>
      <c r="AO702" t="n">
        <v>0</v>
      </c>
      <c r="AP702" t="inlineStr">
        <is>
          <t>No</t>
        </is>
      </c>
      <c r="AQ702" t="inlineStr">
        <is>
          <t>Yes</t>
        </is>
      </c>
      <c r="AR702">
        <f>HYPERLINK("http://catalog.hathitrust.org/Record/000706160","HathiTrust Record")</f>
        <v/>
      </c>
      <c r="AS702">
        <f>HYPERLINK("https://creighton-primo.hosted.exlibrisgroup.com/primo-explore/search?tab=default_tab&amp;search_scope=EVERYTHING&amp;vid=01CRU&amp;lang=en_US&amp;offset=0&amp;query=any,contains,991001755629702656","Catalog Record")</f>
        <v/>
      </c>
      <c r="AT702">
        <f>HYPERLINK("http://www.worldcat.org/oclc/5382313","WorldCat Record")</f>
        <v/>
      </c>
      <c r="AU702" t="inlineStr">
        <is>
          <t>1063341:eng</t>
        </is>
      </c>
      <c r="AV702" t="inlineStr">
        <is>
          <t>5382313</t>
        </is>
      </c>
      <c r="AW702" t="inlineStr">
        <is>
          <t>991001755629702656</t>
        </is>
      </c>
      <c r="AX702" t="inlineStr">
        <is>
          <t>991001755629702656</t>
        </is>
      </c>
      <c r="AY702" t="inlineStr">
        <is>
          <t>2267257940002656</t>
        </is>
      </c>
      <c r="AZ702" t="inlineStr">
        <is>
          <t>BOOK</t>
        </is>
      </c>
      <c r="BB702" t="inlineStr">
        <is>
          <t>9780903450157</t>
        </is>
      </c>
      <c r="BC702" t="inlineStr">
        <is>
          <t>32285003371258</t>
        </is>
      </c>
      <c r="BD702" t="inlineStr">
        <is>
          <t>893703301</t>
        </is>
      </c>
    </row>
    <row r="703">
      <c r="A703" t="inlineStr">
        <is>
          <t>No</t>
        </is>
      </c>
      <c r="B703" t="inlineStr">
        <is>
          <t>DS204 .K56 1990</t>
        </is>
      </c>
      <c r="C703" t="inlineStr">
        <is>
          <t>0                      DS 0204000K  56          1990</t>
        </is>
      </c>
      <c r="D703" t="inlineStr">
        <is>
          <t>The Kingdom of Saudi Arabia.</t>
        </is>
      </c>
      <c r="F703" t="inlineStr">
        <is>
          <t>No</t>
        </is>
      </c>
      <c r="G703" t="inlineStr">
        <is>
          <t>1</t>
        </is>
      </c>
      <c r="H703" t="inlineStr">
        <is>
          <t>No</t>
        </is>
      </c>
      <c r="I703" t="inlineStr">
        <is>
          <t>Yes</t>
        </is>
      </c>
      <c r="J703" t="inlineStr">
        <is>
          <t>0</t>
        </is>
      </c>
      <c r="L703" t="inlineStr">
        <is>
          <t>London ; Atlantic Highlands, NJ : Stacey International, 1990.</t>
        </is>
      </c>
      <c r="M703" t="inlineStr">
        <is>
          <t>1990</t>
        </is>
      </c>
      <c r="N703" t="inlineStr">
        <is>
          <t>8th ed.</t>
        </is>
      </c>
      <c r="O703" t="inlineStr">
        <is>
          <t>eng</t>
        </is>
      </c>
      <c r="P703" t="inlineStr">
        <is>
          <t>enk</t>
        </is>
      </c>
      <c r="R703" t="inlineStr">
        <is>
          <t xml:space="preserve">DS </t>
        </is>
      </c>
      <c r="S703" t="n">
        <v>7</v>
      </c>
      <c r="T703" t="n">
        <v>7</v>
      </c>
      <c r="U703" t="inlineStr">
        <is>
          <t>2003-12-01</t>
        </is>
      </c>
      <c r="V703" t="inlineStr">
        <is>
          <t>2003-12-01</t>
        </is>
      </c>
      <c r="W703" t="inlineStr">
        <is>
          <t>1990-10-26</t>
        </is>
      </c>
      <c r="X703" t="inlineStr">
        <is>
          <t>1990-10-26</t>
        </is>
      </c>
      <c r="Y703" t="n">
        <v>90</v>
      </c>
      <c r="Z703" t="n">
        <v>65</v>
      </c>
      <c r="AA703" t="n">
        <v>312</v>
      </c>
      <c r="AB703" t="n">
        <v>1</v>
      </c>
      <c r="AC703" t="n">
        <v>4</v>
      </c>
      <c r="AD703" t="n">
        <v>0</v>
      </c>
      <c r="AE703" t="n">
        <v>10</v>
      </c>
      <c r="AF703" t="n">
        <v>0</v>
      </c>
      <c r="AG703" t="n">
        <v>2</v>
      </c>
      <c r="AH703" t="n">
        <v>0</v>
      </c>
      <c r="AI703" t="n">
        <v>3</v>
      </c>
      <c r="AJ703" t="n">
        <v>0</v>
      </c>
      <c r="AK703" t="n">
        <v>5</v>
      </c>
      <c r="AL703" t="n">
        <v>0</v>
      </c>
      <c r="AM703" t="n">
        <v>2</v>
      </c>
      <c r="AN703" t="n">
        <v>0</v>
      </c>
      <c r="AO703" t="n">
        <v>0</v>
      </c>
      <c r="AP703" t="inlineStr">
        <is>
          <t>No</t>
        </is>
      </c>
      <c r="AQ703" t="inlineStr">
        <is>
          <t>Yes</t>
        </is>
      </c>
      <c r="AR703">
        <f>HYPERLINK("http://catalog.hathitrust.org/Record/006045487","HathiTrust Record")</f>
        <v/>
      </c>
      <c r="AS703">
        <f>HYPERLINK("https://creighton-primo.hosted.exlibrisgroup.com/primo-explore/search?tab=default_tab&amp;search_scope=EVERYTHING&amp;vid=01CRU&amp;lang=en_US&amp;offset=0&amp;query=any,contains,991001621479702656","Catalog Record")</f>
        <v/>
      </c>
      <c r="AT703">
        <f>HYPERLINK("http://www.worldcat.org/oclc/20824961","WorldCat Record")</f>
        <v/>
      </c>
      <c r="AU703" t="inlineStr">
        <is>
          <t>375127110:eng</t>
        </is>
      </c>
      <c r="AV703" t="inlineStr">
        <is>
          <t>20824961</t>
        </is>
      </c>
      <c r="AW703" t="inlineStr">
        <is>
          <t>991001621479702656</t>
        </is>
      </c>
      <c r="AX703" t="inlineStr">
        <is>
          <t>991001621479702656</t>
        </is>
      </c>
      <c r="AY703" t="inlineStr">
        <is>
          <t>2259950620002656</t>
        </is>
      </c>
      <c r="AZ703" t="inlineStr">
        <is>
          <t>BOOK</t>
        </is>
      </c>
      <c r="BB703" t="inlineStr">
        <is>
          <t>9780905743592</t>
        </is>
      </c>
      <c r="BC703" t="inlineStr">
        <is>
          <t>32285000311679</t>
        </is>
      </c>
      <c r="BD703" t="inlineStr">
        <is>
          <t>893322088</t>
        </is>
      </c>
    </row>
    <row r="704">
      <c r="A704" t="inlineStr">
        <is>
          <t>No</t>
        </is>
      </c>
      <c r="B704" t="inlineStr">
        <is>
          <t>DS204 .L5</t>
        </is>
      </c>
      <c r="C704" t="inlineStr">
        <is>
          <t>0                      DS 0204000L  5</t>
        </is>
      </c>
      <c r="D704" t="inlineStr">
        <is>
          <t>Saudi Arabia, its people, its society, its culture / George A. Lipsky ; in collaboration with Moukhtar Ani ... [et al.].</t>
        </is>
      </c>
      <c r="F704" t="inlineStr">
        <is>
          <t>No</t>
        </is>
      </c>
      <c r="G704" t="inlineStr">
        <is>
          <t>1</t>
        </is>
      </c>
      <c r="H704" t="inlineStr">
        <is>
          <t>No</t>
        </is>
      </c>
      <c r="I704" t="inlineStr">
        <is>
          <t>No</t>
        </is>
      </c>
      <c r="J704" t="inlineStr">
        <is>
          <t>0</t>
        </is>
      </c>
      <c r="K704" t="inlineStr">
        <is>
          <t>Lipsky, George A. (George Arthur), 1912-</t>
        </is>
      </c>
      <c r="L704" t="inlineStr">
        <is>
          <t>New Haven : HRAF Press, c1959.</t>
        </is>
      </c>
      <c r="M704" t="inlineStr">
        <is>
          <t>1959</t>
        </is>
      </c>
      <c r="O704" t="inlineStr">
        <is>
          <t>eng</t>
        </is>
      </c>
      <c r="P704" t="inlineStr">
        <is>
          <t>ctu</t>
        </is>
      </c>
      <c r="Q704" t="inlineStr">
        <is>
          <t>Survey of world cultures ; 4</t>
        </is>
      </c>
      <c r="R704" t="inlineStr">
        <is>
          <t xml:space="preserve">DS </t>
        </is>
      </c>
      <c r="S704" t="n">
        <v>4</v>
      </c>
      <c r="T704" t="n">
        <v>4</v>
      </c>
      <c r="U704" t="inlineStr">
        <is>
          <t>2008-04-22</t>
        </is>
      </c>
      <c r="V704" t="inlineStr">
        <is>
          <t>2008-04-22</t>
        </is>
      </c>
      <c r="W704" t="inlineStr">
        <is>
          <t>1993-01-23</t>
        </is>
      </c>
      <c r="X704" t="inlineStr">
        <is>
          <t>1993-01-23</t>
        </is>
      </c>
      <c r="Y704" t="n">
        <v>752</v>
      </c>
      <c r="Z704" t="n">
        <v>638</v>
      </c>
      <c r="AA704" t="n">
        <v>650</v>
      </c>
      <c r="AB704" t="n">
        <v>5</v>
      </c>
      <c r="AC704" t="n">
        <v>5</v>
      </c>
      <c r="AD704" t="n">
        <v>26</v>
      </c>
      <c r="AE704" t="n">
        <v>26</v>
      </c>
      <c r="AF704" t="n">
        <v>9</v>
      </c>
      <c r="AG704" t="n">
        <v>9</v>
      </c>
      <c r="AH704" t="n">
        <v>5</v>
      </c>
      <c r="AI704" t="n">
        <v>5</v>
      </c>
      <c r="AJ704" t="n">
        <v>13</v>
      </c>
      <c r="AK704" t="n">
        <v>13</v>
      </c>
      <c r="AL704" t="n">
        <v>4</v>
      </c>
      <c r="AM704" t="n">
        <v>4</v>
      </c>
      <c r="AN704" t="n">
        <v>1</v>
      </c>
      <c r="AO704" t="n">
        <v>1</v>
      </c>
      <c r="AP704" t="inlineStr">
        <is>
          <t>Yes</t>
        </is>
      </c>
      <c r="AQ704" t="inlineStr">
        <is>
          <t>No</t>
        </is>
      </c>
      <c r="AR704">
        <f>HYPERLINK("http://catalog.hathitrust.org/Record/001248166","HathiTrust Record")</f>
        <v/>
      </c>
      <c r="AS704">
        <f>HYPERLINK("https://creighton-primo.hosted.exlibrisgroup.com/primo-explore/search?tab=default_tab&amp;search_scope=EVERYTHING&amp;vid=01CRU&amp;lang=en_US&amp;offset=0&amp;query=any,contains,991002713979702656","Catalog Record")</f>
        <v/>
      </c>
      <c r="AT704">
        <f>HYPERLINK("http://www.worldcat.org/oclc/410748","WorldCat Record")</f>
        <v/>
      </c>
      <c r="AU704" t="inlineStr">
        <is>
          <t>1455003:eng</t>
        </is>
      </c>
      <c r="AV704" t="inlineStr">
        <is>
          <t>410748</t>
        </is>
      </c>
      <c r="AW704" t="inlineStr">
        <is>
          <t>991002713979702656</t>
        </is>
      </c>
      <c r="AX704" t="inlineStr">
        <is>
          <t>991002713979702656</t>
        </is>
      </c>
      <c r="AY704" t="inlineStr">
        <is>
          <t>2262577860002656</t>
        </is>
      </c>
      <c r="AZ704" t="inlineStr">
        <is>
          <t>BOOK</t>
        </is>
      </c>
      <c r="BC704" t="inlineStr">
        <is>
          <t>32285001477032</t>
        </is>
      </c>
      <c r="BD704" t="inlineStr">
        <is>
          <t>893603913</t>
        </is>
      </c>
    </row>
    <row r="705">
      <c r="A705" t="inlineStr">
        <is>
          <t>No</t>
        </is>
      </c>
      <c r="B705" t="inlineStr">
        <is>
          <t>DS204 .M23 1987</t>
        </is>
      </c>
      <c r="C705" t="inlineStr">
        <is>
          <t>0                      DS 0204000M  23          1987</t>
        </is>
      </c>
      <c r="D705" t="inlineStr">
        <is>
          <t>The Saudis : inside the desert kingdom / Sandra Mackey.</t>
        </is>
      </c>
      <c r="F705" t="inlineStr">
        <is>
          <t>No</t>
        </is>
      </c>
      <c r="G705" t="inlineStr">
        <is>
          <t>1</t>
        </is>
      </c>
      <c r="H705" t="inlineStr">
        <is>
          <t>No</t>
        </is>
      </c>
      <c r="I705" t="inlineStr">
        <is>
          <t>No</t>
        </is>
      </c>
      <c r="J705" t="inlineStr">
        <is>
          <t>0</t>
        </is>
      </c>
      <c r="K705" t="inlineStr">
        <is>
          <t>Mackey, Sandra, 1937-</t>
        </is>
      </c>
      <c r="L705" t="inlineStr">
        <is>
          <t>Boston : Houghton Mifflin, 1987.</t>
        </is>
      </c>
      <c r="M705" t="inlineStr">
        <is>
          <t>1987</t>
        </is>
      </c>
      <c r="O705" t="inlineStr">
        <is>
          <t>eng</t>
        </is>
      </c>
      <c r="P705" t="inlineStr">
        <is>
          <t>mau</t>
        </is>
      </c>
      <c r="R705" t="inlineStr">
        <is>
          <t xml:space="preserve">DS </t>
        </is>
      </c>
      <c r="S705" t="n">
        <v>8</v>
      </c>
      <c r="T705" t="n">
        <v>8</v>
      </c>
      <c r="U705" t="inlineStr">
        <is>
          <t>2003-10-27</t>
        </is>
      </c>
      <c r="V705" t="inlineStr">
        <is>
          <t>2003-10-27</t>
        </is>
      </c>
      <c r="W705" t="inlineStr">
        <is>
          <t>1990-06-05</t>
        </is>
      </c>
      <c r="X705" t="inlineStr">
        <is>
          <t>1990-06-05</t>
        </is>
      </c>
      <c r="Y705" t="n">
        <v>820</v>
      </c>
      <c r="Z705" t="n">
        <v>756</v>
      </c>
      <c r="AA705" t="n">
        <v>1287</v>
      </c>
      <c r="AB705" t="n">
        <v>2</v>
      </c>
      <c r="AC705" t="n">
        <v>9</v>
      </c>
      <c r="AD705" t="n">
        <v>12</v>
      </c>
      <c r="AE705" t="n">
        <v>26</v>
      </c>
      <c r="AF705" t="n">
        <v>4</v>
      </c>
      <c r="AG705" t="n">
        <v>9</v>
      </c>
      <c r="AH705" t="n">
        <v>6</v>
      </c>
      <c r="AI705" t="n">
        <v>9</v>
      </c>
      <c r="AJ705" t="n">
        <v>7</v>
      </c>
      <c r="AK705" t="n">
        <v>10</v>
      </c>
      <c r="AL705" t="n">
        <v>0</v>
      </c>
      <c r="AM705" t="n">
        <v>4</v>
      </c>
      <c r="AN705" t="n">
        <v>0</v>
      </c>
      <c r="AO705" t="n">
        <v>1</v>
      </c>
      <c r="AP705" t="inlineStr">
        <is>
          <t>No</t>
        </is>
      </c>
      <c r="AQ705" t="inlineStr">
        <is>
          <t>Yes</t>
        </is>
      </c>
      <c r="AR705">
        <f>HYPERLINK("http://catalog.hathitrust.org/Record/000820605","HathiTrust Record")</f>
        <v/>
      </c>
      <c r="AS705">
        <f>HYPERLINK("https://creighton-primo.hosted.exlibrisgroup.com/primo-explore/search?tab=default_tab&amp;search_scope=EVERYTHING&amp;vid=01CRU&amp;lang=en_US&amp;offset=0&amp;query=any,contains,991000979449702656","Catalog Record")</f>
        <v/>
      </c>
      <c r="AT705">
        <f>HYPERLINK("http://www.worldcat.org/oclc/15018174","WorldCat Record")</f>
        <v/>
      </c>
      <c r="AU705" t="inlineStr">
        <is>
          <t>793858509:eng</t>
        </is>
      </c>
      <c r="AV705" t="inlineStr">
        <is>
          <t>15018174</t>
        </is>
      </c>
      <c r="AW705" t="inlineStr">
        <is>
          <t>991000979449702656</t>
        </is>
      </c>
      <c r="AX705" t="inlineStr">
        <is>
          <t>991000979449702656</t>
        </is>
      </c>
      <c r="AY705" t="inlineStr">
        <is>
          <t>2262977950002656</t>
        </is>
      </c>
      <c r="AZ705" t="inlineStr">
        <is>
          <t>BOOK</t>
        </is>
      </c>
      <c r="BB705" t="inlineStr">
        <is>
          <t>9780395411650</t>
        </is>
      </c>
      <c r="BC705" t="inlineStr">
        <is>
          <t>32285000181668</t>
        </is>
      </c>
      <c r="BD705" t="inlineStr">
        <is>
          <t>893321542</t>
        </is>
      </c>
    </row>
    <row r="706">
      <c r="A706" t="inlineStr">
        <is>
          <t>No</t>
        </is>
      </c>
      <c r="B706" t="inlineStr">
        <is>
          <t>DS204 .M29</t>
        </is>
      </c>
      <c r="C706" t="inlineStr">
        <is>
          <t>0                      DS 0204000M  29</t>
        </is>
      </c>
      <c r="D706" t="inlineStr">
        <is>
          <t>The new Arabians / by Peter Mansfield.</t>
        </is>
      </c>
      <c r="F706" t="inlineStr">
        <is>
          <t>No</t>
        </is>
      </c>
      <c r="G706" t="inlineStr">
        <is>
          <t>1</t>
        </is>
      </c>
      <c r="H706" t="inlineStr">
        <is>
          <t>No</t>
        </is>
      </c>
      <c r="I706" t="inlineStr">
        <is>
          <t>No</t>
        </is>
      </c>
      <c r="J706" t="inlineStr">
        <is>
          <t>0</t>
        </is>
      </c>
      <c r="K706" t="inlineStr">
        <is>
          <t>Mansfield, Peter, 1928-</t>
        </is>
      </c>
      <c r="L706" t="inlineStr">
        <is>
          <t>Chicago : J.G. Ferguson Pub. Co. ; New York : Distributed by Doubleday, 1981.</t>
        </is>
      </c>
      <c r="M706" t="inlineStr">
        <is>
          <t>1981</t>
        </is>
      </c>
      <c r="N706" t="inlineStr">
        <is>
          <t>1st ed.</t>
        </is>
      </c>
      <c r="O706" t="inlineStr">
        <is>
          <t>eng</t>
        </is>
      </c>
      <c r="P706" t="inlineStr">
        <is>
          <t>ilu</t>
        </is>
      </c>
      <c r="R706" t="inlineStr">
        <is>
          <t xml:space="preserve">DS </t>
        </is>
      </c>
      <c r="S706" t="n">
        <v>4</v>
      </c>
      <c r="T706" t="n">
        <v>4</v>
      </c>
      <c r="U706" t="inlineStr">
        <is>
          <t>2002-03-25</t>
        </is>
      </c>
      <c r="V706" t="inlineStr">
        <is>
          <t>2002-03-25</t>
        </is>
      </c>
      <c r="W706" t="inlineStr">
        <is>
          <t>1990-10-08</t>
        </is>
      </c>
      <c r="X706" t="inlineStr">
        <is>
          <t>1990-10-08</t>
        </is>
      </c>
      <c r="Y706" t="n">
        <v>650</v>
      </c>
      <c r="Z706" t="n">
        <v>596</v>
      </c>
      <c r="AA706" t="n">
        <v>604</v>
      </c>
      <c r="AB706" t="n">
        <v>4</v>
      </c>
      <c r="AC706" t="n">
        <v>4</v>
      </c>
      <c r="AD706" t="n">
        <v>17</v>
      </c>
      <c r="AE706" t="n">
        <v>17</v>
      </c>
      <c r="AF706" t="n">
        <v>6</v>
      </c>
      <c r="AG706" t="n">
        <v>6</v>
      </c>
      <c r="AH706" t="n">
        <v>3</v>
      </c>
      <c r="AI706" t="n">
        <v>3</v>
      </c>
      <c r="AJ706" t="n">
        <v>10</v>
      </c>
      <c r="AK706" t="n">
        <v>10</v>
      </c>
      <c r="AL706" t="n">
        <v>2</v>
      </c>
      <c r="AM706" t="n">
        <v>2</v>
      </c>
      <c r="AN706" t="n">
        <v>0</v>
      </c>
      <c r="AO706" t="n">
        <v>0</v>
      </c>
      <c r="AP706" t="inlineStr">
        <is>
          <t>No</t>
        </is>
      </c>
      <c r="AQ706" t="inlineStr">
        <is>
          <t>Yes</t>
        </is>
      </c>
      <c r="AR706">
        <f>HYPERLINK("http://catalog.hathitrust.org/Record/000226254","HathiTrust Record")</f>
        <v/>
      </c>
      <c r="AS706">
        <f>HYPERLINK("https://creighton-primo.hosted.exlibrisgroup.com/primo-explore/search?tab=default_tab&amp;search_scope=EVERYTHING&amp;vid=01CRU&amp;lang=en_US&amp;offset=0&amp;query=any,contains,991005217759702656","Catalog Record")</f>
        <v/>
      </c>
      <c r="AT706">
        <f>HYPERLINK("http://www.worldcat.org/oclc/8196643","WorldCat Record")</f>
        <v/>
      </c>
      <c r="AU706" t="inlineStr">
        <is>
          <t>6255219:eng</t>
        </is>
      </c>
      <c r="AV706" t="inlineStr">
        <is>
          <t>8196643</t>
        </is>
      </c>
      <c r="AW706" t="inlineStr">
        <is>
          <t>991005217759702656</t>
        </is>
      </c>
      <c r="AX706" t="inlineStr">
        <is>
          <t>991005217759702656</t>
        </is>
      </c>
      <c r="AY706" t="inlineStr">
        <is>
          <t>2267760180002656</t>
        </is>
      </c>
      <c r="AZ706" t="inlineStr">
        <is>
          <t>BOOK</t>
        </is>
      </c>
      <c r="BB706" t="inlineStr">
        <is>
          <t>9780385179119</t>
        </is>
      </c>
      <c r="BC706" t="inlineStr">
        <is>
          <t>32285000335280</t>
        </is>
      </c>
      <c r="BD706" t="inlineStr">
        <is>
          <t>893326394</t>
        </is>
      </c>
    </row>
    <row r="707">
      <c r="A707" t="inlineStr">
        <is>
          <t>No</t>
        </is>
      </c>
      <c r="B707" t="inlineStr">
        <is>
          <t>DS204 .S28 1993</t>
        </is>
      </c>
      <c r="C707" t="inlineStr">
        <is>
          <t>0                      DS 0204000S  28          1993</t>
        </is>
      </c>
      <c r="D707" t="inlineStr">
        <is>
          <t>Saudi Arabia : a kingdom in transition.</t>
        </is>
      </c>
      <c r="F707" t="inlineStr">
        <is>
          <t>No</t>
        </is>
      </c>
      <c r="G707" t="inlineStr">
        <is>
          <t>1</t>
        </is>
      </c>
      <c r="H707" t="inlineStr">
        <is>
          <t>No</t>
        </is>
      </c>
      <c r="I707" t="inlineStr">
        <is>
          <t>No</t>
        </is>
      </c>
      <c r="J707" t="inlineStr">
        <is>
          <t>0</t>
        </is>
      </c>
      <c r="L707" t="inlineStr">
        <is>
          <t>Beltsville, Maryland. : Amana Publications, 1993.</t>
        </is>
      </c>
      <c r="M707" t="inlineStr">
        <is>
          <t>1993</t>
        </is>
      </c>
      <c r="O707" t="inlineStr">
        <is>
          <t>eng</t>
        </is>
      </c>
      <c r="P707" t="inlineStr">
        <is>
          <t>mdu</t>
        </is>
      </c>
      <c r="R707" t="inlineStr">
        <is>
          <t xml:space="preserve">DS </t>
        </is>
      </c>
      <c r="S707" t="n">
        <v>9</v>
      </c>
      <c r="T707" t="n">
        <v>9</v>
      </c>
      <c r="U707" t="inlineStr">
        <is>
          <t>2004-06-28</t>
        </is>
      </c>
      <c r="V707" t="inlineStr">
        <is>
          <t>2004-06-28</t>
        </is>
      </c>
      <c r="W707" t="inlineStr">
        <is>
          <t>1995-02-01</t>
        </is>
      </c>
      <c r="X707" t="inlineStr">
        <is>
          <t>1995-02-01</t>
        </is>
      </c>
      <c r="Y707" t="n">
        <v>330</v>
      </c>
      <c r="Z707" t="n">
        <v>329</v>
      </c>
      <c r="AA707" t="n">
        <v>346</v>
      </c>
      <c r="AB707" t="n">
        <v>4</v>
      </c>
      <c r="AC707" t="n">
        <v>4</v>
      </c>
      <c r="AD707" t="n">
        <v>17</v>
      </c>
      <c r="AE707" t="n">
        <v>18</v>
      </c>
      <c r="AF707" t="n">
        <v>6</v>
      </c>
      <c r="AG707" t="n">
        <v>6</v>
      </c>
      <c r="AH707" t="n">
        <v>3</v>
      </c>
      <c r="AI707" t="n">
        <v>3</v>
      </c>
      <c r="AJ707" t="n">
        <v>8</v>
      </c>
      <c r="AK707" t="n">
        <v>9</v>
      </c>
      <c r="AL707" t="n">
        <v>3</v>
      </c>
      <c r="AM707" t="n">
        <v>3</v>
      </c>
      <c r="AN707" t="n">
        <v>0</v>
      </c>
      <c r="AO707" t="n">
        <v>0</v>
      </c>
      <c r="AP707" t="inlineStr">
        <is>
          <t>No</t>
        </is>
      </c>
      <c r="AQ707" t="inlineStr">
        <is>
          <t>Yes</t>
        </is>
      </c>
      <c r="AR707">
        <f>HYPERLINK("http://catalog.hathitrust.org/Record/002961138","HathiTrust Record")</f>
        <v/>
      </c>
      <c r="AS707">
        <f>HYPERLINK("https://creighton-primo.hosted.exlibrisgroup.com/primo-explore/search?tab=default_tab&amp;search_scope=EVERYTHING&amp;vid=01CRU&amp;lang=en_US&amp;offset=0&amp;query=any,contains,991002437499702656","Catalog Record")</f>
        <v/>
      </c>
      <c r="AT707">
        <f>HYPERLINK("http://www.worldcat.org/oclc/31906290","WorldCat Record")</f>
        <v/>
      </c>
      <c r="AU707" t="inlineStr">
        <is>
          <t>55895947:eng</t>
        </is>
      </c>
      <c r="AV707" t="inlineStr">
        <is>
          <t>31906290</t>
        </is>
      </c>
      <c r="AW707" t="inlineStr">
        <is>
          <t>991002437499702656</t>
        </is>
      </c>
      <c r="AX707" t="inlineStr">
        <is>
          <t>991002437499702656</t>
        </is>
      </c>
      <c r="AY707" t="inlineStr">
        <is>
          <t>2260477710002656</t>
        </is>
      </c>
      <c r="AZ707" t="inlineStr">
        <is>
          <t>BOOK</t>
        </is>
      </c>
      <c r="BC707" t="inlineStr">
        <is>
          <t>32285001974913</t>
        </is>
      </c>
      <c r="BD707" t="inlineStr">
        <is>
          <t>893591345</t>
        </is>
      </c>
    </row>
    <row r="708">
      <c r="A708" t="inlineStr">
        <is>
          <t>No</t>
        </is>
      </c>
      <c r="B708" t="inlineStr">
        <is>
          <t>DS204.25 .W96 2004</t>
        </is>
      </c>
      <c r="C708" t="inlineStr">
        <is>
          <t>0                      DS 0204250W  96          2004</t>
        </is>
      </c>
      <c r="D708" t="inlineStr">
        <is>
          <t>A brief history of Saudi Arabia / James Wynbrandt ; foreword by Fawaz A. Gerges.</t>
        </is>
      </c>
      <c r="F708" t="inlineStr">
        <is>
          <t>No</t>
        </is>
      </c>
      <c r="G708" t="inlineStr">
        <is>
          <t>1</t>
        </is>
      </c>
      <c r="H708" t="inlineStr">
        <is>
          <t>No</t>
        </is>
      </c>
      <c r="I708" t="inlineStr">
        <is>
          <t>No</t>
        </is>
      </c>
      <c r="J708" t="inlineStr">
        <is>
          <t>0</t>
        </is>
      </c>
      <c r="K708" t="inlineStr">
        <is>
          <t>Wynbrandt, James.</t>
        </is>
      </c>
      <c r="L708" t="inlineStr">
        <is>
          <t>New York : Facts On File, c2004.</t>
        </is>
      </c>
      <c r="M708" t="inlineStr">
        <is>
          <t>2004</t>
        </is>
      </c>
      <c r="O708" t="inlineStr">
        <is>
          <t>eng</t>
        </is>
      </c>
      <c r="P708" t="inlineStr">
        <is>
          <t>nyu</t>
        </is>
      </c>
      <c r="R708" t="inlineStr">
        <is>
          <t xml:space="preserve">DS </t>
        </is>
      </c>
      <c r="S708" t="n">
        <v>1</v>
      </c>
      <c r="T708" t="n">
        <v>1</v>
      </c>
      <c r="U708" t="inlineStr">
        <is>
          <t>2008-05-19</t>
        </is>
      </c>
      <c r="V708" t="inlineStr">
        <is>
          <t>2008-05-19</t>
        </is>
      </c>
      <c r="W708" t="inlineStr">
        <is>
          <t>2008-05-19</t>
        </is>
      </c>
      <c r="X708" t="inlineStr">
        <is>
          <t>2008-05-19</t>
        </is>
      </c>
      <c r="Y708" t="n">
        <v>453</v>
      </c>
      <c r="Z708" t="n">
        <v>398</v>
      </c>
      <c r="AA708" t="n">
        <v>951</v>
      </c>
      <c r="AB708" t="n">
        <v>5</v>
      </c>
      <c r="AC708" t="n">
        <v>9</v>
      </c>
      <c r="AD708" t="n">
        <v>13</v>
      </c>
      <c r="AE708" t="n">
        <v>28</v>
      </c>
      <c r="AF708" t="n">
        <v>3</v>
      </c>
      <c r="AG708" t="n">
        <v>13</v>
      </c>
      <c r="AH708" t="n">
        <v>6</v>
      </c>
      <c r="AI708" t="n">
        <v>8</v>
      </c>
      <c r="AJ708" t="n">
        <v>6</v>
      </c>
      <c r="AK708" t="n">
        <v>10</v>
      </c>
      <c r="AL708" t="n">
        <v>2</v>
      </c>
      <c r="AM708" t="n">
        <v>4</v>
      </c>
      <c r="AN708" t="n">
        <v>0</v>
      </c>
      <c r="AO708" t="n">
        <v>0</v>
      </c>
      <c r="AP708" t="inlineStr">
        <is>
          <t>No</t>
        </is>
      </c>
      <c r="AQ708" t="inlineStr">
        <is>
          <t>No</t>
        </is>
      </c>
      <c r="AS708">
        <f>HYPERLINK("https://creighton-primo.hosted.exlibrisgroup.com/primo-explore/search?tab=default_tab&amp;search_scope=EVERYTHING&amp;vid=01CRU&amp;lang=en_US&amp;offset=0&amp;query=any,contains,991005223329702656","Catalog Record")</f>
        <v/>
      </c>
      <c r="AT708">
        <f>HYPERLINK("http://www.worldcat.org/oclc/53223452","WorldCat Record")</f>
        <v/>
      </c>
      <c r="AU708" t="inlineStr">
        <is>
          <t>709029:eng</t>
        </is>
      </c>
      <c r="AV708" t="inlineStr">
        <is>
          <t>53223452</t>
        </is>
      </c>
      <c r="AW708" t="inlineStr">
        <is>
          <t>991005223329702656</t>
        </is>
      </c>
      <c r="AX708" t="inlineStr">
        <is>
          <t>991005223329702656</t>
        </is>
      </c>
      <c r="AY708" t="inlineStr">
        <is>
          <t>2263780730002656</t>
        </is>
      </c>
      <c r="AZ708" t="inlineStr">
        <is>
          <t>BOOK</t>
        </is>
      </c>
      <c r="BB708" t="inlineStr">
        <is>
          <t>9780816052035</t>
        </is>
      </c>
      <c r="BC708" t="inlineStr">
        <is>
          <t>32285005409619</t>
        </is>
      </c>
      <c r="BD708" t="inlineStr">
        <is>
          <t>893412524</t>
        </is>
      </c>
    </row>
    <row r="709">
      <c r="A709" t="inlineStr">
        <is>
          <t>No</t>
        </is>
      </c>
      <c r="B709" t="inlineStr">
        <is>
          <t>DS207 .B964</t>
        </is>
      </c>
      <c r="C709" t="inlineStr">
        <is>
          <t>0                      DS 0207000B  964</t>
        </is>
      </c>
      <c r="D709" t="inlineStr">
        <is>
          <t>Personal narrative of a pilgrimage to al-Madinah &amp; Meccah, by Sir Richard F. Burton. Edited by his wife, Isabel Burton.</t>
        </is>
      </c>
      <c r="F709" t="inlineStr">
        <is>
          <t>Yes</t>
        </is>
      </c>
      <c r="G709" t="inlineStr">
        <is>
          <t>1</t>
        </is>
      </c>
      <c r="H709" t="inlineStr">
        <is>
          <t>Yes</t>
        </is>
      </c>
      <c r="I709" t="inlineStr">
        <is>
          <t>No</t>
        </is>
      </c>
      <c r="J709" t="inlineStr">
        <is>
          <t>0</t>
        </is>
      </c>
      <c r="K709" t="inlineStr">
        <is>
          <t>Burton, Richard Francis, Sir, 1821-1890.</t>
        </is>
      </c>
      <c r="L709" t="inlineStr">
        <is>
          <t>New York, Dover Publications [1964]</t>
        </is>
      </c>
      <c r="M709" t="inlineStr">
        <is>
          <t>1964</t>
        </is>
      </c>
      <c r="N709" t="inlineStr">
        <is>
          <t>Memorial ed.</t>
        </is>
      </c>
      <c r="O709" t="inlineStr">
        <is>
          <t>eng</t>
        </is>
      </c>
      <c r="P709" t="inlineStr">
        <is>
          <t>nyu</t>
        </is>
      </c>
      <c r="R709" t="inlineStr">
        <is>
          <t xml:space="preserve">DS </t>
        </is>
      </c>
      <c r="S709" t="n">
        <v>0</v>
      </c>
      <c r="T709" t="n">
        <v>3</v>
      </c>
      <c r="V709" t="inlineStr">
        <is>
          <t>2000-11-21</t>
        </is>
      </c>
      <c r="W709" t="inlineStr">
        <is>
          <t>1997-03-06</t>
        </is>
      </c>
      <c r="X709" t="inlineStr">
        <is>
          <t>1997-03-06</t>
        </is>
      </c>
      <c r="Y709" t="n">
        <v>755</v>
      </c>
      <c r="Z709" t="n">
        <v>659</v>
      </c>
      <c r="AA709" t="n">
        <v>1006</v>
      </c>
      <c r="AB709" t="n">
        <v>3</v>
      </c>
      <c r="AC709" t="n">
        <v>5</v>
      </c>
      <c r="AD709" t="n">
        <v>20</v>
      </c>
      <c r="AE709" t="n">
        <v>34</v>
      </c>
      <c r="AF709" t="n">
        <v>7</v>
      </c>
      <c r="AG709" t="n">
        <v>11</v>
      </c>
      <c r="AH709" t="n">
        <v>3</v>
      </c>
      <c r="AI709" t="n">
        <v>8</v>
      </c>
      <c r="AJ709" t="n">
        <v>13</v>
      </c>
      <c r="AK709" t="n">
        <v>19</v>
      </c>
      <c r="AL709" t="n">
        <v>2</v>
      </c>
      <c r="AM709" t="n">
        <v>4</v>
      </c>
      <c r="AN709" t="n">
        <v>0</v>
      </c>
      <c r="AO709" t="n">
        <v>0</v>
      </c>
      <c r="AP709" t="inlineStr">
        <is>
          <t>No</t>
        </is>
      </c>
      <c r="AQ709" t="inlineStr">
        <is>
          <t>Yes</t>
        </is>
      </c>
      <c r="AR709">
        <f>HYPERLINK("http://catalog.hathitrust.org/Record/000002739","HathiTrust Record")</f>
        <v/>
      </c>
      <c r="AS709">
        <f>HYPERLINK("https://creighton-primo.hosted.exlibrisgroup.com/primo-explore/search?tab=default_tab&amp;search_scope=EVERYTHING&amp;vid=01CRU&amp;lang=en_US&amp;offset=0&amp;query=any,contains,991001158489702656","Catalog Record")</f>
        <v/>
      </c>
      <c r="AT709">
        <f>HYPERLINK("http://www.worldcat.org/oclc/186144","WorldCat Record")</f>
        <v/>
      </c>
      <c r="AU709" t="inlineStr">
        <is>
          <t>5620535543:eng</t>
        </is>
      </c>
      <c r="AV709" t="inlineStr">
        <is>
          <t>186144</t>
        </is>
      </c>
      <c r="AW709" t="inlineStr">
        <is>
          <t>991001158489702656</t>
        </is>
      </c>
      <c r="AX709" t="inlineStr">
        <is>
          <t>991001158489702656</t>
        </is>
      </c>
      <c r="AY709" t="inlineStr">
        <is>
          <t>2269418470002656</t>
        </is>
      </c>
      <c r="AZ709" t="inlineStr">
        <is>
          <t>BOOK</t>
        </is>
      </c>
      <c r="BB709" t="inlineStr">
        <is>
          <t>9780486212173</t>
        </is>
      </c>
      <c r="BC709" t="inlineStr">
        <is>
          <t>32285002455136</t>
        </is>
      </c>
      <c r="BD709" t="inlineStr">
        <is>
          <t>893334111</t>
        </is>
      </c>
    </row>
    <row r="710">
      <c r="A710" t="inlineStr">
        <is>
          <t>No</t>
        </is>
      </c>
      <c r="B710" t="inlineStr">
        <is>
          <t>DS207 .B964 V.2</t>
        </is>
      </c>
      <c r="C710" t="inlineStr">
        <is>
          <t>0                      DS 0207000B  964                                                     V.2</t>
        </is>
      </c>
      <c r="D710" t="inlineStr">
        <is>
          <t>Personal narrative of a pilgrimage to al-Madinah &amp; Meccah, by Sir Richard F. Burton. Edited by his wife, Isabel Burton.</t>
        </is>
      </c>
      <c r="E710" t="inlineStr">
        <is>
          <t>V.2*</t>
        </is>
      </c>
      <c r="F710" t="inlineStr">
        <is>
          <t>Yes</t>
        </is>
      </c>
      <c r="G710" t="inlineStr">
        <is>
          <t>1</t>
        </is>
      </c>
      <c r="H710" t="inlineStr">
        <is>
          <t>No</t>
        </is>
      </c>
      <c r="I710" t="inlineStr">
        <is>
          <t>No</t>
        </is>
      </c>
      <c r="J710" t="inlineStr">
        <is>
          <t>0</t>
        </is>
      </c>
      <c r="K710" t="inlineStr">
        <is>
          <t>Burton, Richard Francis, Sir, 1821-1890.</t>
        </is>
      </c>
      <c r="L710" t="inlineStr">
        <is>
          <t>New York, Dover Publications [1964]</t>
        </is>
      </c>
      <c r="M710" t="inlineStr">
        <is>
          <t>1964</t>
        </is>
      </c>
      <c r="N710" t="inlineStr">
        <is>
          <t>Memorial ed.</t>
        </is>
      </c>
      <c r="O710" t="inlineStr">
        <is>
          <t>eng</t>
        </is>
      </c>
      <c r="P710" t="inlineStr">
        <is>
          <t>nyu</t>
        </is>
      </c>
      <c r="R710" t="inlineStr">
        <is>
          <t xml:space="preserve">DS </t>
        </is>
      </c>
      <c r="S710" t="n">
        <v>3</v>
      </c>
      <c r="T710" t="n">
        <v>3</v>
      </c>
      <c r="U710" t="inlineStr">
        <is>
          <t>2000-11-21</t>
        </is>
      </c>
      <c r="V710" t="inlineStr">
        <is>
          <t>2000-11-21</t>
        </is>
      </c>
      <c r="W710" t="inlineStr">
        <is>
          <t>1997-03-06</t>
        </is>
      </c>
      <c r="X710" t="inlineStr">
        <is>
          <t>1997-03-06</t>
        </is>
      </c>
      <c r="Y710" t="n">
        <v>755</v>
      </c>
      <c r="Z710" t="n">
        <v>659</v>
      </c>
      <c r="AA710" t="n">
        <v>1006</v>
      </c>
      <c r="AB710" t="n">
        <v>3</v>
      </c>
      <c r="AC710" t="n">
        <v>5</v>
      </c>
      <c r="AD710" t="n">
        <v>20</v>
      </c>
      <c r="AE710" t="n">
        <v>34</v>
      </c>
      <c r="AF710" t="n">
        <v>7</v>
      </c>
      <c r="AG710" t="n">
        <v>11</v>
      </c>
      <c r="AH710" t="n">
        <v>3</v>
      </c>
      <c r="AI710" t="n">
        <v>8</v>
      </c>
      <c r="AJ710" t="n">
        <v>13</v>
      </c>
      <c r="AK710" t="n">
        <v>19</v>
      </c>
      <c r="AL710" t="n">
        <v>2</v>
      </c>
      <c r="AM710" t="n">
        <v>4</v>
      </c>
      <c r="AN710" t="n">
        <v>0</v>
      </c>
      <c r="AO710" t="n">
        <v>0</v>
      </c>
      <c r="AP710" t="inlineStr">
        <is>
          <t>No</t>
        </is>
      </c>
      <c r="AQ710" t="inlineStr">
        <is>
          <t>Yes</t>
        </is>
      </c>
      <c r="AR710">
        <f>HYPERLINK("http://catalog.hathitrust.org/Record/000002739","HathiTrust Record")</f>
        <v/>
      </c>
      <c r="AS710">
        <f>HYPERLINK("https://creighton-primo.hosted.exlibrisgroup.com/primo-explore/search?tab=default_tab&amp;search_scope=EVERYTHING&amp;vid=01CRU&amp;lang=en_US&amp;offset=0&amp;query=any,contains,991001158489702656","Catalog Record")</f>
        <v/>
      </c>
      <c r="AT710">
        <f>HYPERLINK("http://www.worldcat.org/oclc/186144","WorldCat Record")</f>
        <v/>
      </c>
      <c r="AU710" t="inlineStr">
        <is>
          <t>5620535543:eng</t>
        </is>
      </c>
      <c r="AV710" t="inlineStr">
        <is>
          <t>186144</t>
        </is>
      </c>
      <c r="AW710" t="inlineStr">
        <is>
          <t>991001158489702656</t>
        </is>
      </c>
      <c r="AX710" t="inlineStr">
        <is>
          <t>991001158489702656</t>
        </is>
      </c>
      <c r="AY710" t="inlineStr">
        <is>
          <t>2269418470002656</t>
        </is>
      </c>
      <c r="AZ710" t="inlineStr">
        <is>
          <t>BOOK</t>
        </is>
      </c>
      <c r="BB710" t="inlineStr">
        <is>
          <t>9780486212173</t>
        </is>
      </c>
      <c r="BC710" t="inlineStr">
        <is>
          <t>32285002455144</t>
        </is>
      </c>
      <c r="BD710" t="inlineStr">
        <is>
          <t>893340200</t>
        </is>
      </c>
    </row>
    <row r="711">
      <c r="A711" t="inlineStr">
        <is>
          <t>No</t>
        </is>
      </c>
      <c r="B711" t="inlineStr">
        <is>
          <t>DS207 .S4 1930a</t>
        </is>
      </c>
      <c r="C711" t="inlineStr">
        <is>
          <t>0                      DS 0207000S  4           1930a</t>
        </is>
      </c>
      <c r="D711" t="inlineStr">
        <is>
          <t>Adventures in Arabia among the Bedouins, Druses, whirling dervishes, &amp; Yezidee devil worshipers / by W. B. Seabrook.</t>
        </is>
      </c>
      <c r="F711" t="inlineStr">
        <is>
          <t>No</t>
        </is>
      </c>
      <c r="G711" t="inlineStr">
        <is>
          <t>1</t>
        </is>
      </c>
      <c r="H711" t="inlineStr">
        <is>
          <t>No</t>
        </is>
      </c>
      <c r="I711" t="inlineStr">
        <is>
          <t>No</t>
        </is>
      </c>
      <c r="J711" t="inlineStr">
        <is>
          <t>0</t>
        </is>
      </c>
      <c r="K711" t="inlineStr">
        <is>
          <t>Seabrook, William, 1884-1945.</t>
        </is>
      </c>
      <c r="L711" t="inlineStr">
        <is>
          <t>New York : Blue Ribbon Books, c1930.</t>
        </is>
      </c>
      <c r="M711" t="inlineStr">
        <is>
          <t>1930</t>
        </is>
      </c>
      <c r="O711" t="inlineStr">
        <is>
          <t>eng</t>
        </is>
      </c>
      <c r="P711" t="inlineStr">
        <is>
          <t>nyu</t>
        </is>
      </c>
      <c r="R711" t="inlineStr">
        <is>
          <t xml:space="preserve">DS </t>
        </is>
      </c>
      <c r="S711" t="n">
        <v>2</v>
      </c>
      <c r="T711" t="n">
        <v>2</v>
      </c>
      <c r="U711" t="inlineStr">
        <is>
          <t>1998-04-04</t>
        </is>
      </c>
      <c r="V711" t="inlineStr">
        <is>
          <t>1998-04-04</t>
        </is>
      </c>
      <c r="W711" t="inlineStr">
        <is>
          <t>1997-03-06</t>
        </is>
      </c>
      <c r="X711" t="inlineStr">
        <is>
          <t>1997-03-06</t>
        </is>
      </c>
      <c r="Y711" t="n">
        <v>61</v>
      </c>
      <c r="Z711" t="n">
        <v>57</v>
      </c>
      <c r="AA711" t="n">
        <v>389</v>
      </c>
      <c r="AB711" t="n">
        <v>1</v>
      </c>
      <c r="AC711" t="n">
        <v>4</v>
      </c>
      <c r="AD711" t="n">
        <v>3</v>
      </c>
      <c r="AE711" t="n">
        <v>14</v>
      </c>
      <c r="AF711" t="n">
        <v>2</v>
      </c>
      <c r="AG711" t="n">
        <v>6</v>
      </c>
      <c r="AH711" t="n">
        <v>0</v>
      </c>
      <c r="AI711" t="n">
        <v>2</v>
      </c>
      <c r="AJ711" t="n">
        <v>2</v>
      </c>
      <c r="AK711" t="n">
        <v>5</v>
      </c>
      <c r="AL711" t="n">
        <v>0</v>
      </c>
      <c r="AM711" t="n">
        <v>3</v>
      </c>
      <c r="AN711" t="n">
        <v>0</v>
      </c>
      <c r="AO711" t="n">
        <v>0</v>
      </c>
      <c r="AP711" t="inlineStr">
        <is>
          <t>No</t>
        </is>
      </c>
      <c r="AQ711" t="inlineStr">
        <is>
          <t>Yes</t>
        </is>
      </c>
      <c r="AR711">
        <f>HYPERLINK("http://catalog.hathitrust.org/Record/102108930","HathiTrust Record")</f>
        <v/>
      </c>
      <c r="AS711">
        <f>HYPERLINK("https://creighton-primo.hosted.exlibrisgroup.com/primo-explore/search?tab=default_tab&amp;search_scope=EVERYTHING&amp;vid=01CRU&amp;lang=en_US&amp;offset=0&amp;query=any,contains,991005091969702656","Catalog Record")</f>
        <v/>
      </c>
      <c r="AT711">
        <f>HYPERLINK("http://www.worldcat.org/oclc/7233579","WorldCat Record")</f>
        <v/>
      </c>
      <c r="AU711" t="inlineStr">
        <is>
          <t>9398594836:eng</t>
        </is>
      </c>
      <c r="AV711" t="inlineStr">
        <is>
          <t>7233579</t>
        </is>
      </c>
      <c r="AW711" t="inlineStr">
        <is>
          <t>991005091969702656</t>
        </is>
      </c>
      <c r="AX711" t="inlineStr">
        <is>
          <t>991005091969702656</t>
        </is>
      </c>
      <c r="AY711" t="inlineStr">
        <is>
          <t>2264926880002656</t>
        </is>
      </c>
      <c r="AZ711" t="inlineStr">
        <is>
          <t>BOOK</t>
        </is>
      </c>
      <c r="BC711" t="inlineStr">
        <is>
          <t>32285002455193</t>
        </is>
      </c>
      <c r="BD711" t="inlineStr">
        <is>
          <t>893628531</t>
        </is>
      </c>
    </row>
    <row r="712">
      <c r="A712" t="inlineStr">
        <is>
          <t>No</t>
        </is>
      </c>
      <c r="B712" t="inlineStr">
        <is>
          <t>DS208 .R32</t>
        </is>
      </c>
      <c r="C712" t="inlineStr">
        <is>
          <t>0                      DS 0208000R  32</t>
        </is>
      </c>
      <c r="D712" t="inlineStr">
        <is>
          <t>Arabia : a journey through the labyrinth / by Jonathan Raban.</t>
        </is>
      </c>
      <c r="F712" t="inlineStr">
        <is>
          <t>No</t>
        </is>
      </c>
      <c r="G712" t="inlineStr">
        <is>
          <t>1</t>
        </is>
      </c>
      <c r="H712" t="inlineStr">
        <is>
          <t>No</t>
        </is>
      </c>
      <c r="I712" t="inlineStr">
        <is>
          <t>No</t>
        </is>
      </c>
      <c r="J712" t="inlineStr">
        <is>
          <t>0</t>
        </is>
      </c>
      <c r="K712" t="inlineStr">
        <is>
          <t>Raban, Jonathan.</t>
        </is>
      </c>
      <c r="L712" t="inlineStr">
        <is>
          <t>New York : Simon and Schuster, c1979.</t>
        </is>
      </c>
      <c r="M712" t="inlineStr">
        <is>
          <t>1979</t>
        </is>
      </c>
      <c r="O712" t="inlineStr">
        <is>
          <t>eng</t>
        </is>
      </c>
      <c r="P712" t="inlineStr">
        <is>
          <t>nyu</t>
        </is>
      </c>
      <c r="R712" t="inlineStr">
        <is>
          <t xml:space="preserve">DS </t>
        </is>
      </c>
      <c r="S712" t="n">
        <v>0</v>
      </c>
      <c r="T712" t="n">
        <v>0</v>
      </c>
      <c r="U712" t="inlineStr">
        <is>
          <t>2003-07-14</t>
        </is>
      </c>
      <c r="V712" t="inlineStr">
        <is>
          <t>2003-07-14</t>
        </is>
      </c>
      <c r="W712" t="inlineStr">
        <is>
          <t>1990-06-20</t>
        </is>
      </c>
      <c r="X712" t="inlineStr">
        <is>
          <t>1990-06-20</t>
        </is>
      </c>
      <c r="Y712" t="n">
        <v>944</v>
      </c>
      <c r="Z712" t="n">
        <v>898</v>
      </c>
      <c r="AA712" t="n">
        <v>1032</v>
      </c>
      <c r="AB712" t="n">
        <v>5</v>
      </c>
      <c r="AC712" t="n">
        <v>6</v>
      </c>
      <c r="AD712" t="n">
        <v>23</v>
      </c>
      <c r="AE712" t="n">
        <v>27</v>
      </c>
      <c r="AF712" t="n">
        <v>8</v>
      </c>
      <c r="AG712" t="n">
        <v>9</v>
      </c>
      <c r="AH712" t="n">
        <v>6</v>
      </c>
      <c r="AI712" t="n">
        <v>7</v>
      </c>
      <c r="AJ712" t="n">
        <v>13</v>
      </c>
      <c r="AK712" t="n">
        <v>14</v>
      </c>
      <c r="AL712" t="n">
        <v>3</v>
      </c>
      <c r="AM712" t="n">
        <v>4</v>
      </c>
      <c r="AN712" t="n">
        <v>0</v>
      </c>
      <c r="AO712" t="n">
        <v>0</v>
      </c>
      <c r="AP712" t="inlineStr">
        <is>
          <t>No</t>
        </is>
      </c>
      <c r="AQ712" t="inlineStr">
        <is>
          <t>Yes</t>
        </is>
      </c>
      <c r="AR712">
        <f>HYPERLINK("http://catalog.hathitrust.org/Record/003008502","HathiTrust Record")</f>
        <v/>
      </c>
      <c r="AS712">
        <f>HYPERLINK("https://creighton-primo.hosted.exlibrisgroup.com/primo-explore/search?tab=default_tab&amp;search_scope=EVERYTHING&amp;vid=01CRU&amp;lang=en_US&amp;offset=0&amp;query=any,contains,991004776569702656","Catalog Record")</f>
        <v/>
      </c>
      <c r="AT712">
        <f>HYPERLINK("http://www.worldcat.org/oclc/5101408","WorldCat Record")</f>
        <v/>
      </c>
      <c r="AU712" t="inlineStr">
        <is>
          <t>3944313765:eng</t>
        </is>
      </c>
      <c r="AV712" t="inlineStr">
        <is>
          <t>5101408</t>
        </is>
      </c>
      <c r="AW712" t="inlineStr">
        <is>
          <t>991004776569702656</t>
        </is>
      </c>
      <c r="AX712" t="inlineStr">
        <is>
          <t>991004776569702656</t>
        </is>
      </c>
      <c r="AY712" t="inlineStr">
        <is>
          <t>2259258880002656</t>
        </is>
      </c>
      <c r="AZ712" t="inlineStr">
        <is>
          <t>BOOK</t>
        </is>
      </c>
      <c r="BB712" t="inlineStr">
        <is>
          <t>9780671250584</t>
        </is>
      </c>
      <c r="BC712" t="inlineStr">
        <is>
          <t>32285000210277</t>
        </is>
      </c>
      <c r="BD712" t="inlineStr">
        <is>
          <t>893436743</t>
        </is>
      </c>
    </row>
    <row r="713">
      <c r="A713" t="inlineStr">
        <is>
          <t>No</t>
        </is>
      </c>
      <c r="B713" t="inlineStr">
        <is>
          <t>DS215 .C35 2006</t>
        </is>
      </c>
      <c r="C713" t="inlineStr">
        <is>
          <t>0                      DS 0215000C  35          2006</t>
        </is>
      </c>
      <c r="D713" t="inlineStr">
        <is>
          <t>Twilight in the kingdom : understanding the Saudis / Mark A. Caudill ; foreword by Steve Coll.</t>
        </is>
      </c>
      <c r="F713" t="inlineStr">
        <is>
          <t>No</t>
        </is>
      </c>
      <c r="G713" t="inlineStr">
        <is>
          <t>1</t>
        </is>
      </c>
      <c r="H713" t="inlineStr">
        <is>
          <t>No</t>
        </is>
      </c>
      <c r="I713" t="inlineStr">
        <is>
          <t>No</t>
        </is>
      </c>
      <c r="J713" t="inlineStr">
        <is>
          <t>0</t>
        </is>
      </c>
      <c r="K713" t="inlineStr">
        <is>
          <t>Caudill, Mark A., 1963-</t>
        </is>
      </c>
      <c r="L713" t="inlineStr">
        <is>
          <t>Westport, Conn. : Praeger Security International, 2006.</t>
        </is>
      </c>
      <c r="M713" t="inlineStr">
        <is>
          <t>2006</t>
        </is>
      </c>
      <c r="O713" t="inlineStr">
        <is>
          <t>eng</t>
        </is>
      </c>
      <c r="P713" t="inlineStr">
        <is>
          <t>ctu</t>
        </is>
      </c>
      <c r="R713" t="inlineStr">
        <is>
          <t xml:space="preserve">DS </t>
        </is>
      </c>
      <c r="S713" t="n">
        <v>4</v>
      </c>
      <c r="T713" t="n">
        <v>4</v>
      </c>
      <c r="U713" t="inlineStr">
        <is>
          <t>2008-04-22</t>
        </is>
      </c>
      <c r="V713" t="inlineStr">
        <is>
          <t>2008-04-22</t>
        </is>
      </c>
      <c r="W713" t="inlineStr">
        <is>
          <t>2006-10-17</t>
        </is>
      </c>
      <c r="X713" t="inlineStr">
        <is>
          <t>2006-10-17</t>
        </is>
      </c>
      <c r="Y713" t="n">
        <v>240</v>
      </c>
      <c r="Z713" t="n">
        <v>205</v>
      </c>
      <c r="AA713" t="n">
        <v>572</v>
      </c>
      <c r="AB713" t="n">
        <v>3</v>
      </c>
      <c r="AC713" t="n">
        <v>5</v>
      </c>
      <c r="AD713" t="n">
        <v>12</v>
      </c>
      <c r="AE713" t="n">
        <v>18</v>
      </c>
      <c r="AF713" t="n">
        <v>4</v>
      </c>
      <c r="AG713" t="n">
        <v>7</v>
      </c>
      <c r="AH713" t="n">
        <v>4</v>
      </c>
      <c r="AI713" t="n">
        <v>4</v>
      </c>
      <c r="AJ713" t="n">
        <v>7</v>
      </c>
      <c r="AK713" t="n">
        <v>9</v>
      </c>
      <c r="AL713" t="n">
        <v>1</v>
      </c>
      <c r="AM713" t="n">
        <v>3</v>
      </c>
      <c r="AN713" t="n">
        <v>0</v>
      </c>
      <c r="AO713" t="n">
        <v>0</v>
      </c>
      <c r="AP713" t="inlineStr">
        <is>
          <t>No</t>
        </is>
      </c>
      <c r="AQ713" t="inlineStr">
        <is>
          <t>No</t>
        </is>
      </c>
      <c r="AS713">
        <f>HYPERLINK("https://creighton-primo.hosted.exlibrisgroup.com/primo-explore/search?tab=default_tab&amp;search_scope=EVERYTHING&amp;vid=01CRU&amp;lang=en_US&amp;offset=0&amp;query=any,contains,991004937769702656","Catalog Record")</f>
        <v/>
      </c>
      <c r="AT713">
        <f>HYPERLINK("http://www.worldcat.org/oclc/67869970","WorldCat Record")</f>
        <v/>
      </c>
      <c r="AU713" t="inlineStr">
        <is>
          <t>52368901:eng</t>
        </is>
      </c>
      <c r="AV713" t="inlineStr">
        <is>
          <t>67869970</t>
        </is>
      </c>
      <c r="AW713" t="inlineStr">
        <is>
          <t>991004937769702656</t>
        </is>
      </c>
      <c r="AX713" t="inlineStr">
        <is>
          <t>991004937769702656</t>
        </is>
      </c>
      <c r="AY713" t="inlineStr">
        <is>
          <t>2265586370002656</t>
        </is>
      </c>
      <c r="AZ713" t="inlineStr">
        <is>
          <t>BOOK</t>
        </is>
      </c>
      <c r="BB713" t="inlineStr">
        <is>
          <t>9780275992521</t>
        </is>
      </c>
      <c r="BC713" t="inlineStr">
        <is>
          <t>32285005229561</t>
        </is>
      </c>
      <c r="BD713" t="inlineStr">
        <is>
          <t>893694524</t>
        </is>
      </c>
    </row>
    <row r="714">
      <c r="A714" t="inlineStr">
        <is>
          <t>No</t>
        </is>
      </c>
      <c r="B714" t="inlineStr">
        <is>
          <t>DS215 .F3 1963</t>
        </is>
      </c>
      <c r="C714" t="inlineStr">
        <is>
          <t>0                      DS 0215000F  3           1963</t>
        </is>
      </c>
      <c r="D714" t="inlineStr">
        <is>
          <t>The Arab heritage / by Philip K. Hitti ... [et. al.] ; edited by Nabih Amin Faris.</t>
        </is>
      </c>
      <c r="F714" t="inlineStr">
        <is>
          <t>No</t>
        </is>
      </c>
      <c r="G714" t="inlineStr">
        <is>
          <t>1</t>
        </is>
      </c>
      <c r="H714" t="inlineStr">
        <is>
          <t>No</t>
        </is>
      </c>
      <c r="I714" t="inlineStr">
        <is>
          <t>No</t>
        </is>
      </c>
      <c r="J714" t="inlineStr">
        <is>
          <t>0</t>
        </is>
      </c>
      <c r="L714" t="inlineStr">
        <is>
          <t>New York : Russell &amp; Russell, 1963.</t>
        </is>
      </c>
      <c r="M714" t="inlineStr">
        <is>
          <t>1963</t>
        </is>
      </c>
      <c r="O714" t="inlineStr">
        <is>
          <t>eng</t>
        </is>
      </c>
      <c r="P714" t="inlineStr">
        <is>
          <t>nyu</t>
        </is>
      </c>
      <c r="R714" t="inlineStr">
        <is>
          <t xml:space="preserve">DS </t>
        </is>
      </c>
      <c r="S714" t="n">
        <v>5</v>
      </c>
      <c r="T714" t="n">
        <v>5</v>
      </c>
      <c r="U714" t="inlineStr">
        <is>
          <t>2000-03-05</t>
        </is>
      </c>
      <c r="V714" t="inlineStr">
        <is>
          <t>2000-03-05</t>
        </is>
      </c>
      <c r="W714" t="inlineStr">
        <is>
          <t>1997-03-06</t>
        </is>
      </c>
      <c r="X714" t="inlineStr">
        <is>
          <t>1997-03-06</t>
        </is>
      </c>
      <c r="Y714" t="n">
        <v>351</v>
      </c>
      <c r="Z714" t="n">
        <v>314</v>
      </c>
      <c r="AA714" t="n">
        <v>658</v>
      </c>
      <c r="AB714" t="n">
        <v>3</v>
      </c>
      <c r="AC714" t="n">
        <v>4</v>
      </c>
      <c r="AD714" t="n">
        <v>8</v>
      </c>
      <c r="AE714" t="n">
        <v>24</v>
      </c>
      <c r="AF714" t="n">
        <v>3</v>
      </c>
      <c r="AG714" t="n">
        <v>6</v>
      </c>
      <c r="AH714" t="n">
        <v>3</v>
      </c>
      <c r="AI714" t="n">
        <v>7</v>
      </c>
      <c r="AJ714" t="n">
        <v>2</v>
      </c>
      <c r="AK714" t="n">
        <v>13</v>
      </c>
      <c r="AL714" t="n">
        <v>2</v>
      </c>
      <c r="AM714" t="n">
        <v>3</v>
      </c>
      <c r="AN714" t="n">
        <v>0</v>
      </c>
      <c r="AO714" t="n">
        <v>0</v>
      </c>
      <c r="AP714" t="inlineStr">
        <is>
          <t>No</t>
        </is>
      </c>
      <c r="AQ714" t="inlineStr">
        <is>
          <t>Yes</t>
        </is>
      </c>
      <c r="AR714">
        <f>HYPERLINK("http://catalog.hathitrust.org/Record/010092113","HathiTrust Record")</f>
        <v/>
      </c>
      <c r="AS714">
        <f>HYPERLINK("https://creighton-primo.hosted.exlibrisgroup.com/primo-explore/search?tab=default_tab&amp;search_scope=EVERYTHING&amp;vid=01CRU&amp;lang=en_US&amp;offset=0&amp;query=any,contains,991000569509702656","Catalog Record")</f>
        <v/>
      </c>
      <c r="AT714">
        <f>HYPERLINK("http://www.worldcat.org/oclc/11633955","WorldCat Record")</f>
        <v/>
      </c>
      <c r="AU714" t="inlineStr">
        <is>
          <t>954951329:eng</t>
        </is>
      </c>
      <c r="AV714" t="inlineStr">
        <is>
          <t>11633955</t>
        </is>
      </c>
      <c r="AW714" t="inlineStr">
        <is>
          <t>991000569509702656</t>
        </is>
      </c>
      <c r="AX714" t="inlineStr">
        <is>
          <t>991000569509702656</t>
        </is>
      </c>
      <c r="AY714" t="inlineStr">
        <is>
          <t>2258861120002656</t>
        </is>
      </c>
      <c r="AZ714" t="inlineStr">
        <is>
          <t>BOOK</t>
        </is>
      </c>
      <c r="BC714" t="inlineStr">
        <is>
          <t>32285002455219</t>
        </is>
      </c>
      <c r="BD714" t="inlineStr">
        <is>
          <t>893413485</t>
        </is>
      </c>
    </row>
    <row r="715">
      <c r="A715" t="inlineStr">
        <is>
          <t>No</t>
        </is>
      </c>
      <c r="B715" t="inlineStr">
        <is>
          <t>DS215 .K56 1979</t>
        </is>
      </c>
      <c r="C715" t="inlineStr">
        <is>
          <t>0                      DS 0215000K  56          1979</t>
        </is>
      </c>
      <c r="D715" t="inlineStr">
        <is>
          <t>The Kingdom of Saudi Arabia / [editorial direction and research, Anna Dowson ... et al. ; principal contributors, Sir Norman Anderson ... et al.].</t>
        </is>
      </c>
      <c r="F715" t="inlineStr">
        <is>
          <t>No</t>
        </is>
      </c>
      <c r="G715" t="inlineStr">
        <is>
          <t>1</t>
        </is>
      </c>
      <c r="H715" t="inlineStr">
        <is>
          <t>No</t>
        </is>
      </c>
      <c r="I715" t="inlineStr">
        <is>
          <t>Yes</t>
        </is>
      </c>
      <c r="J715" t="inlineStr">
        <is>
          <t>0</t>
        </is>
      </c>
      <c r="L715" t="inlineStr">
        <is>
          <t>London : Stacey International ; Dallas, TX : Inter-Crescent Publishing, 1979, c1977.</t>
        </is>
      </c>
      <c r="M715" t="inlineStr">
        <is>
          <t>1979</t>
        </is>
      </c>
      <c r="N715" t="inlineStr">
        <is>
          <t>[4th ed. (fully rev.)]</t>
        </is>
      </c>
      <c r="O715" t="inlineStr">
        <is>
          <t>eng</t>
        </is>
      </c>
      <c r="P715" t="inlineStr">
        <is>
          <t>enk</t>
        </is>
      </c>
      <c r="R715" t="inlineStr">
        <is>
          <t xml:space="preserve">DS </t>
        </is>
      </c>
      <c r="S715" t="n">
        <v>2</v>
      </c>
      <c r="T715" t="n">
        <v>2</v>
      </c>
      <c r="U715" t="inlineStr">
        <is>
          <t>1993-04-10</t>
        </is>
      </c>
      <c r="V715" t="inlineStr">
        <is>
          <t>1993-04-10</t>
        </is>
      </c>
      <c r="W715" t="inlineStr">
        <is>
          <t>1990-10-08</t>
        </is>
      </c>
      <c r="X715" t="inlineStr">
        <is>
          <t>1990-10-08</t>
        </is>
      </c>
      <c r="Y715" t="n">
        <v>30</v>
      </c>
      <c r="Z715" t="n">
        <v>18</v>
      </c>
      <c r="AA715" t="n">
        <v>312</v>
      </c>
      <c r="AB715" t="n">
        <v>1</v>
      </c>
      <c r="AC715" t="n">
        <v>4</v>
      </c>
      <c r="AD715" t="n">
        <v>0</v>
      </c>
      <c r="AE715" t="n">
        <v>10</v>
      </c>
      <c r="AF715" t="n">
        <v>0</v>
      </c>
      <c r="AG715" t="n">
        <v>2</v>
      </c>
      <c r="AH715" t="n">
        <v>0</v>
      </c>
      <c r="AI715" t="n">
        <v>3</v>
      </c>
      <c r="AJ715" t="n">
        <v>0</v>
      </c>
      <c r="AK715" t="n">
        <v>5</v>
      </c>
      <c r="AL715" t="n">
        <v>0</v>
      </c>
      <c r="AM715" t="n">
        <v>2</v>
      </c>
      <c r="AN715" t="n">
        <v>0</v>
      </c>
      <c r="AO715" t="n">
        <v>0</v>
      </c>
      <c r="AP715" t="inlineStr">
        <is>
          <t>No</t>
        </is>
      </c>
      <c r="AQ715" t="inlineStr">
        <is>
          <t>No</t>
        </is>
      </c>
      <c r="AS715">
        <f>HYPERLINK("https://creighton-primo.hosted.exlibrisgroup.com/primo-explore/search?tab=default_tab&amp;search_scope=EVERYTHING&amp;vid=01CRU&amp;lang=en_US&amp;offset=0&amp;query=any,contains,991000651829702656","Catalog Record")</f>
        <v/>
      </c>
      <c r="AT715">
        <f>HYPERLINK("http://www.worldcat.org/oclc/12177215","WorldCat Record")</f>
        <v/>
      </c>
      <c r="AU715" t="inlineStr">
        <is>
          <t>375127110:eng</t>
        </is>
      </c>
      <c r="AV715" t="inlineStr">
        <is>
          <t>12177215</t>
        </is>
      </c>
      <c r="AW715" t="inlineStr">
        <is>
          <t>991000651829702656</t>
        </is>
      </c>
      <c r="AX715" t="inlineStr">
        <is>
          <t>991000651829702656</t>
        </is>
      </c>
      <c r="AY715" t="inlineStr">
        <is>
          <t>2270945090002656</t>
        </is>
      </c>
      <c r="AZ715" t="inlineStr">
        <is>
          <t>BOOK</t>
        </is>
      </c>
      <c r="BB715" t="inlineStr">
        <is>
          <t>9780905743042</t>
        </is>
      </c>
      <c r="BC715" t="inlineStr">
        <is>
          <t>32285000335306</t>
        </is>
      </c>
      <c r="BD715" t="inlineStr">
        <is>
          <t>893432168</t>
        </is>
      </c>
    </row>
    <row r="716">
      <c r="A716" t="inlineStr">
        <is>
          <t>No</t>
        </is>
      </c>
      <c r="B716" t="inlineStr">
        <is>
          <t>DS219.B4 M8 1978</t>
        </is>
      </c>
      <c r="C716" t="inlineStr">
        <is>
          <t>0                      DS 0219000B  4                  M  8           1978</t>
        </is>
      </c>
      <c r="D716" t="inlineStr">
        <is>
          <t>The manners and customs of the Rwala Bedouins / by Alois Musil.</t>
        </is>
      </c>
      <c r="F716" t="inlineStr">
        <is>
          <t>No</t>
        </is>
      </c>
      <c r="G716" t="inlineStr">
        <is>
          <t>1</t>
        </is>
      </c>
      <c r="H716" t="inlineStr">
        <is>
          <t>No</t>
        </is>
      </c>
      <c r="I716" t="inlineStr">
        <is>
          <t>No</t>
        </is>
      </c>
      <c r="J716" t="inlineStr">
        <is>
          <t>0</t>
        </is>
      </c>
      <c r="K716" t="inlineStr">
        <is>
          <t>Musil, Alois, 1868-1944.</t>
        </is>
      </c>
      <c r="L716" t="inlineStr">
        <is>
          <t>New York : AMS Press, 1978.</t>
        </is>
      </c>
      <c r="M716" t="inlineStr">
        <is>
          <t>1978</t>
        </is>
      </c>
      <c r="O716" t="inlineStr">
        <is>
          <t>eng</t>
        </is>
      </c>
      <c r="P716" t="inlineStr">
        <is>
          <t>nyu</t>
        </is>
      </c>
      <c r="R716" t="inlineStr">
        <is>
          <t xml:space="preserve">DS </t>
        </is>
      </c>
      <c r="S716" t="n">
        <v>3</v>
      </c>
      <c r="T716" t="n">
        <v>3</v>
      </c>
      <c r="U716" t="inlineStr">
        <is>
          <t>1995-12-04</t>
        </is>
      </c>
      <c r="V716" t="inlineStr">
        <is>
          <t>1995-12-04</t>
        </is>
      </c>
      <c r="W716" t="inlineStr">
        <is>
          <t>1990-10-08</t>
        </is>
      </c>
      <c r="X716" t="inlineStr">
        <is>
          <t>1990-10-08</t>
        </is>
      </c>
      <c r="Y716" t="n">
        <v>56</v>
      </c>
      <c r="Z716" t="n">
        <v>43</v>
      </c>
      <c r="AA716" t="n">
        <v>284</v>
      </c>
      <c r="AB716" t="n">
        <v>1</v>
      </c>
      <c r="AC716" t="n">
        <v>2</v>
      </c>
      <c r="AD716" t="n">
        <v>1</v>
      </c>
      <c r="AE716" t="n">
        <v>7</v>
      </c>
      <c r="AF716" t="n">
        <v>1</v>
      </c>
      <c r="AG716" t="n">
        <v>1</v>
      </c>
      <c r="AH716" t="n">
        <v>0</v>
      </c>
      <c r="AI716" t="n">
        <v>2</v>
      </c>
      <c r="AJ716" t="n">
        <v>0</v>
      </c>
      <c r="AK716" t="n">
        <v>4</v>
      </c>
      <c r="AL716" t="n">
        <v>0</v>
      </c>
      <c r="AM716" t="n">
        <v>1</v>
      </c>
      <c r="AN716" t="n">
        <v>0</v>
      </c>
      <c r="AO716" t="n">
        <v>0</v>
      </c>
      <c r="AP716" t="inlineStr">
        <is>
          <t>No</t>
        </is>
      </c>
      <c r="AQ716" t="inlineStr">
        <is>
          <t>No</t>
        </is>
      </c>
      <c r="AS716">
        <f>HYPERLINK("https://creighton-primo.hosted.exlibrisgroup.com/primo-explore/search?tab=default_tab&amp;search_scope=EVERYTHING&amp;vid=01CRU&amp;lang=en_US&amp;offset=0&amp;query=any,contains,991004394589702656","Catalog Record")</f>
        <v/>
      </c>
      <c r="AT716">
        <f>HYPERLINK("http://www.worldcat.org/oclc/3275283","WorldCat Record")</f>
        <v/>
      </c>
      <c r="AU716" t="inlineStr">
        <is>
          <t>2313462:eng</t>
        </is>
      </c>
      <c r="AV716" t="inlineStr">
        <is>
          <t>3275283</t>
        </is>
      </c>
      <c r="AW716" t="inlineStr">
        <is>
          <t>991004394589702656</t>
        </is>
      </c>
      <c r="AX716" t="inlineStr">
        <is>
          <t>991004394589702656</t>
        </is>
      </c>
      <c r="AY716" t="inlineStr">
        <is>
          <t>2255589610002656</t>
        </is>
      </c>
      <c r="AZ716" t="inlineStr">
        <is>
          <t>BOOK</t>
        </is>
      </c>
      <c r="BC716" t="inlineStr">
        <is>
          <t>32285000335314</t>
        </is>
      </c>
      <c r="BD716" t="inlineStr">
        <is>
          <t>893229309</t>
        </is>
      </c>
    </row>
    <row r="717">
      <c r="A717" t="inlineStr">
        <is>
          <t>No</t>
        </is>
      </c>
      <c r="B717" t="inlineStr">
        <is>
          <t>DS22 .H813 2000</t>
        </is>
      </c>
      <c r="C717" t="inlineStr">
        <is>
          <t>0                      DS 0022000H  813         2000</t>
        </is>
      </c>
      <c r="D717" t="inlineStr">
        <is>
          <t>Genghis Khan / Michel Hoang ; translated from the French by Ingrid Cranfield.</t>
        </is>
      </c>
      <c r="F717" t="inlineStr">
        <is>
          <t>No</t>
        </is>
      </c>
      <c r="G717" t="inlineStr">
        <is>
          <t>1</t>
        </is>
      </c>
      <c r="H717" t="inlineStr">
        <is>
          <t>No</t>
        </is>
      </c>
      <c r="I717" t="inlineStr">
        <is>
          <t>No</t>
        </is>
      </c>
      <c r="J717" t="inlineStr">
        <is>
          <t>0</t>
        </is>
      </c>
      <c r="K717" t="inlineStr">
        <is>
          <t>Hoàng, Michel.</t>
        </is>
      </c>
      <c r="L717" t="inlineStr">
        <is>
          <t>London : Saqi Books, 2000, c1990.</t>
        </is>
      </c>
      <c r="M717" t="inlineStr">
        <is>
          <t>2000</t>
        </is>
      </c>
      <c r="O717" t="inlineStr">
        <is>
          <t>eng</t>
        </is>
      </c>
      <c r="P717" t="inlineStr">
        <is>
          <t>enk</t>
        </is>
      </c>
      <c r="R717" t="inlineStr">
        <is>
          <t xml:space="preserve">DS </t>
        </is>
      </c>
      <c r="S717" t="n">
        <v>2</v>
      </c>
      <c r="T717" t="n">
        <v>2</v>
      </c>
      <c r="U717" t="inlineStr">
        <is>
          <t>2004-11-03</t>
        </is>
      </c>
      <c r="V717" t="inlineStr">
        <is>
          <t>2004-11-03</t>
        </is>
      </c>
      <c r="W717" t="inlineStr">
        <is>
          <t>2003-04-08</t>
        </is>
      </c>
      <c r="X717" t="inlineStr">
        <is>
          <t>2003-04-08</t>
        </is>
      </c>
      <c r="Y717" t="n">
        <v>52</v>
      </c>
      <c r="Z717" t="n">
        <v>49</v>
      </c>
      <c r="AA717" t="n">
        <v>280</v>
      </c>
      <c r="AB717" t="n">
        <v>1</v>
      </c>
      <c r="AC717" t="n">
        <v>1</v>
      </c>
      <c r="AD717" t="n">
        <v>0</v>
      </c>
      <c r="AE717" t="n">
        <v>8</v>
      </c>
      <c r="AF717" t="n">
        <v>0</v>
      </c>
      <c r="AG717" t="n">
        <v>1</v>
      </c>
      <c r="AH717" t="n">
        <v>0</v>
      </c>
      <c r="AI717" t="n">
        <v>5</v>
      </c>
      <c r="AJ717" t="n">
        <v>0</v>
      </c>
      <c r="AK717" t="n">
        <v>5</v>
      </c>
      <c r="AL717" t="n">
        <v>0</v>
      </c>
      <c r="AM717" t="n">
        <v>0</v>
      </c>
      <c r="AN717" t="n">
        <v>0</v>
      </c>
      <c r="AO717" t="n">
        <v>0</v>
      </c>
      <c r="AP717" t="inlineStr">
        <is>
          <t>No</t>
        </is>
      </c>
      <c r="AQ717" t="inlineStr">
        <is>
          <t>No</t>
        </is>
      </c>
      <c r="AS717">
        <f>HYPERLINK("https://creighton-primo.hosted.exlibrisgroup.com/primo-explore/search?tab=default_tab&amp;search_scope=EVERYTHING&amp;vid=01CRU&amp;lang=en_US&amp;offset=0&amp;query=any,contains,991004019139702656","Catalog Record")</f>
        <v/>
      </c>
      <c r="AT717">
        <f>HYPERLINK("http://www.worldcat.org/oclc/48379187","WorldCat Record")</f>
        <v/>
      </c>
      <c r="AU717" t="inlineStr">
        <is>
          <t>4922586845:eng</t>
        </is>
      </c>
      <c r="AV717" t="inlineStr">
        <is>
          <t>48379187</t>
        </is>
      </c>
      <c r="AW717" t="inlineStr">
        <is>
          <t>991004019139702656</t>
        </is>
      </c>
      <c r="AX717" t="inlineStr">
        <is>
          <t>991004019139702656</t>
        </is>
      </c>
      <c r="AY717" t="inlineStr">
        <is>
          <t>2267808000002656</t>
        </is>
      </c>
      <c r="AZ717" t="inlineStr">
        <is>
          <t>BOOK</t>
        </is>
      </c>
      <c r="BB717" t="inlineStr">
        <is>
          <t>9780863562884</t>
        </is>
      </c>
      <c r="BC717" t="inlineStr">
        <is>
          <t>32285004740162</t>
        </is>
      </c>
      <c r="BD717" t="inlineStr">
        <is>
          <t>893869181</t>
        </is>
      </c>
    </row>
    <row r="718">
      <c r="A718" t="inlineStr">
        <is>
          <t>No</t>
        </is>
      </c>
      <c r="B718" t="inlineStr">
        <is>
          <t>DS22 .L3</t>
        </is>
      </c>
      <c r="C718" t="inlineStr">
        <is>
          <t>0                      DS 0022000L  3</t>
        </is>
      </c>
      <c r="D718" t="inlineStr">
        <is>
          <t>Genghis Khan, the emperor of all men / by Harold Lamb.</t>
        </is>
      </c>
      <c r="F718" t="inlineStr">
        <is>
          <t>No</t>
        </is>
      </c>
      <c r="G718" t="inlineStr">
        <is>
          <t>1</t>
        </is>
      </c>
      <c r="H718" t="inlineStr">
        <is>
          <t>No</t>
        </is>
      </c>
      <c r="I718" t="inlineStr">
        <is>
          <t>No</t>
        </is>
      </c>
      <c r="J718" t="inlineStr">
        <is>
          <t>0</t>
        </is>
      </c>
      <c r="K718" t="inlineStr">
        <is>
          <t>Lamb, Harold, 1892-1962.</t>
        </is>
      </c>
      <c r="L718" t="inlineStr">
        <is>
          <t>New York : R.M. McBride, 1927.</t>
        </is>
      </c>
      <c r="M718" t="inlineStr">
        <is>
          <t>1927</t>
        </is>
      </c>
      <c r="O718" t="inlineStr">
        <is>
          <t>eng</t>
        </is>
      </c>
      <c r="P718" t="inlineStr">
        <is>
          <t>nyu</t>
        </is>
      </c>
      <c r="R718" t="inlineStr">
        <is>
          <t xml:space="preserve">DS </t>
        </is>
      </c>
      <c r="S718" t="n">
        <v>2</v>
      </c>
      <c r="T718" t="n">
        <v>2</v>
      </c>
      <c r="U718" t="inlineStr">
        <is>
          <t>2000-03-17</t>
        </is>
      </c>
      <c r="V718" t="inlineStr">
        <is>
          <t>2000-03-17</t>
        </is>
      </c>
      <c r="W718" t="inlineStr">
        <is>
          <t>1994-04-27</t>
        </is>
      </c>
      <c r="X718" t="inlineStr">
        <is>
          <t>1994-04-27</t>
        </is>
      </c>
      <c r="Y718" t="n">
        <v>574</v>
      </c>
      <c r="Z718" t="n">
        <v>548</v>
      </c>
      <c r="AA718" t="n">
        <v>1717</v>
      </c>
      <c r="AB718" t="n">
        <v>6</v>
      </c>
      <c r="AC718" t="n">
        <v>12</v>
      </c>
      <c r="AD718" t="n">
        <v>24</v>
      </c>
      <c r="AE718" t="n">
        <v>47</v>
      </c>
      <c r="AF718" t="n">
        <v>11</v>
      </c>
      <c r="AG718" t="n">
        <v>20</v>
      </c>
      <c r="AH718" t="n">
        <v>5</v>
      </c>
      <c r="AI718" t="n">
        <v>9</v>
      </c>
      <c r="AJ718" t="n">
        <v>10</v>
      </c>
      <c r="AK718" t="n">
        <v>22</v>
      </c>
      <c r="AL718" t="n">
        <v>4</v>
      </c>
      <c r="AM718" t="n">
        <v>6</v>
      </c>
      <c r="AN718" t="n">
        <v>0</v>
      </c>
      <c r="AO718" t="n">
        <v>0</v>
      </c>
      <c r="AP718" t="inlineStr">
        <is>
          <t>No</t>
        </is>
      </c>
      <c r="AQ718" t="inlineStr">
        <is>
          <t>No</t>
        </is>
      </c>
      <c r="AS718">
        <f>HYPERLINK("https://creighton-primo.hosted.exlibrisgroup.com/primo-explore/search?tab=default_tab&amp;search_scope=EVERYTHING&amp;vid=01CRU&amp;lang=en_US&amp;offset=0&amp;query=any,contains,991005119479702656","Catalog Record")</f>
        <v/>
      </c>
      <c r="AT718">
        <f>HYPERLINK("http://www.worldcat.org/oclc/7487406","WorldCat Record")</f>
        <v/>
      </c>
      <c r="AU718" t="inlineStr">
        <is>
          <t>762774:eng</t>
        </is>
      </c>
      <c r="AV718" t="inlineStr">
        <is>
          <t>7487406</t>
        </is>
      </c>
      <c r="AW718" t="inlineStr">
        <is>
          <t>991005119479702656</t>
        </is>
      </c>
      <c r="AX718" t="inlineStr">
        <is>
          <t>991005119479702656</t>
        </is>
      </c>
      <c r="AY718" t="inlineStr">
        <is>
          <t>2271050600002656</t>
        </is>
      </c>
      <c r="AZ718" t="inlineStr">
        <is>
          <t>BOOK</t>
        </is>
      </c>
      <c r="BC718" t="inlineStr">
        <is>
          <t>32285001893774</t>
        </is>
      </c>
      <c r="BD718" t="inlineStr">
        <is>
          <t>893625479</t>
        </is>
      </c>
    </row>
    <row r="719">
      <c r="A719" t="inlineStr">
        <is>
          <t>No</t>
        </is>
      </c>
      <c r="B719" t="inlineStr">
        <is>
          <t>DS223 .H57 2010</t>
        </is>
      </c>
      <c r="C719" t="inlineStr">
        <is>
          <t>0                      DS 0223000H  57          2010</t>
        </is>
      </c>
      <c r="D719" t="inlineStr">
        <is>
          <t>A history of the Arabian Peninsula / edited by Fahd al-Semmari ; translated by Salma K. Jayyusi.</t>
        </is>
      </c>
      <c r="F719" t="inlineStr">
        <is>
          <t>No</t>
        </is>
      </c>
      <c r="G719" t="inlineStr">
        <is>
          <t>1</t>
        </is>
      </c>
      <c r="H719" t="inlineStr">
        <is>
          <t>No</t>
        </is>
      </c>
      <c r="I719" t="inlineStr">
        <is>
          <t>No</t>
        </is>
      </c>
      <c r="J719" t="inlineStr">
        <is>
          <t>0</t>
        </is>
      </c>
      <c r="L719" t="inlineStr">
        <is>
          <t>London ; New York : I.B. Tauris Publishers ; [Riyadh, Saudi Arabia] : In association with the King Abdul Aziz Foundation ; New York : Distributed in the United States and Canada exclusively by Palgrave Macmillan, 2010.</t>
        </is>
      </c>
      <c r="M719" t="inlineStr">
        <is>
          <t>2010</t>
        </is>
      </c>
      <c r="O719" t="inlineStr">
        <is>
          <t>eng</t>
        </is>
      </c>
      <c r="P719" t="inlineStr">
        <is>
          <t>enk</t>
        </is>
      </c>
      <c r="R719" t="inlineStr">
        <is>
          <t xml:space="preserve">DS </t>
        </is>
      </c>
      <c r="S719" t="n">
        <v>2</v>
      </c>
      <c r="T719" t="n">
        <v>2</v>
      </c>
      <c r="U719" t="inlineStr">
        <is>
          <t>2010-04-12</t>
        </is>
      </c>
      <c r="V719" t="inlineStr">
        <is>
          <t>2010-04-12</t>
        </is>
      </c>
      <c r="W719" t="inlineStr">
        <is>
          <t>2010-04-12</t>
        </is>
      </c>
      <c r="X719" t="inlineStr">
        <is>
          <t>2010-04-12</t>
        </is>
      </c>
      <c r="Y719" t="n">
        <v>175</v>
      </c>
      <c r="Z719" t="n">
        <v>122</v>
      </c>
      <c r="AA719" t="n">
        <v>774</v>
      </c>
      <c r="AB719" t="n">
        <v>2</v>
      </c>
      <c r="AC719" t="n">
        <v>17</v>
      </c>
      <c r="AD719" t="n">
        <v>8</v>
      </c>
      <c r="AE719" t="n">
        <v>22</v>
      </c>
      <c r="AF719" t="n">
        <v>3</v>
      </c>
      <c r="AG719" t="n">
        <v>8</v>
      </c>
      <c r="AH719" t="n">
        <v>3</v>
      </c>
      <c r="AI719" t="n">
        <v>4</v>
      </c>
      <c r="AJ719" t="n">
        <v>5</v>
      </c>
      <c r="AK719" t="n">
        <v>6</v>
      </c>
      <c r="AL719" t="n">
        <v>1</v>
      </c>
      <c r="AM719" t="n">
        <v>10</v>
      </c>
      <c r="AN719" t="n">
        <v>0</v>
      </c>
      <c r="AO719" t="n">
        <v>0</v>
      </c>
      <c r="AP719" t="inlineStr">
        <is>
          <t>No</t>
        </is>
      </c>
      <c r="AQ719" t="inlineStr">
        <is>
          <t>No</t>
        </is>
      </c>
      <c r="AS719">
        <f>HYPERLINK("https://creighton-primo.hosted.exlibrisgroup.com/primo-explore/search?tab=default_tab&amp;search_scope=EVERYTHING&amp;vid=01CRU&amp;lang=en_US&amp;offset=0&amp;query=any,contains,991005381199702656","Catalog Record")</f>
        <v/>
      </c>
      <c r="AT719">
        <f>HYPERLINK("http://www.worldcat.org/oclc/314632732","WorldCat Record")</f>
        <v/>
      </c>
      <c r="AU719" t="inlineStr">
        <is>
          <t>898603377:eng</t>
        </is>
      </c>
      <c r="AV719" t="inlineStr">
        <is>
          <t>314632732</t>
        </is>
      </c>
      <c r="AW719" t="inlineStr">
        <is>
          <t>991005381199702656</t>
        </is>
      </c>
      <c r="AX719" t="inlineStr">
        <is>
          <t>991005381199702656</t>
        </is>
      </c>
      <c r="AY719" t="inlineStr">
        <is>
          <t>2263027900002656</t>
        </is>
      </c>
      <c r="AZ719" t="inlineStr">
        <is>
          <t>BOOK</t>
        </is>
      </c>
      <c r="BB719" t="inlineStr">
        <is>
          <t>9781845116880</t>
        </is>
      </c>
      <c r="BC719" t="inlineStr">
        <is>
          <t>32285005562730</t>
        </is>
      </c>
      <c r="BD719" t="inlineStr">
        <is>
          <t>893320548</t>
        </is>
      </c>
    </row>
    <row r="720">
      <c r="A720" t="inlineStr">
        <is>
          <t>No</t>
        </is>
      </c>
      <c r="B720" t="inlineStr">
        <is>
          <t>DS223 .W3</t>
        </is>
      </c>
      <c r="C720" t="inlineStr">
        <is>
          <t>0                      DS 0223000W  3</t>
        </is>
      </c>
      <c r="D720" t="inlineStr">
        <is>
          <t>A history of Islamic Spain / [by] W. Montgomery Watt, with additional sections on literature by Pierre Cachia.</t>
        </is>
      </c>
      <c r="F720" t="inlineStr">
        <is>
          <t>No</t>
        </is>
      </c>
      <c r="G720" t="inlineStr">
        <is>
          <t>1</t>
        </is>
      </c>
      <c r="H720" t="inlineStr">
        <is>
          <t>No</t>
        </is>
      </c>
      <c r="I720" t="inlineStr">
        <is>
          <t>No</t>
        </is>
      </c>
      <c r="J720" t="inlineStr">
        <is>
          <t>0</t>
        </is>
      </c>
      <c r="K720" t="inlineStr">
        <is>
          <t>Watt, W. Montgomery (William Montgomery)</t>
        </is>
      </c>
      <c r="L720" t="inlineStr">
        <is>
          <t>Edinburgh : Edinburgh U.P., [1965]</t>
        </is>
      </c>
      <c r="M720" t="inlineStr">
        <is>
          <t>1965</t>
        </is>
      </c>
      <c r="O720" t="inlineStr">
        <is>
          <t>eng</t>
        </is>
      </c>
      <c r="P720" t="inlineStr">
        <is>
          <t>stk</t>
        </is>
      </c>
      <c r="Q720" t="inlineStr">
        <is>
          <t>Islamic surveys ; 4</t>
        </is>
      </c>
      <c r="R720" t="inlineStr">
        <is>
          <t xml:space="preserve">DS </t>
        </is>
      </c>
      <c r="S720" t="n">
        <v>12</v>
      </c>
      <c r="T720" t="n">
        <v>12</v>
      </c>
      <c r="U720" t="inlineStr">
        <is>
          <t>2006-03-07</t>
        </is>
      </c>
      <c r="V720" t="inlineStr">
        <is>
          <t>2006-03-07</t>
        </is>
      </c>
      <c r="W720" t="inlineStr">
        <is>
          <t>1994-03-11</t>
        </is>
      </c>
      <c r="X720" t="inlineStr">
        <is>
          <t>1994-03-11</t>
        </is>
      </c>
      <c r="Y720" t="n">
        <v>760</v>
      </c>
      <c r="Z720" t="n">
        <v>629</v>
      </c>
      <c r="AA720" t="n">
        <v>1005</v>
      </c>
      <c r="AB720" t="n">
        <v>3</v>
      </c>
      <c r="AC720" t="n">
        <v>6</v>
      </c>
      <c r="AD720" t="n">
        <v>35</v>
      </c>
      <c r="AE720" t="n">
        <v>49</v>
      </c>
      <c r="AF720" t="n">
        <v>12</v>
      </c>
      <c r="AG720" t="n">
        <v>22</v>
      </c>
      <c r="AH720" t="n">
        <v>9</v>
      </c>
      <c r="AI720" t="n">
        <v>10</v>
      </c>
      <c r="AJ720" t="n">
        <v>20</v>
      </c>
      <c r="AK720" t="n">
        <v>23</v>
      </c>
      <c r="AL720" t="n">
        <v>2</v>
      </c>
      <c r="AM720" t="n">
        <v>5</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HYPERLINK("https://creighton-primo.hosted.exlibrisgroup.com/primo-explore/search?tab=default_tab&amp;search_scope=EVERYTHING&amp;vid=01CRU&amp;lang=en_US&amp;offset=0&amp;query=any,contains,991002661859702656","Catalog Record")</f>
        <v/>
      </c>
      <c r="AT720">
        <f>HYPERLINK("http://www.worldcat.org/oclc/391773","WorldCat Record")</f>
        <v/>
      </c>
      <c r="AU720" t="inlineStr">
        <is>
          <t>8942302473:eng</t>
        </is>
      </c>
      <c r="AV720" t="inlineStr">
        <is>
          <t>391773</t>
        </is>
      </c>
      <c r="AW720" t="inlineStr">
        <is>
          <t>991002661859702656</t>
        </is>
      </c>
      <c r="AX720" t="inlineStr">
        <is>
          <t>991002661859702656</t>
        </is>
      </c>
      <c r="AY720" t="inlineStr">
        <is>
          <t>2260789390002656</t>
        </is>
      </c>
      <c r="AZ720" t="inlineStr">
        <is>
          <t>BOOK</t>
        </is>
      </c>
      <c r="BC720" t="inlineStr">
        <is>
          <t>32285001853117</t>
        </is>
      </c>
      <c r="BD720" t="inlineStr">
        <is>
          <t>893773878</t>
        </is>
      </c>
    </row>
    <row r="721">
      <c r="A721" t="inlineStr">
        <is>
          <t>No</t>
        </is>
      </c>
      <c r="B721" t="inlineStr">
        <is>
          <t>DS227 .A572 1991</t>
        </is>
      </c>
      <c r="C721" t="inlineStr">
        <is>
          <t>0                      DS 0227000A  572         1991</t>
        </is>
      </c>
      <c r="D721" t="inlineStr">
        <is>
          <t>Politics in an Arabian oasis : the Rashidi tribal dynasty / Madawi Al Rasheed.</t>
        </is>
      </c>
      <c r="F721" t="inlineStr">
        <is>
          <t>No</t>
        </is>
      </c>
      <c r="G721" t="inlineStr">
        <is>
          <t>1</t>
        </is>
      </c>
      <c r="H721" t="inlineStr">
        <is>
          <t>No</t>
        </is>
      </c>
      <c r="I721" t="inlineStr">
        <is>
          <t>No</t>
        </is>
      </c>
      <c r="J721" t="inlineStr">
        <is>
          <t>0</t>
        </is>
      </c>
      <c r="K721" t="inlineStr">
        <is>
          <t>Al-Rasheed, Madawi.</t>
        </is>
      </c>
      <c r="L721" t="inlineStr">
        <is>
          <t>London : I.B. Tauris, 1991.</t>
        </is>
      </c>
      <c r="M721" t="inlineStr">
        <is>
          <t>1991</t>
        </is>
      </c>
      <c r="O721" t="inlineStr">
        <is>
          <t>eng</t>
        </is>
      </c>
      <c r="P721" t="inlineStr">
        <is>
          <t>enk</t>
        </is>
      </c>
      <c r="R721" t="inlineStr">
        <is>
          <t xml:space="preserve">DS </t>
        </is>
      </c>
      <c r="S721" t="n">
        <v>2</v>
      </c>
      <c r="T721" t="n">
        <v>2</v>
      </c>
      <c r="U721" t="inlineStr">
        <is>
          <t>2008-04-22</t>
        </is>
      </c>
      <c r="V721" t="inlineStr">
        <is>
          <t>2008-04-22</t>
        </is>
      </c>
      <c r="W721" t="inlineStr">
        <is>
          <t>1992-06-22</t>
        </is>
      </c>
      <c r="X721" t="inlineStr">
        <is>
          <t>1992-06-22</t>
        </is>
      </c>
      <c r="Y721" t="n">
        <v>101</v>
      </c>
      <c r="Z721" t="n">
        <v>94</v>
      </c>
      <c r="AA721" t="n">
        <v>170</v>
      </c>
      <c r="AB721" t="n">
        <v>1</v>
      </c>
      <c r="AC721" t="n">
        <v>2</v>
      </c>
      <c r="AD721" t="n">
        <v>2</v>
      </c>
      <c r="AE721" t="n">
        <v>9</v>
      </c>
      <c r="AF721" t="n">
        <v>0</v>
      </c>
      <c r="AG721" t="n">
        <v>2</v>
      </c>
      <c r="AH721" t="n">
        <v>1</v>
      </c>
      <c r="AI721" t="n">
        <v>3</v>
      </c>
      <c r="AJ721" t="n">
        <v>1</v>
      </c>
      <c r="AK721" t="n">
        <v>6</v>
      </c>
      <c r="AL721" t="n">
        <v>0</v>
      </c>
      <c r="AM721" t="n">
        <v>1</v>
      </c>
      <c r="AN721" t="n">
        <v>0</v>
      </c>
      <c r="AO721" t="n">
        <v>0</v>
      </c>
      <c r="AP721" t="inlineStr">
        <is>
          <t>No</t>
        </is>
      </c>
      <c r="AQ721" t="inlineStr">
        <is>
          <t>Yes</t>
        </is>
      </c>
      <c r="AR721">
        <f>HYPERLINK("http://catalog.hathitrust.org/Record/002525589","HathiTrust Record")</f>
        <v/>
      </c>
      <c r="AS721">
        <f>HYPERLINK("https://creighton-primo.hosted.exlibrisgroup.com/primo-explore/search?tab=default_tab&amp;search_scope=EVERYTHING&amp;vid=01CRU&amp;lang=en_US&amp;offset=0&amp;query=any,contains,991001955159702656","Catalog Record")</f>
        <v/>
      </c>
      <c r="AT721">
        <f>HYPERLINK("http://www.worldcat.org/oclc/24718134","WorldCat Record")</f>
        <v/>
      </c>
      <c r="AU721" t="inlineStr">
        <is>
          <t>140029843:eng</t>
        </is>
      </c>
      <c r="AV721" t="inlineStr">
        <is>
          <t>24718134</t>
        </is>
      </c>
      <c r="AW721" t="inlineStr">
        <is>
          <t>991001955159702656</t>
        </is>
      </c>
      <c r="AX721" t="inlineStr">
        <is>
          <t>991001955159702656</t>
        </is>
      </c>
      <c r="AY721" t="inlineStr">
        <is>
          <t>2271927300002656</t>
        </is>
      </c>
      <c r="AZ721" t="inlineStr">
        <is>
          <t>BOOK</t>
        </is>
      </c>
      <c r="BB721" t="inlineStr">
        <is>
          <t>9781850433200</t>
        </is>
      </c>
      <c r="BC721" t="inlineStr">
        <is>
          <t>32285001155372</t>
        </is>
      </c>
      <c r="BD721" t="inlineStr">
        <is>
          <t>893791880</t>
        </is>
      </c>
    </row>
    <row r="722">
      <c r="A722" t="inlineStr">
        <is>
          <t>No</t>
        </is>
      </c>
      <c r="B722" t="inlineStr">
        <is>
          <t>DS227 .M4613 2005</t>
        </is>
      </c>
      <c r="C722" t="inlineStr">
        <is>
          <t>0                      DS 0227000M  4613        2005</t>
        </is>
      </c>
      <c r="D722" t="inlineStr">
        <is>
          <t>The Saudi enigma : a history / Pascal Ménoret ; translated by Patrick Camiller.</t>
        </is>
      </c>
      <c r="F722" t="inlineStr">
        <is>
          <t>No</t>
        </is>
      </c>
      <c r="G722" t="inlineStr">
        <is>
          <t>1</t>
        </is>
      </c>
      <c r="H722" t="inlineStr">
        <is>
          <t>No</t>
        </is>
      </c>
      <c r="I722" t="inlineStr">
        <is>
          <t>No</t>
        </is>
      </c>
      <c r="J722" t="inlineStr">
        <is>
          <t>0</t>
        </is>
      </c>
      <c r="K722" t="inlineStr">
        <is>
          <t>Ménoret, Pascal, 1976-</t>
        </is>
      </c>
      <c r="L722" t="inlineStr">
        <is>
          <t>New York : Zed Books, 2005.</t>
        </is>
      </c>
      <c r="M722" t="inlineStr">
        <is>
          <t>2005</t>
        </is>
      </c>
      <c r="O722" t="inlineStr">
        <is>
          <t>eng</t>
        </is>
      </c>
      <c r="P722" t="inlineStr">
        <is>
          <t>nyu</t>
        </is>
      </c>
      <c r="R722" t="inlineStr">
        <is>
          <t xml:space="preserve">DS </t>
        </is>
      </c>
      <c r="S722" t="n">
        <v>7</v>
      </c>
      <c r="T722" t="n">
        <v>7</v>
      </c>
      <c r="U722" t="inlineStr">
        <is>
          <t>2007-10-11</t>
        </is>
      </c>
      <c r="V722" t="inlineStr">
        <is>
          <t>2007-10-11</t>
        </is>
      </c>
      <c r="W722" t="inlineStr">
        <is>
          <t>2006-02-03</t>
        </is>
      </c>
      <c r="X722" t="inlineStr">
        <is>
          <t>2006-02-03</t>
        </is>
      </c>
      <c r="Y722" t="n">
        <v>381</v>
      </c>
      <c r="Z722" t="n">
        <v>296</v>
      </c>
      <c r="AA722" t="n">
        <v>312</v>
      </c>
      <c r="AB722" t="n">
        <v>2</v>
      </c>
      <c r="AC722" t="n">
        <v>2</v>
      </c>
      <c r="AD722" t="n">
        <v>13</v>
      </c>
      <c r="AE722" t="n">
        <v>13</v>
      </c>
      <c r="AF722" t="n">
        <v>4</v>
      </c>
      <c r="AG722" t="n">
        <v>4</v>
      </c>
      <c r="AH722" t="n">
        <v>4</v>
      </c>
      <c r="AI722" t="n">
        <v>4</v>
      </c>
      <c r="AJ722" t="n">
        <v>8</v>
      </c>
      <c r="AK722" t="n">
        <v>8</v>
      </c>
      <c r="AL722" t="n">
        <v>1</v>
      </c>
      <c r="AM722" t="n">
        <v>1</v>
      </c>
      <c r="AN722" t="n">
        <v>0</v>
      </c>
      <c r="AO722" t="n">
        <v>0</v>
      </c>
      <c r="AP722" t="inlineStr">
        <is>
          <t>No</t>
        </is>
      </c>
      <c r="AQ722" t="inlineStr">
        <is>
          <t>Yes</t>
        </is>
      </c>
      <c r="AR722">
        <f>HYPERLINK("http://catalog.hathitrust.org/Record/005024981","HathiTrust Record")</f>
        <v/>
      </c>
      <c r="AS722">
        <f>HYPERLINK("https://creighton-primo.hosted.exlibrisgroup.com/primo-explore/search?tab=default_tab&amp;search_scope=EVERYTHING&amp;vid=01CRU&amp;lang=en_US&amp;offset=0&amp;query=any,contains,991004715379702656","Catalog Record")</f>
        <v/>
      </c>
      <c r="AT722">
        <f>HYPERLINK("http://www.worldcat.org/oclc/57613452","WorldCat Record")</f>
        <v/>
      </c>
      <c r="AU722" t="inlineStr">
        <is>
          <t>911367:eng</t>
        </is>
      </c>
      <c r="AV722" t="inlineStr">
        <is>
          <t>57613452</t>
        </is>
      </c>
      <c r="AW722" t="inlineStr">
        <is>
          <t>991004715379702656</t>
        </is>
      </c>
      <c r="AX722" t="inlineStr">
        <is>
          <t>991004715379702656</t>
        </is>
      </c>
      <c r="AY722" t="inlineStr">
        <is>
          <t>2269317330002656</t>
        </is>
      </c>
      <c r="AZ722" t="inlineStr">
        <is>
          <t>BOOK</t>
        </is>
      </c>
      <c r="BB722" t="inlineStr">
        <is>
          <t>9781842776049</t>
        </is>
      </c>
      <c r="BC722" t="inlineStr">
        <is>
          <t>32285005156780</t>
        </is>
      </c>
      <c r="BD722" t="inlineStr">
        <is>
          <t>893795196</t>
        </is>
      </c>
    </row>
    <row r="723">
      <c r="A723" t="inlineStr">
        <is>
          <t>No</t>
        </is>
      </c>
      <c r="B723" t="inlineStr">
        <is>
          <t>DS227 .R37</t>
        </is>
      </c>
      <c r="C723" t="inlineStr">
        <is>
          <t>0                      DS 0227000R  37</t>
        </is>
      </c>
      <c r="D723" t="inlineStr">
        <is>
          <t>Documents on the history of Saudi Arabia / edited by Ibrahim al-Rashid.</t>
        </is>
      </c>
      <c r="E723" t="inlineStr">
        <is>
          <t>V.1</t>
        </is>
      </c>
      <c r="F723" t="inlineStr">
        <is>
          <t>Yes</t>
        </is>
      </c>
      <c r="G723" t="inlineStr">
        <is>
          <t>1</t>
        </is>
      </c>
      <c r="H723" t="inlineStr">
        <is>
          <t>No</t>
        </is>
      </c>
      <c r="I723" t="inlineStr">
        <is>
          <t>No</t>
        </is>
      </c>
      <c r="J723" t="inlineStr">
        <is>
          <t>0</t>
        </is>
      </c>
      <c r="K723" t="inlineStr">
        <is>
          <t>Rashid, Ibrahim.</t>
        </is>
      </c>
      <c r="L723" t="inlineStr">
        <is>
          <t>Salisbury, N. C. : Documentary Publications, 1976-</t>
        </is>
      </c>
      <c r="M723" t="inlineStr">
        <is>
          <t>1976</t>
        </is>
      </c>
      <c r="O723" t="inlineStr">
        <is>
          <t>eng</t>
        </is>
      </c>
      <c r="P723" t="inlineStr">
        <is>
          <t xml:space="preserve">xx </t>
        </is>
      </c>
      <c r="R723" t="inlineStr">
        <is>
          <t xml:space="preserve">DS </t>
        </is>
      </c>
      <c r="S723" t="n">
        <v>3</v>
      </c>
      <c r="T723" t="n">
        <v>11</v>
      </c>
      <c r="U723" t="inlineStr">
        <is>
          <t>1996-03-04</t>
        </is>
      </c>
      <c r="V723" t="inlineStr">
        <is>
          <t>1996-03-04</t>
        </is>
      </c>
      <c r="W723" t="inlineStr">
        <is>
          <t>1990-10-08</t>
        </is>
      </c>
      <c r="X723" t="inlineStr">
        <is>
          <t>1990-10-08</t>
        </is>
      </c>
      <c r="Y723" t="n">
        <v>141</v>
      </c>
      <c r="Z723" t="n">
        <v>118</v>
      </c>
      <c r="AA723" t="n">
        <v>120</v>
      </c>
      <c r="AB723" t="n">
        <v>2</v>
      </c>
      <c r="AC723" t="n">
        <v>2</v>
      </c>
      <c r="AD723" t="n">
        <v>3</v>
      </c>
      <c r="AE723" t="n">
        <v>3</v>
      </c>
      <c r="AF723" t="n">
        <v>0</v>
      </c>
      <c r="AG723" t="n">
        <v>0</v>
      </c>
      <c r="AH723" t="n">
        <v>1</v>
      </c>
      <c r="AI723" t="n">
        <v>1</v>
      </c>
      <c r="AJ723" t="n">
        <v>2</v>
      </c>
      <c r="AK723" t="n">
        <v>2</v>
      </c>
      <c r="AL723" t="n">
        <v>1</v>
      </c>
      <c r="AM723" t="n">
        <v>1</v>
      </c>
      <c r="AN723" t="n">
        <v>0</v>
      </c>
      <c r="AO723" t="n">
        <v>0</v>
      </c>
      <c r="AP723" t="inlineStr">
        <is>
          <t>No</t>
        </is>
      </c>
      <c r="AQ723" t="inlineStr">
        <is>
          <t>No</t>
        </is>
      </c>
      <c r="AS723">
        <f>HYPERLINK("https://creighton-primo.hosted.exlibrisgroup.com/primo-explore/search?tab=default_tab&amp;search_scope=EVERYTHING&amp;vid=01CRU&amp;lang=en_US&amp;offset=0&amp;query=any,contains,991004214449702656","Catalog Record")</f>
        <v/>
      </c>
      <c r="AT723">
        <f>HYPERLINK("http://www.worldcat.org/oclc/2694653","WorldCat Record")</f>
        <v/>
      </c>
      <c r="AU723" t="inlineStr">
        <is>
          <t>3373799144:eng</t>
        </is>
      </c>
      <c r="AV723" t="inlineStr">
        <is>
          <t>2694653</t>
        </is>
      </c>
      <c r="AW723" t="inlineStr">
        <is>
          <t>991004214449702656</t>
        </is>
      </c>
      <c r="AX723" t="inlineStr">
        <is>
          <t>991004214449702656</t>
        </is>
      </c>
      <c r="AY723" t="inlineStr">
        <is>
          <t>2266330570002656</t>
        </is>
      </c>
      <c r="AZ723" t="inlineStr">
        <is>
          <t>BOOK</t>
        </is>
      </c>
      <c r="BC723" t="inlineStr">
        <is>
          <t>32285000335330</t>
        </is>
      </c>
      <c r="BD723" t="inlineStr">
        <is>
          <t>893888428</t>
        </is>
      </c>
    </row>
    <row r="724">
      <c r="A724" t="inlineStr">
        <is>
          <t>No</t>
        </is>
      </c>
      <c r="B724" t="inlineStr">
        <is>
          <t>DS227 .R37</t>
        </is>
      </c>
      <c r="C724" t="inlineStr">
        <is>
          <t>0                      DS 0227000R  37</t>
        </is>
      </c>
      <c r="D724" t="inlineStr">
        <is>
          <t>Documents on the history of Saudi Arabia / edited by Ibrahim al-Rashid.</t>
        </is>
      </c>
      <c r="E724" t="inlineStr">
        <is>
          <t>V.2</t>
        </is>
      </c>
      <c r="F724" t="inlineStr">
        <is>
          <t>Yes</t>
        </is>
      </c>
      <c r="G724" t="inlineStr">
        <is>
          <t>1</t>
        </is>
      </c>
      <c r="H724" t="inlineStr">
        <is>
          <t>No</t>
        </is>
      </c>
      <c r="I724" t="inlineStr">
        <is>
          <t>No</t>
        </is>
      </c>
      <c r="J724" t="inlineStr">
        <is>
          <t>0</t>
        </is>
      </c>
      <c r="K724" t="inlineStr">
        <is>
          <t>Rashid, Ibrahim.</t>
        </is>
      </c>
      <c r="L724" t="inlineStr">
        <is>
          <t>Salisbury, N. C. : Documentary Publications, 1976-</t>
        </is>
      </c>
      <c r="M724" t="inlineStr">
        <is>
          <t>1976</t>
        </is>
      </c>
      <c r="O724" t="inlineStr">
        <is>
          <t>eng</t>
        </is>
      </c>
      <c r="P724" t="inlineStr">
        <is>
          <t xml:space="preserve">xx </t>
        </is>
      </c>
      <c r="R724" t="inlineStr">
        <is>
          <t xml:space="preserve">DS </t>
        </is>
      </c>
      <c r="S724" t="n">
        <v>3</v>
      </c>
      <c r="T724" t="n">
        <v>11</v>
      </c>
      <c r="U724" t="inlineStr">
        <is>
          <t>1996-03-04</t>
        </is>
      </c>
      <c r="V724" t="inlineStr">
        <is>
          <t>1996-03-04</t>
        </is>
      </c>
      <c r="W724" t="inlineStr">
        <is>
          <t>1990-10-08</t>
        </is>
      </c>
      <c r="X724" t="inlineStr">
        <is>
          <t>1990-10-08</t>
        </is>
      </c>
      <c r="Y724" t="n">
        <v>141</v>
      </c>
      <c r="Z724" t="n">
        <v>118</v>
      </c>
      <c r="AA724" t="n">
        <v>120</v>
      </c>
      <c r="AB724" t="n">
        <v>2</v>
      </c>
      <c r="AC724" t="n">
        <v>2</v>
      </c>
      <c r="AD724" t="n">
        <v>3</v>
      </c>
      <c r="AE724" t="n">
        <v>3</v>
      </c>
      <c r="AF724" t="n">
        <v>0</v>
      </c>
      <c r="AG724" t="n">
        <v>0</v>
      </c>
      <c r="AH724" t="n">
        <v>1</v>
      </c>
      <c r="AI724" t="n">
        <v>1</v>
      </c>
      <c r="AJ724" t="n">
        <v>2</v>
      </c>
      <c r="AK724" t="n">
        <v>2</v>
      </c>
      <c r="AL724" t="n">
        <v>1</v>
      </c>
      <c r="AM724" t="n">
        <v>1</v>
      </c>
      <c r="AN724" t="n">
        <v>0</v>
      </c>
      <c r="AO724" t="n">
        <v>0</v>
      </c>
      <c r="AP724" t="inlineStr">
        <is>
          <t>No</t>
        </is>
      </c>
      <c r="AQ724" t="inlineStr">
        <is>
          <t>No</t>
        </is>
      </c>
      <c r="AS724">
        <f>HYPERLINK("https://creighton-primo.hosted.exlibrisgroup.com/primo-explore/search?tab=default_tab&amp;search_scope=EVERYTHING&amp;vid=01CRU&amp;lang=en_US&amp;offset=0&amp;query=any,contains,991004214449702656","Catalog Record")</f>
        <v/>
      </c>
      <c r="AT724">
        <f>HYPERLINK("http://www.worldcat.org/oclc/2694653","WorldCat Record")</f>
        <v/>
      </c>
      <c r="AU724" t="inlineStr">
        <is>
          <t>3373799144:eng</t>
        </is>
      </c>
      <c r="AV724" t="inlineStr">
        <is>
          <t>2694653</t>
        </is>
      </c>
      <c r="AW724" t="inlineStr">
        <is>
          <t>991004214449702656</t>
        </is>
      </c>
      <c r="AX724" t="inlineStr">
        <is>
          <t>991004214449702656</t>
        </is>
      </c>
      <c r="AY724" t="inlineStr">
        <is>
          <t>2266330570002656</t>
        </is>
      </c>
      <c r="AZ724" t="inlineStr">
        <is>
          <t>BOOK</t>
        </is>
      </c>
      <c r="BC724" t="inlineStr">
        <is>
          <t>32285000335348</t>
        </is>
      </c>
      <c r="BD724" t="inlineStr">
        <is>
          <t>893869441</t>
        </is>
      </c>
    </row>
    <row r="725">
      <c r="A725" t="inlineStr">
        <is>
          <t>No</t>
        </is>
      </c>
      <c r="B725" t="inlineStr">
        <is>
          <t>DS227 .R37</t>
        </is>
      </c>
      <c r="C725" t="inlineStr">
        <is>
          <t>0                      DS 0227000R  37</t>
        </is>
      </c>
      <c r="D725" t="inlineStr">
        <is>
          <t>Documents on the history of Saudi Arabia / edited by Ibrahim al-Rashid.</t>
        </is>
      </c>
      <c r="E725" t="inlineStr">
        <is>
          <t>V.5</t>
        </is>
      </c>
      <c r="F725" t="inlineStr">
        <is>
          <t>Yes</t>
        </is>
      </c>
      <c r="G725" t="inlineStr">
        <is>
          <t>1</t>
        </is>
      </c>
      <c r="H725" t="inlineStr">
        <is>
          <t>No</t>
        </is>
      </c>
      <c r="I725" t="inlineStr">
        <is>
          <t>No</t>
        </is>
      </c>
      <c r="J725" t="inlineStr">
        <is>
          <t>0</t>
        </is>
      </c>
      <c r="K725" t="inlineStr">
        <is>
          <t>Rashid, Ibrahim.</t>
        </is>
      </c>
      <c r="L725" t="inlineStr">
        <is>
          <t>Salisbury, N. C. : Documentary Publications, 1976-</t>
        </is>
      </c>
      <c r="M725" t="inlineStr">
        <is>
          <t>1976</t>
        </is>
      </c>
      <c r="O725" t="inlineStr">
        <is>
          <t>eng</t>
        </is>
      </c>
      <c r="P725" t="inlineStr">
        <is>
          <t xml:space="preserve">xx </t>
        </is>
      </c>
      <c r="R725" t="inlineStr">
        <is>
          <t xml:space="preserve">DS </t>
        </is>
      </c>
      <c r="S725" t="n">
        <v>1</v>
      </c>
      <c r="T725" t="n">
        <v>11</v>
      </c>
      <c r="V725" t="inlineStr">
        <is>
          <t>1996-03-04</t>
        </is>
      </c>
      <c r="W725" t="inlineStr">
        <is>
          <t>1990-10-08</t>
        </is>
      </c>
      <c r="X725" t="inlineStr">
        <is>
          <t>1990-10-08</t>
        </is>
      </c>
      <c r="Y725" t="n">
        <v>141</v>
      </c>
      <c r="Z725" t="n">
        <v>118</v>
      </c>
      <c r="AA725" t="n">
        <v>120</v>
      </c>
      <c r="AB725" t="n">
        <v>2</v>
      </c>
      <c r="AC725" t="n">
        <v>2</v>
      </c>
      <c r="AD725" t="n">
        <v>3</v>
      </c>
      <c r="AE725" t="n">
        <v>3</v>
      </c>
      <c r="AF725" t="n">
        <v>0</v>
      </c>
      <c r="AG725" t="n">
        <v>0</v>
      </c>
      <c r="AH725" t="n">
        <v>1</v>
      </c>
      <c r="AI725" t="n">
        <v>1</v>
      </c>
      <c r="AJ725" t="n">
        <v>2</v>
      </c>
      <c r="AK725" t="n">
        <v>2</v>
      </c>
      <c r="AL725" t="n">
        <v>1</v>
      </c>
      <c r="AM725" t="n">
        <v>1</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HYPERLINK("https://creighton-primo.hosted.exlibrisgroup.com/primo-explore/search?tab=default_tab&amp;search_scope=EVERYTHING&amp;vid=01CRU&amp;lang=en_US&amp;offset=0&amp;query=any,contains,991004214449702656","Catalog Record")</f>
        <v/>
      </c>
      <c r="AT725">
        <f>HYPERLINK("http://www.worldcat.org/oclc/2694653","WorldCat Record")</f>
        <v/>
      </c>
      <c r="AU725" t="inlineStr">
        <is>
          <t>3373799144:eng</t>
        </is>
      </c>
      <c r="AV725" t="inlineStr">
        <is>
          <t>2694653</t>
        </is>
      </c>
      <c r="AW725" t="inlineStr">
        <is>
          <t>991004214449702656</t>
        </is>
      </c>
      <c r="AX725" t="inlineStr">
        <is>
          <t>991004214449702656</t>
        </is>
      </c>
      <c r="AY725" t="inlineStr">
        <is>
          <t>2266330570002656</t>
        </is>
      </c>
      <c r="AZ725" t="inlineStr">
        <is>
          <t>BOOK</t>
        </is>
      </c>
      <c r="BC725" t="inlineStr">
        <is>
          <t>32285000335371</t>
        </is>
      </c>
      <c r="BD725" t="inlineStr">
        <is>
          <t>893894715</t>
        </is>
      </c>
    </row>
    <row r="726">
      <c r="A726" t="inlineStr">
        <is>
          <t>No</t>
        </is>
      </c>
      <c r="B726" t="inlineStr">
        <is>
          <t>DS227 .R37</t>
        </is>
      </c>
      <c r="C726" t="inlineStr">
        <is>
          <t>0                      DS 0227000R  37</t>
        </is>
      </c>
      <c r="D726" t="inlineStr">
        <is>
          <t>Documents on the history of Saudi Arabia / edited by Ibrahim al-Rashid.</t>
        </is>
      </c>
      <c r="E726" t="inlineStr">
        <is>
          <t>V.3</t>
        </is>
      </c>
      <c r="F726" t="inlineStr">
        <is>
          <t>Yes</t>
        </is>
      </c>
      <c r="G726" t="inlineStr">
        <is>
          <t>1</t>
        </is>
      </c>
      <c r="H726" t="inlineStr">
        <is>
          <t>No</t>
        </is>
      </c>
      <c r="I726" t="inlineStr">
        <is>
          <t>No</t>
        </is>
      </c>
      <c r="J726" t="inlineStr">
        <is>
          <t>0</t>
        </is>
      </c>
      <c r="K726" t="inlineStr">
        <is>
          <t>Rashid, Ibrahim.</t>
        </is>
      </c>
      <c r="L726" t="inlineStr">
        <is>
          <t>Salisbury, N. C. : Documentary Publications, 1976-</t>
        </is>
      </c>
      <c r="M726" t="inlineStr">
        <is>
          <t>1976</t>
        </is>
      </c>
      <c r="O726" t="inlineStr">
        <is>
          <t>eng</t>
        </is>
      </c>
      <c r="P726" t="inlineStr">
        <is>
          <t xml:space="preserve">xx </t>
        </is>
      </c>
      <c r="R726" t="inlineStr">
        <is>
          <t xml:space="preserve">DS </t>
        </is>
      </c>
      <c r="S726" t="n">
        <v>3</v>
      </c>
      <c r="T726" t="n">
        <v>11</v>
      </c>
      <c r="U726" t="inlineStr">
        <is>
          <t>1996-03-04</t>
        </is>
      </c>
      <c r="V726" t="inlineStr">
        <is>
          <t>1996-03-04</t>
        </is>
      </c>
      <c r="W726" t="inlineStr">
        <is>
          <t>1990-10-08</t>
        </is>
      </c>
      <c r="X726" t="inlineStr">
        <is>
          <t>1990-10-08</t>
        </is>
      </c>
      <c r="Y726" t="n">
        <v>141</v>
      </c>
      <c r="Z726" t="n">
        <v>118</v>
      </c>
      <c r="AA726" t="n">
        <v>120</v>
      </c>
      <c r="AB726" t="n">
        <v>2</v>
      </c>
      <c r="AC726" t="n">
        <v>2</v>
      </c>
      <c r="AD726" t="n">
        <v>3</v>
      </c>
      <c r="AE726" t="n">
        <v>3</v>
      </c>
      <c r="AF726" t="n">
        <v>0</v>
      </c>
      <c r="AG726" t="n">
        <v>0</v>
      </c>
      <c r="AH726" t="n">
        <v>1</v>
      </c>
      <c r="AI726" t="n">
        <v>1</v>
      </c>
      <c r="AJ726" t="n">
        <v>2</v>
      </c>
      <c r="AK726" t="n">
        <v>2</v>
      </c>
      <c r="AL726" t="n">
        <v>1</v>
      </c>
      <c r="AM726" t="n">
        <v>1</v>
      </c>
      <c r="AN726" t="n">
        <v>0</v>
      </c>
      <c r="AO726" t="n">
        <v>0</v>
      </c>
      <c r="AP726" t="inlineStr">
        <is>
          <t>No</t>
        </is>
      </c>
      <c r="AQ726" t="inlineStr">
        <is>
          <t>No</t>
        </is>
      </c>
      <c r="AS726">
        <f>HYPERLINK("https://creighton-primo.hosted.exlibrisgroup.com/primo-explore/search?tab=default_tab&amp;search_scope=EVERYTHING&amp;vid=01CRU&amp;lang=en_US&amp;offset=0&amp;query=any,contains,991004214449702656","Catalog Record")</f>
        <v/>
      </c>
      <c r="AT726">
        <f>HYPERLINK("http://www.worldcat.org/oclc/2694653","WorldCat Record")</f>
        <v/>
      </c>
      <c r="AU726" t="inlineStr">
        <is>
          <t>3373799144:eng</t>
        </is>
      </c>
      <c r="AV726" t="inlineStr">
        <is>
          <t>2694653</t>
        </is>
      </c>
      <c r="AW726" t="inlineStr">
        <is>
          <t>991004214449702656</t>
        </is>
      </c>
      <c r="AX726" t="inlineStr">
        <is>
          <t>991004214449702656</t>
        </is>
      </c>
      <c r="AY726" t="inlineStr">
        <is>
          <t>2266330570002656</t>
        </is>
      </c>
      <c r="AZ726" t="inlineStr">
        <is>
          <t>BOOK</t>
        </is>
      </c>
      <c r="BC726" t="inlineStr">
        <is>
          <t>32285000335355</t>
        </is>
      </c>
      <c r="BD726" t="inlineStr">
        <is>
          <t>893869442</t>
        </is>
      </c>
    </row>
    <row r="727">
      <c r="A727" t="inlineStr">
        <is>
          <t>No</t>
        </is>
      </c>
      <c r="B727" t="inlineStr">
        <is>
          <t>DS227 .R37</t>
        </is>
      </c>
      <c r="C727" t="inlineStr">
        <is>
          <t>0                      DS 0227000R  37</t>
        </is>
      </c>
      <c r="D727" t="inlineStr">
        <is>
          <t>Documents on the history of Saudi Arabia / edited by Ibrahim al-Rashid.</t>
        </is>
      </c>
      <c r="E727" t="inlineStr">
        <is>
          <t>V.4</t>
        </is>
      </c>
      <c r="F727" t="inlineStr">
        <is>
          <t>Yes</t>
        </is>
      </c>
      <c r="G727" t="inlineStr">
        <is>
          <t>1</t>
        </is>
      </c>
      <c r="H727" t="inlineStr">
        <is>
          <t>No</t>
        </is>
      </c>
      <c r="I727" t="inlineStr">
        <is>
          <t>No</t>
        </is>
      </c>
      <c r="J727" t="inlineStr">
        <is>
          <t>0</t>
        </is>
      </c>
      <c r="K727" t="inlineStr">
        <is>
          <t>Rashid, Ibrahim.</t>
        </is>
      </c>
      <c r="L727" t="inlineStr">
        <is>
          <t>Salisbury, N. C. : Documentary Publications, 1976-</t>
        </is>
      </c>
      <c r="M727" t="inlineStr">
        <is>
          <t>1976</t>
        </is>
      </c>
      <c r="O727" t="inlineStr">
        <is>
          <t>eng</t>
        </is>
      </c>
      <c r="P727" t="inlineStr">
        <is>
          <t xml:space="preserve">xx </t>
        </is>
      </c>
      <c r="R727" t="inlineStr">
        <is>
          <t xml:space="preserve">DS </t>
        </is>
      </c>
      <c r="S727" t="n">
        <v>1</v>
      </c>
      <c r="T727" t="n">
        <v>11</v>
      </c>
      <c r="V727" t="inlineStr">
        <is>
          <t>1996-03-04</t>
        </is>
      </c>
      <c r="W727" t="inlineStr">
        <is>
          <t>1990-10-08</t>
        </is>
      </c>
      <c r="X727" t="inlineStr">
        <is>
          <t>1990-10-08</t>
        </is>
      </c>
      <c r="Y727" t="n">
        <v>141</v>
      </c>
      <c r="Z727" t="n">
        <v>118</v>
      </c>
      <c r="AA727" t="n">
        <v>120</v>
      </c>
      <c r="AB727" t="n">
        <v>2</v>
      </c>
      <c r="AC727" t="n">
        <v>2</v>
      </c>
      <c r="AD727" t="n">
        <v>3</v>
      </c>
      <c r="AE727" t="n">
        <v>3</v>
      </c>
      <c r="AF727" t="n">
        <v>0</v>
      </c>
      <c r="AG727" t="n">
        <v>0</v>
      </c>
      <c r="AH727" t="n">
        <v>1</v>
      </c>
      <c r="AI727" t="n">
        <v>1</v>
      </c>
      <c r="AJ727" t="n">
        <v>2</v>
      </c>
      <c r="AK727" t="n">
        <v>2</v>
      </c>
      <c r="AL727" t="n">
        <v>1</v>
      </c>
      <c r="AM727" t="n">
        <v>1</v>
      </c>
      <c r="AN727" t="n">
        <v>0</v>
      </c>
      <c r="AO727" t="n">
        <v>0</v>
      </c>
      <c r="AP727" t="inlineStr">
        <is>
          <t>No</t>
        </is>
      </c>
      <c r="AQ727" t="inlineStr">
        <is>
          <t>No</t>
        </is>
      </c>
      <c r="AS727">
        <f>HYPERLINK("https://creighton-primo.hosted.exlibrisgroup.com/primo-explore/search?tab=default_tab&amp;search_scope=EVERYTHING&amp;vid=01CRU&amp;lang=en_US&amp;offset=0&amp;query=any,contains,991004214449702656","Catalog Record")</f>
        <v/>
      </c>
      <c r="AT727">
        <f>HYPERLINK("http://www.worldcat.org/oclc/2694653","WorldCat Record")</f>
        <v/>
      </c>
      <c r="AU727" t="inlineStr">
        <is>
          <t>3373799144:eng</t>
        </is>
      </c>
      <c r="AV727" t="inlineStr">
        <is>
          <t>2694653</t>
        </is>
      </c>
      <c r="AW727" t="inlineStr">
        <is>
          <t>991004214449702656</t>
        </is>
      </c>
      <c r="AX727" t="inlineStr">
        <is>
          <t>991004214449702656</t>
        </is>
      </c>
      <c r="AY727" t="inlineStr">
        <is>
          <t>2266330570002656</t>
        </is>
      </c>
      <c r="AZ727" t="inlineStr">
        <is>
          <t>BOOK</t>
        </is>
      </c>
      <c r="BC727" t="inlineStr">
        <is>
          <t>32285000335363</t>
        </is>
      </c>
      <c r="BD727" t="inlineStr">
        <is>
          <t>893888429</t>
        </is>
      </c>
    </row>
    <row r="728">
      <c r="A728" t="inlineStr">
        <is>
          <t>No</t>
        </is>
      </c>
      <c r="B728" t="inlineStr">
        <is>
          <t>DS228.I7 F87 2002</t>
        </is>
      </c>
      <c r="C728" t="inlineStr">
        <is>
          <t>0                      DS 0228000I  7                  F  87          2002</t>
        </is>
      </c>
      <c r="D728" t="inlineStr">
        <is>
          <t>Iran's rivalry with Saudi Arabia between the Gulf wars / Henner Fürtig ; with a foreword by Anoushiravan Ehteshami.</t>
        </is>
      </c>
      <c r="F728" t="inlineStr">
        <is>
          <t>No</t>
        </is>
      </c>
      <c r="G728" t="inlineStr">
        <is>
          <t>1</t>
        </is>
      </c>
      <c r="H728" t="inlineStr">
        <is>
          <t>No</t>
        </is>
      </c>
      <c r="I728" t="inlineStr">
        <is>
          <t>No</t>
        </is>
      </c>
      <c r="J728" t="inlineStr">
        <is>
          <t>0</t>
        </is>
      </c>
      <c r="K728" t="inlineStr">
        <is>
          <t>Fürtig, Henner.</t>
        </is>
      </c>
      <c r="L728" t="inlineStr">
        <is>
          <t>Reading, UK : Ithaca Press, c2002.</t>
        </is>
      </c>
      <c r="M728" t="inlineStr">
        <is>
          <t>2002</t>
        </is>
      </c>
      <c r="N728" t="inlineStr">
        <is>
          <t>1st ed.</t>
        </is>
      </c>
      <c r="O728" t="inlineStr">
        <is>
          <t>eng</t>
        </is>
      </c>
      <c r="P728" t="inlineStr">
        <is>
          <t>enk</t>
        </is>
      </c>
      <c r="Q728" t="inlineStr">
        <is>
          <t>Durham Middle East monographs series</t>
        </is>
      </c>
      <c r="R728" t="inlineStr">
        <is>
          <t xml:space="preserve">DS </t>
        </is>
      </c>
      <c r="S728" t="n">
        <v>7</v>
      </c>
      <c r="T728" t="n">
        <v>7</v>
      </c>
      <c r="U728" t="inlineStr">
        <is>
          <t>2006-10-03</t>
        </is>
      </c>
      <c r="V728" t="inlineStr">
        <is>
          <t>2006-10-03</t>
        </is>
      </c>
      <c r="W728" t="inlineStr">
        <is>
          <t>2003-12-15</t>
        </is>
      </c>
      <c r="X728" t="inlineStr">
        <is>
          <t>2003-12-15</t>
        </is>
      </c>
      <c r="Y728" t="n">
        <v>325</v>
      </c>
      <c r="Z728" t="n">
        <v>281</v>
      </c>
      <c r="AA728" t="n">
        <v>287</v>
      </c>
      <c r="AB728" t="n">
        <v>2</v>
      </c>
      <c r="AC728" t="n">
        <v>2</v>
      </c>
      <c r="AD728" t="n">
        <v>14</v>
      </c>
      <c r="AE728" t="n">
        <v>14</v>
      </c>
      <c r="AF728" t="n">
        <v>6</v>
      </c>
      <c r="AG728" t="n">
        <v>6</v>
      </c>
      <c r="AH728" t="n">
        <v>5</v>
      </c>
      <c r="AI728" t="n">
        <v>5</v>
      </c>
      <c r="AJ728" t="n">
        <v>6</v>
      </c>
      <c r="AK728" t="n">
        <v>6</v>
      </c>
      <c r="AL728" t="n">
        <v>1</v>
      </c>
      <c r="AM728" t="n">
        <v>1</v>
      </c>
      <c r="AN728" t="n">
        <v>0</v>
      </c>
      <c r="AO728" t="n">
        <v>0</v>
      </c>
      <c r="AP728" t="inlineStr">
        <is>
          <t>No</t>
        </is>
      </c>
      <c r="AQ728" t="inlineStr">
        <is>
          <t>Yes</t>
        </is>
      </c>
      <c r="AR728">
        <f>HYPERLINK("http://catalog.hathitrust.org/Record/004239202","HathiTrust Record")</f>
        <v/>
      </c>
      <c r="AS728">
        <f>HYPERLINK("https://creighton-primo.hosted.exlibrisgroup.com/primo-explore/search?tab=default_tab&amp;search_scope=EVERYTHING&amp;vid=01CRU&amp;lang=en_US&amp;offset=0&amp;query=any,contains,991004189709702656","Catalog Record")</f>
        <v/>
      </c>
      <c r="AT728">
        <f>HYPERLINK("http://www.worldcat.org/oclc/49787102","WorldCat Record")</f>
        <v/>
      </c>
      <c r="AU728" t="inlineStr">
        <is>
          <t>1029854:eng</t>
        </is>
      </c>
      <c r="AV728" t="inlineStr">
        <is>
          <t>49787102</t>
        </is>
      </c>
      <c r="AW728" t="inlineStr">
        <is>
          <t>991004189709702656</t>
        </is>
      </c>
      <c r="AX728" t="inlineStr">
        <is>
          <t>991004189709702656</t>
        </is>
      </c>
      <c r="AY728" t="inlineStr">
        <is>
          <t>2255712040002656</t>
        </is>
      </c>
      <c r="AZ728" t="inlineStr">
        <is>
          <t>BOOK</t>
        </is>
      </c>
      <c r="BB728" t="inlineStr">
        <is>
          <t>9780863722875</t>
        </is>
      </c>
      <c r="BC728" t="inlineStr">
        <is>
          <t>32285004847157</t>
        </is>
      </c>
      <c r="BD728" t="inlineStr">
        <is>
          <t>893775740</t>
        </is>
      </c>
    </row>
    <row r="729">
      <c r="A729" t="inlineStr">
        <is>
          <t>No</t>
        </is>
      </c>
      <c r="B729" t="inlineStr">
        <is>
          <t>DS234 .A4 1983</t>
        </is>
      </c>
      <c r="C729" t="inlineStr">
        <is>
          <t>0                      DS 0234000A  4           1983</t>
        </is>
      </c>
      <c r="D729" t="inlineStr">
        <is>
          <t>The early caliphate / by Maulānā Muḥammad ʻAlī.</t>
        </is>
      </c>
      <c r="F729" t="inlineStr">
        <is>
          <t>No</t>
        </is>
      </c>
      <c r="G729" t="inlineStr">
        <is>
          <t>1</t>
        </is>
      </c>
      <c r="H729" t="inlineStr">
        <is>
          <t>No</t>
        </is>
      </c>
      <c r="I729" t="inlineStr">
        <is>
          <t>No</t>
        </is>
      </c>
      <c r="J729" t="inlineStr">
        <is>
          <t>0</t>
        </is>
      </c>
      <c r="K729" t="inlineStr">
        <is>
          <t>Ali, Muhammad, 1875 December-1951.</t>
        </is>
      </c>
      <c r="L729" t="inlineStr">
        <is>
          <t>Lahore, Pakistan : Aḥmadiyya anjuman is̲h̲ āʻat Isl ām, 1983.</t>
        </is>
      </c>
      <c r="M729" t="inlineStr">
        <is>
          <t>1983</t>
        </is>
      </c>
      <c r="N729" t="inlineStr">
        <is>
          <t>4th ed.</t>
        </is>
      </c>
      <c r="O729" t="inlineStr">
        <is>
          <t>eng</t>
        </is>
      </c>
      <c r="P729" t="inlineStr">
        <is>
          <t xml:space="preserve">pk </t>
        </is>
      </c>
      <c r="R729" t="inlineStr">
        <is>
          <t xml:space="preserve">DS </t>
        </is>
      </c>
      <c r="S729" t="n">
        <v>3</v>
      </c>
      <c r="T729" t="n">
        <v>3</v>
      </c>
      <c r="U729" t="inlineStr">
        <is>
          <t>2001-11-20</t>
        </is>
      </c>
      <c r="V729" t="inlineStr">
        <is>
          <t>2001-11-20</t>
        </is>
      </c>
      <c r="W729" t="inlineStr">
        <is>
          <t>1990-10-08</t>
        </is>
      </c>
      <c r="X729" t="inlineStr">
        <is>
          <t>1990-10-08</t>
        </is>
      </c>
      <c r="Y729" t="n">
        <v>143</v>
      </c>
      <c r="Z729" t="n">
        <v>130</v>
      </c>
      <c r="AA729" t="n">
        <v>248</v>
      </c>
      <c r="AB729" t="n">
        <v>3</v>
      </c>
      <c r="AC729" t="n">
        <v>3</v>
      </c>
      <c r="AD729" t="n">
        <v>6</v>
      </c>
      <c r="AE729" t="n">
        <v>12</v>
      </c>
      <c r="AF729" t="n">
        <v>0</v>
      </c>
      <c r="AG729" t="n">
        <v>2</v>
      </c>
      <c r="AH729" t="n">
        <v>2</v>
      </c>
      <c r="AI729" t="n">
        <v>3</v>
      </c>
      <c r="AJ729" t="n">
        <v>4</v>
      </c>
      <c r="AK729" t="n">
        <v>7</v>
      </c>
      <c r="AL729" t="n">
        <v>2</v>
      </c>
      <c r="AM729" t="n">
        <v>2</v>
      </c>
      <c r="AN729" t="n">
        <v>0</v>
      </c>
      <c r="AO729" t="n">
        <v>0</v>
      </c>
      <c r="AP729" t="inlineStr">
        <is>
          <t>No</t>
        </is>
      </c>
      <c r="AQ729" t="inlineStr">
        <is>
          <t>Yes</t>
        </is>
      </c>
      <c r="AR729">
        <f>HYPERLINK("http://catalog.hathitrust.org/Record/000437037","HathiTrust Record")</f>
        <v/>
      </c>
      <c r="AS729">
        <f>HYPERLINK("https://creighton-primo.hosted.exlibrisgroup.com/primo-explore/search?tab=default_tab&amp;search_scope=EVERYTHING&amp;vid=01CRU&amp;lang=en_US&amp;offset=0&amp;query=any,contains,991000797459702656","Catalog Record")</f>
        <v/>
      </c>
      <c r="AT729">
        <f>HYPERLINK("http://www.worldcat.org/oclc/13204729","WorldCat Record")</f>
        <v/>
      </c>
      <c r="AU729" t="inlineStr">
        <is>
          <t>2044462:eng</t>
        </is>
      </c>
      <c r="AV729" t="inlineStr">
        <is>
          <t>13204729</t>
        </is>
      </c>
      <c r="AW729" t="inlineStr">
        <is>
          <t>991000797459702656</t>
        </is>
      </c>
      <c r="AX729" t="inlineStr">
        <is>
          <t>991000797459702656</t>
        </is>
      </c>
      <c r="AY729" t="inlineStr">
        <is>
          <t>2258527360002656</t>
        </is>
      </c>
      <c r="AZ729" t="inlineStr">
        <is>
          <t>BOOK</t>
        </is>
      </c>
      <c r="BC729" t="inlineStr">
        <is>
          <t>32285000335397</t>
        </is>
      </c>
      <c r="BD729" t="inlineStr">
        <is>
          <t>893589746</t>
        </is>
      </c>
    </row>
    <row r="730">
      <c r="A730" t="inlineStr">
        <is>
          <t>No</t>
        </is>
      </c>
      <c r="B730" t="inlineStr">
        <is>
          <t>DS236 .B5</t>
        </is>
      </c>
      <c r="C730" t="inlineStr">
        <is>
          <t>0                      DS 0236000B  5</t>
        </is>
      </c>
      <c r="D730" t="inlineStr">
        <is>
          <t>Islamic history of the Middle East; backgrounds, development, and fall of the Arab Empire [by] Wilson B. Bishai.</t>
        </is>
      </c>
      <c r="F730" t="inlineStr">
        <is>
          <t>No</t>
        </is>
      </c>
      <c r="G730" t="inlineStr">
        <is>
          <t>1</t>
        </is>
      </c>
      <c r="H730" t="inlineStr">
        <is>
          <t>No</t>
        </is>
      </c>
      <c r="I730" t="inlineStr">
        <is>
          <t>No</t>
        </is>
      </c>
      <c r="J730" t="inlineStr">
        <is>
          <t>0</t>
        </is>
      </c>
      <c r="K730" t="inlineStr">
        <is>
          <t>Bishai, Wilson B., 1923-2008.</t>
        </is>
      </c>
      <c r="L730" t="inlineStr">
        <is>
          <t>Boston, Allyn and Bacon [1968]</t>
        </is>
      </c>
      <c r="M730" t="inlineStr">
        <is>
          <t>1968</t>
        </is>
      </c>
      <c r="O730" t="inlineStr">
        <is>
          <t>eng</t>
        </is>
      </c>
      <c r="P730" t="inlineStr">
        <is>
          <t>mau</t>
        </is>
      </c>
      <c r="R730" t="inlineStr">
        <is>
          <t xml:space="preserve">DS </t>
        </is>
      </c>
      <c r="S730" t="n">
        <v>1</v>
      </c>
      <c r="T730" t="n">
        <v>1</v>
      </c>
      <c r="U730" t="inlineStr">
        <is>
          <t>2001-11-20</t>
        </is>
      </c>
      <c r="V730" t="inlineStr">
        <is>
          <t>2001-11-20</t>
        </is>
      </c>
      <c r="W730" t="inlineStr">
        <is>
          <t>1997-03-06</t>
        </is>
      </c>
      <c r="X730" t="inlineStr">
        <is>
          <t>1997-03-06</t>
        </is>
      </c>
      <c r="Y730" t="n">
        <v>499</v>
      </c>
      <c r="Z730" t="n">
        <v>450</v>
      </c>
      <c r="AA730" t="n">
        <v>451</v>
      </c>
      <c r="AB730" t="n">
        <v>3</v>
      </c>
      <c r="AC730" t="n">
        <v>3</v>
      </c>
      <c r="AD730" t="n">
        <v>17</v>
      </c>
      <c r="AE730" t="n">
        <v>17</v>
      </c>
      <c r="AF730" t="n">
        <v>5</v>
      </c>
      <c r="AG730" t="n">
        <v>5</v>
      </c>
      <c r="AH730" t="n">
        <v>4</v>
      </c>
      <c r="AI730" t="n">
        <v>4</v>
      </c>
      <c r="AJ730" t="n">
        <v>10</v>
      </c>
      <c r="AK730" t="n">
        <v>10</v>
      </c>
      <c r="AL730" t="n">
        <v>2</v>
      </c>
      <c r="AM730" t="n">
        <v>2</v>
      </c>
      <c r="AN730" t="n">
        <v>0</v>
      </c>
      <c r="AO730" t="n">
        <v>0</v>
      </c>
      <c r="AP730" t="inlineStr">
        <is>
          <t>No</t>
        </is>
      </c>
      <c r="AQ730" t="inlineStr">
        <is>
          <t>No</t>
        </is>
      </c>
      <c r="AS730">
        <f>HYPERLINK("https://creighton-primo.hosted.exlibrisgroup.com/primo-explore/search?tab=default_tab&amp;search_scope=EVERYTHING&amp;vid=01CRU&amp;lang=en_US&amp;offset=0&amp;query=any,contains,991002772699702656","Catalog Record")</f>
        <v/>
      </c>
      <c r="AT730">
        <f>HYPERLINK("http://www.worldcat.org/oclc/437569","WorldCat Record")</f>
        <v/>
      </c>
      <c r="AU730" t="inlineStr">
        <is>
          <t>1558807:eng</t>
        </is>
      </c>
      <c r="AV730" t="inlineStr">
        <is>
          <t>437569</t>
        </is>
      </c>
      <c r="AW730" t="inlineStr">
        <is>
          <t>991002772699702656</t>
        </is>
      </c>
      <c r="AX730" t="inlineStr">
        <is>
          <t>991002772699702656</t>
        </is>
      </c>
      <c r="AY730" t="inlineStr">
        <is>
          <t>2267930500002656</t>
        </is>
      </c>
      <c r="AZ730" t="inlineStr">
        <is>
          <t>BOOK</t>
        </is>
      </c>
      <c r="BC730" t="inlineStr">
        <is>
          <t>32285002455268</t>
        </is>
      </c>
      <c r="BD730" t="inlineStr">
        <is>
          <t>893805019</t>
        </is>
      </c>
    </row>
    <row r="731">
      <c r="A731" t="inlineStr">
        <is>
          <t>No</t>
        </is>
      </c>
      <c r="B731" t="inlineStr">
        <is>
          <t>DS236 .O2 1894</t>
        </is>
      </c>
      <c r="C731" t="inlineStr">
        <is>
          <t>0                      DS 0236000O  2           1894</t>
        </is>
      </c>
      <c r="D731" t="inlineStr">
        <is>
          <t>The history of the Saracens : comprising the lives of Mohammed and his successors, to the death of Abdalmelik, the eleventh caliph : with an account of their most remarkable battles, sieges, revolts, &amp;c. / collected from authentic sources, especially Arabic mss. by Simon Ockley.</t>
        </is>
      </c>
      <c r="F731" t="inlineStr">
        <is>
          <t>No</t>
        </is>
      </c>
      <c r="G731" t="inlineStr">
        <is>
          <t>1</t>
        </is>
      </c>
      <c r="H731" t="inlineStr">
        <is>
          <t>No</t>
        </is>
      </c>
      <c r="I731" t="inlineStr">
        <is>
          <t>No</t>
        </is>
      </c>
      <c r="J731" t="inlineStr">
        <is>
          <t>0</t>
        </is>
      </c>
      <c r="K731" t="inlineStr">
        <is>
          <t>Ockley, Simon, 1678-1720.</t>
        </is>
      </c>
      <c r="L731" t="inlineStr">
        <is>
          <t>London ; New York : G. Bell &amp; sons, 1894.</t>
        </is>
      </c>
      <c r="M731" t="inlineStr">
        <is>
          <t>1894</t>
        </is>
      </c>
      <c r="O731" t="inlineStr">
        <is>
          <t>eng</t>
        </is>
      </c>
      <c r="P731" t="inlineStr">
        <is>
          <t>enk</t>
        </is>
      </c>
      <c r="Q731" t="inlineStr">
        <is>
          <t>Bohn's standard library</t>
        </is>
      </c>
      <c r="R731" t="inlineStr">
        <is>
          <t xml:space="preserve">DS </t>
        </is>
      </c>
      <c r="S731" t="n">
        <v>4</v>
      </c>
      <c r="T731" t="n">
        <v>4</v>
      </c>
      <c r="U731" t="inlineStr">
        <is>
          <t>2003-08-10</t>
        </is>
      </c>
      <c r="V731" t="inlineStr">
        <is>
          <t>2003-08-10</t>
        </is>
      </c>
      <c r="W731" t="inlineStr">
        <is>
          <t>1994-03-11</t>
        </is>
      </c>
      <c r="X731" t="inlineStr">
        <is>
          <t>1994-03-11</t>
        </is>
      </c>
      <c r="Y731" t="n">
        <v>25</v>
      </c>
      <c r="Z731" t="n">
        <v>21</v>
      </c>
      <c r="AA731" t="n">
        <v>66</v>
      </c>
      <c r="AB731" t="n">
        <v>2</v>
      </c>
      <c r="AC731" t="n">
        <v>3</v>
      </c>
      <c r="AD731" t="n">
        <v>2</v>
      </c>
      <c r="AE731" t="n">
        <v>4</v>
      </c>
      <c r="AF731" t="n">
        <v>0</v>
      </c>
      <c r="AG731" t="n">
        <v>0</v>
      </c>
      <c r="AH731" t="n">
        <v>0</v>
      </c>
      <c r="AI731" t="n">
        <v>1</v>
      </c>
      <c r="AJ731" t="n">
        <v>1</v>
      </c>
      <c r="AK731" t="n">
        <v>1</v>
      </c>
      <c r="AL731" t="n">
        <v>1</v>
      </c>
      <c r="AM731" t="n">
        <v>2</v>
      </c>
      <c r="AN731" t="n">
        <v>0</v>
      </c>
      <c r="AO731" t="n">
        <v>0</v>
      </c>
      <c r="AP731" t="inlineStr">
        <is>
          <t>Yes</t>
        </is>
      </c>
      <c r="AQ731" t="inlineStr">
        <is>
          <t>No</t>
        </is>
      </c>
      <c r="AR731">
        <f>HYPERLINK("http://catalog.hathitrust.org/Record/009796765","HathiTrust Record")</f>
        <v/>
      </c>
      <c r="AS731">
        <f>HYPERLINK("https://creighton-primo.hosted.exlibrisgroup.com/primo-explore/search?tab=default_tab&amp;search_scope=EVERYTHING&amp;vid=01CRU&amp;lang=en_US&amp;offset=0&amp;query=any,contains,991004052879702656","Catalog Record")</f>
        <v/>
      </c>
      <c r="AT731">
        <f>HYPERLINK("http://www.worldcat.org/oclc/2216942","WorldCat Record")</f>
        <v/>
      </c>
      <c r="AU731" t="inlineStr">
        <is>
          <t>3835899:eng</t>
        </is>
      </c>
      <c r="AV731" t="inlineStr">
        <is>
          <t>2216942</t>
        </is>
      </c>
      <c r="AW731" t="inlineStr">
        <is>
          <t>991004052879702656</t>
        </is>
      </c>
      <c r="AX731" t="inlineStr">
        <is>
          <t>991004052879702656</t>
        </is>
      </c>
      <c r="AY731" t="inlineStr">
        <is>
          <t>2257513800002656</t>
        </is>
      </c>
      <c r="AZ731" t="inlineStr">
        <is>
          <t>BOOK</t>
        </is>
      </c>
      <c r="BC731" t="inlineStr">
        <is>
          <t>32285001853091</t>
        </is>
      </c>
      <c r="BD731" t="inlineStr">
        <is>
          <t>893253186</t>
        </is>
      </c>
    </row>
    <row r="732">
      <c r="A732" t="inlineStr">
        <is>
          <t>No</t>
        </is>
      </c>
      <c r="B732" t="inlineStr">
        <is>
          <t>DS238.A4 B3 1973</t>
        </is>
      </c>
      <c r="C732" t="inlineStr">
        <is>
          <t>0                      DS 0238000A  4                  B  3           1973</t>
        </is>
      </c>
      <c r="D732" t="inlineStr">
        <is>
          <t>Hazrat Abu Bakr, the first caliph of Islam / by Nawab Sadr Yar Jung Bahadur M. Muhammad Habibur Rahman Khan Sherwani ; translated by Syed Moinul Haq.</t>
        </is>
      </c>
      <c r="F732" t="inlineStr">
        <is>
          <t>No</t>
        </is>
      </c>
      <c r="G732" t="inlineStr">
        <is>
          <t>1</t>
        </is>
      </c>
      <c r="H732" t="inlineStr">
        <is>
          <t>No</t>
        </is>
      </c>
      <c r="I732" t="inlineStr">
        <is>
          <t>No</t>
        </is>
      </c>
      <c r="J732" t="inlineStr">
        <is>
          <t>0</t>
        </is>
      </c>
      <c r="K732" t="inlineStr">
        <is>
          <t>Sherwani, Muhammad Habibur Rahman Khan.</t>
        </is>
      </c>
      <c r="L732" t="inlineStr">
        <is>
          <t>Lahore : Sh. Muhammad Ashraf, 1947, 1973 printing.</t>
        </is>
      </c>
      <c r="M732" t="inlineStr">
        <is>
          <t>1973</t>
        </is>
      </c>
      <c r="N732" t="inlineStr">
        <is>
          <t>3d ed. [rev.]</t>
        </is>
      </c>
      <c r="O732" t="inlineStr">
        <is>
          <t>eng</t>
        </is>
      </c>
      <c r="P732" t="inlineStr">
        <is>
          <t xml:space="preserve">pk </t>
        </is>
      </c>
      <c r="R732" t="inlineStr">
        <is>
          <t xml:space="preserve">DS </t>
        </is>
      </c>
      <c r="S732" t="n">
        <v>2</v>
      </c>
      <c r="T732" t="n">
        <v>2</v>
      </c>
      <c r="U732" t="inlineStr">
        <is>
          <t>2001-11-20</t>
        </is>
      </c>
      <c r="V732" t="inlineStr">
        <is>
          <t>2001-11-20</t>
        </is>
      </c>
      <c r="W732" t="inlineStr">
        <is>
          <t>1994-03-11</t>
        </is>
      </c>
      <c r="X732" t="inlineStr">
        <is>
          <t>1994-03-11</t>
        </is>
      </c>
      <c r="Y732" t="n">
        <v>11</v>
      </c>
      <c r="Z732" t="n">
        <v>8</v>
      </c>
      <c r="AA732" t="n">
        <v>48</v>
      </c>
      <c r="AB732" t="n">
        <v>1</v>
      </c>
      <c r="AC732" t="n">
        <v>1</v>
      </c>
      <c r="AD732" t="n">
        <v>0</v>
      </c>
      <c r="AE732" t="n">
        <v>0</v>
      </c>
      <c r="AF732" t="n">
        <v>0</v>
      </c>
      <c r="AG732" t="n">
        <v>0</v>
      </c>
      <c r="AH732" t="n">
        <v>0</v>
      </c>
      <c r="AI732" t="n">
        <v>0</v>
      </c>
      <c r="AJ732" t="n">
        <v>0</v>
      </c>
      <c r="AK732" t="n">
        <v>0</v>
      </c>
      <c r="AL732" t="n">
        <v>0</v>
      </c>
      <c r="AM732" t="n">
        <v>0</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HYPERLINK("https://creighton-primo.hosted.exlibrisgroup.com/primo-explore/search?tab=default_tab&amp;search_scope=EVERYTHING&amp;vid=01CRU&amp;lang=en_US&amp;offset=0&amp;query=any,contains,991004148019702656","Catalog Record")</f>
        <v/>
      </c>
      <c r="AT732">
        <f>HYPERLINK("http://www.worldcat.org/oclc/2517248","WorldCat Record")</f>
        <v/>
      </c>
      <c r="AU732" t="inlineStr">
        <is>
          <t>193939705:eng</t>
        </is>
      </c>
      <c r="AV732" t="inlineStr">
        <is>
          <t>2517248</t>
        </is>
      </c>
      <c r="AW732" t="inlineStr">
        <is>
          <t>991004148019702656</t>
        </is>
      </c>
      <c r="AX732" t="inlineStr">
        <is>
          <t>991004148019702656</t>
        </is>
      </c>
      <c r="AY732" t="inlineStr">
        <is>
          <t>2257695890002656</t>
        </is>
      </c>
      <c r="AZ732" t="inlineStr">
        <is>
          <t>BOOK</t>
        </is>
      </c>
      <c r="BC732" t="inlineStr">
        <is>
          <t>32285001853083</t>
        </is>
      </c>
      <c r="BD732" t="inlineStr">
        <is>
          <t>893781906</t>
        </is>
      </c>
    </row>
    <row r="733">
      <c r="A733" t="inlineStr">
        <is>
          <t>No</t>
        </is>
      </c>
      <c r="B733" t="inlineStr">
        <is>
          <t>DS241 .W5</t>
        </is>
      </c>
      <c r="C733" t="inlineStr">
        <is>
          <t>0                      DS 0241000W  5</t>
        </is>
      </c>
      <c r="D733" t="inlineStr">
        <is>
          <t>Saudi Arabia in the nineteenth century.</t>
        </is>
      </c>
      <c r="F733" t="inlineStr">
        <is>
          <t>No</t>
        </is>
      </c>
      <c r="G733" t="inlineStr">
        <is>
          <t>1</t>
        </is>
      </c>
      <c r="H733" t="inlineStr">
        <is>
          <t>No</t>
        </is>
      </c>
      <c r="I733" t="inlineStr">
        <is>
          <t>No</t>
        </is>
      </c>
      <c r="J733" t="inlineStr">
        <is>
          <t>0</t>
        </is>
      </c>
      <c r="K733" t="inlineStr">
        <is>
          <t>Winder, R. Bayly (Richard Bayly), 1920-1988.</t>
        </is>
      </c>
      <c r="L733" t="inlineStr">
        <is>
          <t>London : Macmillan ; New York : St. Martin's Press, 1965.</t>
        </is>
      </c>
      <c r="M733" t="inlineStr">
        <is>
          <t>1965</t>
        </is>
      </c>
      <c r="O733" t="inlineStr">
        <is>
          <t>eng</t>
        </is>
      </c>
      <c r="P733" t="inlineStr">
        <is>
          <t>enk</t>
        </is>
      </c>
      <c r="R733" t="inlineStr">
        <is>
          <t xml:space="preserve">DS </t>
        </is>
      </c>
      <c r="S733" t="n">
        <v>4</v>
      </c>
      <c r="T733" t="n">
        <v>4</v>
      </c>
      <c r="U733" t="inlineStr">
        <is>
          <t>2004-06-21</t>
        </is>
      </c>
      <c r="V733" t="inlineStr">
        <is>
          <t>2004-06-21</t>
        </is>
      </c>
      <c r="W733" t="inlineStr">
        <is>
          <t>1994-03-11</t>
        </is>
      </c>
      <c r="X733" t="inlineStr">
        <is>
          <t>1994-03-11</t>
        </is>
      </c>
      <c r="Y733" t="n">
        <v>178</v>
      </c>
      <c r="Z733" t="n">
        <v>92</v>
      </c>
      <c r="AA733" t="n">
        <v>435</v>
      </c>
      <c r="AB733" t="n">
        <v>2</v>
      </c>
      <c r="AC733" t="n">
        <v>2</v>
      </c>
      <c r="AD733" t="n">
        <v>7</v>
      </c>
      <c r="AE733" t="n">
        <v>20</v>
      </c>
      <c r="AF733" t="n">
        <v>2</v>
      </c>
      <c r="AG733" t="n">
        <v>8</v>
      </c>
      <c r="AH733" t="n">
        <v>2</v>
      </c>
      <c r="AI733" t="n">
        <v>7</v>
      </c>
      <c r="AJ733" t="n">
        <v>3</v>
      </c>
      <c r="AK733" t="n">
        <v>11</v>
      </c>
      <c r="AL733" t="n">
        <v>1</v>
      </c>
      <c r="AM733" t="n">
        <v>1</v>
      </c>
      <c r="AN733" t="n">
        <v>0</v>
      </c>
      <c r="AO733" t="n">
        <v>0</v>
      </c>
      <c r="AP733" t="inlineStr">
        <is>
          <t>No</t>
        </is>
      </c>
      <c r="AQ733" t="inlineStr">
        <is>
          <t>No</t>
        </is>
      </c>
      <c r="AS733">
        <f>HYPERLINK("https://creighton-primo.hosted.exlibrisgroup.com/primo-explore/search?tab=default_tab&amp;search_scope=EVERYTHING&amp;vid=01CRU&amp;lang=en_US&amp;offset=0&amp;query=any,contains,991005074969702656","Catalog Record")</f>
        <v/>
      </c>
      <c r="AT733">
        <f>HYPERLINK("http://www.worldcat.org/oclc/7100412","WorldCat Record")</f>
        <v/>
      </c>
      <c r="AU733" t="inlineStr">
        <is>
          <t>155301348:eng</t>
        </is>
      </c>
      <c r="AV733" t="inlineStr">
        <is>
          <t>7100412</t>
        </is>
      </c>
      <c r="AW733" t="inlineStr">
        <is>
          <t>991005074969702656</t>
        </is>
      </c>
      <c r="AX733" t="inlineStr">
        <is>
          <t>991005074969702656</t>
        </is>
      </c>
      <c r="AY733" t="inlineStr">
        <is>
          <t>2256656950002656</t>
        </is>
      </c>
      <c r="AZ733" t="inlineStr">
        <is>
          <t>BOOK</t>
        </is>
      </c>
      <c r="BC733" t="inlineStr">
        <is>
          <t>32285001853059</t>
        </is>
      </c>
      <c r="BD733" t="inlineStr">
        <is>
          <t>893418333</t>
        </is>
      </c>
    </row>
    <row r="734">
      <c r="A734" t="inlineStr">
        <is>
          <t>No</t>
        </is>
      </c>
      <c r="B734" t="inlineStr">
        <is>
          <t>DS242 .H29 2000</t>
        </is>
      </c>
      <c r="C734" t="inlineStr">
        <is>
          <t>0                      DS 0242000H  29          2000</t>
        </is>
      </c>
      <c r="D734" t="inlineStr">
        <is>
          <t>The history of Saudi Arabia / Alexei Vassiliev.</t>
        </is>
      </c>
      <c r="F734" t="inlineStr">
        <is>
          <t>No</t>
        </is>
      </c>
      <c r="G734" t="inlineStr">
        <is>
          <t>1</t>
        </is>
      </c>
      <c r="H734" t="inlineStr">
        <is>
          <t>No</t>
        </is>
      </c>
      <c r="I734" t="inlineStr">
        <is>
          <t>No</t>
        </is>
      </c>
      <c r="J734" t="inlineStr">
        <is>
          <t>0</t>
        </is>
      </c>
      <c r="K734" t="inlineStr">
        <is>
          <t>Vasilʹev, A. M. (Alekseĭ Mikhaĭlovich)</t>
        </is>
      </c>
      <c r="L734" t="inlineStr">
        <is>
          <t>New York : New York University Press, 2000.</t>
        </is>
      </c>
      <c r="M734" t="inlineStr">
        <is>
          <t>2000</t>
        </is>
      </c>
      <c r="O734" t="inlineStr">
        <is>
          <t>eng</t>
        </is>
      </c>
      <c r="P734" t="inlineStr">
        <is>
          <t>nyu</t>
        </is>
      </c>
      <c r="R734" t="inlineStr">
        <is>
          <t xml:space="preserve">DS </t>
        </is>
      </c>
      <c r="S734" t="n">
        <v>12</v>
      </c>
      <c r="T734" t="n">
        <v>12</v>
      </c>
      <c r="U734" t="inlineStr">
        <is>
          <t>2008-04-07</t>
        </is>
      </c>
      <c r="V734" t="inlineStr">
        <is>
          <t>2008-04-07</t>
        </is>
      </c>
      <c r="W734" t="inlineStr">
        <is>
          <t>2002-05-22</t>
        </is>
      </c>
      <c r="X734" t="inlineStr">
        <is>
          <t>2002-05-22</t>
        </is>
      </c>
      <c r="Y734" t="n">
        <v>279</v>
      </c>
      <c r="Z734" t="n">
        <v>243</v>
      </c>
      <c r="AA734" t="n">
        <v>665</v>
      </c>
      <c r="AB734" t="n">
        <v>4</v>
      </c>
      <c r="AC734" t="n">
        <v>5</v>
      </c>
      <c r="AD734" t="n">
        <v>14</v>
      </c>
      <c r="AE734" t="n">
        <v>34</v>
      </c>
      <c r="AF734" t="n">
        <v>6</v>
      </c>
      <c r="AG734" t="n">
        <v>17</v>
      </c>
      <c r="AH734" t="n">
        <v>3</v>
      </c>
      <c r="AI734" t="n">
        <v>7</v>
      </c>
      <c r="AJ734" t="n">
        <v>5</v>
      </c>
      <c r="AK734" t="n">
        <v>17</v>
      </c>
      <c r="AL734" t="n">
        <v>2</v>
      </c>
      <c r="AM734" t="n">
        <v>3</v>
      </c>
      <c r="AN734" t="n">
        <v>0</v>
      </c>
      <c r="AO734" t="n">
        <v>0</v>
      </c>
      <c r="AP734" t="inlineStr">
        <is>
          <t>No</t>
        </is>
      </c>
      <c r="AQ734" t="inlineStr">
        <is>
          <t>No</t>
        </is>
      </c>
      <c r="AS734">
        <f>HYPERLINK("https://creighton-primo.hosted.exlibrisgroup.com/primo-explore/search?tab=default_tab&amp;search_scope=EVERYTHING&amp;vid=01CRU&amp;lang=en_US&amp;offset=0&amp;query=any,contains,991003811809702656","Catalog Record")</f>
        <v/>
      </c>
      <c r="AT734">
        <f>HYPERLINK("http://www.worldcat.org/oclc/44131798","WorldCat Record")</f>
        <v/>
      </c>
      <c r="AU734" t="inlineStr">
        <is>
          <t>33594889:eng</t>
        </is>
      </c>
      <c r="AV734" t="inlineStr">
        <is>
          <t>44131798</t>
        </is>
      </c>
      <c r="AW734" t="inlineStr">
        <is>
          <t>991003811809702656</t>
        </is>
      </c>
      <c r="AX734" t="inlineStr">
        <is>
          <t>991003811809702656</t>
        </is>
      </c>
      <c r="AY734" t="inlineStr">
        <is>
          <t>2270719450002656</t>
        </is>
      </c>
      <c r="AZ734" t="inlineStr">
        <is>
          <t>BOOK</t>
        </is>
      </c>
      <c r="BB734" t="inlineStr">
        <is>
          <t>9780814788097</t>
        </is>
      </c>
      <c r="BC734" t="inlineStr">
        <is>
          <t>32285004489505</t>
        </is>
      </c>
      <c r="BD734" t="inlineStr">
        <is>
          <t>893445873</t>
        </is>
      </c>
    </row>
    <row r="735">
      <c r="A735" t="inlineStr">
        <is>
          <t>No</t>
        </is>
      </c>
      <c r="B735" t="inlineStr">
        <is>
          <t>DS243 .A57 1997</t>
        </is>
      </c>
      <c r="C735" t="inlineStr">
        <is>
          <t>0                      DS 0243000A  57          1997</t>
        </is>
      </c>
      <c r="D735" t="inlineStr">
        <is>
          <t>The Ottoman Gulf : the creation of Kuwait, Saudi Arabia, and Qatar / Frederick F. Anscombe.</t>
        </is>
      </c>
      <c r="F735" t="inlineStr">
        <is>
          <t>No</t>
        </is>
      </c>
      <c r="G735" t="inlineStr">
        <is>
          <t>1</t>
        </is>
      </c>
      <c r="H735" t="inlineStr">
        <is>
          <t>No</t>
        </is>
      </c>
      <c r="I735" t="inlineStr">
        <is>
          <t>No</t>
        </is>
      </c>
      <c r="J735" t="inlineStr">
        <is>
          <t>0</t>
        </is>
      </c>
      <c r="K735" t="inlineStr">
        <is>
          <t>Anscombe, Frederick F.</t>
        </is>
      </c>
      <c r="L735" t="inlineStr">
        <is>
          <t>New York : Columbia University Press, c1997.</t>
        </is>
      </c>
      <c r="M735" t="inlineStr">
        <is>
          <t>1997</t>
        </is>
      </c>
      <c r="O735" t="inlineStr">
        <is>
          <t>eng</t>
        </is>
      </c>
      <c r="P735" t="inlineStr">
        <is>
          <t>nyu</t>
        </is>
      </c>
      <c r="R735" t="inlineStr">
        <is>
          <t xml:space="preserve">DS </t>
        </is>
      </c>
      <c r="S735" t="n">
        <v>5</v>
      </c>
      <c r="T735" t="n">
        <v>5</v>
      </c>
      <c r="U735" t="inlineStr">
        <is>
          <t>2005-06-29</t>
        </is>
      </c>
      <c r="V735" t="inlineStr">
        <is>
          <t>2005-06-29</t>
        </is>
      </c>
      <c r="W735" t="inlineStr">
        <is>
          <t>1998-11-18</t>
        </is>
      </c>
      <c r="X735" t="inlineStr">
        <is>
          <t>1998-11-18</t>
        </is>
      </c>
      <c r="Y735" t="n">
        <v>554</v>
      </c>
      <c r="Z735" t="n">
        <v>458</v>
      </c>
      <c r="AA735" t="n">
        <v>461</v>
      </c>
      <c r="AB735" t="n">
        <v>3</v>
      </c>
      <c r="AC735" t="n">
        <v>3</v>
      </c>
      <c r="AD735" t="n">
        <v>26</v>
      </c>
      <c r="AE735" t="n">
        <v>26</v>
      </c>
      <c r="AF735" t="n">
        <v>7</v>
      </c>
      <c r="AG735" t="n">
        <v>7</v>
      </c>
      <c r="AH735" t="n">
        <v>7</v>
      </c>
      <c r="AI735" t="n">
        <v>7</v>
      </c>
      <c r="AJ735" t="n">
        <v>17</v>
      </c>
      <c r="AK735" t="n">
        <v>17</v>
      </c>
      <c r="AL735" t="n">
        <v>2</v>
      </c>
      <c r="AM735" t="n">
        <v>2</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HYPERLINK("https://creighton-primo.hosted.exlibrisgroup.com/primo-explore/search?tab=default_tab&amp;search_scope=EVERYTHING&amp;vid=01CRU&amp;lang=en_US&amp;offset=0&amp;query=any,contains,991002788219702656","Catalog Record")</f>
        <v/>
      </c>
      <c r="AT735">
        <f>HYPERLINK("http://www.worldcat.org/oclc/36621924","WorldCat Record")</f>
        <v/>
      </c>
      <c r="AU735" t="inlineStr">
        <is>
          <t>836924472:eng</t>
        </is>
      </c>
      <c r="AV735" t="inlineStr">
        <is>
          <t>36621924</t>
        </is>
      </c>
      <c r="AW735" t="inlineStr">
        <is>
          <t>991002788219702656</t>
        </is>
      </c>
      <c r="AX735" t="inlineStr">
        <is>
          <t>991002788219702656</t>
        </is>
      </c>
      <c r="AY735" t="inlineStr">
        <is>
          <t>2265326990002656</t>
        </is>
      </c>
      <c r="AZ735" t="inlineStr">
        <is>
          <t>BOOK</t>
        </is>
      </c>
      <c r="BB735" t="inlineStr">
        <is>
          <t>9780231108386</t>
        </is>
      </c>
      <c r="BC735" t="inlineStr">
        <is>
          <t>32285003490181</t>
        </is>
      </c>
      <c r="BD735" t="inlineStr">
        <is>
          <t>893257707</t>
        </is>
      </c>
    </row>
    <row r="736">
      <c r="A736" t="inlineStr">
        <is>
          <t>No</t>
        </is>
      </c>
      <c r="B736" t="inlineStr">
        <is>
          <t>DS244 .A26 1995</t>
        </is>
      </c>
      <c r="C736" t="inlineStr">
        <is>
          <t>0                      DS 0244000A  26          1995</t>
        </is>
      </c>
      <c r="D736" t="inlineStr">
        <is>
          <t>The rise, corruption, and coming fall of the House of Saud / Saïd K. Aburish.</t>
        </is>
      </c>
      <c r="F736" t="inlineStr">
        <is>
          <t>No</t>
        </is>
      </c>
      <c r="G736" t="inlineStr">
        <is>
          <t>1</t>
        </is>
      </c>
      <c r="H736" t="inlineStr">
        <is>
          <t>No</t>
        </is>
      </c>
      <c r="I736" t="inlineStr">
        <is>
          <t>No</t>
        </is>
      </c>
      <c r="J736" t="inlineStr">
        <is>
          <t>0</t>
        </is>
      </c>
      <c r="K736" t="inlineStr">
        <is>
          <t>Aburish, Saïd K., 1935-2012.</t>
        </is>
      </c>
      <c r="L736" t="inlineStr">
        <is>
          <t>New York : St. Martin's Press, 1995.</t>
        </is>
      </c>
      <c r="M736" t="inlineStr">
        <is>
          <t>1995</t>
        </is>
      </c>
      <c r="N736" t="inlineStr">
        <is>
          <t>1st St. Martin's ed.</t>
        </is>
      </c>
      <c r="O736" t="inlineStr">
        <is>
          <t>eng</t>
        </is>
      </c>
      <c r="P736" t="inlineStr">
        <is>
          <t>nyu</t>
        </is>
      </c>
      <c r="R736" t="inlineStr">
        <is>
          <t xml:space="preserve">DS </t>
        </is>
      </c>
      <c r="S736" t="n">
        <v>11</v>
      </c>
      <c r="T736" t="n">
        <v>11</v>
      </c>
      <c r="U736" t="inlineStr">
        <is>
          <t>2008-04-07</t>
        </is>
      </c>
      <c r="V736" t="inlineStr">
        <is>
          <t>2008-04-07</t>
        </is>
      </c>
      <c r="W736" t="inlineStr">
        <is>
          <t>1995-08-22</t>
        </is>
      </c>
      <c r="X736" t="inlineStr">
        <is>
          <t>1995-08-22</t>
        </is>
      </c>
      <c r="Y736" t="n">
        <v>448</v>
      </c>
      <c r="Z736" t="n">
        <v>416</v>
      </c>
      <c r="AA736" t="n">
        <v>532</v>
      </c>
      <c r="AB736" t="n">
        <v>3</v>
      </c>
      <c r="AC736" t="n">
        <v>3</v>
      </c>
      <c r="AD736" t="n">
        <v>16</v>
      </c>
      <c r="AE736" t="n">
        <v>21</v>
      </c>
      <c r="AF736" t="n">
        <v>7</v>
      </c>
      <c r="AG736" t="n">
        <v>8</v>
      </c>
      <c r="AH736" t="n">
        <v>3</v>
      </c>
      <c r="AI736" t="n">
        <v>6</v>
      </c>
      <c r="AJ736" t="n">
        <v>9</v>
      </c>
      <c r="AK736" t="n">
        <v>11</v>
      </c>
      <c r="AL736" t="n">
        <v>1</v>
      </c>
      <c r="AM736" t="n">
        <v>1</v>
      </c>
      <c r="AN736" t="n">
        <v>1</v>
      </c>
      <c r="AO736" t="n">
        <v>1</v>
      </c>
      <c r="AP736" t="inlineStr">
        <is>
          <t>No</t>
        </is>
      </c>
      <c r="AQ736" t="inlineStr">
        <is>
          <t>No</t>
        </is>
      </c>
      <c r="AS736">
        <f>HYPERLINK("https://creighton-primo.hosted.exlibrisgroup.com/primo-explore/search?tab=default_tab&amp;search_scope=EVERYTHING&amp;vid=01CRU&amp;lang=en_US&amp;offset=0&amp;query=any,contains,991002468939702656","Catalog Record")</f>
        <v/>
      </c>
      <c r="AT736">
        <f>HYPERLINK("http://www.worldcat.org/oclc/32166894","WorldCat Record")</f>
        <v/>
      </c>
      <c r="AU736" t="inlineStr">
        <is>
          <t>20877855:eng</t>
        </is>
      </c>
      <c r="AV736" t="inlineStr">
        <is>
          <t>32166894</t>
        </is>
      </c>
      <c r="AW736" t="inlineStr">
        <is>
          <t>991002468939702656</t>
        </is>
      </c>
      <c r="AX736" t="inlineStr">
        <is>
          <t>991002468939702656</t>
        </is>
      </c>
      <c r="AY736" t="inlineStr">
        <is>
          <t>2266264280002656</t>
        </is>
      </c>
      <c r="AZ736" t="inlineStr">
        <is>
          <t>BOOK</t>
        </is>
      </c>
      <c r="BB736" t="inlineStr">
        <is>
          <t>9780312125417</t>
        </is>
      </c>
      <c r="BC736" t="inlineStr">
        <is>
          <t>32285002078771</t>
        </is>
      </c>
      <c r="BD736" t="inlineStr">
        <is>
          <t>893257326</t>
        </is>
      </c>
    </row>
    <row r="737">
      <c r="A737" t="inlineStr">
        <is>
          <t>No</t>
        </is>
      </c>
      <c r="B737" t="inlineStr">
        <is>
          <t>DS244 .H44 1981</t>
        </is>
      </c>
      <c r="C737" t="inlineStr">
        <is>
          <t>0                      DS 0244000H  44          1981</t>
        </is>
      </c>
      <c r="D737" t="inlineStr">
        <is>
          <t>The cohesion of Saudi Arabia : evolution of political identity / Christine Moss Helms.</t>
        </is>
      </c>
      <c r="F737" t="inlineStr">
        <is>
          <t>No</t>
        </is>
      </c>
      <c r="G737" t="inlineStr">
        <is>
          <t>1</t>
        </is>
      </c>
      <c r="H737" t="inlineStr">
        <is>
          <t>No</t>
        </is>
      </c>
      <c r="I737" t="inlineStr">
        <is>
          <t>No</t>
        </is>
      </c>
      <c r="J737" t="inlineStr">
        <is>
          <t>0</t>
        </is>
      </c>
      <c r="K737" t="inlineStr">
        <is>
          <t>Helms, Christine Moss.</t>
        </is>
      </c>
      <c r="L737" t="inlineStr">
        <is>
          <t>Baltimore : Johns Hopkins University Press, 1981.</t>
        </is>
      </c>
      <c r="M737" t="inlineStr">
        <is>
          <t>1980</t>
        </is>
      </c>
      <c r="O737" t="inlineStr">
        <is>
          <t>eng</t>
        </is>
      </c>
      <c r="P737" t="inlineStr">
        <is>
          <t>mdu</t>
        </is>
      </c>
      <c r="R737" t="inlineStr">
        <is>
          <t xml:space="preserve">DS </t>
        </is>
      </c>
      <c r="S737" t="n">
        <v>3</v>
      </c>
      <c r="T737" t="n">
        <v>3</v>
      </c>
      <c r="U737" t="inlineStr">
        <is>
          <t>1995-10-30</t>
        </is>
      </c>
      <c r="V737" t="inlineStr">
        <is>
          <t>1995-10-30</t>
        </is>
      </c>
      <c r="W737" t="inlineStr">
        <is>
          <t>1990-10-08</t>
        </is>
      </c>
      <c r="X737" t="inlineStr">
        <is>
          <t>1990-10-08</t>
        </is>
      </c>
      <c r="Y737" t="n">
        <v>386</v>
      </c>
      <c r="Z737" t="n">
        <v>346</v>
      </c>
      <c r="AA737" t="n">
        <v>419</v>
      </c>
      <c r="AB737" t="n">
        <v>2</v>
      </c>
      <c r="AC737" t="n">
        <v>3</v>
      </c>
      <c r="AD737" t="n">
        <v>14</v>
      </c>
      <c r="AE737" t="n">
        <v>16</v>
      </c>
      <c r="AF737" t="n">
        <v>5</v>
      </c>
      <c r="AG737" t="n">
        <v>5</v>
      </c>
      <c r="AH737" t="n">
        <v>5</v>
      </c>
      <c r="AI737" t="n">
        <v>6</v>
      </c>
      <c r="AJ737" t="n">
        <v>7</v>
      </c>
      <c r="AK737" t="n">
        <v>8</v>
      </c>
      <c r="AL737" t="n">
        <v>1</v>
      </c>
      <c r="AM737" t="n">
        <v>2</v>
      </c>
      <c r="AN737" t="n">
        <v>0</v>
      </c>
      <c r="AO737" t="n">
        <v>0</v>
      </c>
      <c r="AP737" t="inlineStr">
        <is>
          <t>No</t>
        </is>
      </c>
      <c r="AQ737" t="inlineStr">
        <is>
          <t>Yes</t>
        </is>
      </c>
      <c r="AR737">
        <f>HYPERLINK("http://catalog.hathitrust.org/Record/000083427","HathiTrust Record")</f>
        <v/>
      </c>
      <c r="AS737">
        <f>HYPERLINK("https://creighton-primo.hosted.exlibrisgroup.com/primo-explore/search?tab=default_tab&amp;search_scope=EVERYTHING&amp;vid=01CRU&amp;lang=en_US&amp;offset=0&amp;query=any,contains,991004968199702656","Catalog Record")</f>
        <v/>
      </c>
      <c r="AT737">
        <f>HYPERLINK("http://www.worldcat.org/oclc/6355346","WorldCat Record")</f>
        <v/>
      </c>
      <c r="AU737" t="inlineStr">
        <is>
          <t>452289:eng</t>
        </is>
      </c>
      <c r="AV737" t="inlineStr">
        <is>
          <t>6355346</t>
        </is>
      </c>
      <c r="AW737" t="inlineStr">
        <is>
          <t>991004968199702656</t>
        </is>
      </c>
      <c r="AX737" t="inlineStr">
        <is>
          <t>991004968199702656</t>
        </is>
      </c>
      <c r="AY737" t="inlineStr">
        <is>
          <t>2256512270002656</t>
        </is>
      </c>
      <c r="AZ737" t="inlineStr">
        <is>
          <t>BOOK</t>
        </is>
      </c>
      <c r="BB737" t="inlineStr">
        <is>
          <t>9780801824753</t>
        </is>
      </c>
      <c r="BC737" t="inlineStr">
        <is>
          <t>32285000335413</t>
        </is>
      </c>
      <c r="BD737" t="inlineStr">
        <is>
          <t>893242031</t>
        </is>
      </c>
    </row>
    <row r="738">
      <c r="A738" t="inlineStr">
        <is>
          <t>No</t>
        </is>
      </c>
      <c r="B738" t="inlineStr">
        <is>
          <t>DS244 .T73 1976</t>
        </is>
      </c>
      <c r="C738" t="inlineStr">
        <is>
          <t>0                      DS 0244000T  73          1976</t>
        </is>
      </c>
      <c r="D738" t="inlineStr">
        <is>
          <t>The birth of Saudi Arabia : Britain and the rise of the House of Sa'ud / Gary Troeller.</t>
        </is>
      </c>
      <c r="F738" t="inlineStr">
        <is>
          <t>No</t>
        </is>
      </c>
      <c r="G738" t="inlineStr">
        <is>
          <t>1</t>
        </is>
      </c>
      <c r="H738" t="inlineStr">
        <is>
          <t>No</t>
        </is>
      </c>
      <c r="I738" t="inlineStr">
        <is>
          <t>No</t>
        </is>
      </c>
      <c r="J738" t="inlineStr">
        <is>
          <t>0</t>
        </is>
      </c>
      <c r="K738" t="inlineStr">
        <is>
          <t>Troeller, Gary.</t>
        </is>
      </c>
      <c r="L738" t="inlineStr">
        <is>
          <t>London : F. Cass, 1976.</t>
        </is>
      </c>
      <c r="M738" t="inlineStr">
        <is>
          <t>1976</t>
        </is>
      </c>
      <c r="O738" t="inlineStr">
        <is>
          <t>eng</t>
        </is>
      </c>
      <c r="P738" t="inlineStr">
        <is>
          <t>enk</t>
        </is>
      </c>
      <c r="R738" t="inlineStr">
        <is>
          <t xml:space="preserve">DS </t>
        </is>
      </c>
      <c r="S738" t="n">
        <v>2</v>
      </c>
      <c r="T738" t="n">
        <v>2</v>
      </c>
      <c r="U738" t="inlineStr">
        <is>
          <t>2004-06-17</t>
        </is>
      </c>
      <c r="V738" t="inlineStr">
        <is>
          <t>2004-06-17</t>
        </is>
      </c>
      <c r="W738" t="inlineStr">
        <is>
          <t>1997-03-06</t>
        </is>
      </c>
      <c r="X738" t="inlineStr">
        <is>
          <t>1997-03-06</t>
        </is>
      </c>
      <c r="Y738" t="n">
        <v>445</v>
      </c>
      <c r="Z738" t="n">
        <v>300</v>
      </c>
      <c r="AA738" t="n">
        <v>323</v>
      </c>
      <c r="AB738" t="n">
        <v>3</v>
      </c>
      <c r="AC738" t="n">
        <v>3</v>
      </c>
      <c r="AD738" t="n">
        <v>10</v>
      </c>
      <c r="AE738" t="n">
        <v>10</v>
      </c>
      <c r="AF738" t="n">
        <v>2</v>
      </c>
      <c r="AG738" t="n">
        <v>2</v>
      </c>
      <c r="AH738" t="n">
        <v>5</v>
      </c>
      <c r="AI738" t="n">
        <v>5</v>
      </c>
      <c r="AJ738" t="n">
        <v>4</v>
      </c>
      <c r="AK738" t="n">
        <v>4</v>
      </c>
      <c r="AL738" t="n">
        <v>2</v>
      </c>
      <c r="AM738" t="n">
        <v>2</v>
      </c>
      <c r="AN738" t="n">
        <v>0</v>
      </c>
      <c r="AO738" t="n">
        <v>0</v>
      </c>
      <c r="AP738" t="inlineStr">
        <is>
          <t>No</t>
        </is>
      </c>
      <c r="AQ738" t="inlineStr">
        <is>
          <t>No</t>
        </is>
      </c>
      <c r="AS738">
        <f>HYPERLINK("https://creighton-primo.hosted.exlibrisgroup.com/primo-explore/search?tab=default_tab&amp;search_scope=EVERYTHING&amp;vid=01CRU&amp;lang=en_US&amp;offset=0&amp;query=any,contains,991004073609702656","Catalog Record")</f>
        <v/>
      </c>
      <c r="AT738">
        <f>HYPERLINK("http://www.worldcat.org/oclc/2312091","WorldCat Record")</f>
        <v/>
      </c>
      <c r="AU738" t="inlineStr">
        <is>
          <t>2698081:eng</t>
        </is>
      </c>
      <c r="AV738" t="inlineStr">
        <is>
          <t>2312091</t>
        </is>
      </c>
      <c r="AW738" t="inlineStr">
        <is>
          <t>991004073609702656</t>
        </is>
      </c>
      <c r="AX738" t="inlineStr">
        <is>
          <t>991004073609702656</t>
        </is>
      </c>
      <c r="AY738" t="inlineStr">
        <is>
          <t>2260604640002656</t>
        </is>
      </c>
      <c r="AZ738" t="inlineStr">
        <is>
          <t>BOOK</t>
        </is>
      </c>
      <c r="BB738" t="inlineStr">
        <is>
          <t>9780714630625</t>
        </is>
      </c>
      <c r="BC738" t="inlineStr">
        <is>
          <t>32285002455284</t>
        </is>
      </c>
      <c r="BD738" t="inlineStr">
        <is>
          <t>893888281</t>
        </is>
      </c>
    </row>
    <row r="739">
      <c r="A739" t="inlineStr">
        <is>
          <t>No</t>
        </is>
      </c>
      <c r="B739" t="inlineStr">
        <is>
          <t>DS244.52 .F37 1990</t>
        </is>
      </c>
      <c r="C739" t="inlineStr">
        <is>
          <t>0                      DS 0244520F  37          1990</t>
        </is>
      </c>
      <c r="D739" t="inlineStr">
        <is>
          <t>Modernity and tradition : the Saudi equation / Fouad al-Farsy.</t>
        </is>
      </c>
      <c r="F739" t="inlineStr">
        <is>
          <t>No</t>
        </is>
      </c>
      <c r="G739" t="inlineStr">
        <is>
          <t>1</t>
        </is>
      </c>
      <c r="H739" t="inlineStr">
        <is>
          <t>No</t>
        </is>
      </c>
      <c r="I739" t="inlineStr">
        <is>
          <t>No</t>
        </is>
      </c>
      <c r="J739" t="inlineStr">
        <is>
          <t>0</t>
        </is>
      </c>
      <c r="K739" t="inlineStr">
        <is>
          <t>Farsy, Fouad, 1946-</t>
        </is>
      </c>
      <c r="L739" t="inlineStr">
        <is>
          <t>London : Kegan Paul, 1990.</t>
        </is>
      </c>
      <c r="M739" t="inlineStr">
        <is>
          <t>1990</t>
        </is>
      </c>
      <c r="O739" t="inlineStr">
        <is>
          <t>eng</t>
        </is>
      </c>
      <c r="P739" t="inlineStr">
        <is>
          <t>enk</t>
        </is>
      </c>
      <c r="R739" t="inlineStr">
        <is>
          <t xml:space="preserve">DS </t>
        </is>
      </c>
      <c r="S739" t="n">
        <v>5</v>
      </c>
      <c r="T739" t="n">
        <v>5</v>
      </c>
      <c r="U739" t="inlineStr">
        <is>
          <t>2004-11-15</t>
        </is>
      </c>
      <c r="V739" t="inlineStr">
        <is>
          <t>2004-11-15</t>
        </is>
      </c>
      <c r="W739" t="inlineStr">
        <is>
          <t>1991-01-30</t>
        </is>
      </c>
      <c r="X739" t="inlineStr">
        <is>
          <t>1991-01-30</t>
        </is>
      </c>
      <c r="Y739" t="n">
        <v>1188</v>
      </c>
      <c r="Z739" t="n">
        <v>978</v>
      </c>
      <c r="AA739" t="n">
        <v>1017</v>
      </c>
      <c r="AB739" t="n">
        <v>13</v>
      </c>
      <c r="AC739" t="n">
        <v>13</v>
      </c>
      <c r="AD739" t="n">
        <v>43</v>
      </c>
      <c r="AE739" t="n">
        <v>43</v>
      </c>
      <c r="AF739" t="n">
        <v>17</v>
      </c>
      <c r="AG739" t="n">
        <v>17</v>
      </c>
      <c r="AH739" t="n">
        <v>7</v>
      </c>
      <c r="AI739" t="n">
        <v>7</v>
      </c>
      <c r="AJ739" t="n">
        <v>17</v>
      </c>
      <c r="AK739" t="n">
        <v>17</v>
      </c>
      <c r="AL739" t="n">
        <v>11</v>
      </c>
      <c r="AM739" t="n">
        <v>11</v>
      </c>
      <c r="AN739" t="n">
        <v>0</v>
      </c>
      <c r="AO739" t="n">
        <v>0</v>
      </c>
      <c r="AP739" t="inlineStr">
        <is>
          <t>No</t>
        </is>
      </c>
      <c r="AQ739" t="inlineStr">
        <is>
          <t>Yes</t>
        </is>
      </c>
      <c r="AR739">
        <f>HYPERLINK("http://catalog.hathitrust.org/Record/002233642","HathiTrust Record")</f>
        <v/>
      </c>
      <c r="AS739">
        <f>HYPERLINK("https://creighton-primo.hosted.exlibrisgroup.com/primo-explore/search?tab=default_tab&amp;search_scope=EVERYTHING&amp;vid=01CRU&amp;lang=en_US&amp;offset=0&amp;query=any,contains,991001666269702656","Catalog Record")</f>
        <v/>
      </c>
      <c r="AT739">
        <f>HYPERLINK("http://www.worldcat.org/oclc/22277630","WorldCat Record")</f>
        <v/>
      </c>
      <c r="AU739" t="inlineStr">
        <is>
          <t>17367858:eng</t>
        </is>
      </c>
      <c r="AV739" t="inlineStr">
        <is>
          <t>22277630</t>
        </is>
      </c>
      <c r="AW739" t="inlineStr">
        <is>
          <t>991001666269702656</t>
        </is>
      </c>
      <c r="AX739" t="inlineStr">
        <is>
          <t>991001666269702656</t>
        </is>
      </c>
      <c r="AY739" t="inlineStr">
        <is>
          <t>2269375020002656</t>
        </is>
      </c>
      <c r="AZ739" t="inlineStr">
        <is>
          <t>BOOK</t>
        </is>
      </c>
      <c r="BB739" t="inlineStr">
        <is>
          <t>9780710303950</t>
        </is>
      </c>
      <c r="BC739" t="inlineStr">
        <is>
          <t>32285000462142</t>
        </is>
      </c>
      <c r="BD739" t="inlineStr">
        <is>
          <t>893322133</t>
        </is>
      </c>
    </row>
    <row r="740">
      <c r="A740" t="inlineStr">
        <is>
          <t>No</t>
        </is>
      </c>
      <c r="B740" t="inlineStr">
        <is>
          <t>DS244.52 .H64 1982</t>
        </is>
      </c>
      <c r="C740" t="inlineStr">
        <is>
          <t>0                      DS 0244520H  64          1982</t>
        </is>
      </c>
      <c r="D740" t="inlineStr">
        <is>
          <t>The house of Saud : the rise and rule of the most powerful dynasty in the Arab world / by David Holden, Richard Johns.</t>
        </is>
      </c>
      <c r="F740" t="inlineStr">
        <is>
          <t>No</t>
        </is>
      </c>
      <c r="G740" t="inlineStr">
        <is>
          <t>1</t>
        </is>
      </c>
      <c r="H740" t="inlineStr">
        <is>
          <t>No</t>
        </is>
      </c>
      <c r="I740" t="inlineStr">
        <is>
          <t>No</t>
        </is>
      </c>
      <c r="J740" t="inlineStr">
        <is>
          <t>0</t>
        </is>
      </c>
      <c r="K740" t="inlineStr">
        <is>
          <t>Holden, David.</t>
        </is>
      </c>
      <c r="L740" t="inlineStr">
        <is>
          <t>New York : Holt, Rinehart, and Winston, 1982, c1981.</t>
        </is>
      </c>
      <c r="M740" t="inlineStr">
        <is>
          <t>1982</t>
        </is>
      </c>
      <c r="N740" t="inlineStr">
        <is>
          <t>1st American ed.</t>
        </is>
      </c>
      <c r="O740" t="inlineStr">
        <is>
          <t>eng</t>
        </is>
      </c>
      <c r="P740" t="inlineStr">
        <is>
          <t>nyu</t>
        </is>
      </c>
      <c r="R740" t="inlineStr">
        <is>
          <t xml:space="preserve">DS </t>
        </is>
      </c>
      <c r="S740" t="n">
        <v>3</v>
      </c>
      <c r="T740" t="n">
        <v>3</v>
      </c>
      <c r="U740" t="inlineStr">
        <is>
          <t>1995-11-14</t>
        </is>
      </c>
      <c r="V740" t="inlineStr">
        <is>
          <t>1995-11-14</t>
        </is>
      </c>
      <c r="W740" t="inlineStr">
        <is>
          <t>1990-06-05</t>
        </is>
      </c>
      <c r="X740" t="inlineStr">
        <is>
          <t>1990-06-05</t>
        </is>
      </c>
      <c r="Y740" t="n">
        <v>1259</v>
      </c>
      <c r="Z740" t="n">
        <v>1192</v>
      </c>
      <c r="AA740" t="n">
        <v>1274</v>
      </c>
      <c r="AB740" t="n">
        <v>6</v>
      </c>
      <c r="AC740" t="n">
        <v>6</v>
      </c>
      <c r="AD740" t="n">
        <v>35</v>
      </c>
      <c r="AE740" t="n">
        <v>37</v>
      </c>
      <c r="AF740" t="n">
        <v>17</v>
      </c>
      <c r="AG740" t="n">
        <v>18</v>
      </c>
      <c r="AH740" t="n">
        <v>8</v>
      </c>
      <c r="AI740" t="n">
        <v>9</v>
      </c>
      <c r="AJ740" t="n">
        <v>16</v>
      </c>
      <c r="AK740" t="n">
        <v>17</v>
      </c>
      <c r="AL740" t="n">
        <v>4</v>
      </c>
      <c r="AM740" t="n">
        <v>4</v>
      </c>
      <c r="AN740" t="n">
        <v>0</v>
      </c>
      <c r="AO740" t="n">
        <v>0</v>
      </c>
      <c r="AP740" t="inlineStr">
        <is>
          <t>No</t>
        </is>
      </c>
      <c r="AQ740" t="inlineStr">
        <is>
          <t>No</t>
        </is>
      </c>
      <c r="AS740">
        <f>HYPERLINK("https://creighton-primo.hosted.exlibrisgroup.com/primo-explore/search?tab=default_tab&amp;search_scope=EVERYTHING&amp;vid=01CRU&amp;lang=en_US&amp;offset=0&amp;query=any,contains,991005134409702656","Catalog Record")</f>
        <v/>
      </c>
      <c r="AT740">
        <f>HYPERLINK("http://www.worldcat.org/oclc/7575513","WorldCat Record")</f>
        <v/>
      </c>
      <c r="AU740" t="inlineStr">
        <is>
          <t>5090500088:eng</t>
        </is>
      </c>
      <c r="AV740" t="inlineStr">
        <is>
          <t>7575513</t>
        </is>
      </c>
      <c r="AW740" t="inlineStr">
        <is>
          <t>991005134409702656</t>
        </is>
      </c>
      <c r="AX740" t="inlineStr">
        <is>
          <t>991005134409702656</t>
        </is>
      </c>
      <c r="AY740" t="inlineStr">
        <is>
          <t>2265652890002656</t>
        </is>
      </c>
      <c r="AZ740" t="inlineStr">
        <is>
          <t>BOOK</t>
        </is>
      </c>
      <c r="BB740" t="inlineStr">
        <is>
          <t>9780030437311</t>
        </is>
      </c>
      <c r="BC740" t="inlineStr">
        <is>
          <t>32285000181676</t>
        </is>
      </c>
      <c r="BD740" t="inlineStr">
        <is>
          <t>893236340</t>
        </is>
      </c>
    </row>
    <row r="741">
      <c r="A741" t="inlineStr">
        <is>
          <t>No</t>
        </is>
      </c>
      <c r="B741" t="inlineStr">
        <is>
          <t>DS244.53 .A76 1998</t>
        </is>
      </c>
      <c r="C741" t="inlineStr">
        <is>
          <t>0                      DS 0244530A  76          1998</t>
        </is>
      </c>
      <c r="D741" t="inlineStr">
        <is>
          <t>Lord of Arabia : Ibn Saud / by H.C. Armstrong.</t>
        </is>
      </c>
      <c r="F741" t="inlineStr">
        <is>
          <t>No</t>
        </is>
      </c>
      <c r="G741" t="inlineStr">
        <is>
          <t>1</t>
        </is>
      </c>
      <c r="H741" t="inlineStr">
        <is>
          <t>No</t>
        </is>
      </c>
      <c r="I741" t="inlineStr">
        <is>
          <t>No</t>
        </is>
      </c>
      <c r="J741" t="inlineStr">
        <is>
          <t>0</t>
        </is>
      </c>
      <c r="K741" t="inlineStr">
        <is>
          <t>Armstrong, H. C. (Harold Courtenay), 1891-1943.</t>
        </is>
      </c>
      <c r="L741" t="inlineStr">
        <is>
          <t>New York : Kegan Paul International, 1998.</t>
        </is>
      </c>
      <c r="M741" t="inlineStr">
        <is>
          <t>1998</t>
        </is>
      </c>
      <c r="O741" t="inlineStr">
        <is>
          <t>eng</t>
        </is>
      </c>
      <c r="P741" t="inlineStr">
        <is>
          <t>nyu</t>
        </is>
      </c>
      <c r="Q741" t="inlineStr">
        <is>
          <t>The Kegan Paul Arabia library ; 4</t>
        </is>
      </c>
      <c r="R741" t="inlineStr">
        <is>
          <t xml:space="preserve">DS </t>
        </is>
      </c>
      <c r="S741" t="n">
        <v>2</v>
      </c>
      <c r="T741" t="n">
        <v>2</v>
      </c>
      <c r="U741" t="inlineStr">
        <is>
          <t>2000-09-26</t>
        </is>
      </c>
      <c r="V741" t="inlineStr">
        <is>
          <t>2000-09-26</t>
        </is>
      </c>
      <c r="W741" t="inlineStr">
        <is>
          <t>1999-11-03</t>
        </is>
      </c>
      <c r="X741" t="inlineStr">
        <is>
          <t>1999-11-03</t>
        </is>
      </c>
      <c r="Y741" t="n">
        <v>44</v>
      </c>
      <c r="Z741" t="n">
        <v>35</v>
      </c>
      <c r="AA741" t="n">
        <v>38</v>
      </c>
      <c r="AB741" t="n">
        <v>1</v>
      </c>
      <c r="AC741" t="n">
        <v>1</v>
      </c>
      <c r="AD741" t="n">
        <v>3</v>
      </c>
      <c r="AE741" t="n">
        <v>3</v>
      </c>
      <c r="AF741" t="n">
        <v>1</v>
      </c>
      <c r="AG741" t="n">
        <v>1</v>
      </c>
      <c r="AH741" t="n">
        <v>1</v>
      </c>
      <c r="AI741" t="n">
        <v>1</v>
      </c>
      <c r="AJ741" t="n">
        <v>3</v>
      </c>
      <c r="AK741" t="n">
        <v>3</v>
      </c>
      <c r="AL741" t="n">
        <v>0</v>
      </c>
      <c r="AM741" t="n">
        <v>0</v>
      </c>
      <c r="AN741" t="n">
        <v>0</v>
      </c>
      <c r="AO741" t="n">
        <v>0</v>
      </c>
      <c r="AP741" t="inlineStr">
        <is>
          <t>No</t>
        </is>
      </c>
      <c r="AQ741" t="inlineStr">
        <is>
          <t>No</t>
        </is>
      </c>
      <c r="AS741">
        <f>HYPERLINK("https://creighton-primo.hosted.exlibrisgroup.com/primo-explore/search?tab=default_tab&amp;search_scope=EVERYTHING&amp;vid=01CRU&amp;lang=en_US&amp;offset=0&amp;query=any,contains,991002710899702656","Catalog Record")</f>
        <v/>
      </c>
      <c r="AT741">
        <f>HYPERLINK("http://www.worldcat.org/oclc/35548917","WorldCat Record")</f>
        <v/>
      </c>
      <c r="AU741" t="inlineStr">
        <is>
          <t>3901023670:eng</t>
        </is>
      </c>
      <c r="AV741" t="inlineStr">
        <is>
          <t>35548917</t>
        </is>
      </c>
      <c r="AW741" t="inlineStr">
        <is>
          <t>991002710899702656</t>
        </is>
      </c>
      <c r="AX741" t="inlineStr">
        <is>
          <t>991002710899702656</t>
        </is>
      </c>
      <c r="AY741" t="inlineStr">
        <is>
          <t>2271690880002656</t>
        </is>
      </c>
      <c r="AZ741" t="inlineStr">
        <is>
          <t>BOOK</t>
        </is>
      </c>
      <c r="BB741" t="inlineStr">
        <is>
          <t>9780710305688</t>
        </is>
      </c>
      <c r="BC741" t="inlineStr">
        <is>
          <t>32285003617957</t>
        </is>
      </c>
      <c r="BD741" t="inlineStr">
        <is>
          <t>893341753</t>
        </is>
      </c>
    </row>
    <row r="742">
      <c r="A742" t="inlineStr">
        <is>
          <t>No</t>
        </is>
      </c>
      <c r="B742" t="inlineStr">
        <is>
          <t>DS244.63 .C43 1991</t>
        </is>
      </c>
      <c r="C742" t="inlineStr">
        <is>
          <t>0                      DS 0244630C  43          1991</t>
        </is>
      </c>
      <c r="D742" t="inlineStr">
        <is>
          <t>Desert Shield fact book / from the staff of GDW ; [written and researched by Frank Chadwick].</t>
        </is>
      </c>
      <c r="F742" t="inlineStr">
        <is>
          <t>No</t>
        </is>
      </c>
      <c r="G742" t="inlineStr">
        <is>
          <t>1</t>
        </is>
      </c>
      <c r="H742" t="inlineStr">
        <is>
          <t>No</t>
        </is>
      </c>
      <c r="I742" t="inlineStr">
        <is>
          <t>No</t>
        </is>
      </c>
      <c r="J742" t="inlineStr">
        <is>
          <t>0</t>
        </is>
      </c>
      <c r="K742" t="inlineStr">
        <is>
          <t>Chadwick, Frank.</t>
        </is>
      </c>
      <c r="L742" t="inlineStr">
        <is>
          <t>Bloomington, IL : GDW Games, c1991.</t>
        </is>
      </c>
      <c r="M742" t="inlineStr">
        <is>
          <t>1991</t>
        </is>
      </c>
      <c r="N742" t="inlineStr">
        <is>
          <t>2nd ed.</t>
        </is>
      </c>
      <c r="O742" t="inlineStr">
        <is>
          <t>eng</t>
        </is>
      </c>
      <c r="P742" t="inlineStr">
        <is>
          <t>ilu</t>
        </is>
      </c>
      <c r="R742" t="inlineStr">
        <is>
          <t xml:space="preserve">DS </t>
        </is>
      </c>
      <c r="S742" t="n">
        <v>2</v>
      </c>
      <c r="T742" t="n">
        <v>2</v>
      </c>
      <c r="U742" t="inlineStr">
        <is>
          <t>2006-03-27</t>
        </is>
      </c>
      <c r="V742" t="inlineStr">
        <is>
          <t>2006-03-27</t>
        </is>
      </c>
      <c r="W742" t="inlineStr">
        <is>
          <t>1991-08-14</t>
        </is>
      </c>
      <c r="X742" t="inlineStr">
        <is>
          <t>1991-08-14</t>
        </is>
      </c>
      <c r="Y742" t="n">
        <v>543</v>
      </c>
      <c r="Z742" t="n">
        <v>526</v>
      </c>
      <c r="AA742" t="n">
        <v>526</v>
      </c>
      <c r="AB742" t="n">
        <v>7</v>
      </c>
      <c r="AC742" t="n">
        <v>7</v>
      </c>
      <c r="AD742" t="n">
        <v>2</v>
      </c>
      <c r="AE742" t="n">
        <v>2</v>
      </c>
      <c r="AF742" t="n">
        <v>1</v>
      </c>
      <c r="AG742" t="n">
        <v>1</v>
      </c>
      <c r="AH742" t="n">
        <v>0</v>
      </c>
      <c r="AI742" t="n">
        <v>0</v>
      </c>
      <c r="AJ742" t="n">
        <v>2</v>
      </c>
      <c r="AK742" t="n">
        <v>2</v>
      </c>
      <c r="AL742" t="n">
        <v>0</v>
      </c>
      <c r="AM742" t="n">
        <v>0</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HYPERLINK("https://creighton-primo.hosted.exlibrisgroup.com/primo-explore/search?tab=default_tab&amp;search_scope=EVERYTHING&amp;vid=01CRU&amp;lang=en_US&amp;offset=0&amp;query=any,contains,991001844389702656","Catalog Record")</f>
        <v/>
      </c>
      <c r="AT742">
        <f>HYPERLINK("http://www.worldcat.org/oclc/22997856","WorldCat Record")</f>
        <v/>
      </c>
      <c r="AU742" t="inlineStr">
        <is>
          <t>5610078786:eng</t>
        </is>
      </c>
      <c r="AV742" t="inlineStr">
        <is>
          <t>22997856</t>
        </is>
      </c>
      <c r="AW742" t="inlineStr">
        <is>
          <t>991001844389702656</t>
        </is>
      </c>
      <c r="AX742" t="inlineStr">
        <is>
          <t>991001844389702656</t>
        </is>
      </c>
      <c r="AY742" t="inlineStr">
        <is>
          <t>2266762700002656</t>
        </is>
      </c>
      <c r="AZ742" t="inlineStr">
        <is>
          <t>BOOK</t>
        </is>
      </c>
      <c r="BB742" t="inlineStr">
        <is>
          <t>9781558780934</t>
        </is>
      </c>
      <c r="BC742" t="inlineStr">
        <is>
          <t>32285000700905</t>
        </is>
      </c>
      <c r="BD742" t="inlineStr">
        <is>
          <t>893684697</t>
        </is>
      </c>
    </row>
    <row r="743">
      <c r="A743" t="inlineStr">
        <is>
          <t>No</t>
        </is>
      </c>
      <c r="B743" t="inlineStr">
        <is>
          <t>DS244.63 .F36 2001</t>
        </is>
      </c>
      <c r="C743" t="inlineStr">
        <is>
          <t>0                      DS 0244630F  36          2001</t>
        </is>
      </c>
      <c r="D743" t="inlineStr">
        <is>
          <t>Saudi Arabia and the politics of dissent / Mamoun Fandy.</t>
        </is>
      </c>
      <c r="F743" t="inlineStr">
        <is>
          <t>No</t>
        </is>
      </c>
      <c r="G743" t="inlineStr">
        <is>
          <t>1</t>
        </is>
      </c>
      <c r="H743" t="inlineStr">
        <is>
          <t>No</t>
        </is>
      </c>
      <c r="I743" t="inlineStr">
        <is>
          <t>No</t>
        </is>
      </c>
      <c r="J743" t="inlineStr">
        <is>
          <t>0</t>
        </is>
      </c>
      <c r="K743" t="inlineStr">
        <is>
          <t>Fandy, Mamoun, 1961-</t>
        </is>
      </c>
      <c r="L743" t="inlineStr">
        <is>
          <t>New York, N.Y. : Palgrave, 2001.</t>
        </is>
      </c>
      <c r="M743" t="inlineStr">
        <is>
          <t>2001</t>
        </is>
      </c>
      <c r="N743" t="inlineStr">
        <is>
          <t>1st Palgrave ed.</t>
        </is>
      </c>
      <c r="O743" t="inlineStr">
        <is>
          <t>eng</t>
        </is>
      </c>
      <c r="P743" t="inlineStr">
        <is>
          <t>nyu</t>
        </is>
      </c>
      <c r="R743" t="inlineStr">
        <is>
          <t xml:space="preserve">DS </t>
        </is>
      </c>
      <c r="S743" t="n">
        <v>5</v>
      </c>
      <c r="T743" t="n">
        <v>5</v>
      </c>
      <c r="U743" t="inlineStr">
        <is>
          <t>2004-11-08</t>
        </is>
      </c>
      <c r="V743" t="inlineStr">
        <is>
          <t>2004-11-08</t>
        </is>
      </c>
      <c r="W743" t="inlineStr">
        <is>
          <t>2001-12-06</t>
        </is>
      </c>
      <c r="X743" t="inlineStr">
        <is>
          <t>2001-12-06</t>
        </is>
      </c>
      <c r="Y743" t="n">
        <v>136</v>
      </c>
      <c r="Z743" t="n">
        <v>104</v>
      </c>
      <c r="AA743" t="n">
        <v>342</v>
      </c>
      <c r="AB743" t="n">
        <v>2</v>
      </c>
      <c r="AC743" t="n">
        <v>4</v>
      </c>
      <c r="AD743" t="n">
        <v>4</v>
      </c>
      <c r="AE743" t="n">
        <v>15</v>
      </c>
      <c r="AF743" t="n">
        <v>2</v>
      </c>
      <c r="AG743" t="n">
        <v>3</v>
      </c>
      <c r="AH743" t="n">
        <v>1</v>
      </c>
      <c r="AI743" t="n">
        <v>4</v>
      </c>
      <c r="AJ743" t="n">
        <v>1</v>
      </c>
      <c r="AK743" t="n">
        <v>7</v>
      </c>
      <c r="AL743" t="n">
        <v>1</v>
      </c>
      <c r="AM743" t="n">
        <v>3</v>
      </c>
      <c r="AN743" t="n">
        <v>0</v>
      </c>
      <c r="AO743" t="n">
        <v>1</v>
      </c>
      <c r="AP743" t="inlineStr">
        <is>
          <t>No</t>
        </is>
      </c>
      <c r="AQ743" t="inlineStr">
        <is>
          <t>No</t>
        </is>
      </c>
      <c r="AS743">
        <f>HYPERLINK("https://creighton-primo.hosted.exlibrisgroup.com/primo-explore/search?tab=default_tab&amp;search_scope=EVERYTHING&amp;vid=01CRU&amp;lang=en_US&amp;offset=0&amp;query=any,contains,991003651559702656","Catalog Record")</f>
        <v/>
      </c>
      <c r="AT743">
        <f>HYPERLINK("http://www.worldcat.org/oclc/46990131","WorldCat Record")</f>
        <v/>
      </c>
      <c r="AU743" t="inlineStr">
        <is>
          <t>26425646:eng</t>
        </is>
      </c>
      <c r="AV743" t="inlineStr">
        <is>
          <t>46990131</t>
        </is>
      </c>
      <c r="AW743" t="inlineStr">
        <is>
          <t>991003651559702656</t>
        </is>
      </c>
      <c r="AX743" t="inlineStr">
        <is>
          <t>991003651559702656</t>
        </is>
      </c>
      <c r="AY743" t="inlineStr">
        <is>
          <t>2271304520002656</t>
        </is>
      </c>
      <c r="AZ743" t="inlineStr">
        <is>
          <t>BOOK</t>
        </is>
      </c>
      <c r="BB743" t="inlineStr">
        <is>
          <t>9780312238827</t>
        </is>
      </c>
      <c r="BC743" t="inlineStr">
        <is>
          <t>32285004426358</t>
        </is>
      </c>
      <c r="BD743" t="inlineStr">
        <is>
          <t>893505817</t>
        </is>
      </c>
    </row>
    <row r="744">
      <c r="A744" t="inlineStr">
        <is>
          <t>No</t>
        </is>
      </c>
      <c r="B744" t="inlineStr">
        <is>
          <t>DS247 .D28 2008</t>
        </is>
      </c>
      <c r="C744" t="inlineStr">
        <is>
          <t>0                      DS 0247000D  28          2008</t>
        </is>
      </c>
      <c r="D744" t="inlineStr">
        <is>
          <t>Dubai : the vulnerability of success / Davidson, Christopher M .</t>
        </is>
      </c>
      <c r="F744" t="inlineStr">
        <is>
          <t>No</t>
        </is>
      </c>
      <c r="G744" t="inlineStr">
        <is>
          <t>1</t>
        </is>
      </c>
      <c r="H744" t="inlineStr">
        <is>
          <t>No</t>
        </is>
      </c>
      <c r="I744" t="inlineStr">
        <is>
          <t>No</t>
        </is>
      </c>
      <c r="J744" t="inlineStr">
        <is>
          <t>0</t>
        </is>
      </c>
      <c r="K744" t="inlineStr">
        <is>
          <t>Davidson, Christopher M.</t>
        </is>
      </c>
      <c r="L744" t="inlineStr">
        <is>
          <t>New York, NY : Columbia University Press, 2008.</t>
        </is>
      </c>
      <c r="M744" t="inlineStr">
        <is>
          <t>2008</t>
        </is>
      </c>
      <c r="O744" t="inlineStr">
        <is>
          <t>eng</t>
        </is>
      </c>
      <c r="P744" t="inlineStr">
        <is>
          <t>nyu</t>
        </is>
      </c>
      <c r="R744" t="inlineStr">
        <is>
          <t xml:space="preserve">DS </t>
        </is>
      </c>
      <c r="S744" t="n">
        <v>1</v>
      </c>
      <c r="T744" t="n">
        <v>1</v>
      </c>
      <c r="U744" t="inlineStr">
        <is>
          <t>2010-01-14</t>
        </is>
      </c>
      <c r="V744" t="inlineStr">
        <is>
          <t>2010-01-14</t>
        </is>
      </c>
      <c r="W744" t="inlineStr">
        <is>
          <t>2010-01-14</t>
        </is>
      </c>
      <c r="X744" t="inlineStr">
        <is>
          <t>2010-01-14</t>
        </is>
      </c>
      <c r="Y744" t="n">
        <v>50</v>
      </c>
      <c r="Z744" t="n">
        <v>44</v>
      </c>
      <c r="AA744" t="n">
        <v>418</v>
      </c>
      <c r="AB744" t="n">
        <v>1</v>
      </c>
      <c r="AC744" t="n">
        <v>3</v>
      </c>
      <c r="AD744" t="n">
        <v>1</v>
      </c>
      <c r="AE744" t="n">
        <v>18</v>
      </c>
      <c r="AF744" t="n">
        <v>0</v>
      </c>
      <c r="AG744" t="n">
        <v>5</v>
      </c>
      <c r="AH744" t="n">
        <v>1</v>
      </c>
      <c r="AI744" t="n">
        <v>5</v>
      </c>
      <c r="AJ744" t="n">
        <v>0</v>
      </c>
      <c r="AK744" t="n">
        <v>10</v>
      </c>
      <c r="AL744" t="n">
        <v>0</v>
      </c>
      <c r="AM744" t="n">
        <v>2</v>
      </c>
      <c r="AN744" t="n">
        <v>0</v>
      </c>
      <c r="AO744" t="n">
        <v>0</v>
      </c>
      <c r="AP744" t="inlineStr">
        <is>
          <t>No</t>
        </is>
      </c>
      <c r="AQ744" t="inlineStr">
        <is>
          <t>No</t>
        </is>
      </c>
      <c r="AS744">
        <f>HYPERLINK("https://creighton-primo.hosted.exlibrisgroup.com/primo-explore/search?tab=default_tab&amp;search_scope=EVERYTHING&amp;vid=01CRU&amp;lang=en_US&amp;offset=0&amp;query=any,contains,991005349569702656","Catalog Record")</f>
        <v/>
      </c>
      <c r="AT744">
        <f>HYPERLINK("http://www.worldcat.org/oclc/300031068","WorldCat Record")</f>
        <v/>
      </c>
      <c r="AU744" t="inlineStr">
        <is>
          <t>892323632:eng</t>
        </is>
      </c>
      <c r="AV744" t="inlineStr">
        <is>
          <t>300031068</t>
        </is>
      </c>
      <c r="AW744" t="inlineStr">
        <is>
          <t>991005349569702656</t>
        </is>
      </c>
      <c r="AX744" t="inlineStr">
        <is>
          <t>991005349569702656</t>
        </is>
      </c>
      <c r="AY744" t="inlineStr">
        <is>
          <t>2270328370002656</t>
        </is>
      </c>
      <c r="AZ744" t="inlineStr">
        <is>
          <t>BOOK</t>
        </is>
      </c>
      <c r="BB744" t="inlineStr">
        <is>
          <t>9780231700351</t>
        </is>
      </c>
      <c r="BC744" t="inlineStr">
        <is>
          <t>32285005557300</t>
        </is>
      </c>
      <c r="BD744" t="inlineStr">
        <is>
          <t>893808229</t>
        </is>
      </c>
    </row>
    <row r="745">
      <c r="A745" t="inlineStr">
        <is>
          <t>No</t>
        </is>
      </c>
      <c r="B745" t="inlineStr">
        <is>
          <t>DS247.9.N35 A44 2002</t>
        </is>
      </c>
      <c r="C745" t="inlineStr">
        <is>
          <t>0                      DS 0247900N  35                 A  44          2002</t>
        </is>
      </c>
      <c r="D745" t="inlineStr">
        <is>
          <t>Najd before the Salafi reform movement : social, political, and religious conditions during the three centuries preceding the rise of the Saudi state / Uwaidah M. Al Juhany.</t>
        </is>
      </c>
      <c r="F745" t="inlineStr">
        <is>
          <t>No</t>
        </is>
      </c>
      <c r="G745" t="inlineStr">
        <is>
          <t>1</t>
        </is>
      </c>
      <c r="H745" t="inlineStr">
        <is>
          <t>No</t>
        </is>
      </c>
      <c r="I745" t="inlineStr">
        <is>
          <t>No</t>
        </is>
      </c>
      <c r="J745" t="inlineStr">
        <is>
          <t>0</t>
        </is>
      </c>
      <c r="K745" t="inlineStr">
        <is>
          <t>Al-Juhany, Uwidah Metaireek.</t>
        </is>
      </c>
      <c r="L745" t="inlineStr">
        <is>
          <t>Reading, UK : Ithaca Press, 2002.</t>
        </is>
      </c>
      <c r="M745" t="inlineStr">
        <is>
          <t>2002</t>
        </is>
      </c>
      <c r="N745" t="inlineStr">
        <is>
          <t>1st ed.</t>
        </is>
      </c>
      <c r="O745" t="inlineStr">
        <is>
          <t>eng</t>
        </is>
      </c>
      <c r="P745" t="inlineStr">
        <is>
          <t>enk</t>
        </is>
      </c>
      <c r="R745" t="inlineStr">
        <is>
          <t xml:space="preserve">DS </t>
        </is>
      </c>
      <c r="S745" t="n">
        <v>1</v>
      </c>
      <c r="T745" t="n">
        <v>1</v>
      </c>
      <c r="U745" t="inlineStr">
        <is>
          <t>2009-01-27</t>
        </is>
      </c>
      <c r="V745" t="inlineStr">
        <is>
          <t>2009-01-27</t>
        </is>
      </c>
      <c r="W745" t="inlineStr">
        <is>
          <t>2009-01-27</t>
        </is>
      </c>
      <c r="X745" t="inlineStr">
        <is>
          <t>2009-01-27</t>
        </is>
      </c>
      <c r="Y745" t="n">
        <v>106</v>
      </c>
      <c r="Z745" t="n">
        <v>74</v>
      </c>
      <c r="AA745" t="n">
        <v>76</v>
      </c>
      <c r="AB745" t="n">
        <v>2</v>
      </c>
      <c r="AC745" t="n">
        <v>2</v>
      </c>
      <c r="AD745" t="n">
        <v>4</v>
      </c>
      <c r="AE745" t="n">
        <v>4</v>
      </c>
      <c r="AF745" t="n">
        <v>0</v>
      </c>
      <c r="AG745" t="n">
        <v>0</v>
      </c>
      <c r="AH745" t="n">
        <v>1</v>
      </c>
      <c r="AI745" t="n">
        <v>1</v>
      </c>
      <c r="AJ745" t="n">
        <v>3</v>
      </c>
      <c r="AK745" t="n">
        <v>3</v>
      </c>
      <c r="AL745" t="n">
        <v>1</v>
      </c>
      <c r="AM745" t="n">
        <v>1</v>
      </c>
      <c r="AN745" t="n">
        <v>0</v>
      </c>
      <c r="AO745" t="n">
        <v>0</v>
      </c>
      <c r="AP745" t="inlineStr">
        <is>
          <t>No</t>
        </is>
      </c>
      <c r="AQ745" t="inlineStr">
        <is>
          <t>Yes</t>
        </is>
      </c>
      <c r="AR745">
        <f>HYPERLINK("http://catalog.hathitrust.org/Record/004256220","HathiTrust Record")</f>
        <v/>
      </c>
      <c r="AS745">
        <f>HYPERLINK("https://creighton-primo.hosted.exlibrisgroup.com/primo-explore/search?tab=default_tab&amp;search_scope=EVERYTHING&amp;vid=01CRU&amp;lang=en_US&amp;offset=0&amp;query=any,contains,991005292309702656","Catalog Record")</f>
        <v/>
      </c>
      <c r="AT745">
        <f>HYPERLINK("http://www.worldcat.org/oclc/50798377","WorldCat Record")</f>
        <v/>
      </c>
      <c r="AU745" t="inlineStr">
        <is>
          <t>438043595:eng</t>
        </is>
      </c>
      <c r="AV745" t="inlineStr">
        <is>
          <t>50798377</t>
        </is>
      </c>
      <c r="AW745" t="inlineStr">
        <is>
          <t>991005292309702656</t>
        </is>
      </c>
      <c r="AX745" t="inlineStr">
        <is>
          <t>991005292309702656</t>
        </is>
      </c>
      <c r="AY745" t="inlineStr">
        <is>
          <t>2268531650002656</t>
        </is>
      </c>
      <c r="AZ745" t="inlineStr">
        <is>
          <t>BOOK</t>
        </is>
      </c>
      <c r="BB745" t="inlineStr">
        <is>
          <t>9780863724015</t>
        </is>
      </c>
      <c r="BC745" t="inlineStr">
        <is>
          <t>32285005500730</t>
        </is>
      </c>
      <c r="BD745" t="inlineStr">
        <is>
          <t>893808147</t>
        </is>
      </c>
    </row>
    <row r="746">
      <c r="A746" t="inlineStr">
        <is>
          <t>No</t>
        </is>
      </c>
      <c r="B746" t="inlineStr">
        <is>
          <t>DS247.K88 A87 1990</t>
        </is>
      </c>
      <c r="C746" t="inlineStr">
        <is>
          <t>0                      DS 0247000K  88                 A  87          1990</t>
        </is>
      </c>
      <c r="D746" t="inlineStr">
        <is>
          <t>Kuwait's foreign policy : city-state in world politics / Abdul-Reda Assiri.</t>
        </is>
      </c>
      <c r="F746" t="inlineStr">
        <is>
          <t>No</t>
        </is>
      </c>
      <c r="G746" t="inlineStr">
        <is>
          <t>1</t>
        </is>
      </c>
      <c r="H746" t="inlineStr">
        <is>
          <t>No</t>
        </is>
      </c>
      <c r="I746" t="inlineStr">
        <is>
          <t>No</t>
        </is>
      </c>
      <c r="J746" t="inlineStr">
        <is>
          <t>0</t>
        </is>
      </c>
      <c r="K746" t="inlineStr">
        <is>
          <t>Assiri, Abdul-Reda.</t>
        </is>
      </c>
      <c r="L746" t="inlineStr">
        <is>
          <t>Boulder, Colo. : Westview Press, 1990.</t>
        </is>
      </c>
      <c r="M746" t="inlineStr">
        <is>
          <t>1990</t>
        </is>
      </c>
      <c r="O746" t="inlineStr">
        <is>
          <t>eng</t>
        </is>
      </c>
      <c r="P746" t="inlineStr">
        <is>
          <t>cou</t>
        </is>
      </c>
      <c r="Q746" t="inlineStr">
        <is>
          <t>Westview special studies on the Middle East</t>
        </is>
      </c>
      <c r="R746" t="inlineStr">
        <is>
          <t xml:space="preserve">DS </t>
        </is>
      </c>
      <c r="S746" t="n">
        <v>12</v>
      </c>
      <c r="T746" t="n">
        <v>12</v>
      </c>
      <c r="U746" t="inlineStr">
        <is>
          <t>2006-03-27</t>
        </is>
      </c>
      <c r="V746" t="inlineStr">
        <is>
          <t>2006-03-27</t>
        </is>
      </c>
      <c r="W746" t="inlineStr">
        <is>
          <t>1990-09-10</t>
        </is>
      </c>
      <c r="X746" t="inlineStr">
        <is>
          <t>1990-09-10</t>
        </is>
      </c>
      <c r="Y746" t="n">
        <v>347</v>
      </c>
      <c r="Z746" t="n">
        <v>260</v>
      </c>
      <c r="AA746" t="n">
        <v>283</v>
      </c>
      <c r="AB746" t="n">
        <v>6</v>
      </c>
      <c r="AC746" t="n">
        <v>6</v>
      </c>
      <c r="AD746" t="n">
        <v>12</v>
      </c>
      <c r="AE746" t="n">
        <v>12</v>
      </c>
      <c r="AF746" t="n">
        <v>1</v>
      </c>
      <c r="AG746" t="n">
        <v>1</v>
      </c>
      <c r="AH746" t="n">
        <v>2</v>
      </c>
      <c r="AI746" t="n">
        <v>2</v>
      </c>
      <c r="AJ746" t="n">
        <v>6</v>
      </c>
      <c r="AK746" t="n">
        <v>6</v>
      </c>
      <c r="AL746" t="n">
        <v>5</v>
      </c>
      <c r="AM746" t="n">
        <v>5</v>
      </c>
      <c r="AN746" t="n">
        <v>0</v>
      </c>
      <c r="AO746" t="n">
        <v>0</v>
      </c>
      <c r="AP746" t="inlineStr">
        <is>
          <t>No</t>
        </is>
      </c>
      <c r="AQ746" t="inlineStr">
        <is>
          <t>Yes</t>
        </is>
      </c>
      <c r="AR746">
        <f>HYPERLINK("http://catalog.hathitrust.org/Record/001953363","HathiTrust Record")</f>
        <v/>
      </c>
      <c r="AS746">
        <f>HYPERLINK("https://creighton-primo.hosted.exlibrisgroup.com/primo-explore/search?tab=default_tab&amp;search_scope=EVERYTHING&amp;vid=01CRU&amp;lang=en_US&amp;offset=0&amp;query=any,contains,991001310099702656","Catalog Record")</f>
        <v/>
      </c>
      <c r="AT746">
        <f>HYPERLINK("http://www.worldcat.org/oclc/18135869","WorldCat Record")</f>
        <v/>
      </c>
      <c r="AU746" t="inlineStr">
        <is>
          <t>364248564:eng</t>
        </is>
      </c>
      <c r="AV746" t="inlineStr">
        <is>
          <t>18135869</t>
        </is>
      </c>
      <c r="AW746" t="inlineStr">
        <is>
          <t>991001310099702656</t>
        </is>
      </c>
      <c r="AX746" t="inlineStr">
        <is>
          <t>991001310099702656</t>
        </is>
      </c>
      <c r="AY746" t="inlineStr">
        <is>
          <t>2260381690002656</t>
        </is>
      </c>
      <c r="AZ746" t="inlineStr">
        <is>
          <t>BOOK</t>
        </is>
      </c>
      <c r="BB746" t="inlineStr">
        <is>
          <t>9780813376363</t>
        </is>
      </c>
      <c r="BC746" t="inlineStr">
        <is>
          <t>32285000277045</t>
        </is>
      </c>
      <c r="BD746" t="inlineStr">
        <is>
          <t>893225784</t>
        </is>
      </c>
    </row>
    <row r="747">
      <c r="A747" t="inlineStr">
        <is>
          <t>No</t>
        </is>
      </c>
      <c r="B747" t="inlineStr">
        <is>
          <t>DS247.K88 C79 1990</t>
        </is>
      </c>
      <c r="C747" t="inlineStr">
        <is>
          <t>0                      DS 0247000K  88                 C  79          1990</t>
        </is>
      </c>
      <c r="D747" t="inlineStr">
        <is>
          <t>Oil and politics in the Gulf : rulers and merchants in Kuwait and Qatar / Jill Crystal.</t>
        </is>
      </c>
      <c r="F747" t="inlineStr">
        <is>
          <t>No</t>
        </is>
      </c>
      <c r="G747" t="inlineStr">
        <is>
          <t>1</t>
        </is>
      </c>
      <c r="H747" t="inlineStr">
        <is>
          <t>No</t>
        </is>
      </c>
      <c r="I747" t="inlineStr">
        <is>
          <t>No</t>
        </is>
      </c>
      <c r="J747" t="inlineStr">
        <is>
          <t>0</t>
        </is>
      </c>
      <c r="K747" t="inlineStr">
        <is>
          <t>Crystal, Jill.</t>
        </is>
      </c>
      <c r="L747" t="inlineStr">
        <is>
          <t>Cambridge [England] ; New York : Cambridge University Press, 1990.</t>
        </is>
      </c>
      <c r="M747" t="inlineStr">
        <is>
          <t>1990</t>
        </is>
      </c>
      <c r="O747" t="inlineStr">
        <is>
          <t>eng</t>
        </is>
      </c>
      <c r="P747" t="inlineStr">
        <is>
          <t>enk</t>
        </is>
      </c>
      <c r="Q747" t="inlineStr">
        <is>
          <t>Cambridge Middle East library ; 24</t>
        </is>
      </c>
      <c r="R747" t="inlineStr">
        <is>
          <t xml:space="preserve">DS </t>
        </is>
      </c>
      <c r="S747" t="n">
        <v>9</v>
      </c>
      <c r="T747" t="n">
        <v>9</v>
      </c>
      <c r="U747" t="inlineStr">
        <is>
          <t>2006-04-22</t>
        </is>
      </c>
      <c r="V747" t="inlineStr">
        <is>
          <t>2006-04-22</t>
        </is>
      </c>
      <c r="W747" t="inlineStr">
        <is>
          <t>1990-11-20</t>
        </is>
      </c>
      <c r="X747" t="inlineStr">
        <is>
          <t>1990-11-20</t>
        </is>
      </c>
      <c r="Y747" t="n">
        <v>539</v>
      </c>
      <c r="Z747" t="n">
        <v>408</v>
      </c>
      <c r="AA747" t="n">
        <v>510</v>
      </c>
      <c r="AB747" t="n">
        <v>3</v>
      </c>
      <c r="AC747" t="n">
        <v>3</v>
      </c>
      <c r="AD747" t="n">
        <v>14</v>
      </c>
      <c r="AE747" t="n">
        <v>21</v>
      </c>
      <c r="AF747" t="n">
        <v>2</v>
      </c>
      <c r="AG747" t="n">
        <v>4</v>
      </c>
      <c r="AH747" t="n">
        <v>3</v>
      </c>
      <c r="AI747" t="n">
        <v>6</v>
      </c>
      <c r="AJ747" t="n">
        <v>10</v>
      </c>
      <c r="AK747" t="n">
        <v>14</v>
      </c>
      <c r="AL747" t="n">
        <v>2</v>
      </c>
      <c r="AM747" t="n">
        <v>2</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HYPERLINK("https://creighton-primo.hosted.exlibrisgroup.com/primo-explore/search?tab=default_tab&amp;search_scope=EVERYTHING&amp;vid=01CRU&amp;lang=en_US&amp;offset=0&amp;query=any,contains,991001490299702656","Catalog Record")</f>
        <v/>
      </c>
      <c r="AT747">
        <f>HYPERLINK("http://www.worldcat.org/oclc/19722357","WorldCat Record")</f>
        <v/>
      </c>
      <c r="AU747" t="inlineStr">
        <is>
          <t>795527020:eng</t>
        </is>
      </c>
      <c r="AV747" t="inlineStr">
        <is>
          <t>19722357</t>
        </is>
      </c>
      <c r="AW747" t="inlineStr">
        <is>
          <t>991001490299702656</t>
        </is>
      </c>
      <c r="AX747" t="inlineStr">
        <is>
          <t>991001490299702656</t>
        </is>
      </c>
      <c r="AY747" t="inlineStr">
        <is>
          <t>2256420900002656</t>
        </is>
      </c>
      <c r="AZ747" t="inlineStr">
        <is>
          <t>BOOK</t>
        </is>
      </c>
      <c r="BB747" t="inlineStr">
        <is>
          <t>9780521366397</t>
        </is>
      </c>
      <c r="BC747" t="inlineStr">
        <is>
          <t>32285000356195</t>
        </is>
      </c>
      <c r="BD747" t="inlineStr">
        <is>
          <t>893590398</t>
        </is>
      </c>
    </row>
    <row r="748">
      <c r="A748" t="inlineStr">
        <is>
          <t>No</t>
        </is>
      </c>
      <c r="B748" t="inlineStr">
        <is>
          <t>DS247.K88 J69 1998</t>
        </is>
      </c>
      <c r="C748" t="inlineStr">
        <is>
          <t>0                      DS 0247000K  88                 J  69          1998</t>
        </is>
      </c>
      <c r="D748" t="inlineStr">
        <is>
          <t>Kuwait, 1945-1996 : an Anglo-American perspective / Miriam Joyce.</t>
        </is>
      </c>
      <c r="F748" t="inlineStr">
        <is>
          <t>No</t>
        </is>
      </c>
      <c r="G748" t="inlineStr">
        <is>
          <t>1</t>
        </is>
      </c>
      <c r="H748" t="inlineStr">
        <is>
          <t>No</t>
        </is>
      </c>
      <c r="I748" t="inlineStr">
        <is>
          <t>No</t>
        </is>
      </c>
      <c r="J748" t="inlineStr">
        <is>
          <t>0</t>
        </is>
      </c>
      <c r="K748" t="inlineStr">
        <is>
          <t>Joyce, Miriam.</t>
        </is>
      </c>
      <c r="L748" t="inlineStr">
        <is>
          <t>London ; Portland, OR. : Frank Cass, 1998.</t>
        </is>
      </c>
      <c r="M748" t="inlineStr">
        <is>
          <t>1998</t>
        </is>
      </c>
      <c r="O748" t="inlineStr">
        <is>
          <t>eng</t>
        </is>
      </c>
      <c r="P748" t="inlineStr">
        <is>
          <t>oru</t>
        </is>
      </c>
      <c r="R748" t="inlineStr">
        <is>
          <t xml:space="preserve">DS </t>
        </is>
      </c>
      <c r="S748" t="n">
        <v>6</v>
      </c>
      <c r="T748" t="n">
        <v>6</v>
      </c>
      <c r="U748" t="inlineStr">
        <is>
          <t>2006-09-27</t>
        </is>
      </c>
      <c r="V748" t="inlineStr">
        <is>
          <t>2006-09-27</t>
        </is>
      </c>
      <c r="W748" t="inlineStr">
        <is>
          <t>1999-05-05</t>
        </is>
      </c>
      <c r="X748" t="inlineStr">
        <is>
          <t>1999-05-05</t>
        </is>
      </c>
      <c r="Y748" t="n">
        <v>337</v>
      </c>
      <c r="Z748" t="n">
        <v>277</v>
      </c>
      <c r="AA748" t="n">
        <v>298</v>
      </c>
      <c r="AB748" t="n">
        <v>3</v>
      </c>
      <c r="AC748" t="n">
        <v>3</v>
      </c>
      <c r="AD748" t="n">
        <v>21</v>
      </c>
      <c r="AE748" t="n">
        <v>21</v>
      </c>
      <c r="AF748" t="n">
        <v>7</v>
      </c>
      <c r="AG748" t="n">
        <v>7</v>
      </c>
      <c r="AH748" t="n">
        <v>7</v>
      </c>
      <c r="AI748" t="n">
        <v>7</v>
      </c>
      <c r="AJ748" t="n">
        <v>11</v>
      </c>
      <c r="AK748" t="n">
        <v>11</v>
      </c>
      <c r="AL748" t="n">
        <v>2</v>
      </c>
      <c r="AM748" t="n">
        <v>2</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HYPERLINK("https://creighton-primo.hosted.exlibrisgroup.com/primo-explore/search?tab=default_tab&amp;search_scope=EVERYTHING&amp;vid=01CRU&amp;lang=en_US&amp;offset=0&amp;query=any,contains,991002892609702656","Catalog Record")</f>
        <v/>
      </c>
      <c r="AT748">
        <f>HYPERLINK("http://www.worldcat.org/oclc/38112788","WorldCat Record")</f>
        <v/>
      </c>
      <c r="AU748" t="inlineStr">
        <is>
          <t>38781703:eng</t>
        </is>
      </c>
      <c r="AV748" t="inlineStr">
        <is>
          <t>38112788</t>
        </is>
      </c>
      <c r="AW748" t="inlineStr">
        <is>
          <t>991002892609702656</t>
        </is>
      </c>
      <c r="AX748" t="inlineStr">
        <is>
          <t>991002892609702656</t>
        </is>
      </c>
      <c r="AY748" t="inlineStr">
        <is>
          <t>2271753650002656</t>
        </is>
      </c>
      <c r="AZ748" t="inlineStr">
        <is>
          <t>BOOK</t>
        </is>
      </c>
      <c r="BB748" t="inlineStr">
        <is>
          <t>9780714644202</t>
        </is>
      </c>
      <c r="BC748" t="inlineStr">
        <is>
          <t>32285003559225</t>
        </is>
      </c>
      <c r="BD748" t="inlineStr">
        <is>
          <t>893415775</t>
        </is>
      </c>
    </row>
    <row r="749">
      <c r="A749" t="inlineStr">
        <is>
          <t>No</t>
        </is>
      </c>
      <c r="B749" t="inlineStr">
        <is>
          <t>DS247.O65 K43 1995</t>
        </is>
      </c>
      <c r="C749" t="inlineStr">
        <is>
          <t>0                      DS 0247000O  65                 K  43          1995</t>
        </is>
      </c>
      <c r="D749" t="inlineStr">
        <is>
          <t>Oman and the world : the emergence of an independent foreign policy / Joseph A. Kechichian.</t>
        </is>
      </c>
      <c r="F749" t="inlineStr">
        <is>
          <t>No</t>
        </is>
      </c>
      <c r="G749" t="inlineStr">
        <is>
          <t>1</t>
        </is>
      </c>
      <c r="H749" t="inlineStr">
        <is>
          <t>No</t>
        </is>
      </c>
      <c r="I749" t="inlineStr">
        <is>
          <t>No</t>
        </is>
      </c>
      <c r="J749" t="inlineStr">
        <is>
          <t>0</t>
        </is>
      </c>
      <c r="K749" t="inlineStr">
        <is>
          <t>Kechichian, Joseph A.</t>
        </is>
      </c>
      <c r="L749" t="inlineStr">
        <is>
          <t>Santa Monica, CA (P.O. Box 2138, Santa Monica 90407-2138) : Rand, 1995.</t>
        </is>
      </c>
      <c r="M749" t="inlineStr">
        <is>
          <t>1995</t>
        </is>
      </c>
      <c r="O749" t="inlineStr">
        <is>
          <t>eng</t>
        </is>
      </c>
      <c r="P749" t="inlineStr">
        <is>
          <t>cau</t>
        </is>
      </c>
      <c r="R749" t="inlineStr">
        <is>
          <t xml:space="preserve">DS </t>
        </is>
      </c>
      <c r="S749" t="n">
        <v>1</v>
      </c>
      <c r="T749" t="n">
        <v>1</v>
      </c>
      <c r="U749" t="inlineStr">
        <is>
          <t>2009-01-27</t>
        </is>
      </c>
      <c r="V749" t="inlineStr">
        <is>
          <t>2009-01-27</t>
        </is>
      </c>
      <c r="W749" t="inlineStr">
        <is>
          <t>1996-07-10</t>
        </is>
      </c>
      <c r="X749" t="inlineStr">
        <is>
          <t>1996-07-10</t>
        </is>
      </c>
      <c r="Y749" t="n">
        <v>331</v>
      </c>
      <c r="Z749" t="n">
        <v>275</v>
      </c>
      <c r="AA749" t="n">
        <v>277</v>
      </c>
      <c r="AB749" t="n">
        <v>2</v>
      </c>
      <c r="AC749" t="n">
        <v>2</v>
      </c>
      <c r="AD749" t="n">
        <v>13</v>
      </c>
      <c r="AE749" t="n">
        <v>13</v>
      </c>
      <c r="AF749" t="n">
        <v>2</v>
      </c>
      <c r="AG749" t="n">
        <v>2</v>
      </c>
      <c r="AH749" t="n">
        <v>5</v>
      </c>
      <c r="AI749" t="n">
        <v>5</v>
      </c>
      <c r="AJ749" t="n">
        <v>7</v>
      </c>
      <c r="AK749" t="n">
        <v>7</v>
      </c>
      <c r="AL749" t="n">
        <v>1</v>
      </c>
      <c r="AM749" t="n">
        <v>1</v>
      </c>
      <c r="AN749" t="n">
        <v>1</v>
      </c>
      <c r="AO749" t="n">
        <v>1</v>
      </c>
      <c r="AP749" t="inlineStr">
        <is>
          <t>No</t>
        </is>
      </c>
      <c r="AQ749" t="inlineStr">
        <is>
          <t>No</t>
        </is>
      </c>
      <c r="AS749">
        <f>HYPERLINK("https://creighton-primo.hosted.exlibrisgroup.com/primo-explore/search?tab=default_tab&amp;search_scope=EVERYTHING&amp;vid=01CRU&amp;lang=en_US&amp;offset=0&amp;query=any,contains,991002579289702656","Catalog Record")</f>
        <v/>
      </c>
      <c r="AT749">
        <f>HYPERLINK("http://www.worldcat.org/oclc/33806893","WorldCat Record")</f>
        <v/>
      </c>
      <c r="AU749" t="inlineStr">
        <is>
          <t>364524575:eng</t>
        </is>
      </c>
      <c r="AV749" t="inlineStr">
        <is>
          <t>33806893</t>
        </is>
      </c>
      <c r="AW749" t="inlineStr">
        <is>
          <t>991002579289702656</t>
        </is>
      </c>
      <c r="AX749" t="inlineStr">
        <is>
          <t>991002579289702656</t>
        </is>
      </c>
      <c r="AY749" t="inlineStr">
        <is>
          <t>2264913290002656</t>
        </is>
      </c>
      <c r="AZ749" t="inlineStr">
        <is>
          <t>BOOK</t>
        </is>
      </c>
      <c r="BB749" t="inlineStr">
        <is>
          <t>9780833023322</t>
        </is>
      </c>
      <c r="BC749" t="inlineStr">
        <is>
          <t>32285002210986</t>
        </is>
      </c>
      <c r="BD749" t="inlineStr">
        <is>
          <t>893616297</t>
        </is>
      </c>
    </row>
    <row r="750">
      <c r="A750" t="inlineStr">
        <is>
          <t>No</t>
        </is>
      </c>
      <c r="B750" t="inlineStr">
        <is>
          <t>DS247.O68 P47 1978</t>
        </is>
      </c>
      <c r="C750" t="inlineStr">
        <is>
          <t>0                      DS 0247000O  68                 P  47          1978</t>
        </is>
      </c>
      <c r="D750" t="inlineStr">
        <is>
          <t>Oman in the twentieth century : political foundations of an emerging state / J. E. Peterson.</t>
        </is>
      </c>
      <c r="F750" t="inlineStr">
        <is>
          <t>No</t>
        </is>
      </c>
      <c r="G750" t="inlineStr">
        <is>
          <t>1</t>
        </is>
      </c>
      <c r="H750" t="inlineStr">
        <is>
          <t>No</t>
        </is>
      </c>
      <c r="I750" t="inlineStr">
        <is>
          <t>No</t>
        </is>
      </c>
      <c r="J750" t="inlineStr">
        <is>
          <t>0</t>
        </is>
      </c>
      <c r="K750" t="inlineStr">
        <is>
          <t>Peterson, John, 1947-</t>
        </is>
      </c>
      <c r="L750" t="inlineStr">
        <is>
          <t>London : Croom Helm ; New York : Barnes &amp; Noble Books, 1978.</t>
        </is>
      </c>
      <c r="M750" t="inlineStr">
        <is>
          <t>1978</t>
        </is>
      </c>
      <c r="O750" t="inlineStr">
        <is>
          <t>eng</t>
        </is>
      </c>
      <c r="P750" t="inlineStr">
        <is>
          <t>enk</t>
        </is>
      </c>
      <c r="R750" t="inlineStr">
        <is>
          <t xml:space="preserve">DS </t>
        </is>
      </c>
      <c r="S750" t="n">
        <v>1</v>
      </c>
      <c r="T750" t="n">
        <v>1</v>
      </c>
      <c r="U750" t="inlineStr">
        <is>
          <t>2009-01-27</t>
        </is>
      </c>
      <c r="V750" t="inlineStr">
        <is>
          <t>2009-01-27</t>
        </is>
      </c>
      <c r="W750" t="inlineStr">
        <is>
          <t>1991-12-10</t>
        </is>
      </c>
      <c r="X750" t="inlineStr">
        <is>
          <t>1991-12-10</t>
        </is>
      </c>
      <c r="Y750" t="n">
        <v>422</v>
      </c>
      <c r="Z750" t="n">
        <v>322</v>
      </c>
      <c r="AA750" t="n">
        <v>346</v>
      </c>
      <c r="AB750" t="n">
        <v>3</v>
      </c>
      <c r="AC750" t="n">
        <v>3</v>
      </c>
      <c r="AD750" t="n">
        <v>15</v>
      </c>
      <c r="AE750" t="n">
        <v>15</v>
      </c>
      <c r="AF750" t="n">
        <v>3</v>
      </c>
      <c r="AG750" t="n">
        <v>3</v>
      </c>
      <c r="AH750" t="n">
        <v>8</v>
      </c>
      <c r="AI750" t="n">
        <v>8</v>
      </c>
      <c r="AJ750" t="n">
        <v>8</v>
      </c>
      <c r="AK750" t="n">
        <v>8</v>
      </c>
      <c r="AL750" t="n">
        <v>2</v>
      </c>
      <c r="AM750" t="n">
        <v>2</v>
      </c>
      <c r="AN750" t="n">
        <v>0</v>
      </c>
      <c r="AO750" t="n">
        <v>0</v>
      </c>
      <c r="AP750" t="inlineStr">
        <is>
          <t>No</t>
        </is>
      </c>
      <c r="AQ750" t="inlineStr">
        <is>
          <t>Yes</t>
        </is>
      </c>
      <c r="AR750">
        <f>HYPERLINK("http://catalog.hathitrust.org/Record/000690903","HathiTrust Record")</f>
        <v/>
      </c>
      <c r="AS750">
        <f>HYPERLINK("https://creighton-primo.hosted.exlibrisgroup.com/primo-explore/search?tab=default_tab&amp;search_scope=EVERYTHING&amp;vid=01CRU&amp;lang=en_US&amp;offset=0&amp;query=any,contains,991004481179702656","Catalog Record")</f>
        <v/>
      </c>
      <c r="AT750">
        <f>HYPERLINK("http://www.worldcat.org/oclc/3627536","WorldCat Record")</f>
        <v/>
      </c>
      <c r="AU750" t="inlineStr">
        <is>
          <t>11652976:eng</t>
        </is>
      </c>
      <c r="AV750" t="inlineStr">
        <is>
          <t>3627536</t>
        </is>
      </c>
      <c r="AW750" t="inlineStr">
        <is>
          <t>991004481179702656</t>
        </is>
      </c>
      <c r="AX750" t="inlineStr">
        <is>
          <t>991004481179702656</t>
        </is>
      </c>
      <c r="AY750" t="inlineStr">
        <is>
          <t>2269304690002656</t>
        </is>
      </c>
      <c r="AZ750" t="inlineStr">
        <is>
          <t>BOOK</t>
        </is>
      </c>
      <c r="BB750" t="inlineStr">
        <is>
          <t>9780064955225</t>
        </is>
      </c>
      <c r="BC750" t="inlineStr">
        <is>
          <t>32285000875418</t>
        </is>
      </c>
      <c r="BD750" t="inlineStr">
        <is>
          <t>893446237</t>
        </is>
      </c>
    </row>
    <row r="751">
      <c r="A751" t="inlineStr">
        <is>
          <t>No</t>
        </is>
      </c>
      <c r="B751" t="inlineStr">
        <is>
          <t>DS247.O68 T68</t>
        </is>
      </c>
      <c r="C751" t="inlineStr">
        <is>
          <t>0                      DS 0247000O  68                 T  68</t>
        </is>
      </c>
      <c r="D751" t="inlineStr">
        <is>
          <t>Oman : the making of the modern state / John Townsend.</t>
        </is>
      </c>
      <c r="F751" t="inlineStr">
        <is>
          <t>No</t>
        </is>
      </c>
      <c r="G751" t="inlineStr">
        <is>
          <t>1</t>
        </is>
      </c>
      <c r="H751" t="inlineStr">
        <is>
          <t>No</t>
        </is>
      </c>
      <c r="I751" t="inlineStr">
        <is>
          <t>No</t>
        </is>
      </c>
      <c r="J751" t="inlineStr">
        <is>
          <t>0</t>
        </is>
      </c>
      <c r="K751" t="inlineStr">
        <is>
          <t>Townsend, John, 1928-</t>
        </is>
      </c>
      <c r="L751" t="inlineStr">
        <is>
          <t>London : C. Helm, c1977.</t>
        </is>
      </c>
      <c r="M751" t="inlineStr">
        <is>
          <t>1977</t>
        </is>
      </c>
      <c r="O751" t="inlineStr">
        <is>
          <t>eng</t>
        </is>
      </c>
      <c r="P751" t="inlineStr">
        <is>
          <t>enk</t>
        </is>
      </c>
      <c r="R751" t="inlineStr">
        <is>
          <t xml:space="preserve">DS </t>
        </is>
      </c>
      <c r="S751" t="n">
        <v>1</v>
      </c>
      <c r="T751" t="n">
        <v>1</v>
      </c>
      <c r="U751" t="inlineStr">
        <is>
          <t>2009-01-27</t>
        </is>
      </c>
      <c r="V751" t="inlineStr">
        <is>
          <t>2009-01-27</t>
        </is>
      </c>
      <c r="W751" t="inlineStr">
        <is>
          <t>1990-10-08</t>
        </is>
      </c>
      <c r="X751" t="inlineStr">
        <is>
          <t>1990-10-08</t>
        </is>
      </c>
      <c r="Y751" t="n">
        <v>195</v>
      </c>
      <c r="Z751" t="n">
        <v>95</v>
      </c>
      <c r="AA751" t="n">
        <v>309</v>
      </c>
      <c r="AB751" t="n">
        <v>3</v>
      </c>
      <c r="AC751" t="n">
        <v>3</v>
      </c>
      <c r="AD751" t="n">
        <v>4</v>
      </c>
      <c r="AE751" t="n">
        <v>10</v>
      </c>
      <c r="AF751" t="n">
        <v>0</v>
      </c>
      <c r="AG751" t="n">
        <v>1</v>
      </c>
      <c r="AH751" t="n">
        <v>1</v>
      </c>
      <c r="AI751" t="n">
        <v>5</v>
      </c>
      <c r="AJ751" t="n">
        <v>2</v>
      </c>
      <c r="AK751" t="n">
        <v>3</v>
      </c>
      <c r="AL751" t="n">
        <v>2</v>
      </c>
      <c r="AM751" t="n">
        <v>2</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HYPERLINK("https://creighton-primo.hosted.exlibrisgroup.com/primo-explore/search?tab=default_tab&amp;search_scope=EVERYTHING&amp;vid=01CRU&amp;lang=en_US&amp;offset=0&amp;query=any,contains,991004464209702656","Catalog Record")</f>
        <v/>
      </c>
      <c r="AT751">
        <f>HYPERLINK("http://www.worldcat.org/oclc/3559485","WorldCat Record")</f>
        <v/>
      </c>
      <c r="AU751" t="inlineStr">
        <is>
          <t>9330286:eng</t>
        </is>
      </c>
      <c r="AV751" t="inlineStr">
        <is>
          <t>3559485</t>
        </is>
      </c>
      <c r="AW751" t="inlineStr">
        <is>
          <t>991004464209702656</t>
        </is>
      </c>
      <c r="AX751" t="inlineStr">
        <is>
          <t>991004464209702656</t>
        </is>
      </c>
      <c r="AY751" t="inlineStr">
        <is>
          <t>2264144660002656</t>
        </is>
      </c>
      <c r="AZ751" t="inlineStr">
        <is>
          <t>BOOK</t>
        </is>
      </c>
      <c r="BB751" t="inlineStr">
        <is>
          <t>9780856644467</t>
        </is>
      </c>
      <c r="BC751" t="inlineStr">
        <is>
          <t>32285000335454</t>
        </is>
      </c>
      <c r="BD751" t="inlineStr">
        <is>
          <t>893331606</t>
        </is>
      </c>
    </row>
    <row r="752">
      <c r="A752" t="inlineStr">
        <is>
          <t>No</t>
        </is>
      </c>
      <c r="B752" t="inlineStr">
        <is>
          <t>DS247.T82 R64 1995</t>
        </is>
      </c>
      <c r="C752" t="inlineStr">
        <is>
          <t>0                      DS 0247000T  82                 R  64          1995</t>
        </is>
      </c>
      <c r="D752" t="inlineStr">
        <is>
          <t>The Emirates : Abu Dhabi, Dubai, Sharjah, Ras Al Khaimah, Fujairah, Umm Al Qaiwain, Ajman / photographs by Hélène Rogers with a text by Kevin Higgins.</t>
        </is>
      </c>
      <c r="F752" t="inlineStr">
        <is>
          <t>No</t>
        </is>
      </c>
      <c r="G752" t="inlineStr">
        <is>
          <t>1</t>
        </is>
      </c>
      <c r="H752" t="inlineStr">
        <is>
          <t>No</t>
        </is>
      </c>
      <c r="I752" t="inlineStr">
        <is>
          <t>No</t>
        </is>
      </c>
      <c r="J752" t="inlineStr">
        <is>
          <t>0</t>
        </is>
      </c>
      <c r="K752" t="inlineStr">
        <is>
          <t>Rogers, Helene.</t>
        </is>
      </c>
      <c r="L752" t="inlineStr">
        <is>
          <t>[S.l.] : Garnet Pub. ; Concord, Mass. : Distributed by Paul &amp; Co., c1995.</t>
        </is>
      </c>
      <c r="M752" t="inlineStr">
        <is>
          <t>1995</t>
        </is>
      </c>
      <c r="N752" t="inlineStr">
        <is>
          <t>1st ed.</t>
        </is>
      </c>
      <c r="O752" t="inlineStr">
        <is>
          <t>eng</t>
        </is>
      </c>
      <c r="P752" t="inlineStr">
        <is>
          <t xml:space="preserve">xx </t>
        </is>
      </c>
      <c r="R752" t="inlineStr">
        <is>
          <t xml:space="preserve">DS </t>
        </is>
      </c>
      <c r="S752" t="n">
        <v>2</v>
      </c>
      <c r="T752" t="n">
        <v>2</v>
      </c>
      <c r="U752" t="inlineStr">
        <is>
          <t>2009-02-09</t>
        </is>
      </c>
      <c r="V752" t="inlineStr">
        <is>
          <t>2009-02-09</t>
        </is>
      </c>
      <c r="W752" t="inlineStr">
        <is>
          <t>2009-02-09</t>
        </is>
      </c>
      <c r="X752" t="inlineStr">
        <is>
          <t>2009-02-09</t>
        </is>
      </c>
      <c r="Y752" t="n">
        <v>56</v>
      </c>
      <c r="Z752" t="n">
        <v>29</v>
      </c>
      <c r="AA752" t="n">
        <v>30</v>
      </c>
      <c r="AB752" t="n">
        <v>1</v>
      </c>
      <c r="AC752" t="n">
        <v>1</v>
      </c>
      <c r="AD752" t="n">
        <v>1</v>
      </c>
      <c r="AE752" t="n">
        <v>1</v>
      </c>
      <c r="AF752" t="n">
        <v>0</v>
      </c>
      <c r="AG752" t="n">
        <v>0</v>
      </c>
      <c r="AH752" t="n">
        <v>1</v>
      </c>
      <c r="AI752" t="n">
        <v>1</v>
      </c>
      <c r="AJ752" t="n">
        <v>0</v>
      </c>
      <c r="AK752" t="n">
        <v>0</v>
      </c>
      <c r="AL752" t="n">
        <v>0</v>
      </c>
      <c r="AM752" t="n">
        <v>0</v>
      </c>
      <c r="AN752" t="n">
        <v>0</v>
      </c>
      <c r="AO752" t="n">
        <v>0</v>
      </c>
      <c r="AP752" t="inlineStr">
        <is>
          <t>No</t>
        </is>
      </c>
      <c r="AQ752" t="inlineStr">
        <is>
          <t>Yes</t>
        </is>
      </c>
      <c r="AR752">
        <f>HYPERLINK("http://catalog.hathitrust.org/Record/008565899","HathiTrust Record")</f>
        <v/>
      </c>
      <c r="AS752">
        <f>HYPERLINK("https://creighton-primo.hosted.exlibrisgroup.com/primo-explore/search?tab=default_tab&amp;search_scope=EVERYTHING&amp;vid=01CRU&amp;lang=en_US&amp;offset=0&amp;query=any,contains,991005292349702656","Catalog Record")</f>
        <v/>
      </c>
      <c r="AT752">
        <f>HYPERLINK("http://www.worldcat.org/oclc/37443063","WorldCat Record")</f>
        <v/>
      </c>
      <c r="AU752" t="inlineStr">
        <is>
          <t>836989496:eng</t>
        </is>
      </c>
      <c r="AV752" t="inlineStr">
        <is>
          <t>37443063</t>
        </is>
      </c>
      <c r="AW752" t="inlineStr">
        <is>
          <t>991005292349702656</t>
        </is>
      </c>
      <c r="AX752" t="inlineStr">
        <is>
          <t>991005292349702656</t>
        </is>
      </c>
      <c r="AY752" t="inlineStr">
        <is>
          <t>2264124910002656</t>
        </is>
      </c>
      <c r="AZ752" t="inlineStr">
        <is>
          <t>BOOK</t>
        </is>
      </c>
      <c r="BB752" t="inlineStr">
        <is>
          <t>9781859640692</t>
        </is>
      </c>
      <c r="BC752" t="inlineStr">
        <is>
          <t>32285005503221</t>
        </is>
      </c>
      <c r="BD752" t="inlineStr">
        <is>
          <t>893607153</t>
        </is>
      </c>
    </row>
    <row r="753">
      <c r="A753" t="inlineStr">
        <is>
          <t>No</t>
        </is>
      </c>
      <c r="B753" t="inlineStr">
        <is>
          <t>DS247.T87 H38 1971</t>
        </is>
      </c>
      <c r="C753" t="inlineStr">
        <is>
          <t>0                      DS 0247000T  87                 H  38          1971</t>
        </is>
      </c>
      <c r="D753" t="inlineStr">
        <is>
          <t>The Trucial States.</t>
        </is>
      </c>
      <c r="F753" t="inlineStr">
        <is>
          <t>No</t>
        </is>
      </c>
      <c r="G753" t="inlineStr">
        <is>
          <t>1</t>
        </is>
      </c>
      <c r="H753" t="inlineStr">
        <is>
          <t>No</t>
        </is>
      </c>
      <c r="I753" t="inlineStr">
        <is>
          <t>No</t>
        </is>
      </c>
      <c r="J753" t="inlineStr">
        <is>
          <t>0</t>
        </is>
      </c>
      <c r="K753" t="inlineStr">
        <is>
          <t>Hawley, Don, 1923-</t>
        </is>
      </c>
      <c r="L753" t="inlineStr">
        <is>
          <t>New York, Twayne Publishers [1971, c1970]</t>
        </is>
      </c>
      <c r="M753" t="inlineStr">
        <is>
          <t>1971</t>
        </is>
      </c>
      <c r="O753" t="inlineStr">
        <is>
          <t>eng</t>
        </is>
      </c>
      <c r="P753" t="inlineStr">
        <is>
          <t>nyu</t>
        </is>
      </c>
      <c r="R753" t="inlineStr">
        <is>
          <t xml:space="preserve">DS </t>
        </is>
      </c>
      <c r="S753" t="n">
        <v>3</v>
      </c>
      <c r="T753" t="n">
        <v>3</v>
      </c>
      <c r="U753" t="inlineStr">
        <is>
          <t>2006-10-03</t>
        </is>
      </c>
      <c r="V753" t="inlineStr">
        <is>
          <t>2006-10-03</t>
        </is>
      </c>
      <c r="W753" t="inlineStr">
        <is>
          <t>1997-03-06</t>
        </is>
      </c>
      <c r="X753" t="inlineStr">
        <is>
          <t>1997-03-06</t>
        </is>
      </c>
      <c r="Y753" t="n">
        <v>173</v>
      </c>
      <c r="Z753" t="n">
        <v>168</v>
      </c>
      <c r="AA753" t="n">
        <v>171</v>
      </c>
      <c r="AB753" t="n">
        <v>3</v>
      </c>
      <c r="AC753" t="n">
        <v>3</v>
      </c>
      <c r="AD753" t="n">
        <v>12</v>
      </c>
      <c r="AE753" t="n">
        <v>12</v>
      </c>
      <c r="AF753" t="n">
        <v>5</v>
      </c>
      <c r="AG753" t="n">
        <v>5</v>
      </c>
      <c r="AH753" t="n">
        <v>4</v>
      </c>
      <c r="AI753" t="n">
        <v>4</v>
      </c>
      <c r="AJ753" t="n">
        <v>5</v>
      </c>
      <c r="AK753" t="n">
        <v>5</v>
      </c>
      <c r="AL753" t="n">
        <v>2</v>
      </c>
      <c r="AM753" t="n">
        <v>2</v>
      </c>
      <c r="AN753" t="n">
        <v>0</v>
      </c>
      <c r="AO753" t="n">
        <v>0</v>
      </c>
      <c r="AP753" t="inlineStr">
        <is>
          <t>No</t>
        </is>
      </c>
      <c r="AQ753" t="inlineStr">
        <is>
          <t>No</t>
        </is>
      </c>
      <c r="AS753">
        <f>HYPERLINK("https://creighton-primo.hosted.exlibrisgroup.com/primo-explore/search?tab=default_tab&amp;search_scope=EVERYTHING&amp;vid=01CRU&amp;lang=en_US&amp;offset=0&amp;query=any,contains,991002751519702656","Catalog Record")</f>
        <v/>
      </c>
      <c r="AT753">
        <f>HYPERLINK("http://www.worldcat.org/oclc/424823","WorldCat Record")</f>
        <v/>
      </c>
      <c r="AU753" t="inlineStr">
        <is>
          <t>1176587:eng</t>
        </is>
      </c>
      <c r="AV753" t="inlineStr">
        <is>
          <t>424823</t>
        </is>
      </c>
      <c r="AW753" t="inlineStr">
        <is>
          <t>991002751519702656</t>
        </is>
      </c>
      <c r="AX753" t="inlineStr">
        <is>
          <t>991002751519702656</t>
        </is>
      </c>
      <c r="AY753" t="inlineStr">
        <is>
          <t>2268398770002656</t>
        </is>
      </c>
      <c r="AZ753" t="inlineStr">
        <is>
          <t>BOOK</t>
        </is>
      </c>
      <c r="BB753" t="inlineStr">
        <is>
          <t>9780049530058</t>
        </is>
      </c>
      <c r="BC753" t="inlineStr">
        <is>
          <t>32285002455318</t>
        </is>
      </c>
      <c r="BD753" t="inlineStr">
        <is>
          <t>893804986</t>
        </is>
      </c>
    </row>
    <row r="754">
      <c r="A754" t="inlineStr">
        <is>
          <t>No</t>
        </is>
      </c>
      <c r="B754" t="inlineStr">
        <is>
          <t>DS247.T88 K44 1979</t>
        </is>
      </c>
      <c r="C754" t="inlineStr">
        <is>
          <t>0                      DS 0247000T  88                 K  44          1979</t>
        </is>
      </c>
      <c r="D754" t="inlineStr">
        <is>
          <t>The United Arab Emirates : unity in fragmentation / Ali Mohammed Khalifa.</t>
        </is>
      </c>
      <c r="F754" t="inlineStr">
        <is>
          <t>No</t>
        </is>
      </c>
      <c r="G754" t="inlineStr">
        <is>
          <t>1</t>
        </is>
      </c>
      <c r="H754" t="inlineStr">
        <is>
          <t>No</t>
        </is>
      </c>
      <c r="I754" t="inlineStr">
        <is>
          <t>No</t>
        </is>
      </c>
      <c r="J754" t="inlineStr">
        <is>
          <t>0</t>
        </is>
      </c>
      <c r="K754" t="inlineStr">
        <is>
          <t>Khalifa, Ali Mohammed.</t>
        </is>
      </c>
      <c r="L754" t="inlineStr">
        <is>
          <t>Boulder, Colo. : Westview Press, 1979.</t>
        </is>
      </c>
      <c r="M754" t="inlineStr">
        <is>
          <t>1979</t>
        </is>
      </c>
      <c r="O754" t="inlineStr">
        <is>
          <t>eng</t>
        </is>
      </c>
      <c r="P754" t="inlineStr">
        <is>
          <t>cou</t>
        </is>
      </c>
      <c r="Q754" t="inlineStr">
        <is>
          <t>Westview special studies on the Middle East</t>
        </is>
      </c>
      <c r="R754" t="inlineStr">
        <is>
          <t xml:space="preserve">DS </t>
        </is>
      </c>
      <c r="S754" t="n">
        <v>6</v>
      </c>
      <c r="T754" t="n">
        <v>6</v>
      </c>
      <c r="U754" t="inlineStr">
        <is>
          <t>2007-11-13</t>
        </is>
      </c>
      <c r="V754" t="inlineStr">
        <is>
          <t>2007-11-13</t>
        </is>
      </c>
      <c r="W754" t="inlineStr">
        <is>
          <t>1990-10-08</t>
        </is>
      </c>
      <c r="X754" t="inlineStr">
        <is>
          <t>1990-10-08</t>
        </is>
      </c>
      <c r="Y754" t="n">
        <v>427</v>
      </c>
      <c r="Z754" t="n">
        <v>321</v>
      </c>
      <c r="AA754" t="n">
        <v>323</v>
      </c>
      <c r="AB754" t="n">
        <v>3</v>
      </c>
      <c r="AC754" t="n">
        <v>3</v>
      </c>
      <c r="AD754" t="n">
        <v>12</v>
      </c>
      <c r="AE754" t="n">
        <v>12</v>
      </c>
      <c r="AF754" t="n">
        <v>0</v>
      </c>
      <c r="AG754" t="n">
        <v>0</v>
      </c>
      <c r="AH754" t="n">
        <v>5</v>
      </c>
      <c r="AI754" t="n">
        <v>5</v>
      </c>
      <c r="AJ754" t="n">
        <v>7</v>
      </c>
      <c r="AK754" t="n">
        <v>7</v>
      </c>
      <c r="AL754" t="n">
        <v>2</v>
      </c>
      <c r="AM754" t="n">
        <v>2</v>
      </c>
      <c r="AN754" t="n">
        <v>0</v>
      </c>
      <c r="AO754" t="n">
        <v>0</v>
      </c>
      <c r="AP754" t="inlineStr">
        <is>
          <t>No</t>
        </is>
      </c>
      <c r="AQ754" t="inlineStr">
        <is>
          <t>Yes</t>
        </is>
      </c>
      <c r="AR754">
        <f>HYPERLINK("http://catalog.hathitrust.org/Record/000298279","HathiTrust Record")</f>
        <v/>
      </c>
      <c r="AS754">
        <f>HYPERLINK("https://creighton-primo.hosted.exlibrisgroup.com/primo-explore/search?tab=default_tab&amp;search_scope=EVERYTHING&amp;vid=01CRU&amp;lang=en_US&amp;offset=0&amp;query=any,contains,991004721579702656","Catalog Record")</f>
        <v/>
      </c>
      <c r="AT754">
        <f>HYPERLINK("http://www.worldcat.org/oclc/4804639","WorldCat Record")</f>
        <v/>
      </c>
      <c r="AU754" t="inlineStr">
        <is>
          <t>795185009:eng</t>
        </is>
      </c>
      <c r="AV754" t="inlineStr">
        <is>
          <t>4804639</t>
        </is>
      </c>
      <c r="AW754" t="inlineStr">
        <is>
          <t>991004721579702656</t>
        </is>
      </c>
      <c r="AX754" t="inlineStr">
        <is>
          <t>991004721579702656</t>
        </is>
      </c>
      <c r="AY754" t="inlineStr">
        <is>
          <t>2270238420002656</t>
        </is>
      </c>
      <c r="AZ754" t="inlineStr">
        <is>
          <t>BOOK</t>
        </is>
      </c>
      <c r="BB754" t="inlineStr">
        <is>
          <t>9780891583943</t>
        </is>
      </c>
      <c r="BC754" t="inlineStr">
        <is>
          <t>32285000335462</t>
        </is>
      </c>
      <c r="BD754" t="inlineStr">
        <is>
          <t>893513588</t>
        </is>
      </c>
    </row>
    <row r="755">
      <c r="A755" t="inlineStr">
        <is>
          <t>No</t>
        </is>
      </c>
      <c r="B755" t="inlineStr">
        <is>
          <t>DS247.T88 Z34 1978</t>
        </is>
      </c>
      <c r="C755" t="inlineStr">
        <is>
          <t>0                      DS 0247000T  88                 Z  34          1978</t>
        </is>
      </c>
      <c r="D755" t="inlineStr">
        <is>
          <t>The origins of the United Arab Emirates : a political and social history of the Trucial States / Rosemarie Said Zahlan.</t>
        </is>
      </c>
      <c r="F755" t="inlineStr">
        <is>
          <t>No</t>
        </is>
      </c>
      <c r="G755" t="inlineStr">
        <is>
          <t>1</t>
        </is>
      </c>
      <c r="H755" t="inlineStr">
        <is>
          <t>No</t>
        </is>
      </c>
      <c r="I755" t="inlineStr">
        <is>
          <t>No</t>
        </is>
      </c>
      <c r="J755" t="inlineStr">
        <is>
          <t>0</t>
        </is>
      </c>
      <c r="K755" t="inlineStr">
        <is>
          <t>Zahlan, Rosemarie Said.</t>
        </is>
      </c>
      <c r="L755" t="inlineStr">
        <is>
          <t>New York : St. Martin's Press, c1978.</t>
        </is>
      </c>
      <c r="M755" t="inlineStr">
        <is>
          <t>1978</t>
        </is>
      </c>
      <c r="O755" t="inlineStr">
        <is>
          <t>eng</t>
        </is>
      </c>
      <c r="P755" t="inlineStr">
        <is>
          <t>nyu</t>
        </is>
      </c>
      <c r="R755" t="inlineStr">
        <is>
          <t xml:space="preserve">DS </t>
        </is>
      </c>
      <c r="S755" t="n">
        <v>8</v>
      </c>
      <c r="T755" t="n">
        <v>8</v>
      </c>
      <c r="U755" t="inlineStr">
        <is>
          <t>2008-02-27</t>
        </is>
      </c>
      <c r="V755" t="inlineStr">
        <is>
          <t>2008-02-27</t>
        </is>
      </c>
      <c r="W755" t="inlineStr">
        <is>
          <t>1990-10-08</t>
        </is>
      </c>
      <c r="X755" t="inlineStr">
        <is>
          <t>1990-10-08</t>
        </is>
      </c>
      <c r="Y755" t="n">
        <v>364</v>
      </c>
      <c r="Z755" t="n">
        <v>330</v>
      </c>
      <c r="AA755" t="n">
        <v>398</v>
      </c>
      <c r="AB755" t="n">
        <v>4</v>
      </c>
      <c r="AC755" t="n">
        <v>5</v>
      </c>
      <c r="AD755" t="n">
        <v>17</v>
      </c>
      <c r="AE755" t="n">
        <v>19</v>
      </c>
      <c r="AF755" t="n">
        <v>4</v>
      </c>
      <c r="AG755" t="n">
        <v>4</v>
      </c>
      <c r="AH755" t="n">
        <v>6</v>
      </c>
      <c r="AI755" t="n">
        <v>6</v>
      </c>
      <c r="AJ755" t="n">
        <v>9</v>
      </c>
      <c r="AK755" t="n">
        <v>10</v>
      </c>
      <c r="AL755" t="n">
        <v>3</v>
      </c>
      <c r="AM755" t="n">
        <v>4</v>
      </c>
      <c r="AN755" t="n">
        <v>0</v>
      </c>
      <c r="AO755" t="n">
        <v>0</v>
      </c>
      <c r="AP755" t="inlineStr">
        <is>
          <t>No</t>
        </is>
      </c>
      <c r="AQ755" t="inlineStr">
        <is>
          <t>No</t>
        </is>
      </c>
      <c r="AS755">
        <f>HYPERLINK("https://creighton-primo.hosted.exlibrisgroup.com/primo-explore/search?tab=default_tab&amp;search_scope=EVERYTHING&amp;vid=01CRU&amp;lang=en_US&amp;offset=0&amp;query=any,contains,991004526159702656","Catalog Record")</f>
        <v/>
      </c>
      <c r="AT755">
        <f>HYPERLINK("http://www.worldcat.org/oclc/3843556","WorldCat Record")</f>
        <v/>
      </c>
      <c r="AU755" t="inlineStr">
        <is>
          <t>890398428:eng</t>
        </is>
      </c>
      <c r="AV755" t="inlineStr">
        <is>
          <t>3843556</t>
        </is>
      </c>
      <c r="AW755" t="inlineStr">
        <is>
          <t>991004526159702656</t>
        </is>
      </c>
      <c r="AX755" t="inlineStr">
        <is>
          <t>991004526159702656</t>
        </is>
      </c>
      <c r="AY755" t="inlineStr">
        <is>
          <t>2266421510002656</t>
        </is>
      </c>
      <c r="AZ755" t="inlineStr">
        <is>
          <t>BOOK</t>
        </is>
      </c>
      <c r="BB755" t="inlineStr">
        <is>
          <t>9780312588823</t>
        </is>
      </c>
      <c r="BC755" t="inlineStr">
        <is>
          <t>32285000335470</t>
        </is>
      </c>
      <c r="BD755" t="inlineStr">
        <is>
          <t>893687832</t>
        </is>
      </c>
    </row>
    <row r="756">
      <c r="A756" t="inlineStr">
        <is>
          <t>No</t>
        </is>
      </c>
      <c r="B756" t="inlineStr">
        <is>
          <t>DS247.U45 A12</t>
        </is>
      </c>
      <c r="C756" t="inlineStr">
        <is>
          <t>0                      DS 0247000U  45                 A  12</t>
        </is>
      </c>
      <c r="D756" t="inlineStr">
        <is>
          <t>The United Arab Emirates : a modern history / Muhammad Morsy Abdullah.</t>
        </is>
      </c>
      <c r="F756" t="inlineStr">
        <is>
          <t>No</t>
        </is>
      </c>
      <c r="G756" t="inlineStr">
        <is>
          <t>1</t>
        </is>
      </c>
      <c r="H756" t="inlineStr">
        <is>
          <t>No</t>
        </is>
      </c>
      <c r="I756" t="inlineStr">
        <is>
          <t>No</t>
        </is>
      </c>
      <c r="J756" t="inlineStr">
        <is>
          <t>0</t>
        </is>
      </c>
      <c r="K756" t="inlineStr">
        <is>
          <t>ʻAbd Allāh, Muḥammad Mursī.</t>
        </is>
      </c>
      <c r="L756" t="inlineStr">
        <is>
          <t>London : Croom Helm ; New York : Barnes &amp; Noble, 1978.</t>
        </is>
      </c>
      <c r="M756" t="inlineStr">
        <is>
          <t>1978</t>
        </is>
      </c>
      <c r="O756" t="inlineStr">
        <is>
          <t>eng</t>
        </is>
      </c>
      <c r="P756" t="inlineStr">
        <is>
          <t>enk</t>
        </is>
      </c>
      <c r="R756" t="inlineStr">
        <is>
          <t xml:space="preserve">DS </t>
        </is>
      </c>
      <c r="S756" t="n">
        <v>4</v>
      </c>
      <c r="T756" t="n">
        <v>4</v>
      </c>
      <c r="U756" t="inlineStr">
        <is>
          <t>2007-11-13</t>
        </is>
      </c>
      <c r="V756" t="inlineStr">
        <is>
          <t>2007-11-13</t>
        </is>
      </c>
      <c r="W756" t="inlineStr">
        <is>
          <t>1990-10-08</t>
        </is>
      </c>
      <c r="X756" t="inlineStr">
        <is>
          <t>1990-10-08</t>
        </is>
      </c>
      <c r="Y756" t="n">
        <v>567</v>
      </c>
      <c r="Z756" t="n">
        <v>483</v>
      </c>
      <c r="AA756" t="n">
        <v>499</v>
      </c>
      <c r="AB756" t="n">
        <v>1</v>
      </c>
      <c r="AC756" t="n">
        <v>1</v>
      </c>
      <c r="AD756" t="n">
        <v>13</v>
      </c>
      <c r="AE756" t="n">
        <v>14</v>
      </c>
      <c r="AF756" t="n">
        <v>3</v>
      </c>
      <c r="AG756" t="n">
        <v>4</v>
      </c>
      <c r="AH756" t="n">
        <v>7</v>
      </c>
      <c r="AI756" t="n">
        <v>7</v>
      </c>
      <c r="AJ756" t="n">
        <v>7</v>
      </c>
      <c r="AK756" t="n">
        <v>7</v>
      </c>
      <c r="AL756" t="n">
        <v>0</v>
      </c>
      <c r="AM756" t="n">
        <v>0</v>
      </c>
      <c r="AN756" t="n">
        <v>0</v>
      </c>
      <c r="AO756" t="n">
        <v>0</v>
      </c>
      <c r="AP756" t="inlineStr">
        <is>
          <t>No</t>
        </is>
      </c>
      <c r="AQ756" t="inlineStr">
        <is>
          <t>No</t>
        </is>
      </c>
      <c r="AS756">
        <f>HYPERLINK("https://creighton-primo.hosted.exlibrisgroup.com/primo-explore/search?tab=default_tab&amp;search_scope=EVERYTHING&amp;vid=01CRU&amp;lang=en_US&amp;offset=0&amp;query=any,contains,991004587819702656","Catalog Record")</f>
        <v/>
      </c>
      <c r="AT756">
        <f>HYPERLINK("http://www.worldcat.org/oclc/4099463","WorldCat Record")</f>
        <v/>
      </c>
      <c r="AU756" t="inlineStr">
        <is>
          <t>890368222:eng</t>
        </is>
      </c>
      <c r="AV756" t="inlineStr">
        <is>
          <t>4099463</t>
        </is>
      </c>
      <c r="AW756" t="inlineStr">
        <is>
          <t>991004587819702656</t>
        </is>
      </c>
      <c r="AX756" t="inlineStr">
        <is>
          <t>991004587819702656</t>
        </is>
      </c>
      <c r="AY756" t="inlineStr">
        <is>
          <t>2256023550002656</t>
        </is>
      </c>
      <c r="AZ756" t="inlineStr">
        <is>
          <t>BOOK</t>
        </is>
      </c>
      <c r="BB756" t="inlineStr">
        <is>
          <t>9780856643149</t>
        </is>
      </c>
      <c r="BC756" t="inlineStr">
        <is>
          <t>32285000335488</t>
        </is>
      </c>
      <c r="BD756" t="inlineStr">
        <is>
          <t>893807246</t>
        </is>
      </c>
    </row>
    <row r="757">
      <c r="A757" t="inlineStr">
        <is>
          <t>No</t>
        </is>
      </c>
      <c r="B757" t="inlineStr">
        <is>
          <t>DS247.U6 W57 2004</t>
        </is>
      </c>
      <c r="C757" t="inlineStr">
        <is>
          <t>0                      DS 0247000U  6                  W  57          2004</t>
        </is>
      </c>
      <c r="D757" t="inlineStr">
        <is>
          <t>With united strength : H.H. Shaikh Zayid Bin Sultan Al Nahyan, the leader and the nation / Emirates Center for Strategic Studies and Research.</t>
        </is>
      </c>
      <c r="F757" t="inlineStr">
        <is>
          <t>No</t>
        </is>
      </c>
      <c r="G757" t="inlineStr">
        <is>
          <t>1</t>
        </is>
      </c>
      <c r="H757" t="inlineStr">
        <is>
          <t>No</t>
        </is>
      </c>
      <c r="I757" t="inlineStr">
        <is>
          <t>No</t>
        </is>
      </c>
      <c r="J757" t="inlineStr">
        <is>
          <t>0</t>
        </is>
      </c>
      <c r="L757" t="inlineStr">
        <is>
          <t>Abu Dhabi : Emirates Center for Strategic Studies and Research, 2004.</t>
        </is>
      </c>
      <c r="M757" t="inlineStr">
        <is>
          <t>2004</t>
        </is>
      </c>
      <c r="O757" t="inlineStr">
        <is>
          <t>eng</t>
        </is>
      </c>
      <c r="P757" t="inlineStr">
        <is>
          <t xml:space="preserve">ts </t>
        </is>
      </c>
      <c r="R757" t="inlineStr">
        <is>
          <t xml:space="preserve">DS </t>
        </is>
      </c>
      <c r="S757" t="n">
        <v>2</v>
      </c>
      <c r="T757" t="n">
        <v>2</v>
      </c>
      <c r="U757" t="inlineStr">
        <is>
          <t>2007-11-13</t>
        </is>
      </c>
      <c r="V757" t="inlineStr">
        <is>
          <t>2007-11-13</t>
        </is>
      </c>
      <c r="W757" t="inlineStr">
        <is>
          <t>2006-01-24</t>
        </is>
      </c>
      <c r="X757" t="inlineStr">
        <is>
          <t>2006-01-24</t>
        </is>
      </c>
      <c r="Y757" t="n">
        <v>64</v>
      </c>
      <c r="Z757" t="n">
        <v>42</v>
      </c>
      <c r="AA757" t="n">
        <v>168</v>
      </c>
      <c r="AB757" t="n">
        <v>1</v>
      </c>
      <c r="AC757" t="n">
        <v>2</v>
      </c>
      <c r="AD757" t="n">
        <v>2</v>
      </c>
      <c r="AE757" t="n">
        <v>7</v>
      </c>
      <c r="AF757" t="n">
        <v>0</v>
      </c>
      <c r="AG757" t="n">
        <v>1</v>
      </c>
      <c r="AH757" t="n">
        <v>2</v>
      </c>
      <c r="AI757" t="n">
        <v>5</v>
      </c>
      <c r="AJ757" t="n">
        <v>2</v>
      </c>
      <c r="AK757" t="n">
        <v>3</v>
      </c>
      <c r="AL757" t="n">
        <v>0</v>
      </c>
      <c r="AM757" t="n">
        <v>1</v>
      </c>
      <c r="AN757" t="n">
        <v>0</v>
      </c>
      <c r="AO757" t="n">
        <v>0</v>
      </c>
      <c r="AP757" t="inlineStr">
        <is>
          <t>No</t>
        </is>
      </c>
      <c r="AQ757" t="inlineStr">
        <is>
          <t>Yes</t>
        </is>
      </c>
      <c r="AR757">
        <f>HYPERLINK("http://catalog.hathitrust.org/Record/006045475","HathiTrust Record")</f>
        <v/>
      </c>
      <c r="AS757">
        <f>HYPERLINK("https://creighton-primo.hosted.exlibrisgroup.com/primo-explore/search?tab=default_tab&amp;search_scope=EVERYTHING&amp;vid=01CRU&amp;lang=en_US&amp;offset=0&amp;query=any,contains,991004714799702656","Catalog Record")</f>
        <v/>
      </c>
      <c r="AT757">
        <f>HYPERLINK("http://www.worldcat.org/oclc/59665704","WorldCat Record")</f>
        <v/>
      </c>
      <c r="AU757" t="inlineStr">
        <is>
          <t>479240202:eng</t>
        </is>
      </c>
      <c r="AV757" t="inlineStr">
        <is>
          <t>59665704</t>
        </is>
      </c>
      <c r="AW757" t="inlineStr">
        <is>
          <t>991004714799702656</t>
        </is>
      </c>
      <c r="AX757" t="inlineStr">
        <is>
          <t>991004714799702656</t>
        </is>
      </c>
      <c r="AY757" t="inlineStr">
        <is>
          <t>2259763930002656</t>
        </is>
      </c>
      <c r="AZ757" t="inlineStr">
        <is>
          <t>BOOK</t>
        </is>
      </c>
      <c r="BB757" t="inlineStr">
        <is>
          <t>9789948004004</t>
        </is>
      </c>
      <c r="BC757" t="inlineStr">
        <is>
          <t>32285005156236</t>
        </is>
      </c>
      <c r="BD757" t="inlineStr">
        <is>
          <t>893612682</t>
        </is>
      </c>
    </row>
    <row r="758">
      <c r="A758" t="inlineStr">
        <is>
          <t>No</t>
        </is>
      </c>
      <c r="B758" t="inlineStr">
        <is>
          <t>DS247.Y42 H34 1991</t>
        </is>
      </c>
      <c r="C758" t="inlineStr">
        <is>
          <t>0                      DS 0247000Y  42                 H  34          1991</t>
        </is>
      </c>
      <c r="D758" t="inlineStr">
        <is>
          <t>Motoring with Mohammed : journeys to Yemen and the Red Sea / Eric Hansen.</t>
        </is>
      </c>
      <c r="F758" t="inlineStr">
        <is>
          <t>No</t>
        </is>
      </c>
      <c r="G758" t="inlineStr">
        <is>
          <t>1</t>
        </is>
      </c>
      <c r="H758" t="inlineStr">
        <is>
          <t>No</t>
        </is>
      </c>
      <c r="I758" t="inlineStr">
        <is>
          <t>No</t>
        </is>
      </c>
      <c r="J758" t="inlineStr">
        <is>
          <t>0</t>
        </is>
      </c>
      <c r="K758" t="inlineStr">
        <is>
          <t>Hansen, Eric.</t>
        </is>
      </c>
      <c r="L758" t="inlineStr">
        <is>
          <t>Boston : Houghton Mifflin Co., 1991.</t>
        </is>
      </c>
      <c r="M758" t="inlineStr">
        <is>
          <t>1991</t>
        </is>
      </c>
      <c r="O758" t="inlineStr">
        <is>
          <t>eng</t>
        </is>
      </c>
      <c r="P758" t="inlineStr">
        <is>
          <t>mau</t>
        </is>
      </c>
      <c r="R758" t="inlineStr">
        <is>
          <t xml:space="preserve">DS </t>
        </is>
      </c>
      <c r="S758" t="n">
        <v>1</v>
      </c>
      <c r="T758" t="n">
        <v>1</v>
      </c>
      <c r="U758" t="inlineStr">
        <is>
          <t>2010-12-20</t>
        </is>
      </c>
      <c r="V758" t="inlineStr">
        <is>
          <t>2010-12-20</t>
        </is>
      </c>
      <c r="W758" t="inlineStr">
        <is>
          <t>1991-06-06</t>
        </is>
      </c>
      <c r="X758" t="inlineStr">
        <is>
          <t>1991-06-06</t>
        </is>
      </c>
      <c r="Y758" t="n">
        <v>485</v>
      </c>
      <c r="Z758" t="n">
        <v>454</v>
      </c>
      <c r="AA758" t="n">
        <v>553</v>
      </c>
      <c r="AB758" t="n">
        <v>3</v>
      </c>
      <c r="AC758" t="n">
        <v>3</v>
      </c>
      <c r="AD758" t="n">
        <v>6</v>
      </c>
      <c r="AE758" t="n">
        <v>11</v>
      </c>
      <c r="AF758" t="n">
        <v>1</v>
      </c>
      <c r="AG758" t="n">
        <v>3</v>
      </c>
      <c r="AH758" t="n">
        <v>2</v>
      </c>
      <c r="AI758" t="n">
        <v>2</v>
      </c>
      <c r="AJ758" t="n">
        <v>4</v>
      </c>
      <c r="AK758" t="n">
        <v>7</v>
      </c>
      <c r="AL758" t="n">
        <v>0</v>
      </c>
      <c r="AM758" t="n">
        <v>0</v>
      </c>
      <c r="AN758" t="n">
        <v>0</v>
      </c>
      <c r="AO758" t="n">
        <v>0</v>
      </c>
      <c r="AP758" t="inlineStr">
        <is>
          <t>No</t>
        </is>
      </c>
      <c r="AQ758" t="inlineStr">
        <is>
          <t>No</t>
        </is>
      </c>
      <c r="AS758">
        <f>HYPERLINK("https://creighton-primo.hosted.exlibrisgroup.com/primo-explore/search?tab=default_tab&amp;search_scope=EVERYTHING&amp;vid=01CRU&amp;lang=en_US&amp;offset=0&amp;query=any,contains,991001794859702656","Catalog Record")</f>
        <v/>
      </c>
      <c r="AT758">
        <f>HYPERLINK("http://www.worldcat.org/oclc/22596517","WorldCat Record")</f>
        <v/>
      </c>
      <c r="AU758" t="inlineStr">
        <is>
          <t>24590085:eng</t>
        </is>
      </c>
      <c r="AV758" t="inlineStr">
        <is>
          <t>22596517</t>
        </is>
      </c>
      <c r="AW758" t="inlineStr">
        <is>
          <t>991001794859702656</t>
        </is>
      </c>
      <c r="AX758" t="inlineStr">
        <is>
          <t>991001794859702656</t>
        </is>
      </c>
      <c r="AY758" t="inlineStr">
        <is>
          <t>2262438590002656</t>
        </is>
      </c>
      <c r="AZ758" t="inlineStr">
        <is>
          <t>BOOK</t>
        </is>
      </c>
      <c r="BB758" t="inlineStr">
        <is>
          <t>9780395483473</t>
        </is>
      </c>
      <c r="BC758" t="inlineStr">
        <is>
          <t>32285000593797</t>
        </is>
      </c>
      <c r="BD758" t="inlineStr">
        <is>
          <t>893316074</t>
        </is>
      </c>
    </row>
    <row r="759">
      <c r="A759" t="inlineStr">
        <is>
          <t>No</t>
        </is>
      </c>
      <c r="B759" t="inlineStr">
        <is>
          <t>DS247.Y42 M295 2000</t>
        </is>
      </c>
      <c r="C759" t="inlineStr">
        <is>
          <t>0                      DS 0247000Y  42                 M  295         2000</t>
        </is>
      </c>
      <c r="D759" t="inlineStr">
        <is>
          <t>Yemen : the unknown Arabia / Tim Mackintosh-Smith ; with etchings by Martin Yeoman.</t>
        </is>
      </c>
      <c r="F759" t="inlineStr">
        <is>
          <t>No</t>
        </is>
      </c>
      <c r="G759" t="inlineStr">
        <is>
          <t>1</t>
        </is>
      </c>
      <c r="H759" t="inlineStr">
        <is>
          <t>No</t>
        </is>
      </c>
      <c r="I759" t="inlineStr">
        <is>
          <t>No</t>
        </is>
      </c>
      <c r="J759" t="inlineStr">
        <is>
          <t>0</t>
        </is>
      </c>
      <c r="K759" t="inlineStr">
        <is>
          <t>Mackintosh-Smith, Tim, 1961-</t>
        </is>
      </c>
      <c r="L759" t="inlineStr">
        <is>
          <t>Woodstock, NY : Overlook Press, 2000.</t>
        </is>
      </c>
      <c r="M759" t="inlineStr">
        <is>
          <t>2000</t>
        </is>
      </c>
      <c r="O759" t="inlineStr">
        <is>
          <t>eng</t>
        </is>
      </c>
      <c r="P759" t="inlineStr">
        <is>
          <t>nyu</t>
        </is>
      </c>
      <c r="R759" t="inlineStr">
        <is>
          <t xml:space="preserve">DS </t>
        </is>
      </c>
      <c r="S759" t="n">
        <v>1</v>
      </c>
      <c r="T759" t="n">
        <v>1</v>
      </c>
      <c r="U759" t="inlineStr">
        <is>
          <t>2001-01-16</t>
        </is>
      </c>
      <c r="V759" t="inlineStr">
        <is>
          <t>2001-01-16</t>
        </is>
      </c>
      <c r="W759" t="inlineStr">
        <is>
          <t>2000-07-24</t>
        </is>
      </c>
      <c r="X759" t="inlineStr">
        <is>
          <t>2000-07-24</t>
        </is>
      </c>
      <c r="Y759" t="n">
        <v>616</v>
      </c>
      <c r="Z759" t="n">
        <v>584</v>
      </c>
      <c r="AA759" t="n">
        <v>650</v>
      </c>
      <c r="AB759" t="n">
        <v>5</v>
      </c>
      <c r="AC759" t="n">
        <v>5</v>
      </c>
      <c r="AD759" t="n">
        <v>17</v>
      </c>
      <c r="AE759" t="n">
        <v>19</v>
      </c>
      <c r="AF759" t="n">
        <v>8</v>
      </c>
      <c r="AG759" t="n">
        <v>9</v>
      </c>
      <c r="AH759" t="n">
        <v>1</v>
      </c>
      <c r="AI759" t="n">
        <v>3</v>
      </c>
      <c r="AJ759" t="n">
        <v>12</v>
      </c>
      <c r="AK759" t="n">
        <v>12</v>
      </c>
      <c r="AL759" t="n">
        <v>2</v>
      </c>
      <c r="AM759" t="n">
        <v>2</v>
      </c>
      <c r="AN759" t="n">
        <v>0</v>
      </c>
      <c r="AO759" t="n">
        <v>0</v>
      </c>
      <c r="AP759" t="inlineStr">
        <is>
          <t>No</t>
        </is>
      </c>
      <c r="AQ759" t="inlineStr">
        <is>
          <t>No</t>
        </is>
      </c>
      <c r="AS759">
        <f>HYPERLINK("https://creighton-primo.hosted.exlibrisgroup.com/primo-explore/search?tab=default_tab&amp;search_scope=EVERYTHING&amp;vid=01CRU&amp;lang=en_US&amp;offset=0&amp;query=any,contains,991003212859702656","Catalog Record")</f>
        <v/>
      </c>
      <c r="AT759">
        <f>HYPERLINK("http://www.worldcat.org/oclc/43036808","WorldCat Record")</f>
        <v/>
      </c>
      <c r="AU759" t="inlineStr">
        <is>
          <t>3769695993:eng</t>
        </is>
      </c>
      <c r="AV759" t="inlineStr">
        <is>
          <t>43036808</t>
        </is>
      </c>
      <c r="AW759" t="inlineStr">
        <is>
          <t>991003212859702656</t>
        </is>
      </c>
      <c r="AX759" t="inlineStr">
        <is>
          <t>991003212859702656</t>
        </is>
      </c>
      <c r="AY759" t="inlineStr">
        <is>
          <t>2263322580002656</t>
        </is>
      </c>
      <c r="AZ759" t="inlineStr">
        <is>
          <t>BOOK</t>
        </is>
      </c>
      <c r="BB759" t="inlineStr">
        <is>
          <t>9781585670017</t>
        </is>
      </c>
      <c r="BC759" t="inlineStr">
        <is>
          <t>32285003711826</t>
        </is>
      </c>
      <c r="BD759" t="inlineStr">
        <is>
          <t>893880925</t>
        </is>
      </c>
    </row>
    <row r="760">
      <c r="A760" t="inlineStr">
        <is>
          <t>No</t>
        </is>
      </c>
      <c r="B760" t="inlineStr">
        <is>
          <t>DS247.Y44 C38 2005</t>
        </is>
      </c>
      <c r="C760" t="inlineStr">
        <is>
          <t>0                      DS 0247000Y  44                 C  38          2005</t>
        </is>
      </c>
      <c r="D760" t="inlineStr">
        <is>
          <t>Yemen chronicle : an anthropology of war and mediation / Steven C. Caton.</t>
        </is>
      </c>
      <c r="F760" t="inlineStr">
        <is>
          <t>No</t>
        </is>
      </c>
      <c r="G760" t="inlineStr">
        <is>
          <t>1</t>
        </is>
      </c>
      <c r="H760" t="inlineStr">
        <is>
          <t>No</t>
        </is>
      </c>
      <c r="I760" t="inlineStr">
        <is>
          <t>No</t>
        </is>
      </c>
      <c r="J760" t="inlineStr">
        <is>
          <t>0</t>
        </is>
      </c>
      <c r="K760" t="inlineStr">
        <is>
          <t>Caton, Steven Charles, 1950-</t>
        </is>
      </c>
      <c r="L760" t="inlineStr">
        <is>
          <t>New York : Hill and Wang, 2005.</t>
        </is>
      </c>
      <c r="M760" t="inlineStr">
        <is>
          <t>2005</t>
        </is>
      </c>
      <c r="O760" t="inlineStr">
        <is>
          <t>eng</t>
        </is>
      </c>
      <c r="P760" t="inlineStr">
        <is>
          <t>nyu</t>
        </is>
      </c>
      <c r="R760" t="inlineStr">
        <is>
          <t xml:space="preserve">DS </t>
        </is>
      </c>
      <c r="S760" t="n">
        <v>2</v>
      </c>
      <c r="T760" t="n">
        <v>2</v>
      </c>
      <c r="U760" t="inlineStr">
        <is>
          <t>2005-11-09</t>
        </is>
      </c>
      <c r="V760" t="inlineStr">
        <is>
          <t>2005-11-09</t>
        </is>
      </c>
      <c r="W760" t="inlineStr">
        <is>
          <t>2005-10-26</t>
        </is>
      </c>
      <c r="X760" t="inlineStr">
        <is>
          <t>2005-10-26</t>
        </is>
      </c>
      <c r="Y760" t="n">
        <v>485</v>
      </c>
      <c r="Z760" t="n">
        <v>424</v>
      </c>
      <c r="AA760" t="n">
        <v>431</v>
      </c>
      <c r="AB760" t="n">
        <v>4</v>
      </c>
      <c r="AC760" t="n">
        <v>4</v>
      </c>
      <c r="AD760" t="n">
        <v>14</v>
      </c>
      <c r="AE760" t="n">
        <v>14</v>
      </c>
      <c r="AF760" t="n">
        <v>2</v>
      </c>
      <c r="AG760" t="n">
        <v>2</v>
      </c>
      <c r="AH760" t="n">
        <v>3</v>
      </c>
      <c r="AI760" t="n">
        <v>3</v>
      </c>
      <c r="AJ760" t="n">
        <v>9</v>
      </c>
      <c r="AK760" t="n">
        <v>9</v>
      </c>
      <c r="AL760" t="n">
        <v>3</v>
      </c>
      <c r="AM760" t="n">
        <v>3</v>
      </c>
      <c r="AN760" t="n">
        <v>0</v>
      </c>
      <c r="AO760" t="n">
        <v>0</v>
      </c>
      <c r="AP760" t="inlineStr">
        <is>
          <t>No</t>
        </is>
      </c>
      <c r="AQ760" t="inlineStr">
        <is>
          <t>No</t>
        </is>
      </c>
      <c r="AS760">
        <f>HYPERLINK("https://creighton-primo.hosted.exlibrisgroup.com/primo-explore/search?tab=default_tab&amp;search_scope=EVERYTHING&amp;vid=01CRU&amp;lang=en_US&amp;offset=0&amp;query=any,contains,991004647229702656","Catalog Record")</f>
        <v/>
      </c>
      <c r="AT760">
        <f>HYPERLINK("http://www.worldcat.org/oclc/57429034","WorldCat Record")</f>
        <v/>
      </c>
      <c r="AU760" t="inlineStr">
        <is>
          <t>890748968:eng</t>
        </is>
      </c>
      <c r="AV760" t="inlineStr">
        <is>
          <t>57429034</t>
        </is>
      </c>
      <c r="AW760" t="inlineStr">
        <is>
          <t>991004647229702656</t>
        </is>
      </c>
      <c r="AX760" t="inlineStr">
        <is>
          <t>991004647229702656</t>
        </is>
      </c>
      <c r="AY760" t="inlineStr">
        <is>
          <t>2269161690002656</t>
        </is>
      </c>
      <c r="AZ760" t="inlineStr">
        <is>
          <t>BOOK</t>
        </is>
      </c>
      <c r="BB760" t="inlineStr">
        <is>
          <t>9780809027255</t>
        </is>
      </c>
      <c r="BC760" t="inlineStr">
        <is>
          <t>32285005142400</t>
        </is>
      </c>
      <c r="BD760" t="inlineStr">
        <is>
          <t>893319482</t>
        </is>
      </c>
    </row>
    <row r="761">
      <c r="A761" t="inlineStr">
        <is>
          <t>No</t>
        </is>
      </c>
      <c r="B761" t="inlineStr">
        <is>
          <t>DS247.Y45 P52 1978</t>
        </is>
      </c>
      <c r="C761" t="inlineStr">
        <is>
          <t>0                      DS 0247000Y  45                 P  52          1978</t>
        </is>
      </c>
      <c r="D761" t="inlineStr">
        <is>
          <t>A history of Arabia Felix or Yemen, from the commencement of the Christian era to the present time : including an account of the British settlement of Aden / by R. L. Playfair.</t>
        </is>
      </c>
      <c r="F761" t="inlineStr">
        <is>
          <t>No</t>
        </is>
      </c>
      <c r="G761" t="inlineStr">
        <is>
          <t>1</t>
        </is>
      </c>
      <c r="H761" t="inlineStr">
        <is>
          <t>No</t>
        </is>
      </c>
      <c r="I761" t="inlineStr">
        <is>
          <t>No</t>
        </is>
      </c>
      <c r="J761" t="inlineStr">
        <is>
          <t>0</t>
        </is>
      </c>
      <c r="K761" t="inlineStr">
        <is>
          <t>Playfair, R. Lambert (Robert Lambert), Sir, 1828-1899.</t>
        </is>
      </c>
      <c r="L761" t="inlineStr">
        <is>
          <t>Salisbury, N.C. : Documentary Publications, 1978.</t>
        </is>
      </c>
      <c r="M761" t="inlineStr">
        <is>
          <t>1978</t>
        </is>
      </c>
      <c r="O761" t="inlineStr">
        <is>
          <t>eng</t>
        </is>
      </c>
      <c r="P761" t="inlineStr">
        <is>
          <t>ncu</t>
        </is>
      </c>
      <c r="Q761" t="inlineStr">
        <is>
          <t>Selections from the records of the Bombay Government ; new ser., no. 49</t>
        </is>
      </c>
      <c r="R761" t="inlineStr">
        <is>
          <t xml:space="preserve">DS </t>
        </is>
      </c>
      <c r="S761" t="n">
        <v>2</v>
      </c>
      <c r="T761" t="n">
        <v>2</v>
      </c>
      <c r="U761" t="inlineStr">
        <is>
          <t>1998-07-20</t>
        </is>
      </c>
      <c r="V761" t="inlineStr">
        <is>
          <t>1998-07-20</t>
        </is>
      </c>
      <c r="W761" t="inlineStr">
        <is>
          <t>1990-10-08</t>
        </is>
      </c>
      <c r="X761" t="inlineStr">
        <is>
          <t>1990-10-08</t>
        </is>
      </c>
      <c r="Y761" t="n">
        <v>86</v>
      </c>
      <c r="Z761" t="n">
        <v>74</v>
      </c>
      <c r="AA761" t="n">
        <v>128</v>
      </c>
      <c r="AB761" t="n">
        <v>1</v>
      </c>
      <c r="AC761" t="n">
        <v>2</v>
      </c>
      <c r="AD761" t="n">
        <v>0</v>
      </c>
      <c r="AE761" t="n">
        <v>4</v>
      </c>
      <c r="AF761" t="n">
        <v>0</v>
      </c>
      <c r="AG761" t="n">
        <v>0</v>
      </c>
      <c r="AH761" t="n">
        <v>0</v>
      </c>
      <c r="AI761" t="n">
        <v>2</v>
      </c>
      <c r="AJ761" t="n">
        <v>0</v>
      </c>
      <c r="AK761" t="n">
        <v>2</v>
      </c>
      <c r="AL761" t="n">
        <v>0</v>
      </c>
      <c r="AM761" t="n">
        <v>1</v>
      </c>
      <c r="AN761" t="n">
        <v>0</v>
      </c>
      <c r="AO761" t="n">
        <v>0</v>
      </c>
      <c r="AP761" t="inlineStr">
        <is>
          <t>No</t>
        </is>
      </c>
      <c r="AQ761" t="inlineStr">
        <is>
          <t>Yes</t>
        </is>
      </c>
      <c r="AR761">
        <f>HYPERLINK("http://catalog.hathitrust.org/Record/100151593","HathiTrust Record")</f>
        <v/>
      </c>
      <c r="AS761">
        <f>HYPERLINK("https://creighton-primo.hosted.exlibrisgroup.com/primo-explore/search?tab=default_tab&amp;search_scope=EVERYTHING&amp;vid=01CRU&amp;lang=en_US&amp;offset=0&amp;query=any,contains,991004888729702656","Catalog Record")</f>
        <v/>
      </c>
      <c r="AT761">
        <f>HYPERLINK("http://www.worldcat.org/oclc/5848156","WorldCat Record")</f>
        <v/>
      </c>
      <c r="AU761" t="inlineStr">
        <is>
          <t>376901134:eng</t>
        </is>
      </c>
      <c r="AV761" t="inlineStr">
        <is>
          <t>5848156</t>
        </is>
      </c>
      <c r="AW761" t="inlineStr">
        <is>
          <t>991004888729702656</t>
        </is>
      </c>
      <c r="AX761" t="inlineStr">
        <is>
          <t>991004888729702656</t>
        </is>
      </c>
      <c r="AY761" t="inlineStr">
        <is>
          <t>2256172470002656</t>
        </is>
      </c>
      <c r="AZ761" t="inlineStr">
        <is>
          <t>BOOK</t>
        </is>
      </c>
      <c r="BB761" t="inlineStr">
        <is>
          <t>9780897120692</t>
        </is>
      </c>
      <c r="BC761" t="inlineStr">
        <is>
          <t>32285000335496</t>
        </is>
      </c>
      <c r="BD761" t="inlineStr">
        <is>
          <t>893350471</t>
        </is>
      </c>
    </row>
    <row r="762">
      <c r="A762" t="inlineStr">
        <is>
          <t>No</t>
        </is>
      </c>
      <c r="B762" t="inlineStr">
        <is>
          <t>DS247.Y48 K68 1996</t>
        </is>
      </c>
      <c r="C762" t="inlineStr">
        <is>
          <t>0                      DS 0247000Y  48                 K  68          1996</t>
        </is>
      </c>
      <c r="D762" t="inlineStr">
        <is>
          <t>Yemen : the tortuous quest for unity, 1990-94 / Joseph Kostiner.</t>
        </is>
      </c>
      <c r="F762" t="inlineStr">
        <is>
          <t>No</t>
        </is>
      </c>
      <c r="G762" t="inlineStr">
        <is>
          <t>1</t>
        </is>
      </c>
      <c r="H762" t="inlineStr">
        <is>
          <t>No</t>
        </is>
      </c>
      <c r="I762" t="inlineStr">
        <is>
          <t>No</t>
        </is>
      </c>
      <c r="J762" t="inlineStr">
        <is>
          <t>0</t>
        </is>
      </c>
      <c r="K762" t="inlineStr">
        <is>
          <t>Kostiner, Joseph.</t>
        </is>
      </c>
      <c r="L762" t="inlineStr">
        <is>
          <t>[London] : The Royal Institute of International Affairs : Pinter [publisher], 1996.</t>
        </is>
      </c>
      <c r="M762" t="inlineStr">
        <is>
          <t>1996</t>
        </is>
      </c>
      <c r="O762" t="inlineStr">
        <is>
          <t>eng</t>
        </is>
      </c>
      <c r="P762" t="inlineStr">
        <is>
          <t>enk</t>
        </is>
      </c>
      <c r="Q762" t="inlineStr">
        <is>
          <t>Chatham House papers</t>
        </is>
      </c>
      <c r="R762" t="inlineStr">
        <is>
          <t xml:space="preserve">DS </t>
        </is>
      </c>
      <c r="S762" t="n">
        <v>2</v>
      </c>
      <c r="T762" t="n">
        <v>2</v>
      </c>
      <c r="U762" t="inlineStr">
        <is>
          <t>2008-08-04</t>
        </is>
      </c>
      <c r="V762" t="inlineStr">
        <is>
          <t>2008-08-04</t>
        </is>
      </c>
      <c r="W762" t="inlineStr">
        <is>
          <t>1997-04-29</t>
        </is>
      </c>
      <c r="X762" t="inlineStr">
        <is>
          <t>1997-04-29</t>
        </is>
      </c>
      <c r="Y762" t="n">
        <v>185</v>
      </c>
      <c r="Z762" t="n">
        <v>120</v>
      </c>
      <c r="AA762" t="n">
        <v>122</v>
      </c>
      <c r="AB762" t="n">
        <v>1</v>
      </c>
      <c r="AC762" t="n">
        <v>1</v>
      </c>
      <c r="AD762" t="n">
        <v>7</v>
      </c>
      <c r="AE762" t="n">
        <v>7</v>
      </c>
      <c r="AF762" t="n">
        <v>0</v>
      </c>
      <c r="AG762" t="n">
        <v>0</v>
      </c>
      <c r="AH762" t="n">
        <v>5</v>
      </c>
      <c r="AI762" t="n">
        <v>5</v>
      </c>
      <c r="AJ762" t="n">
        <v>4</v>
      </c>
      <c r="AK762" t="n">
        <v>4</v>
      </c>
      <c r="AL762" t="n">
        <v>0</v>
      </c>
      <c r="AM762" t="n">
        <v>0</v>
      </c>
      <c r="AN762" t="n">
        <v>0</v>
      </c>
      <c r="AO762" t="n">
        <v>0</v>
      </c>
      <c r="AP762" t="inlineStr">
        <is>
          <t>No</t>
        </is>
      </c>
      <c r="AQ762" t="inlineStr">
        <is>
          <t>Yes</t>
        </is>
      </c>
      <c r="AR762">
        <f>HYPERLINK("http://catalog.hathitrust.org/Record/003140594","HathiTrust Record")</f>
        <v/>
      </c>
      <c r="AS762">
        <f>HYPERLINK("https://creighton-primo.hosted.exlibrisgroup.com/primo-explore/search?tab=default_tab&amp;search_scope=EVERYTHING&amp;vid=01CRU&amp;lang=en_US&amp;offset=0&amp;query=any,contains,991002761959702656","Catalog Record")</f>
        <v/>
      </c>
      <c r="AT762">
        <f>HYPERLINK("http://www.worldcat.org/oclc/36225437","WorldCat Record")</f>
        <v/>
      </c>
      <c r="AU762" t="inlineStr">
        <is>
          <t>837061123:eng</t>
        </is>
      </c>
      <c r="AV762" t="inlineStr">
        <is>
          <t>36225437</t>
        </is>
      </c>
      <c r="AW762" t="inlineStr">
        <is>
          <t>991002761959702656</t>
        </is>
      </c>
      <c r="AX762" t="inlineStr">
        <is>
          <t>991002761959702656</t>
        </is>
      </c>
      <c r="AY762" t="inlineStr">
        <is>
          <t>2272582830002656</t>
        </is>
      </c>
      <c r="AZ762" t="inlineStr">
        <is>
          <t>BOOK</t>
        </is>
      </c>
      <c r="BB762" t="inlineStr">
        <is>
          <t>9781855673489</t>
        </is>
      </c>
      <c r="BC762" t="inlineStr">
        <is>
          <t>32285002542719</t>
        </is>
      </c>
      <c r="BD762" t="inlineStr">
        <is>
          <t>893239455</t>
        </is>
      </c>
    </row>
    <row r="763">
      <c r="A763" t="inlineStr">
        <is>
          <t>No</t>
        </is>
      </c>
      <c r="B763" t="inlineStr">
        <is>
          <t>DS247.Y48 P47 1982</t>
        </is>
      </c>
      <c r="C763" t="inlineStr">
        <is>
          <t>0                      DS 0247000Y  48                 P  47          1982</t>
        </is>
      </c>
      <c r="D763" t="inlineStr">
        <is>
          <t>Yemen, the search for a modern state / J.E. Peterson.</t>
        </is>
      </c>
      <c r="F763" t="inlineStr">
        <is>
          <t>No</t>
        </is>
      </c>
      <c r="G763" t="inlineStr">
        <is>
          <t>1</t>
        </is>
      </c>
      <c r="H763" t="inlineStr">
        <is>
          <t>No</t>
        </is>
      </c>
      <c r="I763" t="inlineStr">
        <is>
          <t>No</t>
        </is>
      </c>
      <c r="J763" t="inlineStr">
        <is>
          <t>0</t>
        </is>
      </c>
      <c r="K763" t="inlineStr">
        <is>
          <t>Peterson, John, 1947-</t>
        </is>
      </c>
      <c r="L763" t="inlineStr">
        <is>
          <t>Baltimore : Johns Hopkins University Press, 1982.</t>
        </is>
      </c>
      <c r="M763" t="inlineStr">
        <is>
          <t>1982</t>
        </is>
      </c>
      <c r="O763" t="inlineStr">
        <is>
          <t>eng</t>
        </is>
      </c>
      <c r="P763" t="inlineStr">
        <is>
          <t>mdu</t>
        </is>
      </c>
      <c r="R763" t="inlineStr">
        <is>
          <t xml:space="preserve">DS </t>
        </is>
      </c>
      <c r="S763" t="n">
        <v>1</v>
      </c>
      <c r="T763" t="n">
        <v>1</v>
      </c>
      <c r="U763" t="inlineStr">
        <is>
          <t>2008-08-04</t>
        </is>
      </c>
      <c r="V763" t="inlineStr">
        <is>
          <t>2008-08-04</t>
        </is>
      </c>
      <c r="W763" t="inlineStr">
        <is>
          <t>1990-10-08</t>
        </is>
      </c>
      <c r="X763" t="inlineStr">
        <is>
          <t>1990-10-08</t>
        </is>
      </c>
      <c r="Y763" t="n">
        <v>398</v>
      </c>
      <c r="Z763" t="n">
        <v>358</v>
      </c>
      <c r="AA763" t="n">
        <v>411</v>
      </c>
      <c r="AB763" t="n">
        <v>2</v>
      </c>
      <c r="AC763" t="n">
        <v>2</v>
      </c>
      <c r="AD763" t="n">
        <v>16</v>
      </c>
      <c r="AE763" t="n">
        <v>16</v>
      </c>
      <c r="AF763" t="n">
        <v>5</v>
      </c>
      <c r="AG763" t="n">
        <v>5</v>
      </c>
      <c r="AH763" t="n">
        <v>4</v>
      </c>
      <c r="AI763" t="n">
        <v>4</v>
      </c>
      <c r="AJ763" t="n">
        <v>11</v>
      </c>
      <c r="AK763" t="n">
        <v>11</v>
      </c>
      <c r="AL763" t="n">
        <v>1</v>
      </c>
      <c r="AM763" t="n">
        <v>1</v>
      </c>
      <c r="AN763" t="n">
        <v>0</v>
      </c>
      <c r="AO763" t="n">
        <v>0</v>
      </c>
      <c r="AP763" t="inlineStr">
        <is>
          <t>No</t>
        </is>
      </c>
      <c r="AQ763" t="inlineStr">
        <is>
          <t>Yes</t>
        </is>
      </c>
      <c r="AR763">
        <f>HYPERLINK("http://catalog.hathitrust.org/Record/000198373","HathiTrust Record")</f>
        <v/>
      </c>
      <c r="AS763">
        <f>HYPERLINK("https://creighton-primo.hosted.exlibrisgroup.com/primo-explore/search?tab=default_tab&amp;search_scope=EVERYTHING&amp;vid=01CRU&amp;lang=en_US&amp;offset=0&amp;query=any,contains,991005182249702656","Catalog Record")</f>
        <v/>
      </c>
      <c r="AT763">
        <f>HYPERLINK("http://www.worldcat.org/oclc/7946995","WorldCat Record")</f>
        <v/>
      </c>
      <c r="AU763" t="inlineStr">
        <is>
          <t>452564:eng</t>
        </is>
      </c>
      <c r="AV763" t="inlineStr">
        <is>
          <t>7946995</t>
        </is>
      </c>
      <c r="AW763" t="inlineStr">
        <is>
          <t>991005182249702656</t>
        </is>
      </c>
      <c r="AX763" t="inlineStr">
        <is>
          <t>991005182249702656</t>
        </is>
      </c>
      <c r="AY763" t="inlineStr">
        <is>
          <t>2272378210002656</t>
        </is>
      </c>
      <c r="AZ763" t="inlineStr">
        <is>
          <t>BOOK</t>
        </is>
      </c>
      <c r="BB763" t="inlineStr">
        <is>
          <t>9780801827846</t>
        </is>
      </c>
      <c r="BC763" t="inlineStr">
        <is>
          <t>32285000335504</t>
        </is>
      </c>
      <c r="BD763" t="inlineStr">
        <is>
          <t>893688734</t>
        </is>
      </c>
    </row>
    <row r="764">
      <c r="A764" t="inlineStr">
        <is>
          <t>No</t>
        </is>
      </c>
      <c r="B764" t="inlineStr">
        <is>
          <t>DS25 .I9</t>
        </is>
      </c>
      <c r="C764" t="inlineStr">
        <is>
          <t>0                      DS 0025000I  9</t>
        </is>
      </c>
      <c r="D764" t="inlineStr">
        <is>
          <t>Essays on Tatar history.</t>
        </is>
      </c>
      <c r="F764" t="inlineStr">
        <is>
          <t>No</t>
        </is>
      </c>
      <c r="G764" t="inlineStr">
        <is>
          <t>1</t>
        </is>
      </c>
      <c r="H764" t="inlineStr">
        <is>
          <t>No</t>
        </is>
      </c>
      <c r="I764" t="inlineStr">
        <is>
          <t>No</t>
        </is>
      </c>
      <c r="J764" t="inlineStr">
        <is>
          <t>0</t>
        </is>
      </c>
      <c r="K764" t="inlineStr">
        <is>
          <t>Izhboldin, Borīs S.</t>
        </is>
      </c>
      <c r="L764" t="inlineStr">
        <is>
          <t>New Delhi, New Book Society of India [1963]</t>
        </is>
      </c>
      <c r="M764" t="inlineStr">
        <is>
          <t>1963</t>
        </is>
      </c>
      <c r="N764" t="inlineStr">
        <is>
          <t>[1st ed.]</t>
        </is>
      </c>
      <c r="O764" t="inlineStr">
        <is>
          <t>eng</t>
        </is>
      </c>
      <c r="P764" t="inlineStr">
        <is>
          <t xml:space="preserve">xx </t>
        </is>
      </c>
      <c r="R764" t="inlineStr">
        <is>
          <t xml:space="preserve">DS </t>
        </is>
      </c>
      <c r="S764" t="n">
        <v>3</v>
      </c>
      <c r="T764" t="n">
        <v>3</v>
      </c>
      <c r="U764" t="inlineStr">
        <is>
          <t>1998-02-16</t>
        </is>
      </c>
      <c r="V764" t="inlineStr">
        <is>
          <t>1998-02-16</t>
        </is>
      </c>
      <c r="W764" t="inlineStr">
        <is>
          <t>1996-08-02</t>
        </is>
      </c>
      <c r="X764" t="inlineStr">
        <is>
          <t>1996-08-02</t>
        </is>
      </c>
      <c r="Y764" t="n">
        <v>84</v>
      </c>
      <c r="Z764" t="n">
        <v>69</v>
      </c>
      <c r="AA764" t="n">
        <v>77</v>
      </c>
      <c r="AB764" t="n">
        <v>1</v>
      </c>
      <c r="AC764" t="n">
        <v>1</v>
      </c>
      <c r="AD764" t="n">
        <v>5</v>
      </c>
      <c r="AE764" t="n">
        <v>6</v>
      </c>
      <c r="AF764" t="n">
        <v>0</v>
      </c>
      <c r="AG764" t="n">
        <v>0</v>
      </c>
      <c r="AH764" t="n">
        <v>3</v>
      </c>
      <c r="AI764" t="n">
        <v>4</v>
      </c>
      <c r="AJ764" t="n">
        <v>3</v>
      </c>
      <c r="AK764" t="n">
        <v>4</v>
      </c>
      <c r="AL764" t="n">
        <v>0</v>
      </c>
      <c r="AM764" t="n">
        <v>0</v>
      </c>
      <c r="AN764" t="n">
        <v>0</v>
      </c>
      <c r="AO764" t="n">
        <v>0</v>
      </c>
      <c r="AP764" t="inlineStr">
        <is>
          <t>No</t>
        </is>
      </c>
      <c r="AQ764" t="inlineStr">
        <is>
          <t>No</t>
        </is>
      </c>
      <c r="AS764">
        <f>HYPERLINK("https://creighton-primo.hosted.exlibrisgroup.com/primo-explore/search?tab=default_tab&amp;search_scope=EVERYTHING&amp;vid=01CRU&amp;lang=en_US&amp;offset=0&amp;query=any,contains,991003323239702656","Catalog Record")</f>
        <v/>
      </c>
      <c r="AT764">
        <f>HYPERLINK("http://www.worldcat.org/oclc/851957","WorldCat Record")</f>
        <v/>
      </c>
      <c r="AU764" t="inlineStr">
        <is>
          <t>3945663299:eng</t>
        </is>
      </c>
      <c r="AV764" t="inlineStr">
        <is>
          <t>851957</t>
        </is>
      </c>
      <c r="AW764" t="inlineStr">
        <is>
          <t>991003323239702656</t>
        </is>
      </c>
      <c r="AX764" t="inlineStr">
        <is>
          <t>991003323239702656</t>
        </is>
      </c>
      <c r="AY764" t="inlineStr">
        <is>
          <t>2264404830002656</t>
        </is>
      </c>
      <c r="AZ764" t="inlineStr">
        <is>
          <t>BOOK</t>
        </is>
      </c>
      <c r="BC764" t="inlineStr">
        <is>
          <t>32285002209426</t>
        </is>
      </c>
      <c r="BD764" t="inlineStr">
        <is>
          <t>893410169</t>
        </is>
      </c>
    </row>
    <row r="765">
      <c r="A765" t="inlineStr">
        <is>
          <t>No</t>
        </is>
      </c>
      <c r="B765" t="inlineStr">
        <is>
          <t>DS258 .S78 1983</t>
        </is>
      </c>
      <c r="C765" t="inlineStr">
        <is>
          <t>0                      DS 0258000S  78          1983</t>
        </is>
      </c>
      <c r="D765" t="inlineStr">
        <is>
          <t>The valleys of the Assassins and other Persian travels / Freya Stark.</t>
        </is>
      </c>
      <c r="F765" t="inlineStr">
        <is>
          <t>No</t>
        </is>
      </c>
      <c r="G765" t="inlineStr">
        <is>
          <t>1</t>
        </is>
      </c>
      <c r="H765" t="inlineStr">
        <is>
          <t>No</t>
        </is>
      </c>
      <c r="I765" t="inlineStr">
        <is>
          <t>No</t>
        </is>
      </c>
      <c r="J765" t="inlineStr">
        <is>
          <t>0</t>
        </is>
      </c>
      <c r="K765" t="inlineStr">
        <is>
          <t>Stark, Freya.</t>
        </is>
      </c>
      <c r="L765" t="inlineStr">
        <is>
          <t>Los Angeles, CA : J.P. Tarcher ; Boston : Distributed by Houghton Mifflin Co., 1983.</t>
        </is>
      </c>
      <c r="M765" t="inlineStr">
        <is>
          <t>1983</t>
        </is>
      </c>
      <c r="O765" t="inlineStr">
        <is>
          <t>eng</t>
        </is>
      </c>
      <c r="P765" t="inlineStr">
        <is>
          <t>cau</t>
        </is>
      </c>
      <c r="Q765" t="inlineStr">
        <is>
          <t>Library of travel classics</t>
        </is>
      </c>
      <c r="R765" t="inlineStr">
        <is>
          <t xml:space="preserve">DS </t>
        </is>
      </c>
      <c r="S765" t="n">
        <v>5</v>
      </c>
      <c r="T765" t="n">
        <v>5</v>
      </c>
      <c r="U765" t="inlineStr">
        <is>
          <t>2010-08-14</t>
        </is>
      </c>
      <c r="V765" t="inlineStr">
        <is>
          <t>2010-08-14</t>
        </is>
      </c>
      <c r="W765" t="inlineStr">
        <is>
          <t>1990-10-08</t>
        </is>
      </c>
      <c r="X765" t="inlineStr">
        <is>
          <t>1990-10-08</t>
        </is>
      </c>
      <c r="Y765" t="n">
        <v>89</v>
      </c>
      <c r="Z765" t="n">
        <v>86</v>
      </c>
      <c r="AA765" t="n">
        <v>656</v>
      </c>
      <c r="AB765" t="n">
        <v>1</v>
      </c>
      <c r="AC765" t="n">
        <v>3</v>
      </c>
      <c r="AD765" t="n">
        <v>2</v>
      </c>
      <c r="AE765" t="n">
        <v>18</v>
      </c>
      <c r="AF765" t="n">
        <v>0</v>
      </c>
      <c r="AG765" t="n">
        <v>6</v>
      </c>
      <c r="AH765" t="n">
        <v>1</v>
      </c>
      <c r="AI765" t="n">
        <v>6</v>
      </c>
      <c r="AJ765" t="n">
        <v>1</v>
      </c>
      <c r="AK765" t="n">
        <v>10</v>
      </c>
      <c r="AL765" t="n">
        <v>0</v>
      </c>
      <c r="AM765" t="n">
        <v>0</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HYPERLINK("https://creighton-primo.hosted.exlibrisgroup.com/primo-explore/search?tab=default_tab&amp;search_scope=EVERYTHING&amp;vid=01CRU&amp;lang=en_US&amp;offset=0&amp;query=any,contains,991000178619702656","Catalog Record")</f>
        <v/>
      </c>
      <c r="AT765">
        <f>HYPERLINK("http://www.worldcat.org/oclc/9370809","WorldCat Record")</f>
        <v/>
      </c>
      <c r="AU765" t="inlineStr">
        <is>
          <t>1420821:eng</t>
        </is>
      </c>
      <c r="AV765" t="inlineStr">
        <is>
          <t>9370809</t>
        </is>
      </c>
      <c r="AW765" t="inlineStr">
        <is>
          <t>991000178619702656</t>
        </is>
      </c>
      <c r="AX765" t="inlineStr">
        <is>
          <t>991000178619702656</t>
        </is>
      </c>
      <c r="AY765" t="inlineStr">
        <is>
          <t>2267499020002656</t>
        </is>
      </c>
      <c r="AZ765" t="inlineStr">
        <is>
          <t>BOOK</t>
        </is>
      </c>
      <c r="BB765" t="inlineStr">
        <is>
          <t>9780874772616</t>
        </is>
      </c>
      <c r="BC765" t="inlineStr">
        <is>
          <t>32285000335546</t>
        </is>
      </c>
      <c r="BD765" t="inlineStr">
        <is>
          <t>893496002</t>
        </is>
      </c>
    </row>
    <row r="766">
      <c r="A766" t="inlineStr">
        <is>
          <t>No</t>
        </is>
      </c>
      <c r="B766" t="inlineStr">
        <is>
          <t>DS259 .H44</t>
        </is>
      </c>
      <c r="C766" t="inlineStr">
        <is>
          <t>0                      DS 0259000H  44</t>
        </is>
      </c>
      <c r="D766" t="inlineStr">
        <is>
          <t>An ambassador's wife in Iran / Cynthia Helms.</t>
        </is>
      </c>
      <c r="F766" t="inlineStr">
        <is>
          <t>No</t>
        </is>
      </c>
      <c r="G766" t="inlineStr">
        <is>
          <t>1</t>
        </is>
      </c>
      <c r="H766" t="inlineStr">
        <is>
          <t>No</t>
        </is>
      </c>
      <c r="I766" t="inlineStr">
        <is>
          <t>No</t>
        </is>
      </c>
      <c r="J766" t="inlineStr">
        <is>
          <t>0</t>
        </is>
      </c>
      <c r="K766" t="inlineStr">
        <is>
          <t>Helms, Cynthia.</t>
        </is>
      </c>
      <c r="L766" t="inlineStr">
        <is>
          <t>New York : Dodd, Mead, c1981.</t>
        </is>
      </c>
      <c r="M766" t="inlineStr">
        <is>
          <t>1981</t>
        </is>
      </c>
      <c r="O766" t="inlineStr">
        <is>
          <t>eng</t>
        </is>
      </c>
      <c r="P766" t="inlineStr">
        <is>
          <t>nyu</t>
        </is>
      </c>
      <c r="R766" t="inlineStr">
        <is>
          <t xml:space="preserve">DS </t>
        </is>
      </c>
      <c r="S766" t="n">
        <v>3</v>
      </c>
      <c r="T766" t="n">
        <v>3</v>
      </c>
      <c r="U766" t="inlineStr">
        <is>
          <t>2001-02-21</t>
        </is>
      </c>
      <c r="V766" t="inlineStr">
        <is>
          <t>2001-02-21</t>
        </is>
      </c>
      <c r="W766" t="inlineStr">
        <is>
          <t>1990-10-08</t>
        </is>
      </c>
      <c r="X766" t="inlineStr">
        <is>
          <t>1990-10-08</t>
        </is>
      </c>
      <c r="Y766" t="n">
        <v>485</v>
      </c>
      <c r="Z766" t="n">
        <v>448</v>
      </c>
      <c r="AA766" t="n">
        <v>464</v>
      </c>
      <c r="AB766" t="n">
        <v>2</v>
      </c>
      <c r="AC766" t="n">
        <v>2</v>
      </c>
      <c r="AD766" t="n">
        <v>9</v>
      </c>
      <c r="AE766" t="n">
        <v>10</v>
      </c>
      <c r="AF766" t="n">
        <v>4</v>
      </c>
      <c r="AG766" t="n">
        <v>4</v>
      </c>
      <c r="AH766" t="n">
        <v>3</v>
      </c>
      <c r="AI766" t="n">
        <v>4</v>
      </c>
      <c r="AJ766" t="n">
        <v>4</v>
      </c>
      <c r="AK766" t="n">
        <v>4</v>
      </c>
      <c r="AL766" t="n">
        <v>0</v>
      </c>
      <c r="AM766" t="n">
        <v>0</v>
      </c>
      <c r="AN766" t="n">
        <v>0</v>
      </c>
      <c r="AO766" t="n">
        <v>0</v>
      </c>
      <c r="AP766" t="inlineStr">
        <is>
          <t>No</t>
        </is>
      </c>
      <c r="AQ766" t="inlineStr">
        <is>
          <t>Yes</t>
        </is>
      </c>
      <c r="AR766">
        <f>HYPERLINK("http://catalog.hathitrust.org/Record/000086040","HathiTrust Record")</f>
        <v/>
      </c>
      <c r="AS766">
        <f>HYPERLINK("https://creighton-primo.hosted.exlibrisgroup.com/primo-explore/search?tab=default_tab&amp;search_scope=EVERYTHING&amp;vid=01CRU&amp;lang=en_US&amp;offset=0&amp;query=any,contains,991005050309702656","Catalog Record")</f>
        <v/>
      </c>
      <c r="AT766">
        <f>HYPERLINK("http://www.worldcat.org/oclc/6864218","WorldCat Record")</f>
        <v/>
      </c>
      <c r="AU766" t="inlineStr">
        <is>
          <t>4455262:eng</t>
        </is>
      </c>
      <c r="AV766" t="inlineStr">
        <is>
          <t>6864218</t>
        </is>
      </c>
      <c r="AW766" t="inlineStr">
        <is>
          <t>991005050309702656</t>
        </is>
      </c>
      <c r="AX766" t="inlineStr">
        <is>
          <t>991005050309702656</t>
        </is>
      </c>
      <c r="AY766" t="inlineStr">
        <is>
          <t>2269697470002656</t>
        </is>
      </c>
      <c r="AZ766" t="inlineStr">
        <is>
          <t>BOOK</t>
        </is>
      </c>
      <c r="BB766" t="inlineStr">
        <is>
          <t>9780396078814</t>
        </is>
      </c>
      <c r="BC766" t="inlineStr">
        <is>
          <t>32285000335553</t>
        </is>
      </c>
      <c r="BD766" t="inlineStr">
        <is>
          <t>893236196</t>
        </is>
      </c>
    </row>
    <row r="767">
      <c r="A767" t="inlineStr">
        <is>
          <t>No</t>
        </is>
      </c>
      <c r="B767" t="inlineStr">
        <is>
          <t>DS259 .W64</t>
        </is>
      </c>
      <c r="C767" t="inlineStr">
        <is>
          <t>0                      DS 0259000W  64</t>
        </is>
      </c>
      <c r="D767" t="inlineStr">
        <is>
          <t>Persia/Iran : a pictorial treasury of twenty-five centuries / [by] A.E. Woolley.</t>
        </is>
      </c>
      <c r="F767" t="inlineStr">
        <is>
          <t>No</t>
        </is>
      </c>
      <c r="G767" t="inlineStr">
        <is>
          <t>1</t>
        </is>
      </c>
      <c r="H767" t="inlineStr">
        <is>
          <t>No</t>
        </is>
      </c>
      <c r="I767" t="inlineStr">
        <is>
          <t>No</t>
        </is>
      </c>
      <c r="J767" t="inlineStr">
        <is>
          <t>0</t>
        </is>
      </c>
      <c r="K767" t="inlineStr">
        <is>
          <t>Woolley, A. E. (Al E.), 1926-1997.</t>
        </is>
      </c>
      <c r="L767" t="inlineStr">
        <is>
          <t>Philadelphia : Chilton Books, [1965]</t>
        </is>
      </c>
      <c r="M767" t="inlineStr">
        <is>
          <t>1965</t>
        </is>
      </c>
      <c r="O767" t="inlineStr">
        <is>
          <t>eng</t>
        </is>
      </c>
      <c r="P767" t="inlineStr">
        <is>
          <t>pau</t>
        </is>
      </c>
      <c r="R767" t="inlineStr">
        <is>
          <t xml:space="preserve">DS </t>
        </is>
      </c>
      <c r="S767" t="n">
        <v>3</v>
      </c>
      <c r="T767" t="n">
        <v>3</v>
      </c>
      <c r="U767" t="inlineStr">
        <is>
          <t>2005-08-16</t>
        </is>
      </c>
      <c r="V767" t="inlineStr">
        <is>
          <t>2005-08-16</t>
        </is>
      </c>
      <c r="W767" t="inlineStr">
        <is>
          <t>1990-05-18</t>
        </is>
      </c>
      <c r="X767" t="inlineStr">
        <is>
          <t>1990-05-18</t>
        </is>
      </c>
      <c r="Y767" t="n">
        <v>170</v>
      </c>
      <c r="Z767" t="n">
        <v>160</v>
      </c>
      <c r="AA767" t="n">
        <v>188</v>
      </c>
      <c r="AB767" t="n">
        <v>1</v>
      </c>
      <c r="AC767" t="n">
        <v>1</v>
      </c>
      <c r="AD767" t="n">
        <v>2</v>
      </c>
      <c r="AE767" t="n">
        <v>3</v>
      </c>
      <c r="AF767" t="n">
        <v>2</v>
      </c>
      <c r="AG767" t="n">
        <v>2</v>
      </c>
      <c r="AH767" t="n">
        <v>0</v>
      </c>
      <c r="AI767" t="n">
        <v>1</v>
      </c>
      <c r="AJ767" t="n">
        <v>0</v>
      </c>
      <c r="AK767" t="n">
        <v>1</v>
      </c>
      <c r="AL767" t="n">
        <v>0</v>
      </c>
      <c r="AM767" t="n">
        <v>0</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HYPERLINK("https://creighton-primo.hosted.exlibrisgroup.com/primo-explore/search?tab=default_tab&amp;search_scope=EVERYTHING&amp;vid=01CRU&amp;lang=en_US&amp;offset=0&amp;query=any,contains,991003094969702656","Catalog Record")</f>
        <v/>
      </c>
      <c r="AT767">
        <f>HYPERLINK("http://www.worldcat.org/oclc/644766","WorldCat Record")</f>
        <v/>
      </c>
      <c r="AU767" t="inlineStr">
        <is>
          <t>1807845:eng</t>
        </is>
      </c>
      <c r="AV767" t="inlineStr">
        <is>
          <t>644766</t>
        </is>
      </c>
      <c r="AW767" t="inlineStr">
        <is>
          <t>991003094969702656</t>
        </is>
      </c>
      <c r="AX767" t="inlineStr">
        <is>
          <t>991003094969702656</t>
        </is>
      </c>
      <c r="AY767" t="inlineStr">
        <is>
          <t>2261284040002656</t>
        </is>
      </c>
      <c r="AZ767" t="inlineStr">
        <is>
          <t>BOOK</t>
        </is>
      </c>
      <c r="BC767" t="inlineStr">
        <is>
          <t>32285000155043</t>
        </is>
      </c>
      <c r="BD767" t="inlineStr">
        <is>
          <t>893336136</t>
        </is>
      </c>
    </row>
    <row r="768">
      <c r="A768" t="inlineStr">
        <is>
          <t>No</t>
        </is>
      </c>
      <c r="B768" t="inlineStr">
        <is>
          <t>DS259.2 .D43 2005</t>
        </is>
      </c>
      <c r="C768" t="inlineStr">
        <is>
          <t>0                      DS 0259200D  43          2005</t>
        </is>
      </c>
      <c r="D768" t="inlineStr">
        <is>
          <t>In the rose garden of the martyrs : a memoir of Iran / Christopher de Bellaigue.</t>
        </is>
      </c>
      <c r="F768" t="inlineStr">
        <is>
          <t>No</t>
        </is>
      </c>
      <c r="G768" t="inlineStr">
        <is>
          <t>1</t>
        </is>
      </c>
      <c r="H768" t="inlineStr">
        <is>
          <t>No</t>
        </is>
      </c>
      <c r="I768" t="inlineStr">
        <is>
          <t>No</t>
        </is>
      </c>
      <c r="J768" t="inlineStr">
        <is>
          <t>0</t>
        </is>
      </c>
      <c r="K768" t="inlineStr">
        <is>
          <t>De Bellaigue, Christopher, 1971-</t>
        </is>
      </c>
      <c r="L768" t="inlineStr">
        <is>
          <t>New York : HarperCollins, 2005.</t>
        </is>
      </c>
      <c r="M768" t="inlineStr">
        <is>
          <t>2005</t>
        </is>
      </c>
      <c r="N768" t="inlineStr">
        <is>
          <t>1st U.S. ed.</t>
        </is>
      </c>
      <c r="O768" t="inlineStr">
        <is>
          <t>eng</t>
        </is>
      </c>
      <c r="P768" t="inlineStr">
        <is>
          <t>nyu</t>
        </is>
      </c>
      <c r="R768" t="inlineStr">
        <is>
          <t xml:space="preserve">DS </t>
        </is>
      </c>
      <c r="S768" t="n">
        <v>4</v>
      </c>
      <c r="T768" t="n">
        <v>4</v>
      </c>
      <c r="U768" t="inlineStr">
        <is>
          <t>2005-12-07</t>
        </is>
      </c>
      <c r="V768" t="inlineStr">
        <is>
          <t>2005-12-07</t>
        </is>
      </c>
      <c r="W768" t="inlineStr">
        <is>
          <t>2005-04-12</t>
        </is>
      </c>
      <c r="X768" t="inlineStr">
        <is>
          <t>2005-04-12</t>
        </is>
      </c>
      <c r="Y768" t="n">
        <v>780</v>
      </c>
      <c r="Z768" t="n">
        <v>727</v>
      </c>
      <c r="AA768" t="n">
        <v>800</v>
      </c>
      <c r="AB768" t="n">
        <v>5</v>
      </c>
      <c r="AC768" t="n">
        <v>5</v>
      </c>
      <c r="AD768" t="n">
        <v>16</v>
      </c>
      <c r="AE768" t="n">
        <v>20</v>
      </c>
      <c r="AF768" t="n">
        <v>8</v>
      </c>
      <c r="AG768" t="n">
        <v>9</v>
      </c>
      <c r="AH768" t="n">
        <v>3</v>
      </c>
      <c r="AI768" t="n">
        <v>4</v>
      </c>
      <c r="AJ768" t="n">
        <v>8</v>
      </c>
      <c r="AK768" t="n">
        <v>11</v>
      </c>
      <c r="AL768" t="n">
        <v>2</v>
      </c>
      <c r="AM768" t="n">
        <v>2</v>
      </c>
      <c r="AN768" t="n">
        <v>0</v>
      </c>
      <c r="AO768" t="n">
        <v>0</v>
      </c>
      <c r="AP768" t="inlineStr">
        <is>
          <t>No</t>
        </is>
      </c>
      <c r="AQ768" t="inlineStr">
        <is>
          <t>No</t>
        </is>
      </c>
      <c r="AS768">
        <f>HYPERLINK("https://creighton-primo.hosted.exlibrisgroup.com/primo-explore/search?tab=default_tab&amp;search_scope=EVERYTHING&amp;vid=01CRU&amp;lang=en_US&amp;offset=0&amp;query=any,contains,991004482309702656","Catalog Record")</f>
        <v/>
      </c>
      <c r="AT768">
        <f>HYPERLINK("http://www.worldcat.org/oclc/56809552","WorldCat Record")</f>
        <v/>
      </c>
      <c r="AU768" t="inlineStr">
        <is>
          <t>866849515:eng</t>
        </is>
      </c>
      <c r="AV768" t="inlineStr">
        <is>
          <t>56809552</t>
        </is>
      </c>
      <c r="AW768" t="inlineStr">
        <is>
          <t>991004482309702656</t>
        </is>
      </c>
      <c r="AX768" t="inlineStr">
        <is>
          <t>991004482309702656</t>
        </is>
      </c>
      <c r="AY768" t="inlineStr">
        <is>
          <t>2258909980002656</t>
        </is>
      </c>
      <c r="AZ768" t="inlineStr">
        <is>
          <t>BOOK</t>
        </is>
      </c>
      <c r="BB768" t="inlineStr">
        <is>
          <t>9780066209807</t>
        </is>
      </c>
      <c r="BC768" t="inlineStr">
        <is>
          <t>32285005030019</t>
        </is>
      </c>
      <c r="BD768" t="inlineStr">
        <is>
          <t>893350060</t>
        </is>
      </c>
    </row>
    <row r="769">
      <c r="A769" t="inlineStr">
        <is>
          <t>No</t>
        </is>
      </c>
      <c r="B769" t="inlineStr">
        <is>
          <t>DS259.2 .S53 1997</t>
        </is>
      </c>
      <c r="C769" t="inlineStr">
        <is>
          <t>0                      DS 0259200S  53          1997</t>
        </is>
      </c>
      <c r="D769" t="inlineStr">
        <is>
          <t>Know thine enemy : a spy's journey into revolutionary Iran / Edward Shirley.</t>
        </is>
      </c>
      <c r="F769" t="inlineStr">
        <is>
          <t>No</t>
        </is>
      </c>
      <c r="G769" t="inlineStr">
        <is>
          <t>1</t>
        </is>
      </c>
      <c r="H769" t="inlineStr">
        <is>
          <t>No</t>
        </is>
      </c>
      <c r="I769" t="inlineStr">
        <is>
          <t>No</t>
        </is>
      </c>
      <c r="J769" t="inlineStr">
        <is>
          <t>0</t>
        </is>
      </c>
      <c r="K769" t="inlineStr">
        <is>
          <t>Shirley, Edward, 1949-</t>
        </is>
      </c>
      <c r="L769" t="inlineStr">
        <is>
          <t>New York : Farrar, Straus, and Giroux, 1997.</t>
        </is>
      </c>
      <c r="M769" t="inlineStr">
        <is>
          <t>1997</t>
        </is>
      </c>
      <c r="N769" t="inlineStr">
        <is>
          <t>1st ed.</t>
        </is>
      </c>
      <c r="O769" t="inlineStr">
        <is>
          <t>eng</t>
        </is>
      </c>
      <c r="P769" t="inlineStr">
        <is>
          <t>nyu</t>
        </is>
      </c>
      <c r="R769" t="inlineStr">
        <is>
          <t xml:space="preserve">DS </t>
        </is>
      </c>
      <c r="S769" t="n">
        <v>1</v>
      </c>
      <c r="T769" t="n">
        <v>1</v>
      </c>
      <c r="U769" t="inlineStr">
        <is>
          <t>2007-05-09</t>
        </is>
      </c>
      <c r="V769" t="inlineStr">
        <is>
          <t>2007-05-09</t>
        </is>
      </c>
      <c r="W769" t="inlineStr">
        <is>
          <t>1997-07-15</t>
        </is>
      </c>
      <c r="X769" t="inlineStr">
        <is>
          <t>1997-07-15</t>
        </is>
      </c>
      <c r="Y769" t="n">
        <v>419</v>
      </c>
      <c r="Z769" t="n">
        <v>389</v>
      </c>
      <c r="AA769" t="n">
        <v>432</v>
      </c>
      <c r="AB769" t="n">
        <v>3</v>
      </c>
      <c r="AC769" t="n">
        <v>3</v>
      </c>
      <c r="AD769" t="n">
        <v>10</v>
      </c>
      <c r="AE769" t="n">
        <v>11</v>
      </c>
      <c r="AF769" t="n">
        <v>1</v>
      </c>
      <c r="AG769" t="n">
        <v>2</v>
      </c>
      <c r="AH769" t="n">
        <v>3</v>
      </c>
      <c r="AI769" t="n">
        <v>3</v>
      </c>
      <c r="AJ769" t="n">
        <v>6</v>
      </c>
      <c r="AK769" t="n">
        <v>7</v>
      </c>
      <c r="AL769" t="n">
        <v>2</v>
      </c>
      <c r="AM769" t="n">
        <v>2</v>
      </c>
      <c r="AN769" t="n">
        <v>0</v>
      </c>
      <c r="AO769" t="n">
        <v>0</v>
      </c>
      <c r="AP769" t="inlineStr">
        <is>
          <t>No</t>
        </is>
      </c>
      <c r="AQ769" t="inlineStr">
        <is>
          <t>No</t>
        </is>
      </c>
      <c r="AS769">
        <f>HYPERLINK("https://creighton-primo.hosted.exlibrisgroup.com/primo-explore/search?tab=default_tab&amp;search_scope=EVERYTHING&amp;vid=01CRU&amp;lang=en_US&amp;offset=0&amp;query=any,contains,991002778609702656","Catalog Record")</f>
        <v/>
      </c>
      <c r="AT769">
        <f>HYPERLINK("http://www.worldcat.org/oclc/36485769","WorldCat Record")</f>
        <v/>
      </c>
      <c r="AU769" t="inlineStr">
        <is>
          <t>42243303:eng</t>
        </is>
      </c>
      <c r="AV769" t="inlineStr">
        <is>
          <t>36485769</t>
        </is>
      </c>
      <c r="AW769" t="inlineStr">
        <is>
          <t>991002778609702656</t>
        </is>
      </c>
      <c r="AX769" t="inlineStr">
        <is>
          <t>991002778609702656</t>
        </is>
      </c>
      <c r="AY769" t="inlineStr">
        <is>
          <t>2265267840002656</t>
        </is>
      </c>
      <c r="AZ769" t="inlineStr">
        <is>
          <t>BOOK</t>
        </is>
      </c>
      <c r="BB769" t="inlineStr">
        <is>
          <t>9780374182199</t>
        </is>
      </c>
      <c r="BC769" t="inlineStr">
        <is>
          <t>32285002882263</t>
        </is>
      </c>
      <c r="BD769" t="inlineStr">
        <is>
          <t>893892990</t>
        </is>
      </c>
    </row>
    <row r="770">
      <c r="A770" t="inlineStr">
        <is>
          <t>No</t>
        </is>
      </c>
      <c r="B770" t="inlineStr">
        <is>
          <t>DS259.2 .W43 2000</t>
        </is>
      </c>
      <c r="C770" t="inlineStr">
        <is>
          <t>0                      DS 0259200W  43          2000</t>
        </is>
      </c>
      <c r="D770" t="inlineStr">
        <is>
          <t>Honeymoon in purdah : an Iranian journey / Alison Wearing.</t>
        </is>
      </c>
      <c r="F770" t="inlineStr">
        <is>
          <t>No</t>
        </is>
      </c>
      <c r="G770" t="inlineStr">
        <is>
          <t>1</t>
        </is>
      </c>
      <c r="H770" t="inlineStr">
        <is>
          <t>No</t>
        </is>
      </c>
      <c r="I770" t="inlineStr">
        <is>
          <t>No</t>
        </is>
      </c>
      <c r="J770" t="inlineStr">
        <is>
          <t>0</t>
        </is>
      </c>
      <c r="K770" t="inlineStr">
        <is>
          <t>Wearing, Alison, 1967-</t>
        </is>
      </c>
      <c r="L770" t="inlineStr">
        <is>
          <t>New York : Picador USA, 2000.</t>
        </is>
      </c>
      <c r="M770" t="inlineStr">
        <is>
          <t>2000</t>
        </is>
      </c>
      <c r="N770" t="inlineStr">
        <is>
          <t>1st Picador USA ed.</t>
        </is>
      </c>
      <c r="O770" t="inlineStr">
        <is>
          <t>eng</t>
        </is>
      </c>
      <c r="P770" t="inlineStr">
        <is>
          <t>nyu</t>
        </is>
      </c>
      <c r="R770" t="inlineStr">
        <is>
          <t xml:space="preserve">DS </t>
        </is>
      </c>
      <c r="S770" t="n">
        <v>1</v>
      </c>
      <c r="T770" t="n">
        <v>1</v>
      </c>
      <c r="U770" t="inlineStr">
        <is>
          <t>2002-12-13</t>
        </is>
      </c>
      <c r="V770" t="inlineStr">
        <is>
          <t>2002-12-13</t>
        </is>
      </c>
      <c r="W770" t="inlineStr">
        <is>
          <t>2001-01-04</t>
        </is>
      </c>
      <c r="X770" t="inlineStr">
        <is>
          <t>2001-01-04</t>
        </is>
      </c>
      <c r="Y770" t="n">
        <v>378</v>
      </c>
      <c r="Z770" t="n">
        <v>359</v>
      </c>
      <c r="AA770" t="n">
        <v>427</v>
      </c>
      <c r="AB770" t="n">
        <v>3</v>
      </c>
      <c r="AC770" t="n">
        <v>4</v>
      </c>
      <c r="AD770" t="n">
        <v>4</v>
      </c>
      <c r="AE770" t="n">
        <v>5</v>
      </c>
      <c r="AF770" t="n">
        <v>1</v>
      </c>
      <c r="AG770" t="n">
        <v>2</v>
      </c>
      <c r="AH770" t="n">
        <v>1</v>
      </c>
      <c r="AI770" t="n">
        <v>1</v>
      </c>
      <c r="AJ770" t="n">
        <v>3</v>
      </c>
      <c r="AK770" t="n">
        <v>3</v>
      </c>
      <c r="AL770" t="n">
        <v>1</v>
      </c>
      <c r="AM770" t="n">
        <v>1</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HYPERLINK("https://creighton-primo.hosted.exlibrisgroup.com/primo-explore/search?tab=default_tab&amp;search_scope=EVERYTHING&amp;vid=01CRU&amp;lang=en_US&amp;offset=0&amp;query=any,contains,991003362479702656","Catalog Record")</f>
        <v/>
      </c>
      <c r="AT770">
        <f>HYPERLINK("http://www.worldcat.org/oclc/45015399","WorldCat Record")</f>
        <v/>
      </c>
      <c r="AU770" t="inlineStr">
        <is>
          <t>44153:eng</t>
        </is>
      </c>
      <c r="AV770" t="inlineStr">
        <is>
          <t>45015399</t>
        </is>
      </c>
      <c r="AW770" t="inlineStr">
        <is>
          <t>991003362479702656</t>
        </is>
      </c>
      <c r="AX770" t="inlineStr">
        <is>
          <t>991003362479702656</t>
        </is>
      </c>
      <c r="AY770" t="inlineStr">
        <is>
          <t>2263417400002656</t>
        </is>
      </c>
      <c r="AZ770" t="inlineStr">
        <is>
          <t>BOOK</t>
        </is>
      </c>
      <c r="BB770" t="inlineStr">
        <is>
          <t>9780312261818</t>
        </is>
      </c>
      <c r="BC770" t="inlineStr">
        <is>
          <t>32285004279948</t>
        </is>
      </c>
      <c r="BD770" t="inlineStr">
        <is>
          <t>893705158</t>
        </is>
      </c>
    </row>
    <row r="771">
      <c r="A771" t="inlineStr">
        <is>
          <t>No</t>
        </is>
      </c>
      <c r="B771" t="inlineStr">
        <is>
          <t>DS26 .P65 2005</t>
        </is>
      </c>
      <c r="C771" t="inlineStr">
        <is>
          <t>0                      DS 0026000P  65          2005</t>
        </is>
      </c>
      <c r="D771" t="inlineStr">
        <is>
          <t>Sons of the conquerors : the rise of the Turkic world / Hugh Pope.</t>
        </is>
      </c>
      <c r="F771" t="inlineStr">
        <is>
          <t>No</t>
        </is>
      </c>
      <c r="G771" t="inlineStr">
        <is>
          <t>1</t>
        </is>
      </c>
      <c r="H771" t="inlineStr">
        <is>
          <t>No</t>
        </is>
      </c>
      <c r="I771" t="inlineStr">
        <is>
          <t>No</t>
        </is>
      </c>
      <c r="J771" t="inlineStr">
        <is>
          <t>0</t>
        </is>
      </c>
      <c r="K771" t="inlineStr">
        <is>
          <t>Pope, Hugh.</t>
        </is>
      </c>
      <c r="L771" t="inlineStr">
        <is>
          <t>New York : Overlook Duckworth, 2005.</t>
        </is>
      </c>
      <c r="M771" t="inlineStr">
        <is>
          <t>2005</t>
        </is>
      </c>
      <c r="O771" t="inlineStr">
        <is>
          <t>eng</t>
        </is>
      </c>
      <c r="P771" t="inlineStr">
        <is>
          <t>nyu</t>
        </is>
      </c>
      <c r="R771" t="inlineStr">
        <is>
          <t xml:space="preserve">DS </t>
        </is>
      </c>
      <c r="S771" t="n">
        <v>1</v>
      </c>
      <c r="T771" t="n">
        <v>1</v>
      </c>
      <c r="U771" t="inlineStr">
        <is>
          <t>2005-07-07</t>
        </is>
      </c>
      <c r="V771" t="inlineStr">
        <is>
          <t>2005-07-07</t>
        </is>
      </c>
      <c r="W771" t="inlineStr">
        <is>
          <t>2005-07-07</t>
        </is>
      </c>
      <c r="X771" t="inlineStr">
        <is>
          <t>2005-07-07</t>
        </is>
      </c>
      <c r="Y771" t="n">
        <v>487</v>
      </c>
      <c r="Z771" t="n">
        <v>402</v>
      </c>
      <c r="AA771" t="n">
        <v>422</v>
      </c>
      <c r="AB771" t="n">
        <v>3</v>
      </c>
      <c r="AC771" t="n">
        <v>4</v>
      </c>
      <c r="AD771" t="n">
        <v>7</v>
      </c>
      <c r="AE771" t="n">
        <v>7</v>
      </c>
      <c r="AF771" t="n">
        <v>1</v>
      </c>
      <c r="AG771" t="n">
        <v>1</v>
      </c>
      <c r="AH771" t="n">
        <v>2</v>
      </c>
      <c r="AI771" t="n">
        <v>2</v>
      </c>
      <c r="AJ771" t="n">
        <v>4</v>
      </c>
      <c r="AK771" t="n">
        <v>4</v>
      </c>
      <c r="AL771" t="n">
        <v>2</v>
      </c>
      <c r="AM771" t="n">
        <v>2</v>
      </c>
      <c r="AN771" t="n">
        <v>0</v>
      </c>
      <c r="AO771" t="n">
        <v>0</v>
      </c>
      <c r="AP771" t="inlineStr">
        <is>
          <t>No</t>
        </is>
      </c>
      <c r="AQ771" t="inlineStr">
        <is>
          <t>Yes</t>
        </is>
      </c>
      <c r="AR771">
        <f>HYPERLINK("http://catalog.hathitrust.org/Record/005029246","HathiTrust Record")</f>
        <v/>
      </c>
      <c r="AS771">
        <f>HYPERLINK("https://creighton-primo.hosted.exlibrisgroup.com/primo-explore/search?tab=default_tab&amp;search_scope=EVERYTHING&amp;vid=01CRU&amp;lang=en_US&amp;offset=0&amp;query=any,contains,991004581979702656","Catalog Record")</f>
        <v/>
      </c>
      <c r="AT771">
        <f>HYPERLINK("http://www.worldcat.org/oclc/57406224","WorldCat Record")</f>
        <v/>
      </c>
      <c r="AU771" t="inlineStr">
        <is>
          <t>871840319:eng</t>
        </is>
      </c>
      <c r="AV771" t="inlineStr">
        <is>
          <t>57406224</t>
        </is>
      </c>
      <c r="AW771" t="inlineStr">
        <is>
          <t>991004581979702656</t>
        </is>
      </c>
      <c r="AX771" t="inlineStr">
        <is>
          <t>991004581979702656</t>
        </is>
      </c>
      <c r="AY771" t="inlineStr">
        <is>
          <t>2264981780002656</t>
        </is>
      </c>
      <c r="AZ771" t="inlineStr">
        <is>
          <t>BOOK</t>
        </is>
      </c>
      <c r="BB771" t="inlineStr">
        <is>
          <t>9781585676415</t>
        </is>
      </c>
      <c r="BC771" t="inlineStr">
        <is>
          <t>32285005095376</t>
        </is>
      </c>
      <c r="BD771" t="inlineStr">
        <is>
          <t>893687890</t>
        </is>
      </c>
    </row>
    <row r="772">
      <c r="A772" t="inlineStr">
        <is>
          <t>No</t>
        </is>
      </c>
      <c r="B772" t="inlineStr">
        <is>
          <t>DS261 .H852</t>
        </is>
      </c>
      <c r="C772" t="inlineStr">
        <is>
          <t>0                      DS 0261000H  852</t>
        </is>
      </c>
      <c r="D772" t="inlineStr">
        <is>
          <t>Persia. English translation by H. S. B. Harrison.</t>
        </is>
      </c>
      <c r="E772" t="inlineStr">
        <is>
          <t>V.1</t>
        </is>
      </c>
      <c r="F772" t="inlineStr">
        <is>
          <t>Yes</t>
        </is>
      </c>
      <c r="G772" t="inlineStr">
        <is>
          <t>1</t>
        </is>
      </c>
      <c r="H772" t="inlineStr">
        <is>
          <t>No</t>
        </is>
      </c>
      <c r="I772" t="inlineStr">
        <is>
          <t>No</t>
        </is>
      </c>
      <c r="J772" t="inlineStr">
        <is>
          <t>0</t>
        </is>
      </c>
      <c r="K772" t="inlineStr">
        <is>
          <t>Huot, Jean-Louis.</t>
        </is>
      </c>
      <c r="L772" t="inlineStr">
        <is>
          <t>Geneva, Nagel Publishers [1965-67]</t>
        </is>
      </c>
      <c r="M772" t="inlineStr">
        <is>
          <t>1965</t>
        </is>
      </c>
      <c r="O772" t="inlineStr">
        <is>
          <t>eng</t>
        </is>
      </c>
      <c r="P772" t="inlineStr">
        <is>
          <t xml:space="preserve">xx </t>
        </is>
      </c>
      <c r="Q772" t="inlineStr">
        <is>
          <t>Archaeologia mundi</t>
        </is>
      </c>
      <c r="R772" t="inlineStr">
        <is>
          <t xml:space="preserve">DS </t>
        </is>
      </c>
      <c r="S772" t="n">
        <v>3</v>
      </c>
      <c r="T772" t="n">
        <v>4</v>
      </c>
      <c r="U772" t="inlineStr">
        <is>
          <t>2005-08-16</t>
        </is>
      </c>
      <c r="V772" t="inlineStr">
        <is>
          <t>2005-08-16</t>
        </is>
      </c>
      <c r="W772" t="inlineStr">
        <is>
          <t>1996-08-09</t>
        </is>
      </c>
      <c r="X772" t="inlineStr">
        <is>
          <t>1996-08-09</t>
        </is>
      </c>
      <c r="Y772" t="n">
        <v>37</v>
      </c>
      <c r="Z772" t="n">
        <v>31</v>
      </c>
      <c r="AA772" t="n">
        <v>31</v>
      </c>
      <c r="AB772" t="n">
        <v>1</v>
      </c>
      <c r="AC772" t="n">
        <v>1</v>
      </c>
      <c r="AD772" t="n">
        <v>0</v>
      </c>
      <c r="AE772" t="n">
        <v>0</v>
      </c>
      <c r="AF772" t="n">
        <v>0</v>
      </c>
      <c r="AG772" t="n">
        <v>0</v>
      </c>
      <c r="AH772" t="n">
        <v>0</v>
      </c>
      <c r="AI772" t="n">
        <v>0</v>
      </c>
      <c r="AJ772" t="n">
        <v>0</v>
      </c>
      <c r="AK772" t="n">
        <v>0</v>
      </c>
      <c r="AL772" t="n">
        <v>0</v>
      </c>
      <c r="AM772" t="n">
        <v>0</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HYPERLINK("https://creighton-primo.hosted.exlibrisgroup.com/primo-explore/search?tab=default_tab&amp;search_scope=EVERYTHING&amp;vid=01CRU&amp;lang=en_US&amp;offset=0&amp;query=any,contains,991003648809702656","Catalog Record")</f>
        <v/>
      </c>
      <c r="AT772">
        <f>HYPERLINK("http://www.worldcat.org/oclc/1251968","WorldCat Record")</f>
        <v/>
      </c>
      <c r="AU772" t="inlineStr">
        <is>
          <t>5608965711:eng</t>
        </is>
      </c>
      <c r="AV772" t="inlineStr">
        <is>
          <t>1251968</t>
        </is>
      </c>
      <c r="AW772" t="inlineStr">
        <is>
          <t>991003648809702656</t>
        </is>
      </c>
      <c r="AX772" t="inlineStr">
        <is>
          <t>991003648809702656</t>
        </is>
      </c>
      <c r="AY772" t="inlineStr">
        <is>
          <t>2260700700002656</t>
        </is>
      </c>
      <c r="AZ772" t="inlineStr">
        <is>
          <t>BOOK</t>
        </is>
      </c>
      <c r="BC772" t="inlineStr">
        <is>
          <t>32285002272713</t>
        </is>
      </c>
      <c r="BD772" t="inlineStr">
        <is>
          <t>893535562</t>
        </is>
      </c>
    </row>
    <row r="773">
      <c r="A773" t="inlineStr">
        <is>
          <t>No</t>
        </is>
      </c>
      <c r="B773" t="inlineStr">
        <is>
          <t>DS261 .H852</t>
        </is>
      </c>
      <c r="C773" t="inlineStr">
        <is>
          <t>0                      DS 0261000H  852</t>
        </is>
      </c>
      <c r="D773" t="inlineStr">
        <is>
          <t>Persia. English translation by H. S. B. Harrison.</t>
        </is>
      </c>
      <c r="E773" t="inlineStr">
        <is>
          <t>V.2</t>
        </is>
      </c>
      <c r="F773" t="inlineStr">
        <is>
          <t>Yes</t>
        </is>
      </c>
      <c r="G773" t="inlineStr">
        <is>
          <t>1</t>
        </is>
      </c>
      <c r="H773" t="inlineStr">
        <is>
          <t>No</t>
        </is>
      </c>
      <c r="I773" t="inlineStr">
        <is>
          <t>No</t>
        </is>
      </c>
      <c r="J773" t="inlineStr">
        <is>
          <t>0</t>
        </is>
      </c>
      <c r="K773" t="inlineStr">
        <is>
          <t>Huot, Jean-Louis.</t>
        </is>
      </c>
      <c r="L773" t="inlineStr">
        <is>
          <t>Geneva, Nagel Publishers [1965-67]</t>
        </is>
      </c>
      <c r="M773" t="inlineStr">
        <is>
          <t>1965</t>
        </is>
      </c>
      <c r="O773" t="inlineStr">
        <is>
          <t>eng</t>
        </is>
      </c>
      <c r="P773" t="inlineStr">
        <is>
          <t xml:space="preserve">xx </t>
        </is>
      </c>
      <c r="Q773" t="inlineStr">
        <is>
          <t>Archaeologia mundi</t>
        </is>
      </c>
      <c r="R773" t="inlineStr">
        <is>
          <t xml:space="preserve">DS </t>
        </is>
      </c>
      <c r="S773" t="n">
        <v>1</v>
      </c>
      <c r="T773" t="n">
        <v>4</v>
      </c>
      <c r="U773" t="inlineStr">
        <is>
          <t>2005-08-16</t>
        </is>
      </c>
      <c r="V773" t="inlineStr">
        <is>
          <t>2005-08-16</t>
        </is>
      </c>
      <c r="W773" t="inlineStr">
        <is>
          <t>1996-08-09</t>
        </is>
      </c>
      <c r="X773" t="inlineStr">
        <is>
          <t>1996-08-09</t>
        </is>
      </c>
      <c r="Y773" t="n">
        <v>37</v>
      </c>
      <c r="Z773" t="n">
        <v>31</v>
      </c>
      <c r="AA773" t="n">
        <v>31</v>
      </c>
      <c r="AB773" t="n">
        <v>1</v>
      </c>
      <c r="AC773" t="n">
        <v>1</v>
      </c>
      <c r="AD773" t="n">
        <v>0</v>
      </c>
      <c r="AE773" t="n">
        <v>0</v>
      </c>
      <c r="AF773" t="n">
        <v>0</v>
      </c>
      <c r="AG773" t="n">
        <v>0</v>
      </c>
      <c r="AH773" t="n">
        <v>0</v>
      </c>
      <c r="AI773" t="n">
        <v>0</v>
      </c>
      <c r="AJ773" t="n">
        <v>0</v>
      </c>
      <c r="AK773" t="n">
        <v>0</v>
      </c>
      <c r="AL773" t="n">
        <v>0</v>
      </c>
      <c r="AM773" t="n">
        <v>0</v>
      </c>
      <c r="AN773" t="n">
        <v>0</v>
      </c>
      <c r="AO773" t="n">
        <v>0</v>
      </c>
      <c r="AP773" t="inlineStr">
        <is>
          <t>No</t>
        </is>
      </c>
      <c r="AQ773" t="inlineStr">
        <is>
          <t>No</t>
        </is>
      </c>
      <c r="AS773">
        <f>HYPERLINK("https://creighton-primo.hosted.exlibrisgroup.com/primo-explore/search?tab=default_tab&amp;search_scope=EVERYTHING&amp;vid=01CRU&amp;lang=en_US&amp;offset=0&amp;query=any,contains,991003648809702656","Catalog Record")</f>
        <v/>
      </c>
      <c r="AT773">
        <f>HYPERLINK("http://www.worldcat.org/oclc/1251968","WorldCat Record")</f>
        <v/>
      </c>
      <c r="AU773" t="inlineStr">
        <is>
          <t>5608965711:eng</t>
        </is>
      </c>
      <c r="AV773" t="inlineStr">
        <is>
          <t>1251968</t>
        </is>
      </c>
      <c r="AW773" t="inlineStr">
        <is>
          <t>991003648809702656</t>
        </is>
      </c>
      <c r="AX773" t="inlineStr">
        <is>
          <t>991003648809702656</t>
        </is>
      </c>
      <c r="AY773" t="inlineStr">
        <is>
          <t>2260700700002656</t>
        </is>
      </c>
      <c r="AZ773" t="inlineStr">
        <is>
          <t>BOOK</t>
        </is>
      </c>
      <c r="BC773" t="inlineStr">
        <is>
          <t>32285002272721</t>
        </is>
      </c>
      <c r="BD773" t="inlineStr">
        <is>
          <t>893505814</t>
        </is>
      </c>
    </row>
    <row r="774">
      <c r="A774" t="inlineStr">
        <is>
          <t>No</t>
        </is>
      </c>
      <c r="B774" t="inlineStr">
        <is>
          <t>DS261 .M38 1973</t>
        </is>
      </c>
      <c r="C774" t="inlineStr">
        <is>
          <t>0                      DS 0261000M  38          1973</t>
        </is>
      </c>
      <c r="D774" t="inlineStr">
        <is>
          <t>Persia: an archaeological guide [by] Sylvia A. Matheson.</t>
        </is>
      </c>
      <c r="F774" t="inlineStr">
        <is>
          <t>No</t>
        </is>
      </c>
      <c r="G774" t="inlineStr">
        <is>
          <t>1</t>
        </is>
      </c>
      <c r="H774" t="inlineStr">
        <is>
          <t>No</t>
        </is>
      </c>
      <c r="I774" t="inlineStr">
        <is>
          <t>No</t>
        </is>
      </c>
      <c r="J774" t="inlineStr">
        <is>
          <t>0</t>
        </is>
      </c>
      <c r="K774" t="inlineStr">
        <is>
          <t>Matheson, Sylvia A.</t>
        </is>
      </c>
      <c r="L774" t="inlineStr">
        <is>
          <t>Park Ridge, N.J., Noyes Press [1973, c1972]</t>
        </is>
      </c>
      <c r="M774" t="inlineStr">
        <is>
          <t>1973</t>
        </is>
      </c>
      <c r="N774" t="inlineStr">
        <is>
          <t>[1st U.S. ed.]</t>
        </is>
      </c>
      <c r="O774" t="inlineStr">
        <is>
          <t>eng</t>
        </is>
      </c>
      <c r="P774" t="inlineStr">
        <is>
          <t>nju</t>
        </is>
      </c>
      <c r="Q774" t="inlineStr">
        <is>
          <t>Archaeological guides</t>
        </is>
      </c>
      <c r="R774" t="inlineStr">
        <is>
          <t xml:space="preserve">DS </t>
        </is>
      </c>
      <c r="S774" t="n">
        <v>7</v>
      </c>
      <c r="T774" t="n">
        <v>7</v>
      </c>
      <c r="U774" t="inlineStr">
        <is>
          <t>2010-11-15</t>
        </is>
      </c>
      <c r="V774" t="inlineStr">
        <is>
          <t>2010-11-15</t>
        </is>
      </c>
      <c r="W774" t="inlineStr">
        <is>
          <t>1997-03-06</t>
        </is>
      </c>
      <c r="X774" t="inlineStr">
        <is>
          <t>1997-03-06</t>
        </is>
      </c>
      <c r="Y774" t="n">
        <v>307</v>
      </c>
      <c r="Z774" t="n">
        <v>278</v>
      </c>
      <c r="AA774" t="n">
        <v>439</v>
      </c>
      <c r="AB774" t="n">
        <v>2</v>
      </c>
      <c r="AC774" t="n">
        <v>3</v>
      </c>
      <c r="AD774" t="n">
        <v>12</v>
      </c>
      <c r="AE774" t="n">
        <v>15</v>
      </c>
      <c r="AF774" t="n">
        <v>5</v>
      </c>
      <c r="AG774" t="n">
        <v>6</v>
      </c>
      <c r="AH774" t="n">
        <v>4</v>
      </c>
      <c r="AI774" t="n">
        <v>4</v>
      </c>
      <c r="AJ774" t="n">
        <v>7</v>
      </c>
      <c r="AK774" t="n">
        <v>8</v>
      </c>
      <c r="AL774" t="n">
        <v>1</v>
      </c>
      <c r="AM774" t="n">
        <v>2</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HYPERLINK("https://creighton-primo.hosted.exlibrisgroup.com/primo-explore/search?tab=default_tab&amp;search_scope=EVERYTHING&amp;vid=01CRU&amp;lang=en_US&amp;offset=0&amp;query=any,contains,991003024929702656","Catalog Record")</f>
        <v/>
      </c>
      <c r="AT774">
        <f>HYPERLINK("http://www.worldcat.org/oclc/589147","WorldCat Record")</f>
        <v/>
      </c>
      <c r="AU774" t="inlineStr">
        <is>
          <t>1765412:eng</t>
        </is>
      </c>
      <c r="AV774" t="inlineStr">
        <is>
          <t>589147</t>
        </is>
      </c>
      <c r="AW774" t="inlineStr">
        <is>
          <t>991003024929702656</t>
        </is>
      </c>
      <c r="AX774" t="inlineStr">
        <is>
          <t>991003024929702656</t>
        </is>
      </c>
      <c r="AY774" t="inlineStr">
        <is>
          <t>2259321350002656</t>
        </is>
      </c>
      <c r="AZ774" t="inlineStr">
        <is>
          <t>BOOK</t>
        </is>
      </c>
      <c r="BB774" t="inlineStr">
        <is>
          <t>9780815550105</t>
        </is>
      </c>
      <c r="BC774" t="inlineStr">
        <is>
          <t>32285002455342</t>
        </is>
      </c>
      <c r="BD774" t="inlineStr">
        <is>
          <t>893257999</t>
        </is>
      </c>
    </row>
    <row r="775">
      <c r="A775" t="inlineStr">
        <is>
          <t>No</t>
        </is>
      </c>
      <c r="B775" t="inlineStr">
        <is>
          <t>DS266 .D43</t>
        </is>
      </c>
      <c r="C775" t="inlineStr">
        <is>
          <t>0                      DS 0266000D  43</t>
        </is>
      </c>
      <c r="D775" t="inlineStr">
        <is>
          <t>The world of the Persians / texts by J.-A. de Gobineau.</t>
        </is>
      </c>
      <c r="F775" t="inlineStr">
        <is>
          <t>No</t>
        </is>
      </c>
      <c r="G775" t="inlineStr">
        <is>
          <t>1</t>
        </is>
      </c>
      <c r="H775" t="inlineStr">
        <is>
          <t>No</t>
        </is>
      </c>
      <c r="I775" t="inlineStr">
        <is>
          <t>No</t>
        </is>
      </c>
      <c r="J775" t="inlineStr">
        <is>
          <t>0</t>
        </is>
      </c>
      <c r="K775" t="inlineStr">
        <is>
          <t>Gobineau, Arthur, comte de, 1816-1882.</t>
        </is>
      </c>
      <c r="L775" t="inlineStr">
        <is>
          <t>[Genève] : Minerva, [c1971]</t>
        </is>
      </c>
      <c r="M775" t="inlineStr">
        <is>
          <t>1971</t>
        </is>
      </c>
      <c r="O775" t="inlineStr">
        <is>
          <t>eng</t>
        </is>
      </c>
      <c r="P775" t="inlineStr">
        <is>
          <t xml:space="preserve">xx </t>
        </is>
      </c>
      <c r="R775" t="inlineStr">
        <is>
          <t xml:space="preserve">DS </t>
        </is>
      </c>
      <c r="S775" t="n">
        <v>2</v>
      </c>
      <c r="T775" t="n">
        <v>2</v>
      </c>
      <c r="U775" t="inlineStr">
        <is>
          <t>2010-11-15</t>
        </is>
      </c>
      <c r="V775" t="inlineStr">
        <is>
          <t>2010-11-15</t>
        </is>
      </c>
      <c r="W775" t="inlineStr">
        <is>
          <t>1996-08-09</t>
        </is>
      </c>
      <c r="X775" t="inlineStr">
        <is>
          <t>1996-08-09</t>
        </is>
      </c>
      <c r="Y775" t="n">
        <v>387</v>
      </c>
      <c r="Z775" t="n">
        <v>335</v>
      </c>
      <c r="AA775" t="n">
        <v>471</v>
      </c>
      <c r="AB775" t="n">
        <v>3</v>
      </c>
      <c r="AC775" t="n">
        <v>3</v>
      </c>
      <c r="AD775" t="n">
        <v>19</v>
      </c>
      <c r="AE775" t="n">
        <v>20</v>
      </c>
      <c r="AF775" t="n">
        <v>7</v>
      </c>
      <c r="AG775" t="n">
        <v>7</v>
      </c>
      <c r="AH775" t="n">
        <v>7</v>
      </c>
      <c r="AI775" t="n">
        <v>7</v>
      </c>
      <c r="AJ775" t="n">
        <v>9</v>
      </c>
      <c r="AK775" t="n">
        <v>10</v>
      </c>
      <c r="AL775" t="n">
        <v>2</v>
      </c>
      <c r="AM775" t="n">
        <v>2</v>
      </c>
      <c r="AN775" t="n">
        <v>0</v>
      </c>
      <c r="AO775" t="n">
        <v>0</v>
      </c>
      <c r="AP775" t="inlineStr">
        <is>
          <t>No</t>
        </is>
      </c>
      <c r="AQ775" t="inlineStr">
        <is>
          <t>No</t>
        </is>
      </c>
      <c r="AS775">
        <f>HYPERLINK("https://creighton-primo.hosted.exlibrisgroup.com/primo-explore/search?tab=default_tab&amp;search_scope=EVERYTHING&amp;vid=01CRU&amp;lang=en_US&amp;offset=0&amp;query=any,contains,991003232069702656","Catalog Record")</f>
        <v/>
      </c>
      <c r="AT775">
        <f>HYPERLINK("http://www.worldcat.org/oclc/756692","WorldCat Record")</f>
        <v/>
      </c>
      <c r="AU775" t="inlineStr">
        <is>
          <t>1445062:eng</t>
        </is>
      </c>
      <c r="AV775" t="inlineStr">
        <is>
          <t>756692</t>
        </is>
      </c>
      <c r="AW775" t="inlineStr">
        <is>
          <t>991003232069702656</t>
        </is>
      </c>
      <c r="AX775" t="inlineStr">
        <is>
          <t>991003232069702656</t>
        </is>
      </c>
      <c r="AY775" t="inlineStr">
        <is>
          <t>2271309020002656</t>
        </is>
      </c>
      <c r="AZ775" t="inlineStr">
        <is>
          <t>BOOK</t>
        </is>
      </c>
      <c r="BC775" t="inlineStr">
        <is>
          <t>32285002272739</t>
        </is>
      </c>
      <c r="BD775" t="inlineStr">
        <is>
          <t>893441051</t>
        </is>
      </c>
    </row>
    <row r="776">
      <c r="A776" t="inlineStr">
        <is>
          <t>No</t>
        </is>
      </c>
      <c r="B776" t="inlineStr">
        <is>
          <t>DS266 .M484 2004</t>
        </is>
      </c>
      <c r="C776" t="inlineStr">
        <is>
          <t>0                      DS 0266000M  484         2004</t>
        </is>
      </c>
      <c r="D776" t="inlineStr">
        <is>
          <t>Lost wisdom : rethinking modernity in Iran / by Abbas Milani.</t>
        </is>
      </c>
      <c r="F776" t="inlineStr">
        <is>
          <t>No</t>
        </is>
      </c>
      <c r="G776" t="inlineStr">
        <is>
          <t>1</t>
        </is>
      </c>
      <c r="H776" t="inlineStr">
        <is>
          <t>No</t>
        </is>
      </c>
      <c r="I776" t="inlineStr">
        <is>
          <t>No</t>
        </is>
      </c>
      <c r="J776" t="inlineStr">
        <is>
          <t>0</t>
        </is>
      </c>
      <c r="K776" t="inlineStr">
        <is>
          <t>Milani, Abbas.</t>
        </is>
      </c>
      <c r="L776" t="inlineStr">
        <is>
          <t>Washington, D.C. : Mage Publishers, 2004.</t>
        </is>
      </c>
      <c r="M776" t="inlineStr">
        <is>
          <t>2004</t>
        </is>
      </c>
      <c r="N776" t="inlineStr">
        <is>
          <t>1st ed.</t>
        </is>
      </c>
      <c r="O776" t="inlineStr">
        <is>
          <t>eng</t>
        </is>
      </c>
      <c r="P776" t="inlineStr">
        <is>
          <t>dcu</t>
        </is>
      </c>
      <c r="R776" t="inlineStr">
        <is>
          <t xml:space="preserve">DS </t>
        </is>
      </c>
      <c r="S776" t="n">
        <v>2</v>
      </c>
      <c r="T776" t="n">
        <v>2</v>
      </c>
      <c r="U776" t="inlineStr">
        <is>
          <t>2005-04-11</t>
        </is>
      </c>
      <c r="V776" t="inlineStr">
        <is>
          <t>2005-04-11</t>
        </is>
      </c>
      <c r="W776" t="inlineStr">
        <is>
          <t>2005-04-11</t>
        </is>
      </c>
      <c r="X776" t="inlineStr">
        <is>
          <t>2005-04-11</t>
        </is>
      </c>
      <c r="Y776" t="n">
        <v>385</v>
      </c>
      <c r="Z776" t="n">
        <v>335</v>
      </c>
      <c r="AA776" t="n">
        <v>336</v>
      </c>
      <c r="AB776" t="n">
        <v>2</v>
      </c>
      <c r="AC776" t="n">
        <v>2</v>
      </c>
      <c r="AD776" t="n">
        <v>21</v>
      </c>
      <c r="AE776" t="n">
        <v>21</v>
      </c>
      <c r="AF776" t="n">
        <v>10</v>
      </c>
      <c r="AG776" t="n">
        <v>10</v>
      </c>
      <c r="AH776" t="n">
        <v>5</v>
      </c>
      <c r="AI776" t="n">
        <v>5</v>
      </c>
      <c r="AJ776" t="n">
        <v>12</v>
      </c>
      <c r="AK776" t="n">
        <v>12</v>
      </c>
      <c r="AL776" t="n">
        <v>1</v>
      </c>
      <c r="AM776" t="n">
        <v>1</v>
      </c>
      <c r="AN776" t="n">
        <v>0</v>
      </c>
      <c r="AO776" t="n">
        <v>0</v>
      </c>
      <c r="AP776" t="inlineStr">
        <is>
          <t>No</t>
        </is>
      </c>
      <c r="AQ776" t="inlineStr">
        <is>
          <t>Yes</t>
        </is>
      </c>
      <c r="AR776">
        <f>HYPERLINK("http://catalog.hathitrust.org/Record/004957512","HathiTrust Record")</f>
        <v/>
      </c>
      <c r="AS776">
        <f>HYPERLINK("https://creighton-primo.hosted.exlibrisgroup.com/primo-explore/search?tab=default_tab&amp;search_scope=EVERYTHING&amp;vid=01CRU&amp;lang=en_US&amp;offset=0&amp;query=any,contains,991004504099702656","Catalog Record")</f>
        <v/>
      </c>
      <c r="AT776">
        <f>HYPERLINK("http://www.worldcat.org/oclc/53138674","WorldCat Record")</f>
        <v/>
      </c>
      <c r="AU776" t="inlineStr">
        <is>
          <t>249762531:eng</t>
        </is>
      </c>
      <c r="AV776" t="inlineStr">
        <is>
          <t>53138674</t>
        </is>
      </c>
      <c r="AW776" t="inlineStr">
        <is>
          <t>991004504099702656</t>
        </is>
      </c>
      <c r="AX776" t="inlineStr">
        <is>
          <t>991004504099702656</t>
        </is>
      </c>
      <c r="AY776" t="inlineStr">
        <is>
          <t>2266276650002656</t>
        </is>
      </c>
      <c r="AZ776" t="inlineStr">
        <is>
          <t>BOOK</t>
        </is>
      </c>
      <c r="BB776" t="inlineStr">
        <is>
          <t>9780934211895</t>
        </is>
      </c>
      <c r="BC776" t="inlineStr">
        <is>
          <t>32285005049324</t>
        </is>
      </c>
      <c r="BD776" t="inlineStr">
        <is>
          <t>893700329</t>
        </is>
      </c>
    </row>
    <row r="777">
      <c r="A777" t="inlineStr">
        <is>
          <t>No</t>
        </is>
      </c>
      <c r="B777" t="inlineStr">
        <is>
          <t>DS266 .P486 1998</t>
        </is>
      </c>
      <c r="C777" t="inlineStr">
        <is>
          <t>0                      DS 0266000P  486         1998</t>
        </is>
      </c>
      <c r="D777" t="inlineStr">
        <is>
          <t>The Persian presence in the Islamic world / edited by Richard G. Hovannisian and Georges Sabagh.</t>
        </is>
      </c>
      <c r="F777" t="inlineStr">
        <is>
          <t>No</t>
        </is>
      </c>
      <c r="G777" t="inlineStr">
        <is>
          <t>1</t>
        </is>
      </c>
      <c r="H777" t="inlineStr">
        <is>
          <t>No</t>
        </is>
      </c>
      <c r="I777" t="inlineStr">
        <is>
          <t>No</t>
        </is>
      </c>
      <c r="J777" t="inlineStr">
        <is>
          <t>0</t>
        </is>
      </c>
      <c r="L777" t="inlineStr">
        <is>
          <t>Cambridge, U.K. ; New York : Cambridge University Press, 1998.</t>
        </is>
      </c>
      <c r="M777" t="inlineStr">
        <is>
          <t>1998</t>
        </is>
      </c>
      <c r="O777" t="inlineStr">
        <is>
          <t>eng</t>
        </is>
      </c>
      <c r="P777" t="inlineStr">
        <is>
          <t>enk</t>
        </is>
      </c>
      <c r="Q777" t="inlineStr">
        <is>
          <t>Giorgio Levi Della Vida conferences ; 13th conference</t>
        </is>
      </c>
      <c r="R777" t="inlineStr">
        <is>
          <t xml:space="preserve">DS </t>
        </is>
      </c>
      <c r="S777" t="n">
        <v>5</v>
      </c>
      <c r="T777" t="n">
        <v>5</v>
      </c>
      <c r="U777" t="inlineStr">
        <is>
          <t>2010-11-19</t>
        </is>
      </c>
      <c r="V777" t="inlineStr">
        <is>
          <t>2010-11-19</t>
        </is>
      </c>
      <c r="W777" t="inlineStr">
        <is>
          <t>2000-03-15</t>
        </is>
      </c>
      <c r="X777" t="inlineStr">
        <is>
          <t>2000-03-15</t>
        </is>
      </c>
      <c r="Y777" t="n">
        <v>223</v>
      </c>
      <c r="Z777" t="n">
        <v>160</v>
      </c>
      <c r="AA777" t="n">
        <v>162</v>
      </c>
      <c r="AB777" t="n">
        <v>1</v>
      </c>
      <c r="AC777" t="n">
        <v>1</v>
      </c>
      <c r="AD777" t="n">
        <v>10</v>
      </c>
      <c r="AE777" t="n">
        <v>10</v>
      </c>
      <c r="AF777" t="n">
        <v>2</v>
      </c>
      <c r="AG777" t="n">
        <v>2</v>
      </c>
      <c r="AH777" t="n">
        <v>4</v>
      </c>
      <c r="AI777" t="n">
        <v>4</v>
      </c>
      <c r="AJ777" t="n">
        <v>7</v>
      </c>
      <c r="AK777" t="n">
        <v>7</v>
      </c>
      <c r="AL777" t="n">
        <v>0</v>
      </c>
      <c r="AM777" t="n">
        <v>0</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HYPERLINK("https://creighton-primo.hosted.exlibrisgroup.com/primo-explore/search?tab=default_tab&amp;search_scope=EVERYTHING&amp;vid=01CRU&amp;lang=en_US&amp;offset=0&amp;query=any,contains,991002740679702656","Catalog Record")</f>
        <v/>
      </c>
      <c r="AT777">
        <f>HYPERLINK("http://www.worldcat.org/oclc/35990274","WorldCat Record")</f>
        <v/>
      </c>
      <c r="AU777" t="inlineStr">
        <is>
          <t>353721197:eng</t>
        </is>
      </c>
      <c r="AV777" t="inlineStr">
        <is>
          <t>35990274</t>
        </is>
      </c>
      <c r="AW777" t="inlineStr">
        <is>
          <t>991002740679702656</t>
        </is>
      </c>
      <c r="AX777" t="inlineStr">
        <is>
          <t>991002740679702656</t>
        </is>
      </c>
      <c r="AY777" t="inlineStr">
        <is>
          <t>2264397930002656</t>
        </is>
      </c>
      <c r="AZ777" t="inlineStr">
        <is>
          <t>BOOK</t>
        </is>
      </c>
      <c r="BB777" t="inlineStr">
        <is>
          <t>9780521591850</t>
        </is>
      </c>
      <c r="BC777" t="inlineStr">
        <is>
          <t>32285003670154</t>
        </is>
      </c>
      <c r="BD777" t="inlineStr">
        <is>
          <t>893227218</t>
        </is>
      </c>
    </row>
    <row r="778">
      <c r="A778" t="inlineStr">
        <is>
          <t>No</t>
        </is>
      </c>
      <c r="B778" t="inlineStr">
        <is>
          <t>DS272 .A94 2008</t>
        </is>
      </c>
      <c r="C778" t="inlineStr">
        <is>
          <t>0                      DS 0272000A  94          2008</t>
        </is>
      </c>
      <c r="D778" t="inlineStr">
        <is>
          <t>A history of Iran : empire of the mind / Michael Axworthy.</t>
        </is>
      </c>
      <c r="F778" t="inlineStr">
        <is>
          <t>No</t>
        </is>
      </c>
      <c r="G778" t="inlineStr">
        <is>
          <t>1</t>
        </is>
      </c>
      <c r="H778" t="inlineStr">
        <is>
          <t>No</t>
        </is>
      </c>
      <c r="I778" t="inlineStr">
        <is>
          <t>No</t>
        </is>
      </c>
      <c r="J778" t="inlineStr">
        <is>
          <t>0</t>
        </is>
      </c>
      <c r="K778" t="inlineStr">
        <is>
          <t>Axworthy, Michael.</t>
        </is>
      </c>
      <c r="L778" t="inlineStr">
        <is>
          <t>New York : Basic Books, c2008.</t>
        </is>
      </c>
      <c r="M778" t="inlineStr">
        <is>
          <t>2008</t>
        </is>
      </c>
      <c r="O778" t="inlineStr">
        <is>
          <t>eng</t>
        </is>
      </c>
      <c r="P778" t="inlineStr">
        <is>
          <t>nyu</t>
        </is>
      </c>
      <c r="R778" t="inlineStr">
        <is>
          <t xml:space="preserve">DS </t>
        </is>
      </c>
      <c r="S778" t="n">
        <v>3</v>
      </c>
      <c r="T778" t="n">
        <v>3</v>
      </c>
      <c r="U778" t="inlineStr">
        <is>
          <t>2009-05-22</t>
        </is>
      </c>
      <c r="V778" t="inlineStr">
        <is>
          <t>2009-05-22</t>
        </is>
      </c>
      <c r="W778" t="inlineStr">
        <is>
          <t>2009-05-12</t>
        </is>
      </c>
      <c r="X778" t="inlineStr">
        <is>
          <t>2009-05-12</t>
        </is>
      </c>
      <c r="Y778" t="n">
        <v>1461</v>
      </c>
      <c r="Z778" t="n">
        <v>1350</v>
      </c>
      <c r="AA778" t="n">
        <v>1537</v>
      </c>
      <c r="AB778" t="n">
        <v>9</v>
      </c>
      <c r="AC778" t="n">
        <v>13</v>
      </c>
      <c r="AD778" t="n">
        <v>38</v>
      </c>
      <c r="AE778" t="n">
        <v>41</v>
      </c>
      <c r="AF778" t="n">
        <v>20</v>
      </c>
      <c r="AG778" t="n">
        <v>21</v>
      </c>
      <c r="AH778" t="n">
        <v>6</v>
      </c>
      <c r="AI778" t="n">
        <v>6</v>
      </c>
      <c r="AJ778" t="n">
        <v>13</v>
      </c>
      <c r="AK778" t="n">
        <v>14</v>
      </c>
      <c r="AL778" t="n">
        <v>7</v>
      </c>
      <c r="AM778" t="n">
        <v>9</v>
      </c>
      <c r="AN778" t="n">
        <v>0</v>
      </c>
      <c r="AO778" t="n">
        <v>0</v>
      </c>
      <c r="AP778" t="inlineStr">
        <is>
          <t>No</t>
        </is>
      </c>
      <c r="AQ778" t="inlineStr">
        <is>
          <t>No</t>
        </is>
      </c>
      <c r="AS778">
        <f>HYPERLINK("https://creighton-primo.hosted.exlibrisgroup.com/primo-explore/search?tab=default_tab&amp;search_scope=EVERYTHING&amp;vid=01CRU&amp;lang=en_US&amp;offset=0&amp;query=any,contains,991005313629702656","Catalog Record")</f>
        <v/>
      </c>
      <c r="AT778">
        <f>HYPERLINK("http://www.worldcat.org/oclc/182779666","WorldCat Record")</f>
        <v/>
      </c>
      <c r="AU778" t="inlineStr">
        <is>
          <t>377924123:eng</t>
        </is>
      </c>
      <c r="AV778" t="inlineStr">
        <is>
          <t>182779666</t>
        </is>
      </c>
      <c r="AW778" t="inlineStr">
        <is>
          <t>991005313629702656</t>
        </is>
      </c>
      <c r="AX778" t="inlineStr">
        <is>
          <t>991005313629702656</t>
        </is>
      </c>
      <c r="AY778" t="inlineStr">
        <is>
          <t>2263279220002656</t>
        </is>
      </c>
      <c r="AZ778" t="inlineStr">
        <is>
          <t>BOOK</t>
        </is>
      </c>
      <c r="BB778" t="inlineStr">
        <is>
          <t>9780465008889</t>
        </is>
      </c>
      <c r="BC778" t="inlineStr">
        <is>
          <t>32285005532113</t>
        </is>
      </c>
      <c r="BD778" t="inlineStr">
        <is>
          <t>893720168</t>
        </is>
      </c>
    </row>
    <row r="779">
      <c r="A779" t="inlineStr">
        <is>
          <t>No</t>
        </is>
      </c>
      <c r="B779" t="inlineStr">
        <is>
          <t>DS272 .B3813</t>
        </is>
      </c>
      <c r="C779" t="inlineStr">
        <is>
          <t>0                      DS 0272000B  3813</t>
        </is>
      </c>
      <c r="D779" t="inlineStr">
        <is>
          <t>The Persians, from the earliest days to the twentieth century; translated from the Italian by J. B. Donne.</t>
        </is>
      </c>
      <c r="F779" t="inlineStr">
        <is>
          <t>No</t>
        </is>
      </c>
      <c r="G779" t="inlineStr">
        <is>
          <t>1</t>
        </is>
      </c>
      <c r="H779" t="inlineStr">
        <is>
          <t>No</t>
        </is>
      </c>
      <c r="I779" t="inlineStr">
        <is>
          <t>No</t>
        </is>
      </c>
      <c r="J779" t="inlineStr">
        <is>
          <t>0</t>
        </is>
      </c>
      <c r="K779" t="inlineStr">
        <is>
          <t>Bausani, Alessandro, 1921-1988.</t>
        </is>
      </c>
      <c r="L779" t="inlineStr">
        <is>
          <t>London, Elek, 1971.</t>
        </is>
      </c>
      <c r="M779" t="inlineStr">
        <is>
          <t>1971</t>
        </is>
      </c>
      <c r="O779" t="inlineStr">
        <is>
          <t>eng</t>
        </is>
      </c>
      <c r="P779" t="inlineStr">
        <is>
          <t>enk</t>
        </is>
      </c>
      <c r="R779" t="inlineStr">
        <is>
          <t xml:space="preserve">DS </t>
        </is>
      </c>
      <c r="S779" t="n">
        <v>3</v>
      </c>
      <c r="T779" t="n">
        <v>3</v>
      </c>
      <c r="U779" t="inlineStr">
        <is>
          <t>2010-11-17</t>
        </is>
      </c>
      <c r="V779" t="inlineStr">
        <is>
          <t>2010-11-17</t>
        </is>
      </c>
      <c r="W779" t="inlineStr">
        <is>
          <t>1997-03-06</t>
        </is>
      </c>
      <c r="X779" t="inlineStr">
        <is>
          <t>1997-03-06</t>
        </is>
      </c>
      <c r="Y779" t="n">
        <v>432</v>
      </c>
      <c r="Z779" t="n">
        <v>305</v>
      </c>
      <c r="AA779" t="n">
        <v>602</v>
      </c>
      <c r="AB779" t="n">
        <v>2</v>
      </c>
      <c r="AC779" t="n">
        <v>3</v>
      </c>
      <c r="AD779" t="n">
        <v>7</v>
      </c>
      <c r="AE779" t="n">
        <v>21</v>
      </c>
      <c r="AF779" t="n">
        <v>2</v>
      </c>
      <c r="AG779" t="n">
        <v>8</v>
      </c>
      <c r="AH779" t="n">
        <v>0</v>
      </c>
      <c r="AI779" t="n">
        <v>4</v>
      </c>
      <c r="AJ779" t="n">
        <v>4</v>
      </c>
      <c r="AK779" t="n">
        <v>10</v>
      </c>
      <c r="AL779" t="n">
        <v>1</v>
      </c>
      <c r="AM779" t="n">
        <v>2</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HYPERLINK("https://creighton-primo.hosted.exlibrisgroup.com/primo-explore/search?tab=default_tab&amp;search_scope=EVERYTHING&amp;vid=01CRU&amp;lang=en_US&amp;offset=0&amp;query=any,contains,991000829239702656","Catalog Record")</f>
        <v/>
      </c>
      <c r="AT779">
        <f>HYPERLINK("http://www.worldcat.org/oclc/147054","WorldCat Record")</f>
        <v/>
      </c>
      <c r="AU779" t="inlineStr">
        <is>
          <t>17821017:eng</t>
        </is>
      </c>
      <c r="AV779" t="inlineStr">
        <is>
          <t>147054</t>
        </is>
      </c>
      <c r="AW779" t="inlineStr">
        <is>
          <t>991000829239702656</t>
        </is>
      </c>
      <c r="AX779" t="inlineStr">
        <is>
          <t>991000829239702656</t>
        </is>
      </c>
      <c r="AY779" t="inlineStr">
        <is>
          <t>2259080250002656</t>
        </is>
      </c>
      <c r="AZ779" t="inlineStr">
        <is>
          <t>BOOK</t>
        </is>
      </c>
      <c r="BB779" t="inlineStr">
        <is>
          <t>9780236177608</t>
        </is>
      </c>
      <c r="BC779" t="inlineStr">
        <is>
          <t>32285002455383</t>
        </is>
      </c>
      <c r="BD779" t="inlineStr">
        <is>
          <t>893444480</t>
        </is>
      </c>
    </row>
    <row r="780">
      <c r="A780" t="inlineStr">
        <is>
          <t>No</t>
        </is>
      </c>
      <c r="B780" t="inlineStr">
        <is>
          <t>DS272 .D67 1990</t>
        </is>
      </c>
      <c r="C780" t="inlineStr">
        <is>
          <t>0                      DS 0272000D  67          1990</t>
        </is>
      </c>
      <c r="D780" t="inlineStr">
        <is>
          <t>From Zarathustra to Khomeini : populism and dissent in Iran / Manochehr Dorraj.</t>
        </is>
      </c>
      <c r="F780" t="inlineStr">
        <is>
          <t>No</t>
        </is>
      </c>
      <c r="G780" t="inlineStr">
        <is>
          <t>1</t>
        </is>
      </c>
      <c r="H780" t="inlineStr">
        <is>
          <t>No</t>
        </is>
      </c>
      <c r="I780" t="inlineStr">
        <is>
          <t>No</t>
        </is>
      </c>
      <c r="J780" t="inlineStr">
        <is>
          <t>0</t>
        </is>
      </c>
      <c r="K780" t="inlineStr">
        <is>
          <t>Dorraj, Manochehr.</t>
        </is>
      </c>
      <c r="L780" t="inlineStr">
        <is>
          <t>Boulder : Lynne Rienner Publishers, c1990.</t>
        </is>
      </c>
      <c r="M780" t="inlineStr">
        <is>
          <t>1990</t>
        </is>
      </c>
      <c r="O780" t="inlineStr">
        <is>
          <t>eng</t>
        </is>
      </c>
      <c r="P780" t="inlineStr">
        <is>
          <t>cou</t>
        </is>
      </c>
      <c r="R780" t="inlineStr">
        <is>
          <t xml:space="preserve">DS </t>
        </is>
      </c>
      <c r="S780" t="n">
        <v>4</v>
      </c>
      <c r="T780" t="n">
        <v>4</v>
      </c>
      <c r="U780" t="inlineStr">
        <is>
          <t>2006-03-15</t>
        </is>
      </c>
      <c r="V780" t="inlineStr">
        <is>
          <t>2006-03-15</t>
        </is>
      </c>
      <c r="W780" t="inlineStr">
        <is>
          <t>1995-02-16</t>
        </is>
      </c>
      <c r="X780" t="inlineStr">
        <is>
          <t>1995-02-16</t>
        </is>
      </c>
      <c r="Y780" t="n">
        <v>454</v>
      </c>
      <c r="Z780" t="n">
        <v>367</v>
      </c>
      <c r="AA780" t="n">
        <v>374</v>
      </c>
      <c r="AB780" t="n">
        <v>2</v>
      </c>
      <c r="AC780" t="n">
        <v>2</v>
      </c>
      <c r="AD780" t="n">
        <v>20</v>
      </c>
      <c r="AE780" t="n">
        <v>20</v>
      </c>
      <c r="AF780" t="n">
        <v>7</v>
      </c>
      <c r="AG780" t="n">
        <v>7</v>
      </c>
      <c r="AH780" t="n">
        <v>7</v>
      </c>
      <c r="AI780" t="n">
        <v>7</v>
      </c>
      <c r="AJ780" t="n">
        <v>10</v>
      </c>
      <c r="AK780" t="n">
        <v>10</v>
      </c>
      <c r="AL780" t="n">
        <v>1</v>
      </c>
      <c r="AM780" t="n">
        <v>1</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HYPERLINK("https://creighton-primo.hosted.exlibrisgroup.com/primo-explore/search?tab=default_tab&amp;search_scope=EVERYTHING&amp;vid=01CRU&amp;lang=en_US&amp;offset=0&amp;query=any,contains,991001563449702656","Catalog Record")</f>
        <v/>
      </c>
      <c r="AT780">
        <f>HYPERLINK("http://www.worldcat.org/oclc/20319164","WorldCat Record")</f>
        <v/>
      </c>
      <c r="AU780" t="inlineStr">
        <is>
          <t>364722863:eng</t>
        </is>
      </c>
      <c r="AV780" t="inlineStr">
        <is>
          <t>20319164</t>
        </is>
      </c>
      <c r="AW780" t="inlineStr">
        <is>
          <t>991001563449702656</t>
        </is>
      </c>
      <c r="AX780" t="inlineStr">
        <is>
          <t>991001563449702656</t>
        </is>
      </c>
      <c r="AY780" t="inlineStr">
        <is>
          <t>2254788650002656</t>
        </is>
      </c>
      <c r="AZ780" t="inlineStr">
        <is>
          <t>BOOK</t>
        </is>
      </c>
      <c r="BB780" t="inlineStr">
        <is>
          <t>9781555871819</t>
        </is>
      </c>
      <c r="BC780" t="inlineStr">
        <is>
          <t>32285001999308</t>
        </is>
      </c>
      <c r="BD780" t="inlineStr">
        <is>
          <t>893803681</t>
        </is>
      </c>
    </row>
    <row r="781">
      <c r="A781" t="inlineStr">
        <is>
          <t>No</t>
        </is>
      </c>
      <c r="B781" t="inlineStr">
        <is>
          <t>DS272 .G27 2005</t>
        </is>
      </c>
      <c r="C781" t="inlineStr">
        <is>
          <t>0                      DS 0272000G  27          2005</t>
        </is>
      </c>
      <c r="D781" t="inlineStr">
        <is>
          <t>The Persians / Gene R. Garthwaite.</t>
        </is>
      </c>
      <c r="F781" t="inlineStr">
        <is>
          <t>No</t>
        </is>
      </c>
      <c r="G781" t="inlineStr">
        <is>
          <t>1</t>
        </is>
      </c>
      <c r="H781" t="inlineStr">
        <is>
          <t>No</t>
        </is>
      </c>
      <c r="I781" t="inlineStr">
        <is>
          <t>No</t>
        </is>
      </c>
      <c r="J781" t="inlineStr">
        <is>
          <t>0</t>
        </is>
      </c>
      <c r="K781" t="inlineStr">
        <is>
          <t>Garthwaite, Gene R. (Gene Ralph), 1933-</t>
        </is>
      </c>
      <c r="L781" t="inlineStr">
        <is>
          <t>Malden, MA : Blackwell Pub., 2005.</t>
        </is>
      </c>
      <c r="M781" t="inlineStr">
        <is>
          <t>2005</t>
        </is>
      </c>
      <c r="O781" t="inlineStr">
        <is>
          <t>eng</t>
        </is>
      </c>
      <c r="P781" t="inlineStr">
        <is>
          <t>mau</t>
        </is>
      </c>
      <c r="Q781" t="inlineStr">
        <is>
          <t>Peoples of Asia</t>
        </is>
      </c>
      <c r="R781" t="inlineStr">
        <is>
          <t xml:space="preserve">DS </t>
        </is>
      </c>
      <c r="S781" t="n">
        <v>7</v>
      </c>
      <c r="T781" t="n">
        <v>7</v>
      </c>
      <c r="U781" t="inlineStr">
        <is>
          <t>2010-10-25</t>
        </is>
      </c>
      <c r="V781" t="inlineStr">
        <is>
          <t>2010-10-25</t>
        </is>
      </c>
      <c r="W781" t="inlineStr">
        <is>
          <t>2006-07-24</t>
        </is>
      </c>
      <c r="X781" t="inlineStr">
        <is>
          <t>2006-07-24</t>
        </is>
      </c>
      <c r="Y781" t="n">
        <v>585</v>
      </c>
      <c r="Z781" t="n">
        <v>543</v>
      </c>
      <c r="AA781" t="n">
        <v>775</v>
      </c>
      <c r="AB781" t="n">
        <v>6</v>
      </c>
      <c r="AC781" t="n">
        <v>8</v>
      </c>
      <c r="AD781" t="n">
        <v>27</v>
      </c>
      <c r="AE781" t="n">
        <v>35</v>
      </c>
      <c r="AF781" t="n">
        <v>12</v>
      </c>
      <c r="AG781" t="n">
        <v>14</v>
      </c>
      <c r="AH781" t="n">
        <v>5</v>
      </c>
      <c r="AI781" t="n">
        <v>9</v>
      </c>
      <c r="AJ781" t="n">
        <v>10</v>
      </c>
      <c r="AK781" t="n">
        <v>12</v>
      </c>
      <c r="AL781" t="n">
        <v>5</v>
      </c>
      <c r="AM781" t="n">
        <v>7</v>
      </c>
      <c r="AN781" t="n">
        <v>0</v>
      </c>
      <c r="AO781" t="n">
        <v>0</v>
      </c>
      <c r="AP781" t="inlineStr">
        <is>
          <t>No</t>
        </is>
      </c>
      <c r="AQ781" t="inlineStr">
        <is>
          <t>No</t>
        </is>
      </c>
      <c r="AS781">
        <f>HYPERLINK("https://creighton-primo.hosted.exlibrisgroup.com/primo-explore/search?tab=default_tab&amp;search_scope=EVERYTHING&amp;vid=01CRU&amp;lang=en_US&amp;offset=0&amp;query=any,contains,991004853679702656","Catalog Record")</f>
        <v/>
      </c>
      <c r="AT781">
        <f>HYPERLINK("http://www.worldcat.org/oclc/54805969","WorldCat Record")</f>
        <v/>
      </c>
      <c r="AU781" t="inlineStr">
        <is>
          <t>859464:eng</t>
        </is>
      </c>
      <c r="AV781" t="inlineStr">
        <is>
          <t>54805969</t>
        </is>
      </c>
      <c r="AW781" t="inlineStr">
        <is>
          <t>991004853679702656</t>
        </is>
      </c>
      <c r="AX781" t="inlineStr">
        <is>
          <t>991004853679702656</t>
        </is>
      </c>
      <c r="AY781" t="inlineStr">
        <is>
          <t>2262539200002656</t>
        </is>
      </c>
      <c r="AZ781" t="inlineStr">
        <is>
          <t>BOOK</t>
        </is>
      </c>
      <c r="BB781" t="inlineStr">
        <is>
          <t>9781557868602</t>
        </is>
      </c>
      <c r="BC781" t="inlineStr">
        <is>
          <t>32285005197461</t>
        </is>
      </c>
      <c r="BD781" t="inlineStr">
        <is>
          <t>893606534</t>
        </is>
      </c>
    </row>
    <row r="782">
      <c r="A782" t="inlineStr">
        <is>
          <t>No</t>
        </is>
      </c>
      <c r="B782" t="inlineStr">
        <is>
          <t>DS272 .H8 1969</t>
        </is>
      </c>
      <c r="C782" t="inlineStr">
        <is>
          <t>0                      DS 0272000H  8           1969</t>
        </is>
      </c>
      <c r="D782" t="inlineStr">
        <is>
          <t>Ancient Persia and Iranian civilization, by Clʹement Huart...With four plates, thirty-five illustrations, and a map.</t>
        </is>
      </c>
      <c r="F782" t="inlineStr">
        <is>
          <t>No</t>
        </is>
      </c>
      <c r="G782" t="inlineStr">
        <is>
          <t>1</t>
        </is>
      </c>
      <c r="H782" t="inlineStr">
        <is>
          <t>No</t>
        </is>
      </c>
      <c r="I782" t="inlineStr">
        <is>
          <t>No</t>
        </is>
      </c>
      <c r="J782" t="inlineStr">
        <is>
          <t>0</t>
        </is>
      </c>
      <c r="K782" t="inlineStr">
        <is>
          <t>Huart, Clément, 1854-1926.</t>
        </is>
      </c>
      <c r="L782" t="inlineStr">
        <is>
          <t>London, K. Paul, Trench, Truber; New York, Knopf, 1927.</t>
        </is>
      </c>
      <c r="M782" t="inlineStr">
        <is>
          <t>1927</t>
        </is>
      </c>
      <c r="O782" t="inlineStr">
        <is>
          <t>eng</t>
        </is>
      </c>
      <c r="P782" t="inlineStr">
        <is>
          <t xml:space="preserve">xx </t>
        </is>
      </c>
      <c r="Q782" t="inlineStr">
        <is>
          <t>The history of civilization</t>
        </is>
      </c>
      <c r="R782" t="inlineStr">
        <is>
          <t xml:space="preserve">DS </t>
        </is>
      </c>
      <c r="S782" t="n">
        <v>6</v>
      </c>
      <c r="T782" t="n">
        <v>6</v>
      </c>
      <c r="U782" t="inlineStr">
        <is>
          <t>2004-11-30</t>
        </is>
      </c>
      <c r="V782" t="inlineStr">
        <is>
          <t>2004-11-30</t>
        </is>
      </c>
      <c r="W782" t="inlineStr">
        <is>
          <t>1997-03-06</t>
        </is>
      </c>
      <c r="X782" t="inlineStr">
        <is>
          <t>1997-03-06</t>
        </is>
      </c>
      <c r="Y782" t="n">
        <v>301</v>
      </c>
      <c r="Z782" t="n">
        <v>259</v>
      </c>
      <c r="AA782" t="n">
        <v>285</v>
      </c>
      <c r="AB782" t="n">
        <v>2</v>
      </c>
      <c r="AC782" t="n">
        <v>2</v>
      </c>
      <c r="AD782" t="n">
        <v>10</v>
      </c>
      <c r="AE782" t="n">
        <v>11</v>
      </c>
      <c r="AF782" t="n">
        <v>1</v>
      </c>
      <c r="AG782" t="n">
        <v>1</v>
      </c>
      <c r="AH782" t="n">
        <v>5</v>
      </c>
      <c r="AI782" t="n">
        <v>5</v>
      </c>
      <c r="AJ782" t="n">
        <v>5</v>
      </c>
      <c r="AK782" t="n">
        <v>6</v>
      </c>
      <c r="AL782" t="n">
        <v>1</v>
      </c>
      <c r="AM782" t="n">
        <v>1</v>
      </c>
      <c r="AN782" t="n">
        <v>0</v>
      </c>
      <c r="AO782" t="n">
        <v>0</v>
      </c>
      <c r="AP782" t="inlineStr">
        <is>
          <t>No</t>
        </is>
      </c>
      <c r="AQ782" t="inlineStr">
        <is>
          <t>Yes</t>
        </is>
      </c>
      <c r="AR782">
        <f>HYPERLINK("http://catalog.hathitrust.org/Record/010092064","HathiTrust Record")</f>
        <v/>
      </c>
      <c r="AS782">
        <f>HYPERLINK("https://creighton-primo.hosted.exlibrisgroup.com/primo-explore/search?tab=default_tab&amp;search_scope=EVERYTHING&amp;vid=01CRU&amp;lang=en_US&amp;offset=0&amp;query=any,contains,991003256589702656","Catalog Record")</f>
        <v/>
      </c>
      <c r="AT782">
        <f>HYPERLINK("http://www.worldcat.org/oclc/781970","WorldCat Record")</f>
        <v/>
      </c>
      <c r="AU782" t="inlineStr">
        <is>
          <t>9463148871:eng</t>
        </is>
      </c>
      <c r="AV782" t="inlineStr">
        <is>
          <t>781970</t>
        </is>
      </c>
      <c r="AW782" t="inlineStr">
        <is>
          <t>991003256589702656</t>
        </is>
      </c>
      <c r="AX782" t="inlineStr">
        <is>
          <t>991003256589702656</t>
        </is>
      </c>
      <c r="AY782" t="inlineStr">
        <is>
          <t>2260800100002656</t>
        </is>
      </c>
      <c r="AZ782" t="inlineStr">
        <is>
          <t>BOOK</t>
        </is>
      </c>
      <c r="BB782" t="inlineStr">
        <is>
          <t>9780389044574</t>
        </is>
      </c>
      <c r="BC782" t="inlineStr">
        <is>
          <t>32285002455391</t>
        </is>
      </c>
      <c r="BD782" t="inlineStr">
        <is>
          <t>893874586</t>
        </is>
      </c>
    </row>
    <row r="783">
      <c r="A783" t="inlineStr">
        <is>
          <t>No</t>
        </is>
      </c>
      <c r="B783" t="inlineStr">
        <is>
          <t>DS272 .S8 1969</t>
        </is>
      </c>
      <c r="C783" t="inlineStr">
        <is>
          <t>0                      DS 0272000S  8           1969</t>
        </is>
      </c>
      <c r="D783" t="inlineStr">
        <is>
          <t>A history of Persia.</t>
        </is>
      </c>
      <c r="F783" t="inlineStr">
        <is>
          <t>Yes</t>
        </is>
      </c>
      <c r="G783" t="inlineStr">
        <is>
          <t>1</t>
        </is>
      </c>
      <c r="H783" t="inlineStr">
        <is>
          <t>Yes</t>
        </is>
      </c>
      <c r="I783" t="inlineStr">
        <is>
          <t>No</t>
        </is>
      </c>
      <c r="J783" t="inlineStr">
        <is>
          <t>0</t>
        </is>
      </c>
      <c r="K783" t="inlineStr">
        <is>
          <t>Sykes, Percy, Sir, 1867-1945.</t>
        </is>
      </c>
      <c r="L783" t="inlineStr">
        <is>
          <t>New York, Barnes &amp; Noble, 1969.</t>
        </is>
      </c>
      <c r="M783" t="inlineStr">
        <is>
          <t>1969</t>
        </is>
      </c>
      <c r="N783" t="inlineStr">
        <is>
          <t>3d ed. with supplementary essays.</t>
        </is>
      </c>
      <c r="O783" t="inlineStr">
        <is>
          <t>eng</t>
        </is>
      </c>
      <c r="P783" t="inlineStr">
        <is>
          <t>nyu</t>
        </is>
      </c>
      <c r="R783" t="inlineStr">
        <is>
          <t xml:space="preserve">DS </t>
        </is>
      </c>
      <c r="S783" t="n">
        <v>5</v>
      </c>
      <c r="T783" t="n">
        <v>7</v>
      </c>
      <c r="U783" t="inlineStr">
        <is>
          <t>2004-11-10</t>
        </is>
      </c>
      <c r="V783" t="inlineStr">
        <is>
          <t>2004-11-10</t>
        </is>
      </c>
      <c r="W783" t="inlineStr">
        <is>
          <t>1997-03-06</t>
        </is>
      </c>
      <c r="X783" t="inlineStr">
        <is>
          <t>1997-03-06</t>
        </is>
      </c>
      <c r="Y783" t="n">
        <v>204</v>
      </c>
      <c r="Z783" t="n">
        <v>194</v>
      </c>
      <c r="AA783" t="n">
        <v>196</v>
      </c>
      <c r="AB783" t="n">
        <v>3</v>
      </c>
      <c r="AC783" t="n">
        <v>3</v>
      </c>
      <c r="AD783" t="n">
        <v>4</v>
      </c>
      <c r="AE783" t="n">
        <v>4</v>
      </c>
      <c r="AF783" t="n">
        <v>1</v>
      </c>
      <c r="AG783" t="n">
        <v>1</v>
      </c>
      <c r="AH783" t="n">
        <v>0</v>
      </c>
      <c r="AI783" t="n">
        <v>0</v>
      </c>
      <c r="AJ783" t="n">
        <v>1</v>
      </c>
      <c r="AK783" t="n">
        <v>1</v>
      </c>
      <c r="AL783" t="n">
        <v>2</v>
      </c>
      <c r="AM783" t="n">
        <v>2</v>
      </c>
      <c r="AN783" t="n">
        <v>0</v>
      </c>
      <c r="AO783" t="n">
        <v>0</v>
      </c>
      <c r="AP783" t="inlineStr">
        <is>
          <t>No</t>
        </is>
      </c>
      <c r="AQ783" t="inlineStr">
        <is>
          <t>Yes</t>
        </is>
      </c>
      <c r="AR783">
        <f>HYPERLINK("http://catalog.hathitrust.org/Record/009907792","HathiTrust Record")</f>
        <v/>
      </c>
      <c r="AS783">
        <f>HYPERLINK("https://creighton-primo.hosted.exlibrisgroup.com/primo-explore/search?tab=default_tab&amp;search_scope=EVERYTHING&amp;vid=01CRU&amp;lang=en_US&amp;offset=0&amp;query=any,contains,991000087679702656","Catalog Record")</f>
        <v/>
      </c>
      <c r="AT783">
        <f>HYPERLINK("http://www.worldcat.org/oclc/34317","WorldCat Record")</f>
        <v/>
      </c>
      <c r="AU783" t="inlineStr">
        <is>
          <t>10792690554:eng</t>
        </is>
      </c>
      <c r="AV783" t="inlineStr">
        <is>
          <t>34317</t>
        </is>
      </c>
      <c r="AW783" t="inlineStr">
        <is>
          <t>991000087679702656</t>
        </is>
      </c>
      <c r="AX783" t="inlineStr">
        <is>
          <t>991000087679702656</t>
        </is>
      </c>
      <c r="AY783" t="inlineStr">
        <is>
          <t>2259922600002656</t>
        </is>
      </c>
      <c r="AZ783" t="inlineStr">
        <is>
          <t>BOOK</t>
        </is>
      </c>
      <c r="BC783" t="inlineStr">
        <is>
          <t>32285002455417</t>
        </is>
      </c>
      <c r="BD783" t="inlineStr">
        <is>
          <t>893796397</t>
        </is>
      </c>
    </row>
    <row r="784">
      <c r="A784" t="inlineStr">
        <is>
          <t>No</t>
        </is>
      </c>
      <c r="B784" t="inlineStr">
        <is>
          <t>DS272 .S8 1969 V.2</t>
        </is>
      </c>
      <c r="C784" t="inlineStr">
        <is>
          <t>0                      DS 0272000S  8           1969                                        V.2</t>
        </is>
      </c>
      <c r="D784" t="inlineStr">
        <is>
          <t>A history of Persia.</t>
        </is>
      </c>
      <c r="E784" t="inlineStr">
        <is>
          <t>V.2*</t>
        </is>
      </c>
      <c r="F784" t="inlineStr">
        <is>
          <t>Yes</t>
        </is>
      </c>
      <c r="G784" t="inlineStr">
        <is>
          <t>1</t>
        </is>
      </c>
      <c r="H784" t="inlineStr">
        <is>
          <t>No</t>
        </is>
      </c>
      <c r="I784" t="inlineStr">
        <is>
          <t>No</t>
        </is>
      </c>
      <c r="J784" t="inlineStr">
        <is>
          <t>0</t>
        </is>
      </c>
      <c r="K784" t="inlineStr">
        <is>
          <t>Sykes, Percy, Sir, 1867-1945.</t>
        </is>
      </c>
      <c r="L784" t="inlineStr">
        <is>
          <t>New York, Barnes &amp; Noble, 1969.</t>
        </is>
      </c>
      <c r="M784" t="inlineStr">
        <is>
          <t>1969</t>
        </is>
      </c>
      <c r="N784" t="inlineStr">
        <is>
          <t>3d ed. with supplementary essays.</t>
        </is>
      </c>
      <c r="O784" t="inlineStr">
        <is>
          <t>eng</t>
        </is>
      </c>
      <c r="P784" t="inlineStr">
        <is>
          <t>nyu</t>
        </is>
      </c>
      <c r="R784" t="inlineStr">
        <is>
          <t xml:space="preserve">DS </t>
        </is>
      </c>
      <c r="S784" t="n">
        <v>2</v>
      </c>
      <c r="T784" t="n">
        <v>7</v>
      </c>
      <c r="U784" t="inlineStr">
        <is>
          <t>1998-11-07</t>
        </is>
      </c>
      <c r="V784" t="inlineStr">
        <is>
          <t>2004-11-10</t>
        </is>
      </c>
      <c r="W784" t="inlineStr">
        <is>
          <t>1997-03-06</t>
        </is>
      </c>
      <c r="X784" t="inlineStr">
        <is>
          <t>1997-03-06</t>
        </is>
      </c>
      <c r="Y784" t="n">
        <v>204</v>
      </c>
      <c r="Z784" t="n">
        <v>194</v>
      </c>
      <c r="AA784" t="n">
        <v>196</v>
      </c>
      <c r="AB784" t="n">
        <v>3</v>
      </c>
      <c r="AC784" t="n">
        <v>3</v>
      </c>
      <c r="AD784" t="n">
        <v>4</v>
      </c>
      <c r="AE784" t="n">
        <v>4</v>
      </c>
      <c r="AF784" t="n">
        <v>1</v>
      </c>
      <c r="AG784" t="n">
        <v>1</v>
      </c>
      <c r="AH784" t="n">
        <v>0</v>
      </c>
      <c r="AI784" t="n">
        <v>0</v>
      </c>
      <c r="AJ784" t="n">
        <v>1</v>
      </c>
      <c r="AK784" t="n">
        <v>1</v>
      </c>
      <c r="AL784" t="n">
        <v>2</v>
      </c>
      <c r="AM784" t="n">
        <v>2</v>
      </c>
      <c r="AN784" t="n">
        <v>0</v>
      </c>
      <c r="AO784" t="n">
        <v>0</v>
      </c>
      <c r="AP784" t="inlineStr">
        <is>
          <t>No</t>
        </is>
      </c>
      <c r="AQ784" t="inlineStr">
        <is>
          <t>Yes</t>
        </is>
      </c>
      <c r="AR784">
        <f>HYPERLINK("http://catalog.hathitrust.org/Record/009907792","HathiTrust Record")</f>
        <v/>
      </c>
      <c r="AS784">
        <f>HYPERLINK("https://creighton-primo.hosted.exlibrisgroup.com/primo-explore/search?tab=default_tab&amp;search_scope=EVERYTHING&amp;vid=01CRU&amp;lang=en_US&amp;offset=0&amp;query=any,contains,991000087679702656","Catalog Record")</f>
        <v/>
      </c>
      <c r="AT784">
        <f>HYPERLINK("http://www.worldcat.org/oclc/34317","WorldCat Record")</f>
        <v/>
      </c>
      <c r="AU784" t="inlineStr">
        <is>
          <t>10792690554:eng</t>
        </is>
      </c>
      <c r="AV784" t="inlineStr">
        <is>
          <t>34317</t>
        </is>
      </c>
      <c r="AW784" t="inlineStr">
        <is>
          <t>991000087679702656</t>
        </is>
      </c>
      <c r="AX784" t="inlineStr">
        <is>
          <t>991000087679702656</t>
        </is>
      </c>
      <c r="AY784" t="inlineStr">
        <is>
          <t>2259922600002656</t>
        </is>
      </c>
      <c r="AZ784" t="inlineStr">
        <is>
          <t>BOOK</t>
        </is>
      </c>
      <c r="BC784" t="inlineStr">
        <is>
          <t>32285002455425</t>
        </is>
      </c>
      <c r="BD784" t="inlineStr">
        <is>
          <t>893771366</t>
        </is>
      </c>
    </row>
    <row r="785">
      <c r="A785" t="inlineStr">
        <is>
          <t>No</t>
        </is>
      </c>
      <c r="B785" t="inlineStr">
        <is>
          <t>DS273.3 .F37 2007</t>
        </is>
      </c>
      <c r="C785" t="inlineStr">
        <is>
          <t>0                      DS 0273300F  37          2007</t>
        </is>
      </c>
      <c r="D785" t="inlineStr">
        <is>
          <t>Shadows in the desert : ancient Persia at war / Kaveh Farrokh.</t>
        </is>
      </c>
      <c r="F785" t="inlineStr">
        <is>
          <t>No</t>
        </is>
      </c>
      <c r="G785" t="inlineStr">
        <is>
          <t>1</t>
        </is>
      </c>
      <c r="H785" t="inlineStr">
        <is>
          <t>No</t>
        </is>
      </c>
      <c r="I785" t="inlineStr">
        <is>
          <t>No</t>
        </is>
      </c>
      <c r="J785" t="inlineStr">
        <is>
          <t>0</t>
        </is>
      </c>
      <c r="K785" t="inlineStr">
        <is>
          <t>Farrokh, Kaveh.</t>
        </is>
      </c>
      <c r="L785" t="inlineStr">
        <is>
          <t>Oxford : Osprey, 2007.</t>
        </is>
      </c>
      <c r="M785" t="inlineStr">
        <is>
          <t>2007</t>
        </is>
      </c>
      <c r="O785" t="inlineStr">
        <is>
          <t>eng</t>
        </is>
      </c>
      <c r="P785" t="inlineStr">
        <is>
          <t>enk</t>
        </is>
      </c>
      <c r="R785" t="inlineStr">
        <is>
          <t xml:space="preserve">DS </t>
        </is>
      </c>
      <c r="S785" t="n">
        <v>4</v>
      </c>
      <c r="T785" t="n">
        <v>4</v>
      </c>
      <c r="U785" t="inlineStr">
        <is>
          <t>2010-10-25</t>
        </is>
      </c>
      <c r="V785" t="inlineStr">
        <is>
          <t>2010-10-25</t>
        </is>
      </c>
      <c r="W785" t="inlineStr">
        <is>
          <t>2008-12-09</t>
        </is>
      </c>
      <c r="X785" t="inlineStr">
        <is>
          <t>2008-12-09</t>
        </is>
      </c>
      <c r="Y785" t="n">
        <v>318</v>
      </c>
      <c r="Z785" t="n">
        <v>245</v>
      </c>
      <c r="AA785" t="n">
        <v>261</v>
      </c>
      <c r="AB785" t="n">
        <v>1</v>
      </c>
      <c r="AC785" t="n">
        <v>1</v>
      </c>
      <c r="AD785" t="n">
        <v>12</v>
      </c>
      <c r="AE785" t="n">
        <v>12</v>
      </c>
      <c r="AF785" t="n">
        <v>7</v>
      </c>
      <c r="AG785" t="n">
        <v>7</v>
      </c>
      <c r="AH785" t="n">
        <v>3</v>
      </c>
      <c r="AI785" t="n">
        <v>3</v>
      </c>
      <c r="AJ785" t="n">
        <v>7</v>
      </c>
      <c r="AK785" t="n">
        <v>7</v>
      </c>
      <c r="AL785" t="n">
        <v>0</v>
      </c>
      <c r="AM785" t="n">
        <v>0</v>
      </c>
      <c r="AN785" t="n">
        <v>0</v>
      </c>
      <c r="AO785" t="n">
        <v>0</v>
      </c>
      <c r="AP785" t="inlineStr">
        <is>
          <t>No</t>
        </is>
      </c>
      <c r="AQ785" t="inlineStr">
        <is>
          <t>No</t>
        </is>
      </c>
      <c r="AS785">
        <f>HYPERLINK("https://creighton-primo.hosted.exlibrisgroup.com/primo-explore/search?tab=default_tab&amp;search_scope=EVERYTHING&amp;vid=01CRU&amp;lang=en_US&amp;offset=0&amp;query=any,contains,991005281929702656","Catalog Record")</f>
        <v/>
      </c>
      <c r="AT785">
        <f>HYPERLINK("http://www.worldcat.org/oclc/76936414","WorldCat Record")</f>
        <v/>
      </c>
      <c r="AU785" t="inlineStr">
        <is>
          <t>864308210:eng</t>
        </is>
      </c>
      <c r="AV785" t="inlineStr">
        <is>
          <t>76936414</t>
        </is>
      </c>
      <c r="AW785" t="inlineStr">
        <is>
          <t>991005281929702656</t>
        </is>
      </c>
      <c r="AX785" t="inlineStr">
        <is>
          <t>991005281929702656</t>
        </is>
      </c>
      <c r="AY785" t="inlineStr">
        <is>
          <t>2265926110002656</t>
        </is>
      </c>
      <c r="AZ785" t="inlineStr">
        <is>
          <t>BOOK</t>
        </is>
      </c>
      <c r="BB785" t="inlineStr">
        <is>
          <t>9781846031083</t>
        </is>
      </c>
      <c r="BC785" t="inlineStr">
        <is>
          <t>32285005471304</t>
        </is>
      </c>
      <c r="BD785" t="inlineStr">
        <is>
          <t>893896181</t>
        </is>
      </c>
    </row>
    <row r="786">
      <c r="A786" t="inlineStr">
        <is>
          <t>No</t>
        </is>
      </c>
      <c r="B786" t="inlineStr">
        <is>
          <t>DS274 .C48</t>
        </is>
      </c>
      <c r="C786" t="inlineStr">
        <is>
          <t>0                      DS 0274000C  48</t>
        </is>
      </c>
      <c r="D786" t="inlineStr">
        <is>
          <t>The foreign relations of Iran : a developing state in a zone of great-power conflict / Shahram Chubin and Sepehr Zabih ; with a foreword by Paul Seabury.</t>
        </is>
      </c>
      <c r="F786" t="inlineStr">
        <is>
          <t>No</t>
        </is>
      </c>
      <c r="G786" t="inlineStr">
        <is>
          <t>1</t>
        </is>
      </c>
      <c r="H786" t="inlineStr">
        <is>
          <t>Yes</t>
        </is>
      </c>
      <c r="I786" t="inlineStr">
        <is>
          <t>No</t>
        </is>
      </c>
      <c r="J786" t="inlineStr">
        <is>
          <t>0</t>
        </is>
      </c>
      <c r="K786" t="inlineStr">
        <is>
          <t>Chubin, Shahram.</t>
        </is>
      </c>
      <c r="L786" t="inlineStr">
        <is>
          <t>Berkeley : University of California Press, c1974.</t>
        </is>
      </c>
      <c r="M786" t="inlineStr">
        <is>
          <t>1974</t>
        </is>
      </c>
      <c r="O786" t="inlineStr">
        <is>
          <t>eng</t>
        </is>
      </c>
      <c r="P786" t="inlineStr">
        <is>
          <t>cau</t>
        </is>
      </c>
      <c r="R786" t="inlineStr">
        <is>
          <t xml:space="preserve">DS </t>
        </is>
      </c>
      <c r="S786" t="n">
        <v>3</v>
      </c>
      <c r="T786" t="n">
        <v>3</v>
      </c>
      <c r="U786" t="inlineStr">
        <is>
          <t>2007-04-27</t>
        </is>
      </c>
      <c r="V786" t="inlineStr">
        <is>
          <t>2007-04-27</t>
        </is>
      </c>
      <c r="W786" t="inlineStr">
        <is>
          <t>1991-12-10</t>
        </is>
      </c>
      <c r="X786" t="inlineStr">
        <is>
          <t>1994-12-19</t>
        </is>
      </c>
      <c r="Y786" t="n">
        <v>611</v>
      </c>
      <c r="Z786" t="n">
        <v>484</v>
      </c>
      <c r="AA786" t="n">
        <v>486</v>
      </c>
      <c r="AB786" t="n">
        <v>5</v>
      </c>
      <c r="AC786" t="n">
        <v>5</v>
      </c>
      <c r="AD786" t="n">
        <v>25</v>
      </c>
      <c r="AE786" t="n">
        <v>25</v>
      </c>
      <c r="AF786" t="n">
        <v>9</v>
      </c>
      <c r="AG786" t="n">
        <v>9</v>
      </c>
      <c r="AH786" t="n">
        <v>7</v>
      </c>
      <c r="AI786" t="n">
        <v>7</v>
      </c>
      <c r="AJ786" t="n">
        <v>11</v>
      </c>
      <c r="AK786" t="n">
        <v>11</v>
      </c>
      <c r="AL786" t="n">
        <v>3</v>
      </c>
      <c r="AM786" t="n">
        <v>3</v>
      </c>
      <c r="AN786" t="n">
        <v>0</v>
      </c>
      <c r="AO786" t="n">
        <v>0</v>
      </c>
      <c r="AP786" t="inlineStr">
        <is>
          <t>No</t>
        </is>
      </c>
      <c r="AQ786" t="inlineStr">
        <is>
          <t>Yes</t>
        </is>
      </c>
      <c r="AR786">
        <f>HYPERLINK("http://catalog.hathitrust.org/Record/001248815","HathiTrust Record")</f>
        <v/>
      </c>
      <c r="AS786">
        <f>HYPERLINK("https://creighton-primo.hosted.exlibrisgroup.com/primo-explore/search?tab=default_tab&amp;search_scope=EVERYTHING&amp;vid=01CRU&amp;lang=en_US&amp;offset=0&amp;query=any,contains,991001699579702656","Catalog Record")</f>
        <v/>
      </c>
      <c r="AT786">
        <f>HYPERLINK("http://www.worldcat.org/oclc/1219525","WorldCat Record")</f>
        <v/>
      </c>
      <c r="AU786" t="inlineStr">
        <is>
          <t>836702476:eng</t>
        </is>
      </c>
      <c r="AV786" t="inlineStr">
        <is>
          <t>1219525</t>
        </is>
      </c>
      <c r="AW786" t="inlineStr">
        <is>
          <t>991001699579702656</t>
        </is>
      </c>
      <c r="AX786" t="inlineStr">
        <is>
          <t>991001699579702656</t>
        </is>
      </c>
      <c r="AY786" t="inlineStr">
        <is>
          <t>2271494200002656</t>
        </is>
      </c>
      <c r="AZ786" t="inlineStr">
        <is>
          <t>BOOK</t>
        </is>
      </c>
      <c r="BB786" t="inlineStr">
        <is>
          <t>9780520026834</t>
        </is>
      </c>
      <c r="BC786" t="inlineStr">
        <is>
          <t>32285000875400</t>
        </is>
      </c>
      <c r="BD786" t="inlineStr">
        <is>
          <t>893497294</t>
        </is>
      </c>
    </row>
    <row r="787">
      <c r="A787" t="inlineStr">
        <is>
          <t>No</t>
        </is>
      </c>
      <c r="B787" t="inlineStr">
        <is>
          <t>DS274 .F38 1952</t>
        </is>
      </c>
      <c r="C787" t="inlineStr">
        <is>
          <t>0                      DS 0274000F  38          1952</t>
        </is>
      </c>
      <c r="D787" t="inlineStr">
        <is>
          <t>Diplomatic history of Persia, 1917-1923 : Anglo-Russian power politics in Iran / Nasrollah Saifpour Fatemi.</t>
        </is>
      </c>
      <c r="F787" t="inlineStr">
        <is>
          <t>No</t>
        </is>
      </c>
      <c r="G787" t="inlineStr">
        <is>
          <t>1</t>
        </is>
      </c>
      <c r="H787" t="inlineStr">
        <is>
          <t>No</t>
        </is>
      </c>
      <c r="I787" t="inlineStr">
        <is>
          <t>No</t>
        </is>
      </c>
      <c r="J787" t="inlineStr">
        <is>
          <t>0</t>
        </is>
      </c>
      <c r="K787" t="inlineStr">
        <is>
          <t>Fatemi, Nasrollah S. (Nasrollah Saifpour), 1910-1990.</t>
        </is>
      </c>
      <c r="L787" t="inlineStr">
        <is>
          <t>New York : Russell F. Moore, c1952.</t>
        </is>
      </c>
      <c r="M787" t="inlineStr">
        <is>
          <t>1952</t>
        </is>
      </c>
      <c r="O787" t="inlineStr">
        <is>
          <t>eng</t>
        </is>
      </c>
      <c r="P787" t="inlineStr">
        <is>
          <t>nyu</t>
        </is>
      </c>
      <c r="R787" t="inlineStr">
        <is>
          <t xml:space="preserve">DS </t>
        </is>
      </c>
      <c r="S787" t="n">
        <v>1</v>
      </c>
      <c r="T787" t="n">
        <v>1</v>
      </c>
      <c r="U787" t="inlineStr">
        <is>
          <t>1993-04-20</t>
        </is>
      </c>
      <c r="V787" t="inlineStr">
        <is>
          <t>1993-04-20</t>
        </is>
      </c>
      <c r="W787" t="inlineStr">
        <is>
          <t>1991-03-06</t>
        </is>
      </c>
      <c r="X787" t="inlineStr">
        <is>
          <t>1991-03-06</t>
        </is>
      </c>
      <c r="Y787" t="n">
        <v>321</v>
      </c>
      <c r="Z787" t="n">
        <v>255</v>
      </c>
      <c r="AA787" t="n">
        <v>256</v>
      </c>
      <c r="AB787" t="n">
        <v>3</v>
      </c>
      <c r="AC787" t="n">
        <v>3</v>
      </c>
      <c r="AD787" t="n">
        <v>11</v>
      </c>
      <c r="AE787" t="n">
        <v>11</v>
      </c>
      <c r="AF787" t="n">
        <v>1</v>
      </c>
      <c r="AG787" t="n">
        <v>1</v>
      </c>
      <c r="AH787" t="n">
        <v>3</v>
      </c>
      <c r="AI787" t="n">
        <v>3</v>
      </c>
      <c r="AJ787" t="n">
        <v>7</v>
      </c>
      <c r="AK787" t="n">
        <v>7</v>
      </c>
      <c r="AL787" t="n">
        <v>2</v>
      </c>
      <c r="AM787" t="n">
        <v>2</v>
      </c>
      <c r="AN787" t="n">
        <v>1</v>
      </c>
      <c r="AO787" t="n">
        <v>1</v>
      </c>
      <c r="AP787" t="inlineStr">
        <is>
          <t>No</t>
        </is>
      </c>
      <c r="AQ787" t="inlineStr">
        <is>
          <t>No</t>
        </is>
      </c>
      <c r="AS787">
        <f>HYPERLINK("https://creighton-primo.hosted.exlibrisgroup.com/primo-explore/search?tab=default_tab&amp;search_scope=EVERYTHING&amp;vid=01CRU&amp;lang=en_US&amp;offset=0&amp;query=any,contains,991003644519702656","Catalog Record")</f>
        <v/>
      </c>
      <c r="AT787">
        <f>HYPERLINK("http://www.worldcat.org/oclc/1244038","WorldCat Record")</f>
        <v/>
      </c>
      <c r="AU787" t="inlineStr">
        <is>
          <t>343822623:eng</t>
        </is>
      </c>
      <c r="AV787" t="inlineStr">
        <is>
          <t>1244038</t>
        </is>
      </c>
      <c r="AW787" t="inlineStr">
        <is>
          <t>991003644519702656</t>
        </is>
      </c>
      <c r="AX787" t="inlineStr">
        <is>
          <t>991003644519702656</t>
        </is>
      </c>
      <c r="AY787" t="inlineStr">
        <is>
          <t>2261767190002656</t>
        </is>
      </c>
      <c r="AZ787" t="inlineStr">
        <is>
          <t>BOOK</t>
        </is>
      </c>
      <c r="BC787" t="inlineStr">
        <is>
          <t>32285000299973</t>
        </is>
      </c>
      <c r="BD787" t="inlineStr">
        <is>
          <t>893900211</t>
        </is>
      </c>
    </row>
    <row r="788">
      <c r="A788" t="inlineStr">
        <is>
          <t>No</t>
        </is>
      </c>
      <c r="B788" t="inlineStr">
        <is>
          <t>DS274 .W35 1987</t>
        </is>
      </c>
      <c r="C788" t="inlineStr">
        <is>
          <t>0                      DS 0274000W  35          1987</t>
        </is>
      </c>
      <c r="D788" t="inlineStr">
        <is>
          <t>Iran, the Arabs, and the West : the story of twenty-five centuries / Salim Wakim.</t>
        </is>
      </c>
      <c r="F788" t="inlineStr">
        <is>
          <t>No</t>
        </is>
      </c>
      <c r="G788" t="inlineStr">
        <is>
          <t>1</t>
        </is>
      </c>
      <c r="H788" t="inlineStr">
        <is>
          <t>No</t>
        </is>
      </c>
      <c r="I788" t="inlineStr">
        <is>
          <t>No</t>
        </is>
      </c>
      <c r="J788" t="inlineStr">
        <is>
          <t>0</t>
        </is>
      </c>
      <c r="K788" t="inlineStr">
        <is>
          <t>Wakim, Salim.</t>
        </is>
      </c>
      <c r="L788" t="inlineStr">
        <is>
          <t>New York : Vantage Press, c1987.</t>
        </is>
      </c>
      <c r="M788" t="inlineStr">
        <is>
          <t>1987</t>
        </is>
      </c>
      <c r="N788" t="inlineStr">
        <is>
          <t>1st ed.</t>
        </is>
      </c>
      <c r="O788" t="inlineStr">
        <is>
          <t>eng</t>
        </is>
      </c>
      <c r="P788" t="inlineStr">
        <is>
          <t>nyu</t>
        </is>
      </c>
      <c r="R788" t="inlineStr">
        <is>
          <t xml:space="preserve">DS </t>
        </is>
      </c>
      <c r="S788" t="n">
        <v>7</v>
      </c>
      <c r="T788" t="n">
        <v>7</v>
      </c>
      <c r="U788" t="inlineStr">
        <is>
          <t>2004-06-28</t>
        </is>
      </c>
      <c r="V788" t="inlineStr">
        <is>
          <t>2004-06-28</t>
        </is>
      </c>
      <c r="W788" t="inlineStr">
        <is>
          <t>1990-10-08</t>
        </is>
      </c>
      <c r="X788" t="inlineStr">
        <is>
          <t>1990-10-08</t>
        </is>
      </c>
      <c r="Y788" t="n">
        <v>26</v>
      </c>
      <c r="Z788" t="n">
        <v>21</v>
      </c>
      <c r="AA788" t="n">
        <v>23</v>
      </c>
      <c r="AB788" t="n">
        <v>1</v>
      </c>
      <c r="AC788" t="n">
        <v>1</v>
      </c>
      <c r="AD788" t="n">
        <v>0</v>
      </c>
      <c r="AE788" t="n">
        <v>0</v>
      </c>
      <c r="AF788" t="n">
        <v>0</v>
      </c>
      <c r="AG788" t="n">
        <v>0</v>
      </c>
      <c r="AH788" t="n">
        <v>0</v>
      </c>
      <c r="AI788" t="n">
        <v>0</v>
      </c>
      <c r="AJ788" t="n">
        <v>0</v>
      </c>
      <c r="AK788" t="n">
        <v>0</v>
      </c>
      <c r="AL788" t="n">
        <v>0</v>
      </c>
      <c r="AM788" t="n">
        <v>0</v>
      </c>
      <c r="AN788" t="n">
        <v>0</v>
      </c>
      <c r="AO788" t="n">
        <v>0</v>
      </c>
      <c r="AP788" t="inlineStr">
        <is>
          <t>No</t>
        </is>
      </c>
      <c r="AQ788" t="inlineStr">
        <is>
          <t>Yes</t>
        </is>
      </c>
      <c r="AR788">
        <f>HYPERLINK("http://catalog.hathitrust.org/Record/006041347","HathiTrust Record")</f>
        <v/>
      </c>
      <c r="AS788">
        <f>HYPERLINK("https://creighton-primo.hosted.exlibrisgroup.com/primo-explore/search?tab=default_tab&amp;search_scope=EVERYTHING&amp;vid=01CRU&amp;lang=en_US&amp;offset=0&amp;query=any,contains,991001303749702656","Catalog Record")</f>
        <v/>
      </c>
      <c r="AT788">
        <f>HYPERLINK("http://www.worldcat.org/oclc/18078333","WorldCat Record")</f>
        <v/>
      </c>
      <c r="AU788" t="inlineStr">
        <is>
          <t>475733958:eng</t>
        </is>
      </c>
      <c r="AV788" t="inlineStr">
        <is>
          <t>18078333</t>
        </is>
      </c>
      <c r="AW788" t="inlineStr">
        <is>
          <t>991001303749702656</t>
        </is>
      </c>
      <c r="AX788" t="inlineStr">
        <is>
          <t>991001303749702656</t>
        </is>
      </c>
      <c r="AY788" t="inlineStr">
        <is>
          <t>2266331210002656</t>
        </is>
      </c>
      <c r="AZ788" t="inlineStr">
        <is>
          <t>BOOK</t>
        </is>
      </c>
      <c r="BC788" t="inlineStr">
        <is>
          <t>32285000335652</t>
        </is>
      </c>
      <c r="BD788" t="inlineStr">
        <is>
          <t>893702923</t>
        </is>
      </c>
    </row>
    <row r="789">
      <c r="A789" t="inlineStr">
        <is>
          <t>No</t>
        </is>
      </c>
      <c r="B789" t="inlineStr">
        <is>
          <t>DS274.2.I57 I85 1982</t>
        </is>
      </c>
      <c r="C789" t="inlineStr">
        <is>
          <t>0                      DS 0274200I  57                 I  85          1982</t>
        </is>
      </c>
      <c r="D789" t="inlineStr">
        <is>
          <t>Iraq and Iran : roots of conflict / Tareq Y. Ismael.</t>
        </is>
      </c>
      <c r="F789" t="inlineStr">
        <is>
          <t>No</t>
        </is>
      </c>
      <c r="G789" t="inlineStr">
        <is>
          <t>1</t>
        </is>
      </c>
      <c r="H789" t="inlineStr">
        <is>
          <t>No</t>
        </is>
      </c>
      <c r="I789" t="inlineStr">
        <is>
          <t>No</t>
        </is>
      </c>
      <c r="J789" t="inlineStr">
        <is>
          <t>0</t>
        </is>
      </c>
      <c r="K789" t="inlineStr">
        <is>
          <t>Ismael, Tareq Y.</t>
        </is>
      </c>
      <c r="L789" t="inlineStr">
        <is>
          <t>Syracuse, N.Y. : Syracuse University Press, 1982.</t>
        </is>
      </c>
      <c r="M789" t="inlineStr">
        <is>
          <t>1982</t>
        </is>
      </c>
      <c r="N789" t="inlineStr">
        <is>
          <t>1st ed.</t>
        </is>
      </c>
      <c r="O789" t="inlineStr">
        <is>
          <t>eng</t>
        </is>
      </c>
      <c r="P789" t="inlineStr">
        <is>
          <t>nyu</t>
        </is>
      </c>
      <c r="Q789" t="inlineStr">
        <is>
          <t>Contemporary issues in the Middle East</t>
        </is>
      </c>
      <c r="R789" t="inlineStr">
        <is>
          <t xml:space="preserve">DS </t>
        </is>
      </c>
      <c r="S789" t="n">
        <v>10</v>
      </c>
      <c r="T789" t="n">
        <v>10</v>
      </c>
      <c r="U789" t="inlineStr">
        <is>
          <t>2003-03-18</t>
        </is>
      </c>
      <c r="V789" t="inlineStr">
        <is>
          <t>2003-03-18</t>
        </is>
      </c>
      <c r="W789" t="inlineStr">
        <is>
          <t>1990-06-05</t>
        </is>
      </c>
      <c r="X789" t="inlineStr">
        <is>
          <t>1990-06-05</t>
        </is>
      </c>
      <c r="Y789" t="n">
        <v>693</v>
      </c>
      <c r="Z789" t="n">
        <v>584</v>
      </c>
      <c r="AA789" t="n">
        <v>586</v>
      </c>
      <c r="AB789" t="n">
        <v>3</v>
      </c>
      <c r="AC789" t="n">
        <v>3</v>
      </c>
      <c r="AD789" t="n">
        <v>28</v>
      </c>
      <c r="AE789" t="n">
        <v>28</v>
      </c>
      <c r="AF789" t="n">
        <v>11</v>
      </c>
      <c r="AG789" t="n">
        <v>11</v>
      </c>
      <c r="AH789" t="n">
        <v>7</v>
      </c>
      <c r="AI789" t="n">
        <v>7</v>
      </c>
      <c r="AJ789" t="n">
        <v>12</v>
      </c>
      <c r="AK789" t="n">
        <v>12</v>
      </c>
      <c r="AL789" t="n">
        <v>2</v>
      </c>
      <c r="AM789" t="n">
        <v>2</v>
      </c>
      <c r="AN789" t="n">
        <v>2</v>
      </c>
      <c r="AO789" t="n">
        <v>2</v>
      </c>
      <c r="AP789" t="inlineStr">
        <is>
          <t>No</t>
        </is>
      </c>
      <c r="AQ789" t="inlineStr">
        <is>
          <t>Yes</t>
        </is>
      </c>
      <c r="AR789">
        <f>HYPERLINK("http://catalog.hathitrust.org/Record/000192986","HathiTrust Record")</f>
        <v/>
      </c>
      <c r="AS789">
        <f>HYPERLINK("https://creighton-primo.hosted.exlibrisgroup.com/primo-explore/search?tab=default_tab&amp;search_scope=EVERYTHING&amp;vid=01CRU&amp;lang=en_US&amp;offset=0&amp;query=any,contains,991000044339702656","Catalog Record")</f>
        <v/>
      </c>
      <c r="AT789">
        <f>HYPERLINK("http://www.worldcat.org/oclc/8667511","WorldCat Record")</f>
        <v/>
      </c>
      <c r="AU789" t="inlineStr">
        <is>
          <t>915614177:eng</t>
        </is>
      </c>
      <c r="AV789" t="inlineStr">
        <is>
          <t>8667511</t>
        </is>
      </c>
      <c r="AW789" t="inlineStr">
        <is>
          <t>991000044339702656</t>
        </is>
      </c>
      <c r="AX789" t="inlineStr">
        <is>
          <t>991000044339702656</t>
        </is>
      </c>
      <c r="AY789" t="inlineStr">
        <is>
          <t>2270936160002656</t>
        </is>
      </c>
      <c r="AZ789" t="inlineStr">
        <is>
          <t>BOOK</t>
        </is>
      </c>
      <c r="BB789" t="inlineStr">
        <is>
          <t>9780815622796</t>
        </is>
      </c>
      <c r="BC789" t="inlineStr">
        <is>
          <t>32285000181684</t>
        </is>
      </c>
      <c r="BD789" t="inlineStr">
        <is>
          <t>893406879</t>
        </is>
      </c>
    </row>
    <row r="790">
      <c r="A790" t="inlineStr">
        <is>
          <t>No</t>
        </is>
      </c>
      <c r="B790" t="inlineStr">
        <is>
          <t>DS274.2.I7 G46 1994</t>
        </is>
      </c>
      <c r="C790" t="inlineStr">
        <is>
          <t>0                      DS 0274200I  7                  G  46          1994</t>
        </is>
      </c>
      <c r="D790" t="inlineStr">
        <is>
          <t>Barbarian Asia and the Greek experience : from the archaic period to the age of Xenophon / Pericles Georges.</t>
        </is>
      </c>
      <c r="F790" t="inlineStr">
        <is>
          <t>No</t>
        </is>
      </c>
      <c r="G790" t="inlineStr">
        <is>
          <t>1</t>
        </is>
      </c>
      <c r="H790" t="inlineStr">
        <is>
          <t>No</t>
        </is>
      </c>
      <c r="I790" t="inlineStr">
        <is>
          <t>No</t>
        </is>
      </c>
      <c r="J790" t="inlineStr">
        <is>
          <t>0</t>
        </is>
      </c>
      <c r="K790" t="inlineStr">
        <is>
          <t>Georges, Pericles.</t>
        </is>
      </c>
      <c r="L790" t="inlineStr">
        <is>
          <t>Baltimore : Johns Hopkins University Press, c1994.</t>
        </is>
      </c>
      <c r="M790" t="inlineStr">
        <is>
          <t>1994</t>
        </is>
      </c>
      <c r="O790" t="inlineStr">
        <is>
          <t>eng</t>
        </is>
      </c>
      <c r="P790" t="inlineStr">
        <is>
          <t>mdu</t>
        </is>
      </c>
      <c r="Q790" t="inlineStr">
        <is>
          <t>Ancient society and history</t>
        </is>
      </c>
      <c r="R790" t="inlineStr">
        <is>
          <t xml:space="preserve">DS </t>
        </is>
      </c>
      <c r="S790" t="n">
        <v>2</v>
      </c>
      <c r="T790" t="n">
        <v>2</v>
      </c>
      <c r="U790" t="inlineStr">
        <is>
          <t>2004-11-02</t>
        </is>
      </c>
      <c r="V790" t="inlineStr">
        <is>
          <t>2004-11-02</t>
        </is>
      </c>
      <c r="W790" t="inlineStr">
        <is>
          <t>1995-03-19</t>
        </is>
      </c>
      <c r="X790" t="inlineStr">
        <is>
          <t>1995-03-19</t>
        </is>
      </c>
      <c r="Y790" t="n">
        <v>428</v>
      </c>
      <c r="Z790" t="n">
        <v>324</v>
      </c>
      <c r="AA790" t="n">
        <v>325</v>
      </c>
      <c r="AB790" t="n">
        <v>3</v>
      </c>
      <c r="AC790" t="n">
        <v>3</v>
      </c>
      <c r="AD790" t="n">
        <v>19</v>
      </c>
      <c r="AE790" t="n">
        <v>19</v>
      </c>
      <c r="AF790" t="n">
        <v>5</v>
      </c>
      <c r="AG790" t="n">
        <v>5</v>
      </c>
      <c r="AH790" t="n">
        <v>5</v>
      </c>
      <c r="AI790" t="n">
        <v>5</v>
      </c>
      <c r="AJ790" t="n">
        <v>14</v>
      </c>
      <c r="AK790" t="n">
        <v>14</v>
      </c>
      <c r="AL790" t="n">
        <v>2</v>
      </c>
      <c r="AM790" t="n">
        <v>2</v>
      </c>
      <c r="AN790" t="n">
        <v>0</v>
      </c>
      <c r="AO790" t="n">
        <v>0</v>
      </c>
      <c r="AP790" t="inlineStr">
        <is>
          <t>No</t>
        </is>
      </c>
      <c r="AQ790" t="inlineStr">
        <is>
          <t>Yes</t>
        </is>
      </c>
      <c r="AR790">
        <f>HYPERLINK("http://catalog.hathitrust.org/Record/002893404","HathiTrust Record")</f>
        <v/>
      </c>
      <c r="AS790">
        <f>HYPERLINK("https://creighton-primo.hosted.exlibrisgroup.com/primo-explore/search?tab=default_tab&amp;search_scope=EVERYTHING&amp;vid=01CRU&amp;lang=en_US&amp;offset=0&amp;query=any,contains,991002236909702656","Catalog Record")</f>
        <v/>
      </c>
      <c r="AT790">
        <f>HYPERLINK("http://www.worldcat.org/oclc/28848513","WorldCat Record")</f>
        <v/>
      </c>
      <c r="AU790" t="inlineStr">
        <is>
          <t>807612121:eng</t>
        </is>
      </c>
      <c r="AV790" t="inlineStr">
        <is>
          <t>28848513</t>
        </is>
      </c>
      <c r="AW790" t="inlineStr">
        <is>
          <t>991002236909702656</t>
        </is>
      </c>
      <c r="AX790" t="inlineStr">
        <is>
          <t>991002236909702656</t>
        </is>
      </c>
      <c r="AY790" t="inlineStr">
        <is>
          <t>2266893340002656</t>
        </is>
      </c>
      <c r="AZ790" t="inlineStr">
        <is>
          <t>BOOK</t>
        </is>
      </c>
      <c r="BB790" t="inlineStr">
        <is>
          <t>9780801847349</t>
        </is>
      </c>
      <c r="BC790" t="inlineStr">
        <is>
          <t>32285002002987</t>
        </is>
      </c>
      <c r="BD790" t="inlineStr">
        <is>
          <t>893703840</t>
        </is>
      </c>
    </row>
    <row r="791">
      <c r="A791" t="inlineStr">
        <is>
          <t>No</t>
        </is>
      </c>
      <c r="B791" t="inlineStr">
        <is>
          <t>DS274.2.I72 K48 1988</t>
        </is>
      </c>
      <c r="C791" t="inlineStr">
        <is>
          <t>0                      DS 0274200I  72                 K  48          1988</t>
        </is>
      </c>
      <c r="D791" t="inlineStr">
        <is>
          <t>The Gulf war : the origins and implications of the Iraq-Iran conflict / Majid Khadduri.</t>
        </is>
      </c>
      <c r="F791" t="inlineStr">
        <is>
          <t>No</t>
        </is>
      </c>
      <c r="G791" t="inlineStr">
        <is>
          <t>1</t>
        </is>
      </c>
      <c r="H791" t="inlineStr">
        <is>
          <t>No</t>
        </is>
      </c>
      <c r="I791" t="inlineStr">
        <is>
          <t>No</t>
        </is>
      </c>
      <c r="J791" t="inlineStr">
        <is>
          <t>0</t>
        </is>
      </c>
      <c r="K791" t="inlineStr">
        <is>
          <t>Khadduri, Majid, 1908-2007.</t>
        </is>
      </c>
      <c r="L791" t="inlineStr">
        <is>
          <t>New York : Oxford University Press, 1988.</t>
        </is>
      </c>
      <c r="M791" t="inlineStr">
        <is>
          <t>1988</t>
        </is>
      </c>
      <c r="O791" t="inlineStr">
        <is>
          <t>eng</t>
        </is>
      </c>
      <c r="P791" t="inlineStr">
        <is>
          <t>nyu</t>
        </is>
      </c>
      <c r="R791" t="inlineStr">
        <is>
          <t xml:space="preserve">DS </t>
        </is>
      </c>
      <c r="S791" t="n">
        <v>5</v>
      </c>
      <c r="T791" t="n">
        <v>5</v>
      </c>
      <c r="U791" t="inlineStr">
        <is>
          <t>1998-04-16</t>
        </is>
      </c>
      <c r="V791" t="inlineStr">
        <is>
          <t>1998-04-16</t>
        </is>
      </c>
      <c r="W791" t="inlineStr">
        <is>
          <t>1990-04-25</t>
        </is>
      </c>
      <c r="X791" t="inlineStr">
        <is>
          <t>1990-04-25</t>
        </is>
      </c>
      <c r="Y791" t="n">
        <v>867</v>
      </c>
      <c r="Z791" t="n">
        <v>728</v>
      </c>
      <c r="AA791" t="n">
        <v>734</v>
      </c>
      <c r="AB791" t="n">
        <v>3</v>
      </c>
      <c r="AC791" t="n">
        <v>3</v>
      </c>
      <c r="AD791" t="n">
        <v>23</v>
      </c>
      <c r="AE791" t="n">
        <v>23</v>
      </c>
      <c r="AF791" t="n">
        <v>7</v>
      </c>
      <c r="AG791" t="n">
        <v>7</v>
      </c>
      <c r="AH791" t="n">
        <v>7</v>
      </c>
      <c r="AI791" t="n">
        <v>7</v>
      </c>
      <c r="AJ791" t="n">
        <v>14</v>
      </c>
      <c r="AK791" t="n">
        <v>14</v>
      </c>
      <c r="AL791" t="n">
        <v>2</v>
      </c>
      <c r="AM791" t="n">
        <v>2</v>
      </c>
      <c r="AN791" t="n">
        <v>0</v>
      </c>
      <c r="AO791" t="n">
        <v>0</v>
      </c>
      <c r="AP791" t="inlineStr">
        <is>
          <t>No</t>
        </is>
      </c>
      <c r="AQ791" t="inlineStr">
        <is>
          <t>Yes</t>
        </is>
      </c>
      <c r="AR791">
        <f>HYPERLINK("http://catalog.hathitrust.org/Record/000919388","HathiTrust Record")</f>
        <v/>
      </c>
      <c r="AS791">
        <f>HYPERLINK("https://creighton-primo.hosted.exlibrisgroup.com/primo-explore/search?tab=default_tab&amp;search_scope=EVERYTHING&amp;vid=01CRU&amp;lang=en_US&amp;offset=0&amp;query=any,contains,991001206999702656","Catalog Record")</f>
        <v/>
      </c>
      <c r="AT791">
        <f>HYPERLINK("http://www.worldcat.org/oclc/17354195","WorldCat Record")</f>
        <v/>
      </c>
      <c r="AU791" t="inlineStr">
        <is>
          <t>836754490:eng</t>
        </is>
      </c>
      <c r="AV791" t="inlineStr">
        <is>
          <t>17354195</t>
        </is>
      </c>
      <c r="AW791" t="inlineStr">
        <is>
          <t>991001206999702656</t>
        </is>
      </c>
      <c r="AX791" t="inlineStr">
        <is>
          <t>991001206999702656</t>
        </is>
      </c>
      <c r="AY791" t="inlineStr">
        <is>
          <t>2268204660002656</t>
        </is>
      </c>
      <c r="AZ791" t="inlineStr">
        <is>
          <t>BOOK</t>
        </is>
      </c>
      <c r="BB791" t="inlineStr">
        <is>
          <t>9780195045291</t>
        </is>
      </c>
      <c r="BC791" t="inlineStr">
        <is>
          <t>32285000131853</t>
        </is>
      </c>
      <c r="BD791" t="inlineStr">
        <is>
          <t>893590108</t>
        </is>
      </c>
    </row>
    <row r="792">
      <c r="A792" t="inlineStr">
        <is>
          <t>No</t>
        </is>
      </c>
      <c r="B792" t="inlineStr">
        <is>
          <t>DS275 .C3 1968</t>
        </is>
      </c>
      <c r="C792" t="inlineStr">
        <is>
          <t>0                      DS 0275000C  3           1968</t>
        </is>
      </c>
      <c r="D792" t="inlineStr">
        <is>
          <t>History of early Iran, by George G. Cameron.</t>
        </is>
      </c>
      <c r="F792" t="inlineStr">
        <is>
          <t>No</t>
        </is>
      </c>
      <c r="G792" t="inlineStr">
        <is>
          <t>1</t>
        </is>
      </c>
      <c r="H792" t="inlineStr">
        <is>
          <t>No</t>
        </is>
      </c>
      <c r="I792" t="inlineStr">
        <is>
          <t>No</t>
        </is>
      </c>
      <c r="J792" t="inlineStr">
        <is>
          <t>0</t>
        </is>
      </c>
      <c r="K792" t="inlineStr">
        <is>
          <t>Cameron, George G. (George Glenn), 1905-1979.</t>
        </is>
      </c>
      <c r="L792" t="inlineStr">
        <is>
          <t>New York, Greenwood Press [1968, c1936]</t>
        </is>
      </c>
      <c r="M792" t="inlineStr">
        <is>
          <t>1968</t>
        </is>
      </c>
      <c r="O792" t="inlineStr">
        <is>
          <t>eng</t>
        </is>
      </c>
      <c r="P792" t="inlineStr">
        <is>
          <t>nyu</t>
        </is>
      </c>
      <c r="R792" t="inlineStr">
        <is>
          <t xml:space="preserve">DS </t>
        </is>
      </c>
      <c r="S792" t="n">
        <v>3</v>
      </c>
      <c r="T792" t="n">
        <v>3</v>
      </c>
      <c r="U792" t="inlineStr">
        <is>
          <t>2004-10-22</t>
        </is>
      </c>
      <c r="V792" t="inlineStr">
        <is>
          <t>2004-10-22</t>
        </is>
      </c>
      <c r="W792" t="inlineStr">
        <is>
          <t>1997-03-06</t>
        </is>
      </c>
      <c r="X792" t="inlineStr">
        <is>
          <t>1997-03-06</t>
        </is>
      </c>
      <c r="Y792" t="n">
        <v>318</v>
      </c>
      <c r="Z792" t="n">
        <v>276</v>
      </c>
      <c r="AA792" t="n">
        <v>545</v>
      </c>
      <c r="AB792" t="n">
        <v>2</v>
      </c>
      <c r="AC792" t="n">
        <v>2</v>
      </c>
      <c r="AD792" t="n">
        <v>15</v>
      </c>
      <c r="AE792" t="n">
        <v>19</v>
      </c>
      <c r="AF792" t="n">
        <v>6</v>
      </c>
      <c r="AG792" t="n">
        <v>8</v>
      </c>
      <c r="AH792" t="n">
        <v>5</v>
      </c>
      <c r="AI792" t="n">
        <v>6</v>
      </c>
      <c r="AJ792" t="n">
        <v>7</v>
      </c>
      <c r="AK792" t="n">
        <v>9</v>
      </c>
      <c r="AL792" t="n">
        <v>1</v>
      </c>
      <c r="AM792" t="n">
        <v>1</v>
      </c>
      <c r="AN792" t="n">
        <v>0</v>
      </c>
      <c r="AO792" t="n">
        <v>0</v>
      </c>
      <c r="AP792" t="inlineStr">
        <is>
          <t>No</t>
        </is>
      </c>
      <c r="AQ792" t="inlineStr">
        <is>
          <t>Yes</t>
        </is>
      </c>
      <c r="AR792">
        <f>HYPERLINK("http://catalog.hathitrust.org/Record/010092066","HathiTrust Record")</f>
        <v/>
      </c>
      <c r="AS792">
        <f>HYPERLINK("https://creighton-primo.hosted.exlibrisgroup.com/primo-explore/search?tab=default_tab&amp;search_scope=EVERYTHING&amp;vid=01CRU&amp;lang=en_US&amp;offset=0&amp;query=any,contains,991005435119702656","Catalog Record")</f>
        <v/>
      </c>
      <c r="AT792">
        <f>HYPERLINK("http://www.worldcat.org/oclc/2833","WorldCat Record")</f>
        <v/>
      </c>
      <c r="AU792" t="inlineStr">
        <is>
          <t>417990:eng</t>
        </is>
      </c>
      <c r="AV792" t="inlineStr">
        <is>
          <t>2833</t>
        </is>
      </c>
      <c r="AW792" t="inlineStr">
        <is>
          <t>991005435119702656</t>
        </is>
      </c>
      <c r="AX792" t="inlineStr">
        <is>
          <t>991005435119702656</t>
        </is>
      </c>
      <c r="AY792" t="inlineStr">
        <is>
          <t>2262891180002656</t>
        </is>
      </c>
      <c r="AZ792" t="inlineStr">
        <is>
          <t>BOOK</t>
        </is>
      </c>
      <c r="BC792" t="inlineStr">
        <is>
          <t>32285002455466</t>
        </is>
      </c>
      <c r="BD792" t="inlineStr">
        <is>
          <t>893508264</t>
        </is>
      </c>
    </row>
    <row r="793">
      <c r="A793" t="inlineStr">
        <is>
          <t>No</t>
        </is>
      </c>
      <c r="B793" t="inlineStr">
        <is>
          <t>DS281 .A3 1983</t>
        </is>
      </c>
      <c r="C793" t="inlineStr">
        <is>
          <t>0                      DS 0281000A  3           1983</t>
        </is>
      </c>
      <c r="D793" t="inlineStr">
        <is>
          <t>Achaemenid history. I : sources, structures and synthesis ; proceedings of the Groningen 1983 Achaemenid History Workshop / edited by Heleen Sancisi-Weerdenburg.</t>
        </is>
      </c>
      <c r="F793" t="inlineStr">
        <is>
          <t>No</t>
        </is>
      </c>
      <c r="G793" t="inlineStr">
        <is>
          <t>1</t>
        </is>
      </c>
      <c r="H793" t="inlineStr">
        <is>
          <t>No</t>
        </is>
      </c>
      <c r="I793" t="inlineStr">
        <is>
          <t>No</t>
        </is>
      </c>
      <c r="J793" t="inlineStr">
        <is>
          <t>0</t>
        </is>
      </c>
      <c r="K793" t="inlineStr">
        <is>
          <t>Achaemenid History Workshop (1983 : Groningen, Netherlands)</t>
        </is>
      </c>
      <c r="L793" t="inlineStr">
        <is>
          <t>Leiden : Nederlands Instituut voor het Nabije Oosten, 1987.</t>
        </is>
      </c>
      <c r="M793" t="inlineStr">
        <is>
          <t>1987</t>
        </is>
      </c>
      <c r="O793" t="inlineStr">
        <is>
          <t>eng</t>
        </is>
      </c>
      <c r="P793" t="inlineStr">
        <is>
          <t xml:space="preserve">ne </t>
        </is>
      </c>
      <c r="R793" t="inlineStr">
        <is>
          <t xml:space="preserve">DS </t>
        </is>
      </c>
      <c r="S793" t="n">
        <v>2</v>
      </c>
      <c r="T793" t="n">
        <v>2</v>
      </c>
      <c r="U793" t="inlineStr">
        <is>
          <t>1995-05-09</t>
        </is>
      </c>
      <c r="V793" t="inlineStr">
        <is>
          <t>1995-05-09</t>
        </is>
      </c>
      <c r="W793" t="inlineStr">
        <is>
          <t>1992-06-24</t>
        </is>
      </c>
      <c r="X793" t="inlineStr">
        <is>
          <t>1992-06-24</t>
        </is>
      </c>
      <c r="Y793" t="n">
        <v>111</v>
      </c>
      <c r="Z793" t="n">
        <v>72</v>
      </c>
      <c r="AA793" t="n">
        <v>73</v>
      </c>
      <c r="AB793" t="n">
        <v>1</v>
      </c>
      <c r="AC793" t="n">
        <v>1</v>
      </c>
      <c r="AD793" t="n">
        <v>1</v>
      </c>
      <c r="AE793" t="n">
        <v>1</v>
      </c>
      <c r="AF793" t="n">
        <v>1</v>
      </c>
      <c r="AG793" t="n">
        <v>1</v>
      </c>
      <c r="AH793" t="n">
        <v>0</v>
      </c>
      <c r="AI793" t="n">
        <v>0</v>
      </c>
      <c r="AJ793" t="n">
        <v>1</v>
      </c>
      <c r="AK793" t="n">
        <v>1</v>
      </c>
      <c r="AL793" t="n">
        <v>0</v>
      </c>
      <c r="AM793" t="n">
        <v>0</v>
      </c>
      <c r="AN793" t="n">
        <v>0</v>
      </c>
      <c r="AO793" t="n">
        <v>0</v>
      </c>
      <c r="AP793" t="inlineStr">
        <is>
          <t>No</t>
        </is>
      </c>
      <c r="AQ793" t="inlineStr">
        <is>
          <t>No</t>
        </is>
      </c>
      <c r="AS793">
        <f>HYPERLINK("https://creighton-primo.hosted.exlibrisgroup.com/primo-explore/search?tab=default_tab&amp;search_scope=EVERYTHING&amp;vid=01CRU&amp;lang=en_US&amp;offset=0&amp;query=any,contains,991001460519702656","Catalog Record")</f>
        <v/>
      </c>
      <c r="AT793">
        <f>HYPERLINK("http://www.worldcat.org/oclc/19452660","WorldCat Record")</f>
        <v/>
      </c>
      <c r="AU793" t="inlineStr">
        <is>
          <t>727585234:eng</t>
        </is>
      </c>
      <c r="AV793" t="inlineStr">
        <is>
          <t>19452660</t>
        </is>
      </c>
      <c r="AW793" t="inlineStr">
        <is>
          <t>991001460519702656</t>
        </is>
      </c>
      <c r="AX793" t="inlineStr">
        <is>
          <t>991001460519702656</t>
        </is>
      </c>
      <c r="AY793" t="inlineStr">
        <is>
          <t>2256299970002656</t>
        </is>
      </c>
      <c r="AZ793" t="inlineStr">
        <is>
          <t>BOOK</t>
        </is>
      </c>
      <c r="BB793" t="inlineStr">
        <is>
          <t>9789062584017</t>
        </is>
      </c>
      <c r="BC793" t="inlineStr">
        <is>
          <t>32285001156156</t>
        </is>
      </c>
      <c r="BD793" t="inlineStr">
        <is>
          <t>893703048</t>
        </is>
      </c>
    </row>
    <row r="794">
      <c r="A794" t="inlineStr">
        <is>
          <t>No</t>
        </is>
      </c>
      <c r="B794" t="inlineStr">
        <is>
          <t>DS281 .A3 1985</t>
        </is>
      </c>
      <c r="C794" t="inlineStr">
        <is>
          <t>0                      DS 0281000A  3           1985</t>
        </is>
      </c>
      <c r="D794" t="inlineStr">
        <is>
          <t>Achaemenid history. III, Method and theory : proceedings of the London 1985 Achaemenid History Workshop / edited by Amélie Kuhrt &amp; Heleen Sancisi-Weerdenburg.</t>
        </is>
      </c>
      <c r="F794" t="inlineStr">
        <is>
          <t>No</t>
        </is>
      </c>
      <c r="G794" t="inlineStr">
        <is>
          <t>1</t>
        </is>
      </c>
      <c r="H794" t="inlineStr">
        <is>
          <t>No</t>
        </is>
      </c>
      <c r="I794" t="inlineStr">
        <is>
          <t>No</t>
        </is>
      </c>
      <c r="J794" t="inlineStr">
        <is>
          <t>0</t>
        </is>
      </c>
      <c r="K794" t="inlineStr">
        <is>
          <t>Achaemenid History Workshop.</t>
        </is>
      </c>
      <c r="L794" t="inlineStr">
        <is>
          <t>Leiden : Nederlands Instituut voor het Nabije Oosten, 1988.</t>
        </is>
      </c>
      <c r="M794" t="inlineStr">
        <is>
          <t>1988</t>
        </is>
      </c>
      <c r="O794" t="inlineStr">
        <is>
          <t>eng</t>
        </is>
      </c>
      <c r="P794" t="inlineStr">
        <is>
          <t xml:space="preserve">ne </t>
        </is>
      </c>
      <c r="R794" t="inlineStr">
        <is>
          <t xml:space="preserve">DS </t>
        </is>
      </c>
      <c r="S794" t="n">
        <v>1</v>
      </c>
      <c r="T794" t="n">
        <v>1</v>
      </c>
      <c r="U794" t="inlineStr">
        <is>
          <t>1993-02-07</t>
        </is>
      </c>
      <c r="V794" t="inlineStr">
        <is>
          <t>1993-02-07</t>
        </is>
      </c>
      <c r="W794" t="inlineStr">
        <is>
          <t>1992-06-24</t>
        </is>
      </c>
      <c r="X794" t="inlineStr">
        <is>
          <t>1992-06-24</t>
        </is>
      </c>
      <c r="Y794" t="n">
        <v>101</v>
      </c>
      <c r="Z794" t="n">
        <v>64</v>
      </c>
      <c r="AA794" t="n">
        <v>65</v>
      </c>
      <c r="AB794" t="n">
        <v>1</v>
      </c>
      <c r="AC794" t="n">
        <v>1</v>
      </c>
      <c r="AD794" t="n">
        <v>1</v>
      </c>
      <c r="AE794" t="n">
        <v>1</v>
      </c>
      <c r="AF794" t="n">
        <v>1</v>
      </c>
      <c r="AG794" t="n">
        <v>1</v>
      </c>
      <c r="AH794" t="n">
        <v>0</v>
      </c>
      <c r="AI794" t="n">
        <v>0</v>
      </c>
      <c r="AJ794" t="n">
        <v>1</v>
      </c>
      <c r="AK794" t="n">
        <v>1</v>
      </c>
      <c r="AL794" t="n">
        <v>0</v>
      </c>
      <c r="AM794" t="n">
        <v>0</v>
      </c>
      <c r="AN794" t="n">
        <v>0</v>
      </c>
      <c r="AO794" t="n">
        <v>0</v>
      </c>
      <c r="AP794" t="inlineStr">
        <is>
          <t>No</t>
        </is>
      </c>
      <c r="AQ794" t="inlineStr">
        <is>
          <t>No</t>
        </is>
      </c>
      <c r="AS794">
        <f>HYPERLINK("https://creighton-primo.hosted.exlibrisgroup.com/primo-explore/search?tab=default_tab&amp;search_scope=EVERYTHING&amp;vid=01CRU&amp;lang=en_US&amp;offset=0&amp;query=any,contains,991001579829702656","Catalog Record")</f>
        <v/>
      </c>
      <c r="AT794">
        <f>HYPERLINK("http://www.worldcat.org/oclc/20477758","WorldCat Record")</f>
        <v/>
      </c>
      <c r="AU794" t="inlineStr">
        <is>
          <t>478734167:eng</t>
        </is>
      </c>
      <c r="AV794" t="inlineStr">
        <is>
          <t>20477758</t>
        </is>
      </c>
      <c r="AW794" t="inlineStr">
        <is>
          <t>991001579829702656</t>
        </is>
      </c>
      <c r="AX794" t="inlineStr">
        <is>
          <t>991001579829702656</t>
        </is>
      </c>
      <c r="AY794" t="inlineStr">
        <is>
          <t>2267334330002656</t>
        </is>
      </c>
      <c r="AZ794" t="inlineStr">
        <is>
          <t>BOOK</t>
        </is>
      </c>
      <c r="BB794" t="inlineStr">
        <is>
          <t>9789062584031</t>
        </is>
      </c>
      <c r="BC794" t="inlineStr">
        <is>
          <t>32285001156164</t>
        </is>
      </c>
      <c r="BD794" t="inlineStr">
        <is>
          <t>893529008</t>
        </is>
      </c>
    </row>
    <row r="795">
      <c r="A795" t="inlineStr">
        <is>
          <t>No</t>
        </is>
      </c>
      <c r="B795" t="inlineStr">
        <is>
          <t>DS288 .F79 1975b</t>
        </is>
      </c>
      <c r="C795" t="inlineStr">
        <is>
          <t>0                      DS 0288000F  79          1975b</t>
        </is>
      </c>
      <c r="D795" t="inlineStr">
        <is>
          <t>The golden age of Persia : the Arabs in the East / Richard N. Frye.</t>
        </is>
      </c>
      <c r="F795" t="inlineStr">
        <is>
          <t>No</t>
        </is>
      </c>
      <c r="G795" t="inlineStr">
        <is>
          <t>1</t>
        </is>
      </c>
      <c r="H795" t="inlineStr">
        <is>
          <t>No</t>
        </is>
      </c>
      <c r="I795" t="inlineStr">
        <is>
          <t>No</t>
        </is>
      </c>
      <c r="J795" t="inlineStr">
        <is>
          <t>0</t>
        </is>
      </c>
      <c r="K795" t="inlineStr">
        <is>
          <t>Frye, Richard N. (Richard Nelson), 1920-2014.</t>
        </is>
      </c>
      <c r="L795" t="inlineStr">
        <is>
          <t>London : Weidenfeld and Nicolson, 1975.</t>
        </is>
      </c>
      <c r="M795" t="inlineStr">
        <is>
          <t>1975</t>
        </is>
      </c>
      <c r="O795" t="inlineStr">
        <is>
          <t>eng</t>
        </is>
      </c>
      <c r="P795" t="inlineStr">
        <is>
          <t>enk</t>
        </is>
      </c>
      <c r="Q795" t="inlineStr">
        <is>
          <t>History of civilisation</t>
        </is>
      </c>
      <c r="R795" t="inlineStr">
        <is>
          <t xml:space="preserve">DS </t>
        </is>
      </c>
      <c r="S795" t="n">
        <v>5</v>
      </c>
      <c r="T795" t="n">
        <v>5</v>
      </c>
      <c r="U795" t="inlineStr">
        <is>
          <t>2006-10-22</t>
        </is>
      </c>
      <c r="V795" t="inlineStr">
        <is>
          <t>2006-10-22</t>
        </is>
      </c>
      <c r="W795" t="inlineStr">
        <is>
          <t>1994-05-11</t>
        </is>
      </c>
      <c r="X795" t="inlineStr">
        <is>
          <t>1994-05-11</t>
        </is>
      </c>
      <c r="Y795" t="n">
        <v>324</v>
      </c>
      <c r="Z795" t="n">
        <v>151</v>
      </c>
      <c r="AA795" t="n">
        <v>625</v>
      </c>
      <c r="AB795" t="n">
        <v>3</v>
      </c>
      <c r="AC795" t="n">
        <v>4</v>
      </c>
      <c r="AD795" t="n">
        <v>9</v>
      </c>
      <c r="AE795" t="n">
        <v>25</v>
      </c>
      <c r="AF795" t="n">
        <v>1</v>
      </c>
      <c r="AG795" t="n">
        <v>9</v>
      </c>
      <c r="AH795" t="n">
        <v>2</v>
      </c>
      <c r="AI795" t="n">
        <v>7</v>
      </c>
      <c r="AJ795" t="n">
        <v>6</v>
      </c>
      <c r="AK795" t="n">
        <v>13</v>
      </c>
      <c r="AL795" t="n">
        <v>2</v>
      </c>
      <c r="AM795" t="n">
        <v>2</v>
      </c>
      <c r="AN795" t="n">
        <v>0</v>
      </c>
      <c r="AO795" t="n">
        <v>0</v>
      </c>
      <c r="AP795" t="inlineStr">
        <is>
          <t>No</t>
        </is>
      </c>
      <c r="AQ795" t="inlineStr">
        <is>
          <t>Yes</t>
        </is>
      </c>
      <c r="AR795">
        <f>HYPERLINK("http://catalog.hathitrust.org/Record/000729000","HathiTrust Record")</f>
        <v/>
      </c>
      <c r="AS795">
        <f>HYPERLINK("https://creighton-primo.hosted.exlibrisgroup.com/primo-explore/search?tab=default_tab&amp;search_scope=EVERYTHING&amp;vid=01CRU&amp;lang=en_US&amp;offset=0&amp;query=any,contains,991003783669702656","Catalog Record")</f>
        <v/>
      </c>
      <c r="AT795">
        <f>HYPERLINK("http://www.worldcat.org/oclc/1498904","WorldCat Record")</f>
        <v/>
      </c>
      <c r="AU795" t="inlineStr">
        <is>
          <t>2415253:eng</t>
        </is>
      </c>
      <c r="AV795" t="inlineStr">
        <is>
          <t>1498904</t>
        </is>
      </c>
      <c r="AW795" t="inlineStr">
        <is>
          <t>991003783669702656</t>
        </is>
      </c>
      <c r="AX795" t="inlineStr">
        <is>
          <t>991003783669702656</t>
        </is>
      </c>
      <c r="AY795" t="inlineStr">
        <is>
          <t>2269037130002656</t>
        </is>
      </c>
      <c r="AZ795" t="inlineStr">
        <is>
          <t>BOOK</t>
        </is>
      </c>
      <c r="BB795" t="inlineStr">
        <is>
          <t>9780297768715</t>
        </is>
      </c>
      <c r="BC795" t="inlineStr">
        <is>
          <t>32285001910289</t>
        </is>
      </c>
      <c r="BD795" t="inlineStr">
        <is>
          <t>893693155</t>
        </is>
      </c>
    </row>
    <row r="796">
      <c r="A796" t="inlineStr">
        <is>
          <t>No</t>
        </is>
      </c>
      <c r="B796" t="inlineStr">
        <is>
          <t>DS292 .N39 2006</t>
        </is>
      </c>
      <c r="C796" t="inlineStr">
        <is>
          <t>0                      DS 0292000N  39          2006</t>
        </is>
      </c>
      <c r="D796" t="inlineStr">
        <is>
          <t>Safavid Iran : rebirth of a Persian empire / Andrew J. Newman.</t>
        </is>
      </c>
      <c r="F796" t="inlineStr">
        <is>
          <t>No</t>
        </is>
      </c>
      <c r="G796" t="inlineStr">
        <is>
          <t>1</t>
        </is>
      </c>
      <c r="H796" t="inlineStr">
        <is>
          <t>No</t>
        </is>
      </c>
      <c r="I796" t="inlineStr">
        <is>
          <t>No</t>
        </is>
      </c>
      <c r="J796" t="inlineStr">
        <is>
          <t>0</t>
        </is>
      </c>
      <c r="K796" t="inlineStr">
        <is>
          <t>Newman, Andrew J.</t>
        </is>
      </c>
      <c r="L796" t="inlineStr">
        <is>
          <t>London ; New York : I.B. Tauris : New York ; Distributed in the U.S.A. by Palgrave Macmillan, 2006.</t>
        </is>
      </c>
      <c r="M796" t="inlineStr">
        <is>
          <t>2006</t>
        </is>
      </c>
      <c r="O796" t="inlineStr">
        <is>
          <t>eng</t>
        </is>
      </c>
      <c r="P796" t="inlineStr">
        <is>
          <t>enk</t>
        </is>
      </c>
      <c r="Q796" t="inlineStr">
        <is>
          <t>Library of Middle East history ; v. 5</t>
        </is>
      </c>
      <c r="R796" t="inlineStr">
        <is>
          <t xml:space="preserve">DS </t>
        </is>
      </c>
      <c r="S796" t="n">
        <v>3</v>
      </c>
      <c r="T796" t="n">
        <v>3</v>
      </c>
      <c r="U796" t="inlineStr">
        <is>
          <t>2010-07-13</t>
        </is>
      </c>
      <c r="V796" t="inlineStr">
        <is>
          <t>2010-07-13</t>
        </is>
      </c>
      <c r="W796" t="inlineStr">
        <is>
          <t>2007-04-18</t>
        </is>
      </c>
      <c r="X796" t="inlineStr">
        <is>
          <t>2007-04-18</t>
        </is>
      </c>
      <c r="Y796" t="n">
        <v>226</v>
      </c>
      <c r="Z796" t="n">
        <v>169</v>
      </c>
      <c r="AA796" t="n">
        <v>886</v>
      </c>
      <c r="AB796" t="n">
        <v>2</v>
      </c>
      <c r="AC796" t="n">
        <v>18</v>
      </c>
      <c r="AD796" t="n">
        <v>11</v>
      </c>
      <c r="AE796" t="n">
        <v>29</v>
      </c>
      <c r="AF796" t="n">
        <v>1</v>
      </c>
      <c r="AG796" t="n">
        <v>7</v>
      </c>
      <c r="AH796" t="n">
        <v>4</v>
      </c>
      <c r="AI796" t="n">
        <v>7</v>
      </c>
      <c r="AJ796" t="n">
        <v>8</v>
      </c>
      <c r="AK796" t="n">
        <v>10</v>
      </c>
      <c r="AL796" t="n">
        <v>1</v>
      </c>
      <c r="AM796" t="n">
        <v>11</v>
      </c>
      <c r="AN796" t="n">
        <v>0</v>
      </c>
      <c r="AO796" t="n">
        <v>0</v>
      </c>
      <c r="AP796" t="inlineStr">
        <is>
          <t>No</t>
        </is>
      </c>
      <c r="AQ796" t="inlineStr">
        <is>
          <t>No</t>
        </is>
      </c>
      <c r="AS796">
        <f>HYPERLINK("https://creighton-primo.hosted.exlibrisgroup.com/primo-explore/search?tab=default_tab&amp;search_scope=EVERYTHING&amp;vid=01CRU&amp;lang=en_US&amp;offset=0&amp;query=any,contains,991005066129702656","Catalog Record")</f>
        <v/>
      </c>
      <c r="AT796">
        <f>HYPERLINK("http://www.worldcat.org/oclc/60838413","WorldCat Record")</f>
        <v/>
      </c>
      <c r="AU796" t="inlineStr">
        <is>
          <t>801642115:eng</t>
        </is>
      </c>
      <c r="AV796" t="inlineStr">
        <is>
          <t>60838413</t>
        </is>
      </c>
      <c r="AW796" t="inlineStr">
        <is>
          <t>991005066129702656</t>
        </is>
      </c>
      <c r="AX796" t="inlineStr">
        <is>
          <t>991005066129702656</t>
        </is>
      </c>
      <c r="AY796" t="inlineStr">
        <is>
          <t>2268194080002656</t>
        </is>
      </c>
      <c r="AZ796" t="inlineStr">
        <is>
          <t>BOOK</t>
        </is>
      </c>
      <c r="BB796" t="inlineStr">
        <is>
          <t>9781860646676</t>
        </is>
      </c>
      <c r="BC796" t="inlineStr">
        <is>
          <t>32285005288161</t>
        </is>
      </c>
      <c r="BD796" t="inlineStr">
        <is>
          <t>893418319</t>
        </is>
      </c>
    </row>
    <row r="797">
      <c r="A797" t="inlineStr">
        <is>
          <t>No</t>
        </is>
      </c>
      <c r="B797" t="inlineStr">
        <is>
          <t>DS292 .S26</t>
        </is>
      </c>
      <c r="C797" t="inlineStr">
        <is>
          <t>0                      DS 0292000S  26</t>
        </is>
      </c>
      <c r="D797" t="inlineStr">
        <is>
          <t>Iran under the Safavids / Roger Savory.</t>
        </is>
      </c>
      <c r="F797" t="inlineStr">
        <is>
          <t>No</t>
        </is>
      </c>
      <c r="G797" t="inlineStr">
        <is>
          <t>1</t>
        </is>
      </c>
      <c r="H797" t="inlineStr">
        <is>
          <t>No</t>
        </is>
      </c>
      <c r="I797" t="inlineStr">
        <is>
          <t>No</t>
        </is>
      </c>
      <c r="J797" t="inlineStr">
        <is>
          <t>0</t>
        </is>
      </c>
      <c r="K797" t="inlineStr">
        <is>
          <t>Savory, Roger.</t>
        </is>
      </c>
      <c r="L797" t="inlineStr">
        <is>
          <t>Cambridge ; New York : Cambridge University Press, 1980.</t>
        </is>
      </c>
      <c r="M797" t="inlineStr">
        <is>
          <t>1980</t>
        </is>
      </c>
      <c r="O797" t="inlineStr">
        <is>
          <t>eng</t>
        </is>
      </c>
      <c r="P797" t="inlineStr">
        <is>
          <t>enk</t>
        </is>
      </c>
      <c r="R797" t="inlineStr">
        <is>
          <t xml:space="preserve">DS </t>
        </is>
      </c>
      <c r="S797" t="n">
        <v>2</v>
      </c>
      <c r="T797" t="n">
        <v>2</v>
      </c>
      <c r="U797" t="inlineStr">
        <is>
          <t>1998-11-04</t>
        </is>
      </c>
      <c r="V797" t="inlineStr">
        <is>
          <t>1998-11-04</t>
        </is>
      </c>
      <c r="W797" t="inlineStr">
        <is>
          <t>1990-10-08</t>
        </is>
      </c>
      <c r="X797" t="inlineStr">
        <is>
          <t>1990-10-08</t>
        </is>
      </c>
      <c r="Y797" t="n">
        <v>619</v>
      </c>
      <c r="Z797" t="n">
        <v>488</v>
      </c>
      <c r="AA797" t="n">
        <v>500</v>
      </c>
      <c r="AB797" t="n">
        <v>3</v>
      </c>
      <c r="AC797" t="n">
        <v>3</v>
      </c>
      <c r="AD797" t="n">
        <v>18</v>
      </c>
      <c r="AE797" t="n">
        <v>19</v>
      </c>
      <c r="AF797" t="n">
        <v>7</v>
      </c>
      <c r="AG797" t="n">
        <v>7</v>
      </c>
      <c r="AH797" t="n">
        <v>6</v>
      </c>
      <c r="AI797" t="n">
        <v>6</v>
      </c>
      <c r="AJ797" t="n">
        <v>6</v>
      </c>
      <c r="AK797" t="n">
        <v>7</v>
      </c>
      <c r="AL797" t="n">
        <v>2</v>
      </c>
      <c r="AM797" t="n">
        <v>2</v>
      </c>
      <c r="AN797" t="n">
        <v>0</v>
      </c>
      <c r="AO797" t="n">
        <v>0</v>
      </c>
      <c r="AP797" t="inlineStr">
        <is>
          <t>No</t>
        </is>
      </c>
      <c r="AQ797" t="inlineStr">
        <is>
          <t>No</t>
        </is>
      </c>
      <c r="AS797">
        <f>HYPERLINK("https://creighton-primo.hosted.exlibrisgroup.com/primo-explore/search?tab=default_tab&amp;search_scope=EVERYTHING&amp;vid=01CRU&amp;lang=en_US&amp;offset=0&amp;query=any,contains,991004826209702656","Catalog Record")</f>
        <v/>
      </c>
      <c r="AT797">
        <f>HYPERLINK("http://www.worldcat.org/oclc/5354386","WorldCat Record")</f>
        <v/>
      </c>
      <c r="AU797" t="inlineStr">
        <is>
          <t>504106:eng</t>
        </is>
      </c>
      <c r="AV797" t="inlineStr">
        <is>
          <t>5354386</t>
        </is>
      </c>
      <c r="AW797" t="inlineStr">
        <is>
          <t>991004826209702656</t>
        </is>
      </c>
      <c r="AX797" t="inlineStr">
        <is>
          <t>991004826209702656</t>
        </is>
      </c>
      <c r="AY797" t="inlineStr">
        <is>
          <t>2258930000002656</t>
        </is>
      </c>
      <c r="AZ797" t="inlineStr">
        <is>
          <t>BOOK</t>
        </is>
      </c>
      <c r="BB797" t="inlineStr">
        <is>
          <t>9780521224833</t>
        </is>
      </c>
      <c r="BC797" t="inlineStr">
        <is>
          <t>32285000335686</t>
        </is>
      </c>
      <c r="BD797" t="inlineStr">
        <is>
          <t>893430536</t>
        </is>
      </c>
    </row>
    <row r="798">
      <c r="A798" t="inlineStr">
        <is>
          <t>No</t>
        </is>
      </c>
      <c r="B798" t="inlineStr">
        <is>
          <t>DS3.A2 A82 no.36</t>
        </is>
      </c>
      <c r="C798" t="inlineStr">
        <is>
          <t>0                      DS 0003000A  2                  A  82                                no.36</t>
        </is>
      </c>
      <c r="D798" t="inlineStr">
        <is>
          <t>A history of Indian Buddhism : from Śākyamuni to early Mahāyāna / Hirakawa Akira ; translated and edited by Paul Groner.</t>
        </is>
      </c>
      <c r="E798" t="inlineStr">
        <is>
          <t>no.36*</t>
        </is>
      </c>
      <c r="F798" t="inlineStr">
        <is>
          <t>No</t>
        </is>
      </c>
      <c r="G798" t="inlineStr">
        <is>
          <t>1</t>
        </is>
      </c>
      <c r="H798" t="inlineStr">
        <is>
          <t>No</t>
        </is>
      </c>
      <c r="I798" t="inlineStr">
        <is>
          <t>No</t>
        </is>
      </c>
      <c r="J798" t="inlineStr">
        <is>
          <t>0</t>
        </is>
      </c>
      <c r="K798" t="inlineStr">
        <is>
          <t>Hirakawa, Akira, 1915-2002.</t>
        </is>
      </c>
      <c r="L798" t="inlineStr">
        <is>
          <t>[Honolulu] : University of Hawaii Press, c1990.</t>
        </is>
      </c>
      <c r="M798" t="inlineStr">
        <is>
          <t>1990</t>
        </is>
      </c>
      <c r="O798" t="inlineStr">
        <is>
          <t>eng</t>
        </is>
      </c>
      <c r="P798" t="inlineStr">
        <is>
          <t>hiu</t>
        </is>
      </c>
      <c r="Q798" t="inlineStr">
        <is>
          <t>Asian studies at Hawaii ; no. 36</t>
        </is>
      </c>
      <c r="R798" t="inlineStr">
        <is>
          <t xml:space="preserve">DS </t>
        </is>
      </c>
      <c r="S798" t="n">
        <v>5</v>
      </c>
      <c r="T798" t="n">
        <v>5</v>
      </c>
      <c r="U798" t="inlineStr">
        <is>
          <t>1997-10-06</t>
        </is>
      </c>
      <c r="V798" t="inlineStr">
        <is>
          <t>1997-10-06</t>
        </is>
      </c>
      <c r="W798" t="inlineStr">
        <is>
          <t>1994-05-24</t>
        </is>
      </c>
      <c r="X798" t="inlineStr">
        <is>
          <t>1994-05-24</t>
        </is>
      </c>
      <c r="Y798" t="n">
        <v>392</v>
      </c>
      <c r="Z798" t="n">
        <v>301</v>
      </c>
      <c r="AA798" t="n">
        <v>798</v>
      </c>
      <c r="AB798" t="n">
        <v>2</v>
      </c>
      <c r="AC798" t="n">
        <v>2</v>
      </c>
      <c r="AD798" t="n">
        <v>15</v>
      </c>
      <c r="AE798" t="n">
        <v>18</v>
      </c>
      <c r="AF798" t="n">
        <v>5</v>
      </c>
      <c r="AG798" t="n">
        <v>8</v>
      </c>
      <c r="AH798" t="n">
        <v>5</v>
      </c>
      <c r="AI798" t="n">
        <v>5</v>
      </c>
      <c r="AJ798" t="n">
        <v>10</v>
      </c>
      <c r="AK798" t="n">
        <v>10</v>
      </c>
      <c r="AL798" t="n">
        <v>1</v>
      </c>
      <c r="AM798" t="n">
        <v>1</v>
      </c>
      <c r="AN798" t="n">
        <v>0</v>
      </c>
      <c r="AO798" t="n">
        <v>0</v>
      </c>
      <c r="AP798" t="inlineStr">
        <is>
          <t>No</t>
        </is>
      </c>
      <c r="AQ798" t="inlineStr">
        <is>
          <t>Yes</t>
        </is>
      </c>
      <c r="AR798">
        <f>HYPERLINK("http://catalog.hathitrust.org/Record/002208547","HathiTrust Record")</f>
        <v/>
      </c>
      <c r="AS798">
        <f>HYPERLINK("https://creighton-primo.hosted.exlibrisgroup.com/primo-explore/search?tab=default_tab&amp;search_scope=EVERYTHING&amp;vid=01CRU&amp;lang=en_US&amp;offset=0&amp;query=any,contains,991001624009702656","Catalog Record")</f>
        <v/>
      </c>
      <c r="AT798">
        <f>HYPERLINK("http://www.worldcat.org/oclc/20827339","WorldCat Record")</f>
        <v/>
      </c>
      <c r="AU798" t="inlineStr">
        <is>
          <t>505286468:eng</t>
        </is>
      </c>
      <c r="AV798" t="inlineStr">
        <is>
          <t>20827339</t>
        </is>
      </c>
      <c r="AW798" t="inlineStr">
        <is>
          <t>991001624009702656</t>
        </is>
      </c>
      <c r="AX798" t="inlineStr">
        <is>
          <t>991001624009702656</t>
        </is>
      </c>
      <c r="AY798" t="inlineStr">
        <is>
          <t>2261692740002656</t>
        </is>
      </c>
      <c r="AZ798" t="inlineStr">
        <is>
          <t>BOOK</t>
        </is>
      </c>
      <c r="BB798" t="inlineStr">
        <is>
          <t>9780824812034</t>
        </is>
      </c>
      <c r="BC798" t="inlineStr">
        <is>
          <t>32285001911691</t>
        </is>
      </c>
      <c r="BD798" t="inlineStr">
        <is>
          <t>893703135</t>
        </is>
      </c>
    </row>
    <row r="799">
      <c r="A799" t="inlineStr">
        <is>
          <t>No</t>
        </is>
      </c>
      <c r="B799" t="inlineStr">
        <is>
          <t>DS313 .M36 1989b</t>
        </is>
      </c>
      <c r="C799" t="inlineStr">
        <is>
          <t>0                      DS 0313000M  36          1989b</t>
        </is>
      </c>
      <c r="D799" t="inlineStr">
        <is>
          <t>Islam and modernism : the Iranian revolution of 1906 / Vanessa Martin.</t>
        </is>
      </c>
      <c r="F799" t="inlineStr">
        <is>
          <t>No</t>
        </is>
      </c>
      <c r="G799" t="inlineStr">
        <is>
          <t>1</t>
        </is>
      </c>
      <c r="H799" t="inlineStr">
        <is>
          <t>No</t>
        </is>
      </c>
      <c r="I799" t="inlineStr">
        <is>
          <t>No</t>
        </is>
      </c>
      <c r="J799" t="inlineStr">
        <is>
          <t>0</t>
        </is>
      </c>
      <c r="K799" t="inlineStr">
        <is>
          <t>Martin, Vanessa.</t>
        </is>
      </c>
      <c r="L799" t="inlineStr">
        <is>
          <t>London : Tauris, c1989.</t>
        </is>
      </c>
      <c r="M799" t="inlineStr">
        <is>
          <t>1989</t>
        </is>
      </c>
      <c r="O799" t="inlineStr">
        <is>
          <t>eng</t>
        </is>
      </c>
      <c r="P799" t="inlineStr">
        <is>
          <t>enk</t>
        </is>
      </c>
      <c r="R799" t="inlineStr">
        <is>
          <t xml:space="preserve">DS </t>
        </is>
      </c>
      <c r="S799" t="n">
        <v>1</v>
      </c>
      <c r="T799" t="n">
        <v>1</v>
      </c>
      <c r="U799" t="inlineStr">
        <is>
          <t>2002-04-20</t>
        </is>
      </c>
      <c r="V799" t="inlineStr">
        <is>
          <t>2002-04-20</t>
        </is>
      </c>
      <c r="W799" t="inlineStr">
        <is>
          <t>1989-11-27</t>
        </is>
      </c>
      <c r="X799" t="inlineStr">
        <is>
          <t>1989-11-27</t>
        </is>
      </c>
      <c r="Y799" t="n">
        <v>129</v>
      </c>
      <c r="Z799" t="n">
        <v>60</v>
      </c>
      <c r="AA799" t="n">
        <v>291</v>
      </c>
      <c r="AB799" t="n">
        <v>2</v>
      </c>
      <c r="AC799" t="n">
        <v>2</v>
      </c>
      <c r="AD799" t="n">
        <v>3</v>
      </c>
      <c r="AE799" t="n">
        <v>14</v>
      </c>
      <c r="AF799" t="n">
        <v>0</v>
      </c>
      <c r="AG799" t="n">
        <v>3</v>
      </c>
      <c r="AH799" t="n">
        <v>2</v>
      </c>
      <c r="AI799" t="n">
        <v>5</v>
      </c>
      <c r="AJ799" t="n">
        <v>1</v>
      </c>
      <c r="AK799" t="n">
        <v>7</v>
      </c>
      <c r="AL799" t="n">
        <v>1</v>
      </c>
      <c r="AM799" t="n">
        <v>1</v>
      </c>
      <c r="AN799" t="n">
        <v>0</v>
      </c>
      <c r="AO799" t="n">
        <v>0</v>
      </c>
      <c r="AP799" t="inlineStr">
        <is>
          <t>No</t>
        </is>
      </c>
      <c r="AQ799" t="inlineStr">
        <is>
          <t>Yes</t>
        </is>
      </c>
      <c r="AR799">
        <f>HYPERLINK("http://catalog.hathitrust.org/Record/001292558","HathiTrust Record")</f>
        <v/>
      </c>
      <c r="AS799">
        <f>HYPERLINK("https://creighton-primo.hosted.exlibrisgroup.com/primo-explore/search?tab=default_tab&amp;search_scope=EVERYTHING&amp;vid=01CRU&amp;lang=en_US&amp;offset=0&amp;query=any,contains,991001241349702656","Catalog Record")</f>
        <v/>
      </c>
      <c r="AT799">
        <f>HYPERLINK("http://www.worldcat.org/oclc/17619896","WorldCat Record")</f>
        <v/>
      </c>
      <c r="AU799" t="inlineStr">
        <is>
          <t>15720720:eng</t>
        </is>
      </c>
      <c r="AV799" t="inlineStr">
        <is>
          <t>17619896</t>
        </is>
      </c>
      <c r="AW799" t="inlineStr">
        <is>
          <t>991001241349702656</t>
        </is>
      </c>
      <c r="AX799" t="inlineStr">
        <is>
          <t>991001241349702656</t>
        </is>
      </c>
      <c r="AY799" t="inlineStr">
        <is>
          <t>2257904630002656</t>
        </is>
      </c>
      <c r="AZ799" t="inlineStr">
        <is>
          <t>BOOK</t>
        </is>
      </c>
      <c r="BB799" t="inlineStr">
        <is>
          <t>9781850431015</t>
        </is>
      </c>
      <c r="BC799" t="inlineStr">
        <is>
          <t>32285000015288</t>
        </is>
      </c>
      <c r="BD799" t="inlineStr">
        <is>
          <t>893778669</t>
        </is>
      </c>
    </row>
    <row r="800">
      <c r="A800" t="inlineStr">
        <is>
          <t>No</t>
        </is>
      </c>
      <c r="B800" t="inlineStr">
        <is>
          <t>DS315 .U75</t>
        </is>
      </c>
      <c r="C800" t="inlineStr">
        <is>
          <t>0                      DS 0315000U  75</t>
        </is>
      </c>
      <c r="D800" t="inlineStr">
        <is>
          <t>The history of modern Iran; an interpretation.</t>
        </is>
      </c>
      <c r="F800" t="inlineStr">
        <is>
          <t>No</t>
        </is>
      </c>
      <c r="G800" t="inlineStr">
        <is>
          <t>1</t>
        </is>
      </c>
      <c r="H800" t="inlineStr">
        <is>
          <t>No</t>
        </is>
      </c>
      <c r="I800" t="inlineStr">
        <is>
          <t>No</t>
        </is>
      </c>
      <c r="J800" t="inlineStr">
        <is>
          <t>0</t>
        </is>
      </c>
      <c r="K800" t="inlineStr">
        <is>
          <t>Upton, Joseph M.</t>
        </is>
      </c>
      <c r="L800" t="inlineStr">
        <is>
          <t>Cambridge, Distrubuted for the Center for Middle Eastern Studies of Harvard University by Harvard University Press, 1960.</t>
        </is>
      </c>
      <c r="M800" t="inlineStr">
        <is>
          <t>1960</t>
        </is>
      </c>
      <c r="O800" t="inlineStr">
        <is>
          <t>eng</t>
        </is>
      </c>
      <c r="P800" t="inlineStr">
        <is>
          <t>mau</t>
        </is>
      </c>
      <c r="Q800" t="inlineStr">
        <is>
          <t>Harvard Middle Eastern monographs ; 2</t>
        </is>
      </c>
      <c r="R800" t="inlineStr">
        <is>
          <t xml:space="preserve">DS </t>
        </is>
      </c>
      <c r="S800" t="n">
        <v>3</v>
      </c>
      <c r="T800" t="n">
        <v>3</v>
      </c>
      <c r="U800" t="inlineStr">
        <is>
          <t>2006-10-04</t>
        </is>
      </c>
      <c r="V800" t="inlineStr">
        <is>
          <t>2006-10-04</t>
        </is>
      </c>
      <c r="W800" t="inlineStr">
        <is>
          <t>1997-03-06</t>
        </is>
      </c>
      <c r="X800" t="inlineStr">
        <is>
          <t>1997-03-06</t>
        </is>
      </c>
      <c r="Y800" t="n">
        <v>403</v>
      </c>
      <c r="Z800" t="n">
        <v>333</v>
      </c>
      <c r="AA800" t="n">
        <v>507</v>
      </c>
      <c r="AB800" t="n">
        <v>4</v>
      </c>
      <c r="AC800" t="n">
        <v>5</v>
      </c>
      <c r="AD800" t="n">
        <v>19</v>
      </c>
      <c r="AE800" t="n">
        <v>27</v>
      </c>
      <c r="AF800" t="n">
        <v>8</v>
      </c>
      <c r="AG800" t="n">
        <v>12</v>
      </c>
      <c r="AH800" t="n">
        <v>3</v>
      </c>
      <c r="AI800" t="n">
        <v>3</v>
      </c>
      <c r="AJ800" t="n">
        <v>7</v>
      </c>
      <c r="AK800" t="n">
        <v>13</v>
      </c>
      <c r="AL800" t="n">
        <v>3</v>
      </c>
      <c r="AM800" t="n">
        <v>4</v>
      </c>
      <c r="AN800" t="n">
        <v>1</v>
      </c>
      <c r="AO800" t="n">
        <v>1</v>
      </c>
      <c r="AP800" t="inlineStr">
        <is>
          <t>No</t>
        </is>
      </c>
      <c r="AQ800" t="inlineStr">
        <is>
          <t>No</t>
        </is>
      </c>
      <c r="AR800">
        <f>HYPERLINK("http://catalog.hathitrust.org/Record/001248926","HathiTrust Record")</f>
        <v/>
      </c>
      <c r="AS800">
        <f>HYPERLINK("https://creighton-primo.hosted.exlibrisgroup.com/primo-explore/search?tab=default_tab&amp;search_scope=EVERYTHING&amp;vid=01CRU&amp;lang=en_US&amp;offset=0&amp;query=any,contains,991004967609702656","Catalog Record")</f>
        <v/>
      </c>
      <c r="AT800">
        <f>HYPERLINK("http://www.worldcat.org/oclc/6347640","WorldCat Record")</f>
        <v/>
      </c>
      <c r="AU800" t="inlineStr">
        <is>
          <t>1356111:eng</t>
        </is>
      </c>
      <c r="AV800" t="inlineStr">
        <is>
          <t>6347640</t>
        </is>
      </c>
      <c r="AW800" t="inlineStr">
        <is>
          <t>991004967609702656</t>
        </is>
      </c>
      <c r="AX800" t="inlineStr">
        <is>
          <t>991004967609702656</t>
        </is>
      </c>
      <c r="AY800" t="inlineStr">
        <is>
          <t>2270722170002656</t>
        </is>
      </c>
      <c r="AZ800" t="inlineStr">
        <is>
          <t>BOOK</t>
        </is>
      </c>
      <c r="BC800" t="inlineStr">
        <is>
          <t>32285002455524</t>
        </is>
      </c>
      <c r="BD800" t="inlineStr">
        <is>
          <t>893782851</t>
        </is>
      </c>
    </row>
    <row r="801">
      <c r="A801" t="inlineStr">
        <is>
          <t>No</t>
        </is>
      </c>
      <c r="B801" t="inlineStr">
        <is>
          <t>DS316.3 .I7</t>
        </is>
      </c>
      <c r="C801" t="inlineStr">
        <is>
          <t>0                      DS 0316300I  7</t>
        </is>
      </c>
      <c r="D801" t="inlineStr">
        <is>
          <t>Iran under the Pahlavis / George Lenczowski, editor.</t>
        </is>
      </c>
      <c r="F801" t="inlineStr">
        <is>
          <t>No</t>
        </is>
      </c>
      <c r="G801" t="inlineStr">
        <is>
          <t>1</t>
        </is>
      </c>
      <c r="H801" t="inlineStr">
        <is>
          <t>No</t>
        </is>
      </c>
      <c r="I801" t="inlineStr">
        <is>
          <t>No</t>
        </is>
      </c>
      <c r="J801" t="inlineStr">
        <is>
          <t>0</t>
        </is>
      </c>
      <c r="L801" t="inlineStr">
        <is>
          <t>Stanford, Calif. : Hoover Institution Press, c1978.</t>
        </is>
      </c>
      <c r="M801" t="inlineStr">
        <is>
          <t>1978</t>
        </is>
      </c>
      <c r="O801" t="inlineStr">
        <is>
          <t>eng</t>
        </is>
      </c>
      <c r="P801" t="inlineStr">
        <is>
          <t>cau</t>
        </is>
      </c>
      <c r="Q801" t="inlineStr">
        <is>
          <t>Hoover Institution publication ; 164</t>
        </is>
      </c>
      <c r="R801" t="inlineStr">
        <is>
          <t xml:space="preserve">DS </t>
        </is>
      </c>
      <c r="S801" t="n">
        <v>4</v>
      </c>
      <c r="T801" t="n">
        <v>4</v>
      </c>
      <c r="U801" t="inlineStr">
        <is>
          <t>2004-11-15</t>
        </is>
      </c>
      <c r="V801" t="inlineStr">
        <is>
          <t>2004-11-15</t>
        </is>
      </c>
      <c r="W801" t="inlineStr">
        <is>
          <t>1990-10-08</t>
        </is>
      </c>
      <c r="X801" t="inlineStr">
        <is>
          <t>1990-10-08</t>
        </is>
      </c>
      <c r="Y801" t="n">
        <v>661</v>
      </c>
      <c r="Z801" t="n">
        <v>521</v>
      </c>
      <c r="AA801" t="n">
        <v>523</v>
      </c>
      <c r="AB801" t="n">
        <v>5</v>
      </c>
      <c r="AC801" t="n">
        <v>5</v>
      </c>
      <c r="AD801" t="n">
        <v>30</v>
      </c>
      <c r="AE801" t="n">
        <v>30</v>
      </c>
      <c r="AF801" t="n">
        <v>11</v>
      </c>
      <c r="AG801" t="n">
        <v>11</v>
      </c>
      <c r="AH801" t="n">
        <v>7</v>
      </c>
      <c r="AI801" t="n">
        <v>7</v>
      </c>
      <c r="AJ801" t="n">
        <v>15</v>
      </c>
      <c r="AK801" t="n">
        <v>15</v>
      </c>
      <c r="AL801" t="n">
        <v>4</v>
      </c>
      <c r="AM801" t="n">
        <v>4</v>
      </c>
      <c r="AN801" t="n">
        <v>0</v>
      </c>
      <c r="AO801" t="n">
        <v>0</v>
      </c>
      <c r="AP801" t="inlineStr">
        <is>
          <t>No</t>
        </is>
      </c>
      <c r="AQ801" t="inlineStr">
        <is>
          <t>Yes</t>
        </is>
      </c>
      <c r="AR801">
        <f>HYPERLINK("http://catalog.hathitrust.org/Record/000134712","HathiTrust Record")</f>
        <v/>
      </c>
      <c r="AS801">
        <f>HYPERLINK("https://creighton-primo.hosted.exlibrisgroup.com/primo-explore/search?tab=default_tab&amp;search_scope=EVERYTHING&amp;vid=01CRU&amp;lang=en_US&amp;offset=0&amp;query=any,contains,991004522449702656","Catalog Record")</f>
        <v/>
      </c>
      <c r="AT801">
        <f>HYPERLINK("http://www.worldcat.org/oclc/3828879","WorldCat Record")</f>
        <v/>
      </c>
      <c r="AU801" t="inlineStr">
        <is>
          <t>12973452:eng</t>
        </is>
      </c>
      <c r="AV801" t="inlineStr">
        <is>
          <t>3828879</t>
        </is>
      </c>
      <c r="AW801" t="inlineStr">
        <is>
          <t>991004522449702656</t>
        </is>
      </c>
      <c r="AX801" t="inlineStr">
        <is>
          <t>991004522449702656</t>
        </is>
      </c>
      <c r="AY801" t="inlineStr">
        <is>
          <t>2260327700002656</t>
        </is>
      </c>
      <c r="AZ801" t="inlineStr">
        <is>
          <t>BOOK</t>
        </is>
      </c>
      <c r="BB801" t="inlineStr">
        <is>
          <t>9780817966416</t>
        </is>
      </c>
      <c r="BC801" t="inlineStr">
        <is>
          <t>32285000335694</t>
        </is>
      </c>
      <c r="BD801" t="inlineStr">
        <is>
          <t>893319338</t>
        </is>
      </c>
    </row>
    <row r="802">
      <c r="A802" t="inlineStr">
        <is>
          <t>No</t>
        </is>
      </c>
      <c r="B802" t="inlineStr">
        <is>
          <t>DS316.3 .K42</t>
        </is>
      </c>
      <c r="C802" t="inlineStr">
        <is>
          <t>0                      DS 0316300K  42</t>
        </is>
      </c>
      <c r="D802" t="inlineStr">
        <is>
          <t>Roots of revolution : an interpretive history of modern Iran / Nikki R. Keddie ; with a section by Yann Richard.</t>
        </is>
      </c>
      <c r="F802" t="inlineStr">
        <is>
          <t>No</t>
        </is>
      </c>
      <c r="G802" t="inlineStr">
        <is>
          <t>1</t>
        </is>
      </c>
      <c r="H802" t="inlineStr">
        <is>
          <t>No</t>
        </is>
      </c>
      <c r="I802" t="inlineStr">
        <is>
          <t>No</t>
        </is>
      </c>
      <c r="J802" t="inlineStr">
        <is>
          <t>0</t>
        </is>
      </c>
      <c r="K802" t="inlineStr">
        <is>
          <t>Keddie, Nikki R.</t>
        </is>
      </c>
      <c r="L802" t="inlineStr">
        <is>
          <t>New Haven : Yale University Press, c1981.</t>
        </is>
      </c>
      <c r="M802" t="inlineStr">
        <is>
          <t>1981</t>
        </is>
      </c>
      <c r="O802" t="inlineStr">
        <is>
          <t>eng</t>
        </is>
      </c>
      <c r="P802" t="inlineStr">
        <is>
          <t>ctu</t>
        </is>
      </c>
      <c r="R802" t="inlineStr">
        <is>
          <t xml:space="preserve">DS </t>
        </is>
      </c>
      <c r="S802" t="n">
        <v>9</v>
      </c>
      <c r="T802" t="n">
        <v>9</v>
      </c>
      <c r="U802" t="inlineStr">
        <is>
          <t>2009-11-08</t>
        </is>
      </c>
      <c r="V802" t="inlineStr">
        <is>
          <t>2009-11-08</t>
        </is>
      </c>
      <c r="W802" t="inlineStr">
        <is>
          <t>1990-10-08</t>
        </is>
      </c>
      <c r="X802" t="inlineStr">
        <is>
          <t>1990-10-08</t>
        </is>
      </c>
      <c r="Y802" t="n">
        <v>1309</v>
      </c>
      <c r="Z802" t="n">
        <v>1090</v>
      </c>
      <c r="AA802" t="n">
        <v>1092</v>
      </c>
      <c r="AB802" t="n">
        <v>6</v>
      </c>
      <c r="AC802" t="n">
        <v>6</v>
      </c>
      <c r="AD802" t="n">
        <v>43</v>
      </c>
      <c r="AE802" t="n">
        <v>43</v>
      </c>
      <c r="AF802" t="n">
        <v>17</v>
      </c>
      <c r="AG802" t="n">
        <v>17</v>
      </c>
      <c r="AH802" t="n">
        <v>10</v>
      </c>
      <c r="AI802" t="n">
        <v>10</v>
      </c>
      <c r="AJ802" t="n">
        <v>23</v>
      </c>
      <c r="AK802" t="n">
        <v>23</v>
      </c>
      <c r="AL802" t="n">
        <v>5</v>
      </c>
      <c r="AM802" t="n">
        <v>5</v>
      </c>
      <c r="AN802" t="n">
        <v>0</v>
      </c>
      <c r="AO802" t="n">
        <v>0</v>
      </c>
      <c r="AP802" t="inlineStr">
        <is>
          <t>No</t>
        </is>
      </c>
      <c r="AQ802" t="inlineStr">
        <is>
          <t>No</t>
        </is>
      </c>
      <c r="AS802">
        <f>HYPERLINK("https://creighton-primo.hosted.exlibrisgroup.com/primo-explore/search?tab=default_tab&amp;search_scope=EVERYTHING&amp;vid=01CRU&amp;lang=en_US&amp;offset=0&amp;query=any,contains,991005127639702656","Catalog Record")</f>
        <v/>
      </c>
      <c r="AT802">
        <f>HYPERLINK("http://www.worldcat.org/oclc/7554626","WorldCat Record")</f>
        <v/>
      </c>
      <c r="AU802" t="inlineStr">
        <is>
          <t>3856071643:eng</t>
        </is>
      </c>
      <c r="AV802" t="inlineStr">
        <is>
          <t>7554626</t>
        </is>
      </c>
      <c r="AW802" t="inlineStr">
        <is>
          <t>991005127639702656</t>
        </is>
      </c>
      <c r="AX802" t="inlineStr">
        <is>
          <t>991005127639702656</t>
        </is>
      </c>
      <c r="AY802" t="inlineStr">
        <is>
          <t>2264559880002656</t>
        </is>
      </c>
      <c r="AZ802" t="inlineStr">
        <is>
          <t>BOOK</t>
        </is>
      </c>
      <c r="BB802" t="inlineStr">
        <is>
          <t>9780300026061</t>
        </is>
      </c>
      <c r="BC802" t="inlineStr">
        <is>
          <t>32285000335702</t>
        </is>
      </c>
      <c r="BD802" t="inlineStr">
        <is>
          <t>893332436</t>
        </is>
      </c>
    </row>
    <row r="803">
      <c r="A803" t="inlineStr">
        <is>
          <t>No</t>
        </is>
      </c>
      <c r="B803" t="inlineStr">
        <is>
          <t>DS316.3 .K42 2003</t>
        </is>
      </c>
      <c r="C803" t="inlineStr">
        <is>
          <t>0                      DS 0316300K  42          2003</t>
        </is>
      </c>
      <c r="D803" t="inlineStr">
        <is>
          <t>Modern Iran : roots and results of revolution / Nikki R. Keddie ; with a section by Yann Richard.</t>
        </is>
      </c>
      <c r="F803" t="inlineStr">
        <is>
          <t>No</t>
        </is>
      </c>
      <c r="G803" t="inlineStr">
        <is>
          <t>1</t>
        </is>
      </c>
      <c r="H803" t="inlineStr">
        <is>
          <t>No</t>
        </is>
      </c>
      <c r="I803" t="inlineStr">
        <is>
          <t>No</t>
        </is>
      </c>
      <c r="J803" t="inlineStr">
        <is>
          <t>0</t>
        </is>
      </c>
      <c r="K803" t="inlineStr">
        <is>
          <t>Keddie, Nikki R.</t>
        </is>
      </c>
      <c r="L803" t="inlineStr">
        <is>
          <t>New Haven, Conn. : Yale University Press, 2003.</t>
        </is>
      </c>
      <c r="M803" t="inlineStr">
        <is>
          <t>2003</t>
        </is>
      </c>
      <c r="O803" t="inlineStr">
        <is>
          <t>eng</t>
        </is>
      </c>
      <c r="P803" t="inlineStr">
        <is>
          <t>ctu</t>
        </is>
      </c>
      <c r="R803" t="inlineStr">
        <is>
          <t xml:space="preserve">DS </t>
        </is>
      </c>
      <c r="S803" t="n">
        <v>9</v>
      </c>
      <c r="T803" t="n">
        <v>9</v>
      </c>
      <c r="U803" t="inlineStr">
        <is>
          <t>2010-03-28</t>
        </is>
      </c>
      <c r="V803" t="inlineStr">
        <is>
          <t>2010-03-28</t>
        </is>
      </c>
      <c r="W803" t="inlineStr">
        <is>
          <t>2004-05-11</t>
        </is>
      </c>
      <c r="X803" t="inlineStr">
        <is>
          <t>2004-05-11</t>
        </is>
      </c>
      <c r="Y803" t="n">
        <v>981</v>
      </c>
      <c r="Z803" t="n">
        <v>825</v>
      </c>
      <c r="AA803" t="n">
        <v>1172</v>
      </c>
      <c r="AB803" t="n">
        <v>6</v>
      </c>
      <c r="AC803" t="n">
        <v>7</v>
      </c>
      <c r="AD803" t="n">
        <v>42</v>
      </c>
      <c r="AE803" t="n">
        <v>51</v>
      </c>
      <c r="AF803" t="n">
        <v>19</v>
      </c>
      <c r="AG803" t="n">
        <v>23</v>
      </c>
      <c r="AH803" t="n">
        <v>9</v>
      </c>
      <c r="AI803" t="n">
        <v>10</v>
      </c>
      <c r="AJ803" t="n">
        <v>17</v>
      </c>
      <c r="AK803" t="n">
        <v>22</v>
      </c>
      <c r="AL803" t="n">
        <v>5</v>
      </c>
      <c r="AM803" t="n">
        <v>6</v>
      </c>
      <c r="AN803" t="n">
        <v>2</v>
      </c>
      <c r="AO803" t="n">
        <v>2</v>
      </c>
      <c r="AP803" t="inlineStr">
        <is>
          <t>No</t>
        </is>
      </c>
      <c r="AQ803" t="inlineStr">
        <is>
          <t>No</t>
        </is>
      </c>
      <c r="AS803">
        <f>HYPERLINK("https://creighton-primo.hosted.exlibrisgroup.com/primo-explore/search?tab=default_tab&amp;search_scope=EVERYTHING&amp;vid=01CRU&amp;lang=en_US&amp;offset=0&amp;query=any,contains,991004284599702656","Catalog Record")</f>
        <v/>
      </c>
      <c r="AT803">
        <f>HYPERLINK("http://www.worldcat.org/oclc/52203239","WorldCat Record")</f>
        <v/>
      </c>
      <c r="AU803" t="inlineStr">
        <is>
          <t>796396005:eng</t>
        </is>
      </c>
      <c r="AV803" t="inlineStr">
        <is>
          <t>52203239</t>
        </is>
      </c>
      <c r="AW803" t="inlineStr">
        <is>
          <t>991004284599702656</t>
        </is>
      </c>
      <c r="AX803" t="inlineStr">
        <is>
          <t>991004284599702656</t>
        </is>
      </c>
      <c r="AY803" t="inlineStr">
        <is>
          <t>2259488110002656</t>
        </is>
      </c>
      <c r="AZ803" t="inlineStr">
        <is>
          <t>BOOK</t>
        </is>
      </c>
      <c r="BB803" t="inlineStr">
        <is>
          <t>9780300098563</t>
        </is>
      </c>
      <c r="BC803" t="inlineStr">
        <is>
          <t>32285004904610</t>
        </is>
      </c>
      <c r="BD803" t="inlineStr">
        <is>
          <t>893436106</t>
        </is>
      </c>
    </row>
    <row r="804">
      <c r="A804" t="inlineStr">
        <is>
          <t>No</t>
        </is>
      </c>
      <c r="B804" t="inlineStr">
        <is>
          <t>DS316.6 .G47 2006</t>
        </is>
      </c>
      <c r="C804" t="inlineStr">
        <is>
          <t>0                      DS 0316600G  47          2006</t>
        </is>
      </c>
      <c r="D804" t="inlineStr">
        <is>
          <t>Democracy in Iran : history and the quest for liberty / Ali Gheissari, Vali Nasr.</t>
        </is>
      </c>
      <c r="F804" t="inlineStr">
        <is>
          <t>No</t>
        </is>
      </c>
      <c r="G804" t="inlineStr">
        <is>
          <t>1</t>
        </is>
      </c>
      <c r="H804" t="inlineStr">
        <is>
          <t>No</t>
        </is>
      </c>
      <c r="I804" t="inlineStr">
        <is>
          <t>No</t>
        </is>
      </c>
      <c r="J804" t="inlineStr">
        <is>
          <t>0</t>
        </is>
      </c>
      <c r="K804" t="inlineStr">
        <is>
          <t>Gheissari, Ali, 1954-</t>
        </is>
      </c>
      <c r="L804" t="inlineStr">
        <is>
          <t>Oxford ; New York : Oxford University Press, 2006.</t>
        </is>
      </c>
      <c r="M804" t="inlineStr">
        <is>
          <t>2006</t>
        </is>
      </c>
      <c r="O804" t="inlineStr">
        <is>
          <t>eng</t>
        </is>
      </c>
      <c r="P804" t="inlineStr">
        <is>
          <t>enk</t>
        </is>
      </c>
      <c r="R804" t="inlineStr">
        <is>
          <t xml:space="preserve">DS </t>
        </is>
      </c>
      <c r="S804" t="n">
        <v>5</v>
      </c>
      <c r="T804" t="n">
        <v>5</v>
      </c>
      <c r="U804" t="inlineStr">
        <is>
          <t>2007-07-23</t>
        </is>
      </c>
      <c r="V804" t="inlineStr">
        <is>
          <t>2007-07-23</t>
        </is>
      </c>
      <c r="W804" t="inlineStr">
        <is>
          <t>2006-07-24</t>
        </is>
      </c>
      <c r="X804" t="inlineStr">
        <is>
          <t>2006-07-24</t>
        </is>
      </c>
      <c r="Y804" t="n">
        <v>760</v>
      </c>
      <c r="Z804" t="n">
        <v>672</v>
      </c>
      <c r="AA804" t="n">
        <v>862</v>
      </c>
      <c r="AB804" t="n">
        <v>5</v>
      </c>
      <c r="AC804" t="n">
        <v>5</v>
      </c>
      <c r="AD804" t="n">
        <v>24</v>
      </c>
      <c r="AE804" t="n">
        <v>26</v>
      </c>
      <c r="AF804" t="n">
        <v>10</v>
      </c>
      <c r="AG804" t="n">
        <v>10</v>
      </c>
      <c r="AH804" t="n">
        <v>6</v>
      </c>
      <c r="AI804" t="n">
        <v>8</v>
      </c>
      <c r="AJ804" t="n">
        <v>10</v>
      </c>
      <c r="AK804" t="n">
        <v>11</v>
      </c>
      <c r="AL804" t="n">
        <v>3</v>
      </c>
      <c r="AM804" t="n">
        <v>3</v>
      </c>
      <c r="AN804" t="n">
        <v>0</v>
      </c>
      <c r="AO804" t="n">
        <v>0</v>
      </c>
      <c r="AP804" t="inlineStr">
        <is>
          <t>No</t>
        </is>
      </c>
      <c r="AQ804" t="inlineStr">
        <is>
          <t>No</t>
        </is>
      </c>
      <c r="AS804">
        <f>HYPERLINK("https://creighton-primo.hosted.exlibrisgroup.com/primo-explore/search?tab=default_tab&amp;search_scope=EVERYTHING&amp;vid=01CRU&amp;lang=en_US&amp;offset=0&amp;query=any,contains,991004859779702656","Catalog Record")</f>
        <v/>
      </c>
      <c r="AT804">
        <f>HYPERLINK("http://www.worldcat.org/oclc/62281868","WorldCat Record")</f>
        <v/>
      </c>
      <c r="AU804" t="inlineStr">
        <is>
          <t>793885974:eng</t>
        </is>
      </c>
      <c r="AV804" t="inlineStr">
        <is>
          <t>62281868</t>
        </is>
      </c>
      <c r="AW804" t="inlineStr">
        <is>
          <t>991004859779702656</t>
        </is>
      </c>
      <c r="AX804" t="inlineStr">
        <is>
          <t>991004859779702656</t>
        </is>
      </c>
      <c r="AY804" t="inlineStr">
        <is>
          <t>2258350240002656</t>
        </is>
      </c>
      <c r="AZ804" t="inlineStr">
        <is>
          <t>BOOK</t>
        </is>
      </c>
      <c r="BB804" t="inlineStr">
        <is>
          <t>9780195189674</t>
        </is>
      </c>
      <c r="BC804" t="inlineStr">
        <is>
          <t>32285005197412</t>
        </is>
      </c>
      <c r="BD804" t="inlineStr">
        <is>
          <t>893606540</t>
        </is>
      </c>
    </row>
    <row r="805">
      <c r="A805" t="inlineStr">
        <is>
          <t>No</t>
        </is>
      </c>
      <c r="B805" t="inlineStr">
        <is>
          <t>DS316.9.M67 K38 1999</t>
        </is>
      </c>
      <c r="C805" t="inlineStr">
        <is>
          <t>0                      DS 0316900M  67                 K  38          1999</t>
        </is>
      </c>
      <c r="D805" t="inlineStr">
        <is>
          <t>Musaddiq and the struggle for power in Iran / Homa Katouzian.</t>
        </is>
      </c>
      <c r="F805" t="inlineStr">
        <is>
          <t>No</t>
        </is>
      </c>
      <c r="G805" t="inlineStr">
        <is>
          <t>1</t>
        </is>
      </c>
      <c r="H805" t="inlineStr">
        <is>
          <t>No</t>
        </is>
      </c>
      <c r="I805" t="inlineStr">
        <is>
          <t>No</t>
        </is>
      </c>
      <c r="J805" t="inlineStr">
        <is>
          <t>0</t>
        </is>
      </c>
      <c r="K805" t="inlineStr">
        <is>
          <t>Katouzian, Homa.</t>
        </is>
      </c>
      <c r="L805" t="inlineStr">
        <is>
          <t>London ; New York : I.B. Tauris ; New York ; Distributed in U.S. and Canada by St. Martin's Press, 1999.</t>
        </is>
      </c>
      <c r="M805" t="inlineStr">
        <is>
          <t>1999</t>
        </is>
      </c>
      <c r="N805" t="inlineStr">
        <is>
          <t>Rev. pbk. ed.</t>
        </is>
      </c>
      <c r="O805" t="inlineStr">
        <is>
          <t>eng</t>
        </is>
      </c>
      <c r="P805" t="inlineStr">
        <is>
          <t>enk</t>
        </is>
      </c>
      <c r="R805" t="inlineStr">
        <is>
          <t xml:space="preserve">DS </t>
        </is>
      </c>
      <c r="S805" t="n">
        <v>1</v>
      </c>
      <c r="T805" t="n">
        <v>1</v>
      </c>
      <c r="U805" t="inlineStr">
        <is>
          <t>2009-11-06</t>
        </is>
      </c>
      <c r="V805" t="inlineStr">
        <is>
          <t>2009-11-06</t>
        </is>
      </c>
      <c r="W805" t="inlineStr">
        <is>
          <t>2000-07-24</t>
        </is>
      </c>
      <c r="X805" t="inlineStr">
        <is>
          <t>2000-07-24</t>
        </is>
      </c>
      <c r="Y805" t="n">
        <v>146</v>
      </c>
      <c r="Z805" t="n">
        <v>107</v>
      </c>
      <c r="AA805" t="n">
        <v>701</v>
      </c>
      <c r="AB805" t="n">
        <v>1</v>
      </c>
      <c r="AC805" t="n">
        <v>4</v>
      </c>
      <c r="AD805" t="n">
        <v>10</v>
      </c>
      <c r="AE805" t="n">
        <v>29</v>
      </c>
      <c r="AF805" t="n">
        <v>6</v>
      </c>
      <c r="AG805" t="n">
        <v>14</v>
      </c>
      <c r="AH805" t="n">
        <v>2</v>
      </c>
      <c r="AI805" t="n">
        <v>8</v>
      </c>
      <c r="AJ805" t="n">
        <v>3</v>
      </c>
      <c r="AK805" t="n">
        <v>11</v>
      </c>
      <c r="AL805" t="n">
        <v>0</v>
      </c>
      <c r="AM805" t="n">
        <v>3</v>
      </c>
      <c r="AN805" t="n">
        <v>0</v>
      </c>
      <c r="AO805" t="n">
        <v>0</v>
      </c>
      <c r="AP805" t="inlineStr">
        <is>
          <t>No</t>
        </is>
      </c>
      <c r="AQ805" t="inlineStr">
        <is>
          <t>Yes</t>
        </is>
      </c>
      <c r="AR805">
        <f>HYPERLINK("http://catalog.hathitrust.org/Record/004071090","HathiTrust Record")</f>
        <v/>
      </c>
      <c r="AS805">
        <f>HYPERLINK("https://creighton-primo.hosted.exlibrisgroup.com/primo-explore/search?tab=default_tab&amp;search_scope=EVERYTHING&amp;vid=01CRU&amp;lang=en_US&amp;offset=0&amp;query=any,contains,991003214399702656","Catalog Record")</f>
        <v/>
      </c>
      <c r="AT805">
        <f>HYPERLINK("http://www.worldcat.org/oclc/42703506","WorldCat Record")</f>
        <v/>
      </c>
      <c r="AU805" t="inlineStr">
        <is>
          <t>23215062:eng</t>
        </is>
      </c>
      <c r="AV805" t="inlineStr">
        <is>
          <t>42703506</t>
        </is>
      </c>
      <c r="AW805" t="inlineStr">
        <is>
          <t>991003214399702656</t>
        </is>
      </c>
      <c r="AX805" t="inlineStr">
        <is>
          <t>991003214399702656</t>
        </is>
      </c>
      <c r="AY805" t="inlineStr">
        <is>
          <t>2265854020002656</t>
        </is>
      </c>
      <c r="AZ805" t="inlineStr">
        <is>
          <t>BOOK</t>
        </is>
      </c>
      <c r="BB805" t="inlineStr">
        <is>
          <t>9781860642906</t>
        </is>
      </c>
      <c r="BC805" t="inlineStr">
        <is>
          <t>32285003741724</t>
        </is>
      </c>
      <c r="BD805" t="inlineStr">
        <is>
          <t>893592298</t>
        </is>
      </c>
    </row>
    <row r="806">
      <c r="A806" t="inlineStr">
        <is>
          <t>No</t>
        </is>
      </c>
      <c r="B806" t="inlineStr">
        <is>
          <t>DS317 .G45 1998</t>
        </is>
      </c>
      <c r="C806" t="inlineStr">
        <is>
          <t>0                      DS 0317000G  45          1998</t>
        </is>
      </c>
      <c r="D806" t="inlineStr">
        <is>
          <t>Iran and the rise of Reza Shah : from Qajar collapse to Pahlavi rule / Cyrus Ghani.</t>
        </is>
      </c>
      <c r="F806" t="inlineStr">
        <is>
          <t>No</t>
        </is>
      </c>
      <c r="G806" t="inlineStr">
        <is>
          <t>1</t>
        </is>
      </c>
      <c r="H806" t="inlineStr">
        <is>
          <t>No</t>
        </is>
      </c>
      <c r="I806" t="inlineStr">
        <is>
          <t>No</t>
        </is>
      </c>
      <c r="J806" t="inlineStr">
        <is>
          <t>0</t>
        </is>
      </c>
      <c r="K806" t="inlineStr">
        <is>
          <t>Ghanī, Sīrūs.</t>
        </is>
      </c>
      <c r="L806" t="inlineStr">
        <is>
          <t>London ; New York : I.B. Tauris, 1998.</t>
        </is>
      </c>
      <c r="M806" t="inlineStr">
        <is>
          <t>1998</t>
        </is>
      </c>
      <c r="O806" t="inlineStr">
        <is>
          <t>eng</t>
        </is>
      </c>
      <c r="P806" t="inlineStr">
        <is>
          <t>enk</t>
        </is>
      </c>
      <c r="R806" t="inlineStr">
        <is>
          <t xml:space="preserve">DS </t>
        </is>
      </c>
      <c r="S806" t="n">
        <v>3</v>
      </c>
      <c r="T806" t="n">
        <v>3</v>
      </c>
      <c r="U806" t="inlineStr">
        <is>
          <t>2008-04-16</t>
        </is>
      </c>
      <c r="V806" t="inlineStr">
        <is>
          <t>2008-04-16</t>
        </is>
      </c>
      <c r="W806" t="inlineStr">
        <is>
          <t>2000-07-24</t>
        </is>
      </c>
      <c r="X806" t="inlineStr">
        <is>
          <t>2000-07-24</t>
        </is>
      </c>
      <c r="Y806" t="n">
        <v>300</v>
      </c>
      <c r="Z806" t="n">
        <v>240</v>
      </c>
      <c r="AA806" t="n">
        <v>305</v>
      </c>
      <c r="AB806" t="n">
        <v>2</v>
      </c>
      <c r="AC806" t="n">
        <v>2</v>
      </c>
      <c r="AD806" t="n">
        <v>11</v>
      </c>
      <c r="AE806" t="n">
        <v>15</v>
      </c>
      <c r="AF806" t="n">
        <v>1</v>
      </c>
      <c r="AG806" t="n">
        <v>3</v>
      </c>
      <c r="AH806" t="n">
        <v>6</v>
      </c>
      <c r="AI806" t="n">
        <v>6</v>
      </c>
      <c r="AJ806" t="n">
        <v>5</v>
      </c>
      <c r="AK806" t="n">
        <v>8</v>
      </c>
      <c r="AL806" t="n">
        <v>1</v>
      </c>
      <c r="AM806" t="n">
        <v>1</v>
      </c>
      <c r="AN806" t="n">
        <v>0</v>
      </c>
      <c r="AO806" t="n">
        <v>0</v>
      </c>
      <c r="AP806" t="inlineStr">
        <is>
          <t>No</t>
        </is>
      </c>
      <c r="AQ806" t="inlineStr">
        <is>
          <t>Yes</t>
        </is>
      </c>
      <c r="AR806">
        <f>HYPERLINK("http://catalog.hathitrust.org/Record/004000176","HathiTrust Record")</f>
        <v/>
      </c>
      <c r="AS806">
        <f>HYPERLINK("https://creighton-primo.hosted.exlibrisgroup.com/primo-explore/search?tab=default_tab&amp;search_scope=EVERYTHING&amp;vid=01CRU&amp;lang=en_US&amp;offset=0&amp;query=any,contains,991003214279702656","Catalog Record")</f>
        <v/>
      </c>
      <c r="AT806">
        <f>HYPERLINK("http://www.worldcat.org/oclc/40517452","WorldCat Record")</f>
        <v/>
      </c>
      <c r="AU806" t="inlineStr">
        <is>
          <t>24117225:eng</t>
        </is>
      </c>
      <c r="AV806" t="inlineStr">
        <is>
          <t>40517452</t>
        </is>
      </c>
      <c r="AW806" t="inlineStr">
        <is>
          <t>991003214279702656</t>
        </is>
      </c>
      <c r="AX806" t="inlineStr">
        <is>
          <t>991003214279702656</t>
        </is>
      </c>
      <c r="AY806" t="inlineStr">
        <is>
          <t>2255683320002656</t>
        </is>
      </c>
      <c r="AZ806" t="inlineStr">
        <is>
          <t>BOOK</t>
        </is>
      </c>
      <c r="BB806" t="inlineStr">
        <is>
          <t>9781860642586</t>
        </is>
      </c>
      <c r="BC806" t="inlineStr">
        <is>
          <t>32285003741682</t>
        </is>
      </c>
      <c r="BD806" t="inlineStr">
        <is>
          <t>893787083</t>
        </is>
      </c>
    </row>
    <row r="807">
      <c r="A807" t="inlineStr">
        <is>
          <t>No</t>
        </is>
      </c>
      <c r="B807" t="inlineStr">
        <is>
          <t>DS317 .S494 1988</t>
        </is>
      </c>
      <c r="C807" t="inlineStr">
        <is>
          <t>0                      DS 0317000S  494         1988</t>
        </is>
      </c>
      <c r="D807" t="inlineStr">
        <is>
          <t>The Shah's last ride : the fate of an ally / William Shawcross.</t>
        </is>
      </c>
      <c r="F807" t="inlineStr">
        <is>
          <t>No</t>
        </is>
      </c>
      <c r="G807" t="inlineStr">
        <is>
          <t>1</t>
        </is>
      </c>
      <c r="H807" t="inlineStr">
        <is>
          <t>No</t>
        </is>
      </c>
      <c r="I807" t="inlineStr">
        <is>
          <t>No</t>
        </is>
      </c>
      <c r="J807" t="inlineStr">
        <is>
          <t>0</t>
        </is>
      </c>
      <c r="K807" t="inlineStr">
        <is>
          <t>Shawcross, William.</t>
        </is>
      </c>
      <c r="L807" t="inlineStr">
        <is>
          <t>New York : Simon and Schuster, c1988.</t>
        </is>
      </c>
      <c r="M807" t="inlineStr">
        <is>
          <t>1988</t>
        </is>
      </c>
      <c r="O807" t="inlineStr">
        <is>
          <t>eng</t>
        </is>
      </c>
      <c r="P807" t="inlineStr">
        <is>
          <t>nyu</t>
        </is>
      </c>
      <c r="R807" t="inlineStr">
        <is>
          <t xml:space="preserve">DS </t>
        </is>
      </c>
      <c r="S807" t="n">
        <v>4</v>
      </c>
      <c r="T807" t="n">
        <v>4</v>
      </c>
      <c r="U807" t="inlineStr">
        <is>
          <t>2008-04-16</t>
        </is>
      </c>
      <c r="V807" t="inlineStr">
        <is>
          <t>2008-04-16</t>
        </is>
      </c>
      <c r="W807" t="inlineStr">
        <is>
          <t>1990-04-02</t>
        </is>
      </c>
      <c r="X807" t="inlineStr">
        <is>
          <t>1990-04-02</t>
        </is>
      </c>
      <c r="Y807" t="n">
        <v>1035</v>
      </c>
      <c r="Z807" t="n">
        <v>966</v>
      </c>
      <c r="AA807" t="n">
        <v>1007</v>
      </c>
      <c r="AB807" t="n">
        <v>6</v>
      </c>
      <c r="AC807" t="n">
        <v>6</v>
      </c>
      <c r="AD807" t="n">
        <v>24</v>
      </c>
      <c r="AE807" t="n">
        <v>25</v>
      </c>
      <c r="AF807" t="n">
        <v>8</v>
      </c>
      <c r="AG807" t="n">
        <v>9</v>
      </c>
      <c r="AH807" t="n">
        <v>5</v>
      </c>
      <c r="AI807" t="n">
        <v>5</v>
      </c>
      <c r="AJ807" t="n">
        <v>14</v>
      </c>
      <c r="AK807" t="n">
        <v>14</v>
      </c>
      <c r="AL807" t="n">
        <v>2</v>
      </c>
      <c r="AM807" t="n">
        <v>2</v>
      </c>
      <c r="AN807" t="n">
        <v>0</v>
      </c>
      <c r="AO807" t="n">
        <v>0</v>
      </c>
      <c r="AP807" t="inlineStr">
        <is>
          <t>No</t>
        </is>
      </c>
      <c r="AQ807" t="inlineStr">
        <is>
          <t>Yes</t>
        </is>
      </c>
      <c r="AR807">
        <f>HYPERLINK("http://catalog.hathitrust.org/Record/001096300","HathiTrust Record")</f>
        <v/>
      </c>
      <c r="AS807">
        <f>HYPERLINK("https://creighton-primo.hosted.exlibrisgroup.com/primo-explore/search?tab=default_tab&amp;search_scope=EVERYTHING&amp;vid=01CRU&amp;lang=en_US&amp;offset=0&amp;query=any,contains,991001281259702656","Catalog Record")</f>
        <v/>
      </c>
      <c r="AT807">
        <f>HYPERLINK("http://www.worldcat.org/oclc/17918074","WorldCat Record")</f>
        <v/>
      </c>
      <c r="AU807" t="inlineStr">
        <is>
          <t>8907235045:eng</t>
        </is>
      </c>
      <c r="AV807" t="inlineStr">
        <is>
          <t>17918074</t>
        </is>
      </c>
      <c r="AW807" t="inlineStr">
        <is>
          <t>991001281259702656</t>
        </is>
      </c>
      <c r="AX807" t="inlineStr">
        <is>
          <t>991001281259702656</t>
        </is>
      </c>
      <c r="AY807" t="inlineStr">
        <is>
          <t>2270871600002656</t>
        </is>
      </c>
      <c r="AZ807" t="inlineStr">
        <is>
          <t>BOOK</t>
        </is>
      </c>
      <c r="BB807" t="inlineStr">
        <is>
          <t>9780671552312</t>
        </is>
      </c>
      <c r="BC807" t="inlineStr">
        <is>
          <t>32285000107879</t>
        </is>
      </c>
      <c r="BD807" t="inlineStr">
        <is>
          <t>893772475</t>
        </is>
      </c>
    </row>
    <row r="808">
      <c r="A808" t="inlineStr">
        <is>
          <t>No</t>
        </is>
      </c>
      <c r="B808" t="inlineStr">
        <is>
          <t>DS317 .W54</t>
        </is>
      </c>
      <c r="C808" t="inlineStr">
        <is>
          <t>0                      DS 0317000W  54</t>
        </is>
      </c>
      <c r="D808" t="inlineStr">
        <is>
          <t>Riza Shah Pahlavi : the resurrection and reconstruction of Iran / Donald N. Wilber.</t>
        </is>
      </c>
      <c r="F808" t="inlineStr">
        <is>
          <t>No</t>
        </is>
      </c>
      <c r="G808" t="inlineStr">
        <is>
          <t>1</t>
        </is>
      </c>
      <c r="H808" t="inlineStr">
        <is>
          <t>No</t>
        </is>
      </c>
      <c r="I808" t="inlineStr">
        <is>
          <t>No</t>
        </is>
      </c>
      <c r="J808" t="inlineStr">
        <is>
          <t>0</t>
        </is>
      </c>
      <c r="K808" t="inlineStr">
        <is>
          <t>Wilber, Donald Newton.</t>
        </is>
      </c>
      <c r="L808" t="inlineStr">
        <is>
          <t>Hicksville, N.Y. : Exposition Press, [1975]</t>
        </is>
      </c>
      <c r="M808" t="inlineStr">
        <is>
          <t>1975</t>
        </is>
      </c>
      <c r="N808" t="inlineStr">
        <is>
          <t>1st ed.</t>
        </is>
      </c>
      <c r="O808" t="inlineStr">
        <is>
          <t>eng</t>
        </is>
      </c>
      <c r="P808" t="inlineStr">
        <is>
          <t>nyu</t>
        </is>
      </c>
      <c r="Q808" t="inlineStr">
        <is>
          <t>An Exposition-university book</t>
        </is>
      </c>
      <c r="R808" t="inlineStr">
        <is>
          <t xml:space="preserve">DS </t>
        </is>
      </c>
      <c r="S808" t="n">
        <v>1</v>
      </c>
      <c r="T808" t="n">
        <v>1</v>
      </c>
      <c r="U808" t="inlineStr">
        <is>
          <t>2008-04-16</t>
        </is>
      </c>
      <c r="V808" t="inlineStr">
        <is>
          <t>2008-04-16</t>
        </is>
      </c>
      <c r="W808" t="inlineStr">
        <is>
          <t>1992-05-27</t>
        </is>
      </c>
      <c r="X808" t="inlineStr">
        <is>
          <t>1992-05-27</t>
        </is>
      </c>
      <c r="Y808" t="n">
        <v>410</v>
      </c>
      <c r="Z808" t="n">
        <v>345</v>
      </c>
      <c r="AA808" t="n">
        <v>352</v>
      </c>
      <c r="AB808" t="n">
        <v>3</v>
      </c>
      <c r="AC808" t="n">
        <v>3</v>
      </c>
      <c r="AD808" t="n">
        <v>17</v>
      </c>
      <c r="AE808" t="n">
        <v>17</v>
      </c>
      <c r="AF808" t="n">
        <v>5</v>
      </c>
      <c r="AG808" t="n">
        <v>5</v>
      </c>
      <c r="AH808" t="n">
        <v>8</v>
      </c>
      <c r="AI808" t="n">
        <v>8</v>
      </c>
      <c r="AJ808" t="n">
        <v>8</v>
      </c>
      <c r="AK808" t="n">
        <v>8</v>
      </c>
      <c r="AL808" t="n">
        <v>2</v>
      </c>
      <c r="AM808" t="n">
        <v>2</v>
      </c>
      <c r="AN808" t="n">
        <v>0</v>
      </c>
      <c r="AO808" t="n">
        <v>0</v>
      </c>
      <c r="AP808" t="inlineStr">
        <is>
          <t>No</t>
        </is>
      </c>
      <c r="AQ808" t="inlineStr">
        <is>
          <t>No</t>
        </is>
      </c>
      <c r="AS808">
        <f>HYPERLINK("https://creighton-primo.hosted.exlibrisgroup.com/primo-explore/search?tab=default_tab&amp;search_scope=EVERYTHING&amp;vid=01CRU&amp;lang=en_US&amp;offset=0&amp;query=any,contains,991003821019702656","Catalog Record")</f>
        <v/>
      </c>
      <c r="AT808">
        <f>HYPERLINK("http://www.worldcat.org/oclc/1558429","WorldCat Record")</f>
        <v/>
      </c>
      <c r="AU808" t="inlineStr">
        <is>
          <t>432038:eng</t>
        </is>
      </c>
      <c r="AV808" t="inlineStr">
        <is>
          <t>1558429</t>
        </is>
      </c>
      <c r="AW808" t="inlineStr">
        <is>
          <t>991003821019702656</t>
        </is>
      </c>
      <c r="AX808" t="inlineStr">
        <is>
          <t>991003821019702656</t>
        </is>
      </c>
      <c r="AY808" t="inlineStr">
        <is>
          <t>2266872830002656</t>
        </is>
      </c>
      <c r="AZ808" t="inlineStr">
        <is>
          <t>BOOK</t>
        </is>
      </c>
      <c r="BB808" t="inlineStr">
        <is>
          <t>9780682482066</t>
        </is>
      </c>
      <c r="BC808" t="inlineStr">
        <is>
          <t>32285001113199</t>
        </is>
      </c>
      <c r="BD808" t="inlineStr">
        <is>
          <t>893252824</t>
        </is>
      </c>
    </row>
    <row r="809">
      <c r="A809" t="inlineStr">
        <is>
          <t>No</t>
        </is>
      </c>
      <c r="B809" t="inlineStr">
        <is>
          <t>DS318 .A94 1989</t>
        </is>
      </c>
      <c r="C809" t="inlineStr">
        <is>
          <t>0                      DS 0318000A  94          1989</t>
        </is>
      </c>
      <c r="D809" t="inlineStr">
        <is>
          <t>Iran : the crisis of democracy / Fakhreddin Azimi.</t>
        </is>
      </c>
      <c r="F809" t="inlineStr">
        <is>
          <t>No</t>
        </is>
      </c>
      <c r="G809" t="inlineStr">
        <is>
          <t>1</t>
        </is>
      </c>
      <c r="H809" t="inlineStr">
        <is>
          <t>No</t>
        </is>
      </c>
      <c r="I809" t="inlineStr">
        <is>
          <t>No</t>
        </is>
      </c>
      <c r="J809" t="inlineStr">
        <is>
          <t>0</t>
        </is>
      </c>
      <c r="K809" t="inlineStr">
        <is>
          <t>Azimi, Fakhreddin.</t>
        </is>
      </c>
      <c r="L809" t="inlineStr">
        <is>
          <t>New York : St. Martin's Press, 1989.</t>
        </is>
      </c>
      <c r="M809" t="inlineStr">
        <is>
          <t>1989</t>
        </is>
      </c>
      <c r="O809" t="inlineStr">
        <is>
          <t>eng</t>
        </is>
      </c>
      <c r="P809" t="inlineStr">
        <is>
          <t>nyu</t>
        </is>
      </c>
      <c r="R809" t="inlineStr">
        <is>
          <t xml:space="preserve">DS </t>
        </is>
      </c>
      <c r="S809" t="n">
        <v>4</v>
      </c>
      <c r="T809" t="n">
        <v>4</v>
      </c>
      <c r="U809" t="inlineStr">
        <is>
          <t>2009-11-06</t>
        </is>
      </c>
      <c r="V809" t="inlineStr">
        <is>
          <t>2009-11-06</t>
        </is>
      </c>
      <c r="W809" t="inlineStr">
        <is>
          <t>1990-01-15</t>
        </is>
      </c>
      <c r="X809" t="inlineStr">
        <is>
          <t>1990-01-15</t>
        </is>
      </c>
      <c r="Y809" t="n">
        <v>284</v>
      </c>
      <c r="Z809" t="n">
        <v>257</v>
      </c>
      <c r="AA809" t="n">
        <v>295</v>
      </c>
      <c r="AB809" t="n">
        <v>1</v>
      </c>
      <c r="AC809" t="n">
        <v>3</v>
      </c>
      <c r="AD809" t="n">
        <v>9</v>
      </c>
      <c r="AE809" t="n">
        <v>11</v>
      </c>
      <c r="AF809" t="n">
        <v>1</v>
      </c>
      <c r="AG809" t="n">
        <v>1</v>
      </c>
      <c r="AH809" t="n">
        <v>4</v>
      </c>
      <c r="AI809" t="n">
        <v>4</v>
      </c>
      <c r="AJ809" t="n">
        <v>6</v>
      </c>
      <c r="AK809" t="n">
        <v>6</v>
      </c>
      <c r="AL809" t="n">
        <v>0</v>
      </c>
      <c r="AM809" t="n">
        <v>2</v>
      </c>
      <c r="AN809" t="n">
        <v>0</v>
      </c>
      <c r="AO809" t="n">
        <v>0</v>
      </c>
      <c r="AP809" t="inlineStr">
        <is>
          <t>No</t>
        </is>
      </c>
      <c r="AQ809" t="inlineStr">
        <is>
          <t>No</t>
        </is>
      </c>
      <c r="AS809">
        <f>HYPERLINK("https://creighton-primo.hosted.exlibrisgroup.com/primo-explore/search?tab=default_tab&amp;search_scope=EVERYTHING&amp;vid=01CRU&amp;lang=en_US&amp;offset=0&amp;query=any,contains,991001467069702656","Catalog Record")</f>
        <v/>
      </c>
      <c r="AT809">
        <f>HYPERLINK("http://www.worldcat.org/oclc/19514392","WorldCat Record")</f>
        <v/>
      </c>
      <c r="AU809" t="inlineStr">
        <is>
          <t>21346083:eng</t>
        </is>
      </c>
      <c r="AV809" t="inlineStr">
        <is>
          <t>19514392</t>
        </is>
      </c>
      <c r="AW809" t="inlineStr">
        <is>
          <t>991001467069702656</t>
        </is>
      </c>
      <c r="AX809" t="inlineStr">
        <is>
          <t>991001467069702656</t>
        </is>
      </c>
      <c r="AY809" t="inlineStr">
        <is>
          <t>2259889320002656</t>
        </is>
      </c>
      <c r="AZ809" t="inlineStr">
        <is>
          <t>BOOK</t>
        </is>
      </c>
      <c r="BB809" t="inlineStr">
        <is>
          <t>9780312031923</t>
        </is>
      </c>
      <c r="BC809" t="inlineStr">
        <is>
          <t>32285000028398</t>
        </is>
      </c>
      <c r="BD809" t="inlineStr">
        <is>
          <t>893602621</t>
        </is>
      </c>
    </row>
    <row r="810">
      <c r="A810" t="inlineStr">
        <is>
          <t>No</t>
        </is>
      </c>
      <c r="B810" t="inlineStr">
        <is>
          <t>DS318 .B335</t>
        </is>
      </c>
      <c r="C810" t="inlineStr">
        <is>
          <t>0                      DS 0318000B  335</t>
        </is>
      </c>
      <c r="D810" t="inlineStr">
        <is>
          <t>The crowned cannibals : writings on repression in Iran / Reza Baraheni, with an introduction by E. L. Doctorow.</t>
        </is>
      </c>
      <c r="F810" t="inlineStr">
        <is>
          <t>No</t>
        </is>
      </c>
      <c r="G810" t="inlineStr">
        <is>
          <t>1</t>
        </is>
      </c>
      <c r="H810" t="inlineStr">
        <is>
          <t>No</t>
        </is>
      </c>
      <c r="I810" t="inlineStr">
        <is>
          <t>No</t>
        </is>
      </c>
      <c r="J810" t="inlineStr">
        <is>
          <t>0</t>
        </is>
      </c>
      <c r="K810" t="inlineStr">
        <is>
          <t>Baraheni, Reza, 1935-</t>
        </is>
      </c>
      <c r="L810" t="inlineStr">
        <is>
          <t>New York : Vintage Books, 1977.</t>
        </is>
      </c>
      <c r="M810" t="inlineStr">
        <is>
          <t>1977</t>
        </is>
      </c>
      <c r="N810" t="inlineStr">
        <is>
          <t>1st ed.</t>
        </is>
      </c>
      <c r="O810" t="inlineStr">
        <is>
          <t>eng</t>
        </is>
      </c>
      <c r="P810" t="inlineStr">
        <is>
          <t>nyu</t>
        </is>
      </c>
      <c r="R810" t="inlineStr">
        <is>
          <t xml:space="preserve">DS </t>
        </is>
      </c>
      <c r="S810" t="n">
        <v>2</v>
      </c>
      <c r="T810" t="n">
        <v>2</v>
      </c>
      <c r="U810" t="inlineStr">
        <is>
          <t>2001-02-21</t>
        </is>
      </c>
      <c r="V810" t="inlineStr">
        <is>
          <t>2001-02-21</t>
        </is>
      </c>
      <c r="W810" t="inlineStr">
        <is>
          <t>1997-03-06</t>
        </is>
      </c>
      <c r="X810" t="inlineStr">
        <is>
          <t>1997-03-06</t>
        </is>
      </c>
      <c r="Y810" t="n">
        <v>473</v>
      </c>
      <c r="Z810" t="n">
        <v>416</v>
      </c>
      <c r="AA810" t="n">
        <v>418</v>
      </c>
      <c r="AB810" t="n">
        <v>5</v>
      </c>
      <c r="AC810" t="n">
        <v>5</v>
      </c>
      <c r="AD810" t="n">
        <v>18</v>
      </c>
      <c r="AE810" t="n">
        <v>18</v>
      </c>
      <c r="AF810" t="n">
        <v>6</v>
      </c>
      <c r="AG810" t="n">
        <v>6</v>
      </c>
      <c r="AH810" t="n">
        <v>5</v>
      </c>
      <c r="AI810" t="n">
        <v>5</v>
      </c>
      <c r="AJ810" t="n">
        <v>5</v>
      </c>
      <c r="AK810" t="n">
        <v>5</v>
      </c>
      <c r="AL810" t="n">
        <v>4</v>
      </c>
      <c r="AM810" t="n">
        <v>4</v>
      </c>
      <c r="AN810" t="n">
        <v>0</v>
      </c>
      <c r="AO810" t="n">
        <v>0</v>
      </c>
      <c r="AP810" t="inlineStr">
        <is>
          <t>No</t>
        </is>
      </c>
      <c r="AQ810" t="inlineStr">
        <is>
          <t>Yes</t>
        </is>
      </c>
      <c r="AR810">
        <f>HYPERLINK("http://catalog.hathitrust.org/Record/000214067","HathiTrust Record")</f>
        <v/>
      </c>
      <c r="AS810">
        <f>HYPERLINK("https://creighton-primo.hosted.exlibrisgroup.com/primo-explore/search?tab=default_tab&amp;search_scope=EVERYTHING&amp;vid=01CRU&amp;lang=en_US&amp;offset=0&amp;query=any,contains,991004300029702656","Catalog Record")</f>
        <v/>
      </c>
      <c r="AT810">
        <f>HYPERLINK("http://www.worldcat.org/oclc/2967799","WorldCat Record")</f>
        <v/>
      </c>
      <c r="AU810" t="inlineStr">
        <is>
          <t>287468113:eng</t>
        </is>
      </c>
      <c r="AV810" t="inlineStr">
        <is>
          <t>2967799</t>
        </is>
      </c>
      <c r="AW810" t="inlineStr">
        <is>
          <t>991004300029702656</t>
        </is>
      </c>
      <c r="AX810" t="inlineStr">
        <is>
          <t>991004300029702656</t>
        </is>
      </c>
      <c r="AY810" t="inlineStr">
        <is>
          <t>2269466110002656</t>
        </is>
      </c>
      <c r="AZ810" t="inlineStr">
        <is>
          <t>BOOK</t>
        </is>
      </c>
      <c r="BB810" t="inlineStr">
        <is>
          <t>9780394723570</t>
        </is>
      </c>
      <c r="BC810" t="inlineStr">
        <is>
          <t>32285002455540</t>
        </is>
      </c>
      <c r="BD810" t="inlineStr">
        <is>
          <t>893253523</t>
        </is>
      </c>
    </row>
    <row r="811">
      <c r="A811" t="inlineStr">
        <is>
          <t>No</t>
        </is>
      </c>
      <c r="B811" t="inlineStr">
        <is>
          <t>DS318 .H6713 1980</t>
        </is>
      </c>
      <c r="C811" t="inlineStr">
        <is>
          <t>0                      DS 0318000H  6713        1980</t>
        </is>
      </c>
      <c r="D811" t="inlineStr">
        <is>
          <t>The fall of the Shah / Fereydoun Hoveyda ; translated by Roger Liddell.</t>
        </is>
      </c>
      <c r="F811" t="inlineStr">
        <is>
          <t>No</t>
        </is>
      </c>
      <c r="G811" t="inlineStr">
        <is>
          <t>1</t>
        </is>
      </c>
      <c r="H811" t="inlineStr">
        <is>
          <t>No</t>
        </is>
      </c>
      <c r="I811" t="inlineStr">
        <is>
          <t>No</t>
        </is>
      </c>
      <c r="J811" t="inlineStr">
        <is>
          <t>0</t>
        </is>
      </c>
      <c r="K811" t="inlineStr">
        <is>
          <t>Hoveyda, Fereydoun.</t>
        </is>
      </c>
      <c r="L811" t="inlineStr">
        <is>
          <t>New York : Wyndham Books, c1980.</t>
        </is>
      </c>
      <c r="M811" t="inlineStr">
        <is>
          <t>1980</t>
        </is>
      </c>
      <c r="O811" t="inlineStr">
        <is>
          <t>eng</t>
        </is>
      </c>
      <c r="P811" t="inlineStr">
        <is>
          <t>nyu</t>
        </is>
      </c>
      <c r="R811" t="inlineStr">
        <is>
          <t xml:space="preserve">DS </t>
        </is>
      </c>
      <c r="S811" t="n">
        <v>2</v>
      </c>
      <c r="T811" t="n">
        <v>2</v>
      </c>
      <c r="U811" t="inlineStr">
        <is>
          <t>2003-11-29</t>
        </is>
      </c>
      <c r="V811" t="inlineStr">
        <is>
          <t>2003-11-29</t>
        </is>
      </c>
      <c r="W811" t="inlineStr">
        <is>
          <t>1990-10-08</t>
        </is>
      </c>
      <c r="X811" t="inlineStr">
        <is>
          <t>1990-10-08</t>
        </is>
      </c>
      <c r="Y811" t="n">
        <v>1150</v>
      </c>
      <c r="Z811" t="n">
        <v>1090</v>
      </c>
      <c r="AA811" t="n">
        <v>1136</v>
      </c>
      <c r="AB811" t="n">
        <v>10</v>
      </c>
      <c r="AC811" t="n">
        <v>10</v>
      </c>
      <c r="AD811" t="n">
        <v>22</v>
      </c>
      <c r="AE811" t="n">
        <v>23</v>
      </c>
      <c r="AF811" t="n">
        <v>8</v>
      </c>
      <c r="AG811" t="n">
        <v>8</v>
      </c>
      <c r="AH811" t="n">
        <v>6</v>
      </c>
      <c r="AI811" t="n">
        <v>6</v>
      </c>
      <c r="AJ811" t="n">
        <v>9</v>
      </c>
      <c r="AK811" t="n">
        <v>10</v>
      </c>
      <c r="AL811" t="n">
        <v>3</v>
      </c>
      <c r="AM811" t="n">
        <v>3</v>
      </c>
      <c r="AN811" t="n">
        <v>0</v>
      </c>
      <c r="AO811" t="n">
        <v>0</v>
      </c>
      <c r="AP811" t="inlineStr">
        <is>
          <t>No</t>
        </is>
      </c>
      <c r="AQ811" t="inlineStr">
        <is>
          <t>Yes</t>
        </is>
      </c>
      <c r="AR811">
        <f>HYPERLINK("http://catalog.hathitrust.org/Record/000689471","HathiTrust Record")</f>
        <v/>
      </c>
      <c r="AS811">
        <f>HYPERLINK("https://creighton-primo.hosted.exlibrisgroup.com/primo-explore/search?tab=default_tab&amp;search_scope=EVERYTHING&amp;vid=01CRU&amp;lang=en_US&amp;offset=0&amp;query=any,contains,991004910979702656","Catalog Record")</f>
        <v/>
      </c>
      <c r="AT811">
        <f>HYPERLINK("http://www.worldcat.org/oclc/5992123","WorldCat Record")</f>
        <v/>
      </c>
      <c r="AU811" t="inlineStr">
        <is>
          <t>519278:eng</t>
        </is>
      </c>
      <c r="AV811" t="inlineStr">
        <is>
          <t>5992123</t>
        </is>
      </c>
      <c r="AW811" t="inlineStr">
        <is>
          <t>991004910979702656</t>
        </is>
      </c>
      <c r="AX811" t="inlineStr">
        <is>
          <t>991004910979702656</t>
        </is>
      </c>
      <c r="AY811" t="inlineStr">
        <is>
          <t>2261396080002656</t>
        </is>
      </c>
      <c r="AZ811" t="inlineStr">
        <is>
          <t>BOOK</t>
        </is>
      </c>
      <c r="BB811" t="inlineStr">
        <is>
          <t>9780671610036</t>
        </is>
      </c>
      <c r="BC811" t="inlineStr">
        <is>
          <t>32285000335777</t>
        </is>
      </c>
      <c r="BD811" t="inlineStr">
        <is>
          <t>893332170</t>
        </is>
      </c>
    </row>
    <row r="812">
      <c r="A812" t="inlineStr">
        <is>
          <t>No</t>
        </is>
      </c>
      <c r="B812" t="inlineStr">
        <is>
          <t>DS318 .H87 1985</t>
        </is>
      </c>
      <c r="C812" t="inlineStr">
        <is>
          <t>0                      DS 0318000H  87          1985</t>
        </is>
      </c>
      <c r="D812" t="inlineStr">
        <is>
          <t>Islamic Iran : revolution and counter-revolution / Asaf Hussain.</t>
        </is>
      </c>
      <c r="F812" t="inlineStr">
        <is>
          <t>No</t>
        </is>
      </c>
      <c r="G812" t="inlineStr">
        <is>
          <t>1</t>
        </is>
      </c>
      <c r="H812" t="inlineStr">
        <is>
          <t>No</t>
        </is>
      </c>
      <c r="I812" t="inlineStr">
        <is>
          <t>No</t>
        </is>
      </c>
      <c r="J812" t="inlineStr">
        <is>
          <t>0</t>
        </is>
      </c>
      <c r="K812" t="inlineStr">
        <is>
          <t>Hussain, Asaf.</t>
        </is>
      </c>
      <c r="L812" t="inlineStr">
        <is>
          <t>New York : St. Martin's Press, 1985.</t>
        </is>
      </c>
      <c r="M812" t="inlineStr">
        <is>
          <t>1985</t>
        </is>
      </c>
      <c r="O812" t="inlineStr">
        <is>
          <t>eng</t>
        </is>
      </c>
      <c r="P812" t="inlineStr">
        <is>
          <t>nyu</t>
        </is>
      </c>
      <c r="R812" t="inlineStr">
        <is>
          <t xml:space="preserve">DS </t>
        </is>
      </c>
      <c r="S812" t="n">
        <v>6</v>
      </c>
      <c r="T812" t="n">
        <v>6</v>
      </c>
      <c r="U812" t="inlineStr">
        <is>
          <t>2007-04-04</t>
        </is>
      </c>
      <c r="V812" t="inlineStr">
        <is>
          <t>2007-04-04</t>
        </is>
      </c>
      <c r="W812" t="inlineStr">
        <is>
          <t>1990-06-05</t>
        </is>
      </c>
      <c r="X812" t="inlineStr">
        <is>
          <t>1990-06-05</t>
        </is>
      </c>
      <c r="Y812" t="n">
        <v>275</v>
      </c>
      <c r="Z812" t="n">
        <v>256</v>
      </c>
      <c r="AA812" t="n">
        <v>317</v>
      </c>
      <c r="AB812" t="n">
        <v>1</v>
      </c>
      <c r="AC812" t="n">
        <v>3</v>
      </c>
      <c r="AD812" t="n">
        <v>14</v>
      </c>
      <c r="AE812" t="n">
        <v>17</v>
      </c>
      <c r="AF812" t="n">
        <v>6</v>
      </c>
      <c r="AG812" t="n">
        <v>6</v>
      </c>
      <c r="AH812" t="n">
        <v>6</v>
      </c>
      <c r="AI812" t="n">
        <v>6</v>
      </c>
      <c r="AJ812" t="n">
        <v>8</v>
      </c>
      <c r="AK812" t="n">
        <v>9</v>
      </c>
      <c r="AL812" t="n">
        <v>0</v>
      </c>
      <c r="AM812" t="n">
        <v>2</v>
      </c>
      <c r="AN812" t="n">
        <v>0</v>
      </c>
      <c r="AO812" t="n">
        <v>0</v>
      </c>
      <c r="AP812" t="inlineStr">
        <is>
          <t>No</t>
        </is>
      </c>
      <c r="AQ812" t="inlineStr">
        <is>
          <t>No</t>
        </is>
      </c>
      <c r="AS812">
        <f>HYPERLINK("https://creighton-primo.hosted.exlibrisgroup.com/primo-explore/search?tab=default_tab&amp;search_scope=EVERYTHING&amp;vid=01CRU&amp;lang=en_US&amp;offset=0&amp;query=any,contains,991000601509702656","Catalog Record")</f>
        <v/>
      </c>
      <c r="AT812">
        <f>HYPERLINK("http://www.worldcat.org/oclc/11841591","WorldCat Record")</f>
        <v/>
      </c>
      <c r="AU812" t="inlineStr">
        <is>
          <t>836656540:eng</t>
        </is>
      </c>
      <c r="AV812" t="inlineStr">
        <is>
          <t>11841591</t>
        </is>
      </c>
      <c r="AW812" t="inlineStr">
        <is>
          <t>991000601509702656</t>
        </is>
      </c>
      <c r="AX812" t="inlineStr">
        <is>
          <t>991000601509702656</t>
        </is>
      </c>
      <c r="AY812" t="inlineStr">
        <is>
          <t>2266231510002656</t>
        </is>
      </c>
      <c r="AZ812" t="inlineStr">
        <is>
          <t>BOOK</t>
        </is>
      </c>
      <c r="BB812" t="inlineStr">
        <is>
          <t>9780312437459</t>
        </is>
      </c>
      <c r="BC812" t="inlineStr">
        <is>
          <t>32285000181692</t>
        </is>
      </c>
      <c r="BD812" t="inlineStr">
        <is>
          <t>893865517</t>
        </is>
      </c>
    </row>
    <row r="813">
      <c r="A813" t="inlineStr">
        <is>
          <t>No</t>
        </is>
      </c>
      <c r="B813" t="inlineStr">
        <is>
          <t>DS318 .I68</t>
        </is>
      </c>
      <c r="C813" t="inlineStr">
        <is>
          <t>0                      DS 0318000I  68</t>
        </is>
      </c>
      <c r="D813" t="inlineStr">
        <is>
          <t>Iran erupts / edited by Ali-Reza Nobari.</t>
        </is>
      </c>
      <c r="F813" t="inlineStr">
        <is>
          <t>No</t>
        </is>
      </c>
      <c r="G813" t="inlineStr">
        <is>
          <t>1</t>
        </is>
      </c>
      <c r="H813" t="inlineStr">
        <is>
          <t>No</t>
        </is>
      </c>
      <c r="I813" t="inlineStr">
        <is>
          <t>No</t>
        </is>
      </c>
      <c r="J813" t="inlineStr">
        <is>
          <t>0</t>
        </is>
      </c>
      <c r="L813" t="inlineStr">
        <is>
          <t>Stanford : Iran-America Documentation Group, Stanford University, c1978.</t>
        </is>
      </c>
      <c r="M813" t="inlineStr">
        <is>
          <t>1978</t>
        </is>
      </c>
      <c r="O813" t="inlineStr">
        <is>
          <t>eng</t>
        </is>
      </c>
      <c r="P813" t="inlineStr">
        <is>
          <t>cau</t>
        </is>
      </c>
      <c r="Q813" t="inlineStr">
        <is>
          <t>Independence : news and analysis of the Iranian National Movement ; v. 1</t>
        </is>
      </c>
      <c r="R813" t="inlineStr">
        <is>
          <t xml:space="preserve">DS </t>
        </is>
      </c>
      <c r="S813" t="n">
        <v>5</v>
      </c>
      <c r="T813" t="n">
        <v>5</v>
      </c>
      <c r="U813" t="inlineStr">
        <is>
          <t>2008-12-01</t>
        </is>
      </c>
      <c r="V813" t="inlineStr">
        <is>
          <t>2008-12-01</t>
        </is>
      </c>
      <c r="W813" t="inlineStr">
        <is>
          <t>1990-10-08</t>
        </is>
      </c>
      <c r="X813" t="inlineStr">
        <is>
          <t>1990-10-08</t>
        </is>
      </c>
      <c r="Y813" t="n">
        <v>156</v>
      </c>
      <c r="Z813" t="n">
        <v>122</v>
      </c>
      <c r="AA813" t="n">
        <v>124</v>
      </c>
      <c r="AB813" t="n">
        <v>1</v>
      </c>
      <c r="AC813" t="n">
        <v>1</v>
      </c>
      <c r="AD813" t="n">
        <v>5</v>
      </c>
      <c r="AE813" t="n">
        <v>5</v>
      </c>
      <c r="AF813" t="n">
        <v>2</v>
      </c>
      <c r="AG813" t="n">
        <v>2</v>
      </c>
      <c r="AH813" t="n">
        <v>2</v>
      </c>
      <c r="AI813" t="n">
        <v>2</v>
      </c>
      <c r="AJ813" t="n">
        <v>3</v>
      </c>
      <c r="AK813" t="n">
        <v>3</v>
      </c>
      <c r="AL813" t="n">
        <v>0</v>
      </c>
      <c r="AM813" t="n">
        <v>0</v>
      </c>
      <c r="AN813" t="n">
        <v>0</v>
      </c>
      <c r="AO813" t="n">
        <v>0</v>
      </c>
      <c r="AP813" t="inlineStr">
        <is>
          <t>No</t>
        </is>
      </c>
      <c r="AQ813" t="inlineStr">
        <is>
          <t>Yes</t>
        </is>
      </c>
      <c r="AR813">
        <f>HYPERLINK("http://catalog.hathitrust.org/Record/000719277","HathiTrust Record")</f>
        <v/>
      </c>
      <c r="AS813">
        <f>HYPERLINK("https://creighton-primo.hosted.exlibrisgroup.com/primo-explore/search?tab=default_tab&amp;search_scope=EVERYTHING&amp;vid=01CRU&amp;lang=en_US&amp;offset=0&amp;query=any,contains,991004711079702656","Catalog Record")</f>
        <v/>
      </c>
      <c r="AT813">
        <f>HYPERLINK("http://www.worldcat.org/oclc/4767949","WorldCat Record")</f>
        <v/>
      </c>
      <c r="AU813" t="inlineStr">
        <is>
          <t>865177677:eng</t>
        </is>
      </c>
      <c r="AV813" t="inlineStr">
        <is>
          <t>4767949</t>
        </is>
      </c>
      <c r="AW813" t="inlineStr">
        <is>
          <t>991004711079702656</t>
        </is>
      </c>
      <c r="AX813" t="inlineStr">
        <is>
          <t>991004711079702656</t>
        </is>
      </c>
      <c r="AY813" t="inlineStr">
        <is>
          <t>2260993070002656</t>
        </is>
      </c>
      <c r="AZ813" t="inlineStr">
        <is>
          <t>BOOK</t>
        </is>
      </c>
      <c r="BC813" t="inlineStr">
        <is>
          <t>32285000335785</t>
        </is>
      </c>
      <c r="BD813" t="inlineStr">
        <is>
          <t>893344165</t>
        </is>
      </c>
    </row>
    <row r="814">
      <c r="A814" t="inlineStr">
        <is>
          <t>No</t>
        </is>
      </c>
      <c r="B814" t="inlineStr">
        <is>
          <t>DS318 .K49 2003</t>
        </is>
      </c>
      <c r="C814" t="inlineStr">
        <is>
          <t>0                      DS 0318000K  49          2003</t>
        </is>
      </c>
      <c r="D814" t="inlineStr">
        <is>
          <t>All the Shah's men : an American coup and the roots of Middle East terror / Stephen Kinzer.</t>
        </is>
      </c>
      <c r="F814" t="inlineStr">
        <is>
          <t>No</t>
        </is>
      </c>
      <c r="G814" t="inlineStr">
        <is>
          <t>1</t>
        </is>
      </c>
      <c r="H814" t="inlineStr">
        <is>
          <t>No</t>
        </is>
      </c>
      <c r="I814" t="inlineStr">
        <is>
          <t>No</t>
        </is>
      </c>
      <c r="J814" t="inlineStr">
        <is>
          <t>0</t>
        </is>
      </c>
      <c r="K814" t="inlineStr">
        <is>
          <t>Kinzer, Stephen.</t>
        </is>
      </c>
      <c r="L814" t="inlineStr">
        <is>
          <t>Hoboken, N.J. : J. Wiley &amp; Sons, c2003.</t>
        </is>
      </c>
      <c r="M814" t="inlineStr">
        <is>
          <t>2003</t>
        </is>
      </c>
      <c r="O814" t="inlineStr">
        <is>
          <t>eng</t>
        </is>
      </c>
      <c r="P814" t="inlineStr">
        <is>
          <t>nju</t>
        </is>
      </c>
      <c r="R814" t="inlineStr">
        <is>
          <t xml:space="preserve">DS </t>
        </is>
      </c>
      <c r="S814" t="n">
        <v>13</v>
      </c>
      <c r="T814" t="n">
        <v>13</v>
      </c>
      <c r="U814" t="inlineStr">
        <is>
          <t>2009-11-06</t>
        </is>
      </c>
      <c r="V814" t="inlineStr">
        <is>
          <t>2009-11-06</t>
        </is>
      </c>
      <c r="W814" t="inlineStr">
        <is>
          <t>2004-09-23</t>
        </is>
      </c>
      <c r="X814" t="inlineStr">
        <is>
          <t>2004-09-23</t>
        </is>
      </c>
      <c r="Y814" t="n">
        <v>1883</v>
      </c>
      <c r="Z814" t="n">
        <v>1655</v>
      </c>
      <c r="AA814" t="n">
        <v>1909</v>
      </c>
      <c r="AB814" t="n">
        <v>10</v>
      </c>
      <c r="AC814" t="n">
        <v>14</v>
      </c>
      <c r="AD814" t="n">
        <v>44</v>
      </c>
      <c r="AE814" t="n">
        <v>49</v>
      </c>
      <c r="AF814" t="n">
        <v>19</v>
      </c>
      <c r="AG814" t="n">
        <v>20</v>
      </c>
      <c r="AH814" t="n">
        <v>6</v>
      </c>
      <c r="AI814" t="n">
        <v>7</v>
      </c>
      <c r="AJ814" t="n">
        <v>21</v>
      </c>
      <c r="AK814" t="n">
        <v>22</v>
      </c>
      <c r="AL814" t="n">
        <v>6</v>
      </c>
      <c r="AM814" t="n">
        <v>9</v>
      </c>
      <c r="AN814" t="n">
        <v>1</v>
      </c>
      <c r="AO814" t="n">
        <v>1</v>
      </c>
      <c r="AP814" t="inlineStr">
        <is>
          <t>No</t>
        </is>
      </c>
      <c r="AQ814" t="inlineStr">
        <is>
          <t>Yes</t>
        </is>
      </c>
      <c r="AR814">
        <f>HYPERLINK("http://catalog.hathitrust.org/Record/004332865","HathiTrust Record")</f>
        <v/>
      </c>
      <c r="AS814">
        <f>HYPERLINK("https://creighton-primo.hosted.exlibrisgroup.com/primo-explore/search?tab=default_tab&amp;search_scope=EVERYTHING&amp;vid=01CRU&amp;lang=en_US&amp;offset=0&amp;query=any,contains,991004360429702656","Catalog Record")</f>
        <v/>
      </c>
      <c r="AT814">
        <f>HYPERLINK("http://www.worldcat.org/oclc/52165724","WorldCat Record")</f>
        <v/>
      </c>
      <c r="AU814" t="inlineStr">
        <is>
          <t>14383706:eng</t>
        </is>
      </c>
      <c r="AV814" t="inlineStr">
        <is>
          <t>52165724</t>
        </is>
      </c>
      <c r="AW814" t="inlineStr">
        <is>
          <t>991004360429702656</t>
        </is>
      </c>
      <c r="AX814" t="inlineStr">
        <is>
          <t>991004360429702656</t>
        </is>
      </c>
      <c r="AY814" t="inlineStr">
        <is>
          <t>2261508320002656</t>
        </is>
      </c>
      <c r="AZ814" t="inlineStr">
        <is>
          <t>BOOK</t>
        </is>
      </c>
      <c r="BB814" t="inlineStr">
        <is>
          <t>9780471265177</t>
        </is>
      </c>
      <c r="BC814" t="inlineStr">
        <is>
          <t>32285004988977</t>
        </is>
      </c>
      <c r="BD814" t="inlineStr">
        <is>
          <t>893775930</t>
        </is>
      </c>
    </row>
    <row r="815">
      <c r="A815" t="inlineStr">
        <is>
          <t>No</t>
        </is>
      </c>
      <c r="B815" t="inlineStr">
        <is>
          <t>DS318 .M58413</t>
        </is>
      </c>
      <c r="C815" t="inlineStr">
        <is>
          <t>0                      DS 0318000M  58413</t>
        </is>
      </c>
      <c r="D815" t="inlineStr">
        <is>
          <t>Answer to history / Mohammad Reza Pahlavi ; [translation, Michael Joseph Ltd.].</t>
        </is>
      </c>
      <c r="F815" t="inlineStr">
        <is>
          <t>No</t>
        </is>
      </c>
      <c r="G815" t="inlineStr">
        <is>
          <t>1</t>
        </is>
      </c>
      <c r="H815" t="inlineStr">
        <is>
          <t>No</t>
        </is>
      </c>
      <c r="I815" t="inlineStr">
        <is>
          <t>No</t>
        </is>
      </c>
      <c r="J815" t="inlineStr">
        <is>
          <t>0</t>
        </is>
      </c>
      <c r="K815" t="inlineStr">
        <is>
          <t>Mohammad Reza Pahlavi, Shah of Iran, 1919-1980.</t>
        </is>
      </c>
      <c r="L815" t="inlineStr">
        <is>
          <t>New York : Stein and Day, 1980.</t>
        </is>
      </c>
      <c r="M815" t="inlineStr">
        <is>
          <t>1980</t>
        </is>
      </c>
      <c r="O815" t="inlineStr">
        <is>
          <t>eng</t>
        </is>
      </c>
      <c r="P815" t="inlineStr">
        <is>
          <t>nyu</t>
        </is>
      </c>
      <c r="R815" t="inlineStr">
        <is>
          <t xml:space="preserve">DS </t>
        </is>
      </c>
      <c r="S815" t="n">
        <v>4</v>
      </c>
      <c r="T815" t="n">
        <v>4</v>
      </c>
      <c r="U815" t="inlineStr">
        <is>
          <t>2006-03-15</t>
        </is>
      </c>
      <c r="V815" t="inlineStr">
        <is>
          <t>2006-03-15</t>
        </is>
      </c>
      <c r="W815" t="inlineStr">
        <is>
          <t>1990-10-08</t>
        </is>
      </c>
      <c r="X815" t="inlineStr">
        <is>
          <t>1990-10-08</t>
        </is>
      </c>
      <c r="Y815" t="n">
        <v>1196</v>
      </c>
      <c r="Z815" t="n">
        <v>1130</v>
      </c>
      <c r="AA815" t="n">
        <v>1168</v>
      </c>
      <c r="AB815" t="n">
        <v>8</v>
      </c>
      <c r="AC815" t="n">
        <v>8</v>
      </c>
      <c r="AD815" t="n">
        <v>32</v>
      </c>
      <c r="AE815" t="n">
        <v>34</v>
      </c>
      <c r="AF815" t="n">
        <v>12</v>
      </c>
      <c r="AG815" t="n">
        <v>12</v>
      </c>
      <c r="AH815" t="n">
        <v>4</v>
      </c>
      <c r="AI815" t="n">
        <v>5</v>
      </c>
      <c r="AJ815" t="n">
        <v>16</v>
      </c>
      <c r="AK815" t="n">
        <v>17</v>
      </c>
      <c r="AL815" t="n">
        <v>4</v>
      </c>
      <c r="AM815" t="n">
        <v>4</v>
      </c>
      <c r="AN815" t="n">
        <v>0</v>
      </c>
      <c r="AO815" t="n">
        <v>0</v>
      </c>
      <c r="AP815" t="inlineStr">
        <is>
          <t>No</t>
        </is>
      </c>
      <c r="AQ815" t="inlineStr">
        <is>
          <t>No</t>
        </is>
      </c>
      <c r="AS815">
        <f>HYPERLINK("https://creighton-primo.hosted.exlibrisgroup.com/primo-explore/search?tab=default_tab&amp;search_scope=EVERYTHING&amp;vid=01CRU&amp;lang=en_US&amp;offset=0&amp;query=any,contains,991005025739702656","Catalog Record")</f>
        <v/>
      </c>
      <c r="AT815">
        <f>HYPERLINK("http://www.worldcat.org/oclc/6695257","WorldCat Record")</f>
        <v/>
      </c>
      <c r="AU815" t="inlineStr">
        <is>
          <t>140529146:eng</t>
        </is>
      </c>
      <c r="AV815" t="inlineStr">
        <is>
          <t>6695257</t>
        </is>
      </c>
      <c r="AW815" t="inlineStr">
        <is>
          <t>991005025739702656</t>
        </is>
      </c>
      <c r="AX815" t="inlineStr">
        <is>
          <t>991005025739702656</t>
        </is>
      </c>
      <c r="AY815" t="inlineStr">
        <is>
          <t>2266069340002656</t>
        </is>
      </c>
      <c r="AZ815" t="inlineStr">
        <is>
          <t>BOOK</t>
        </is>
      </c>
      <c r="BC815" t="inlineStr">
        <is>
          <t>32285000335819</t>
        </is>
      </c>
      <c r="BD815" t="inlineStr">
        <is>
          <t>893905178</t>
        </is>
      </c>
    </row>
    <row r="816">
      <c r="A816" t="inlineStr">
        <is>
          <t>No</t>
        </is>
      </c>
      <c r="B816" t="inlineStr">
        <is>
          <t>DS318 .M6 1961a</t>
        </is>
      </c>
      <c r="C816" t="inlineStr">
        <is>
          <t>0                      DS 0318000M  6           1961a</t>
        </is>
      </c>
      <c r="D816" t="inlineStr">
        <is>
          <t>Mission for my country / His Imperial Majesty Mohammed Reza Shah Pahlavi, Shahanshah of Iran. --</t>
        </is>
      </c>
      <c r="F816" t="inlineStr">
        <is>
          <t>No</t>
        </is>
      </c>
      <c r="G816" t="inlineStr">
        <is>
          <t>1</t>
        </is>
      </c>
      <c r="H816" t="inlineStr">
        <is>
          <t>No</t>
        </is>
      </c>
      <c r="I816" t="inlineStr">
        <is>
          <t>No</t>
        </is>
      </c>
      <c r="J816" t="inlineStr">
        <is>
          <t>0</t>
        </is>
      </c>
      <c r="K816" t="inlineStr">
        <is>
          <t>Mohammad Reza Pahlavi, Shah of Iran, 1919-1980.</t>
        </is>
      </c>
      <c r="L816" t="inlineStr">
        <is>
          <t>London : Hutchinson, 1961, c1960.</t>
        </is>
      </c>
      <c r="M816" t="inlineStr">
        <is>
          <t>1960</t>
        </is>
      </c>
      <c r="O816" t="inlineStr">
        <is>
          <t>eng</t>
        </is>
      </c>
      <c r="P816" t="inlineStr">
        <is>
          <t xml:space="preserve">xx </t>
        </is>
      </c>
      <c r="R816" t="inlineStr">
        <is>
          <t xml:space="preserve">DS </t>
        </is>
      </c>
      <c r="S816" t="n">
        <v>3</v>
      </c>
      <c r="T816" t="n">
        <v>3</v>
      </c>
      <c r="U816" t="inlineStr">
        <is>
          <t>2002-11-12</t>
        </is>
      </c>
      <c r="V816" t="inlineStr">
        <is>
          <t>2002-11-12</t>
        </is>
      </c>
      <c r="W816" t="inlineStr">
        <is>
          <t>1990-10-08</t>
        </is>
      </c>
      <c r="X816" t="inlineStr">
        <is>
          <t>1990-10-08</t>
        </is>
      </c>
      <c r="Y816" t="n">
        <v>77</v>
      </c>
      <c r="Z816" t="n">
        <v>66</v>
      </c>
      <c r="AA816" t="n">
        <v>446</v>
      </c>
      <c r="AB816" t="n">
        <v>1</v>
      </c>
      <c r="AC816" t="n">
        <v>2</v>
      </c>
      <c r="AD816" t="n">
        <v>4</v>
      </c>
      <c r="AE816" t="n">
        <v>13</v>
      </c>
      <c r="AF816" t="n">
        <v>0</v>
      </c>
      <c r="AG816" t="n">
        <v>3</v>
      </c>
      <c r="AH816" t="n">
        <v>2</v>
      </c>
      <c r="AI816" t="n">
        <v>5</v>
      </c>
      <c r="AJ816" t="n">
        <v>3</v>
      </c>
      <c r="AK816" t="n">
        <v>7</v>
      </c>
      <c r="AL816" t="n">
        <v>0</v>
      </c>
      <c r="AM816" t="n">
        <v>1</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HYPERLINK("https://creighton-primo.hosted.exlibrisgroup.com/primo-explore/search?tab=default_tab&amp;search_scope=EVERYTHING&amp;vid=01CRU&amp;lang=en_US&amp;offset=0&amp;query=any,contains,991004235929702656","Catalog Record")</f>
        <v/>
      </c>
      <c r="AT816">
        <f>HYPERLINK("http://www.worldcat.org/oclc/2768440","WorldCat Record")</f>
        <v/>
      </c>
      <c r="AU816" t="inlineStr">
        <is>
          <t>140529030:eng</t>
        </is>
      </c>
      <c r="AV816" t="inlineStr">
        <is>
          <t>2768440</t>
        </is>
      </c>
      <c r="AW816" t="inlineStr">
        <is>
          <t>991004235929702656</t>
        </is>
      </c>
      <c r="AX816" t="inlineStr">
        <is>
          <t>991004235929702656</t>
        </is>
      </c>
      <c r="AY816" t="inlineStr">
        <is>
          <t>2257064580002656</t>
        </is>
      </c>
      <c r="AZ816" t="inlineStr">
        <is>
          <t>BOOK</t>
        </is>
      </c>
      <c r="BC816" t="inlineStr">
        <is>
          <t>32285000335827</t>
        </is>
      </c>
      <c r="BD816" t="inlineStr">
        <is>
          <t>893423547</t>
        </is>
      </c>
    </row>
    <row r="817">
      <c r="A817" t="inlineStr">
        <is>
          <t>No</t>
        </is>
      </c>
      <c r="B817" t="inlineStr">
        <is>
          <t>DS318 .S52 1990</t>
        </is>
      </c>
      <c r="C817" t="inlineStr">
        <is>
          <t>0                      DS 0318000S  52          1990</t>
        </is>
      </c>
      <c r="D817" t="inlineStr">
        <is>
          <t>Liberal nationalism in Iran : the failure of a movement / Sussan Siavoshi.</t>
        </is>
      </c>
      <c r="F817" t="inlineStr">
        <is>
          <t>No</t>
        </is>
      </c>
      <c r="G817" t="inlineStr">
        <is>
          <t>1</t>
        </is>
      </c>
      <c r="H817" t="inlineStr">
        <is>
          <t>No</t>
        </is>
      </c>
      <c r="I817" t="inlineStr">
        <is>
          <t>No</t>
        </is>
      </c>
      <c r="J817" t="inlineStr">
        <is>
          <t>0</t>
        </is>
      </c>
      <c r="K817" t="inlineStr">
        <is>
          <t>Siavoshi, Sussan.</t>
        </is>
      </c>
      <c r="L817" t="inlineStr">
        <is>
          <t>Boulder : Westview Press, 1990, c1986.</t>
        </is>
      </c>
      <c r="M817" t="inlineStr">
        <is>
          <t>1990</t>
        </is>
      </c>
      <c r="O817" t="inlineStr">
        <is>
          <t>eng</t>
        </is>
      </c>
      <c r="P817" t="inlineStr">
        <is>
          <t>cou</t>
        </is>
      </c>
      <c r="Q817" t="inlineStr">
        <is>
          <t>Westview special studies on the Middle East</t>
        </is>
      </c>
      <c r="R817" t="inlineStr">
        <is>
          <t xml:space="preserve">DS </t>
        </is>
      </c>
      <c r="S817" t="n">
        <v>8</v>
      </c>
      <c r="T817" t="n">
        <v>8</v>
      </c>
      <c r="U817" t="inlineStr">
        <is>
          <t>2008-11-19</t>
        </is>
      </c>
      <c r="V817" t="inlineStr">
        <is>
          <t>2008-11-19</t>
        </is>
      </c>
      <c r="W817" t="inlineStr">
        <is>
          <t>1992-06-10</t>
        </is>
      </c>
      <c r="X817" t="inlineStr">
        <is>
          <t>1992-06-10</t>
        </is>
      </c>
      <c r="Y817" t="n">
        <v>175</v>
      </c>
      <c r="Z817" t="n">
        <v>159</v>
      </c>
      <c r="AA817" t="n">
        <v>245</v>
      </c>
      <c r="AB817" t="n">
        <v>1</v>
      </c>
      <c r="AC817" t="n">
        <v>1</v>
      </c>
      <c r="AD817" t="n">
        <v>7</v>
      </c>
      <c r="AE817" t="n">
        <v>8</v>
      </c>
      <c r="AF817" t="n">
        <v>2</v>
      </c>
      <c r="AG817" t="n">
        <v>2</v>
      </c>
      <c r="AH817" t="n">
        <v>4</v>
      </c>
      <c r="AI817" t="n">
        <v>5</v>
      </c>
      <c r="AJ817" t="n">
        <v>4</v>
      </c>
      <c r="AK817" t="n">
        <v>5</v>
      </c>
      <c r="AL817" t="n">
        <v>0</v>
      </c>
      <c r="AM817" t="n">
        <v>0</v>
      </c>
      <c r="AN817" t="n">
        <v>0</v>
      </c>
      <c r="AO817" t="n">
        <v>0</v>
      </c>
      <c r="AP817" t="inlineStr">
        <is>
          <t>No</t>
        </is>
      </c>
      <c r="AQ817" t="inlineStr">
        <is>
          <t>No</t>
        </is>
      </c>
      <c r="AS817">
        <f>HYPERLINK("https://creighton-primo.hosted.exlibrisgroup.com/primo-explore/search?tab=default_tab&amp;search_scope=EVERYTHING&amp;vid=01CRU&amp;lang=en_US&amp;offset=0&amp;query=any,contains,991001051459702656","Catalog Record")</f>
        <v/>
      </c>
      <c r="AT817">
        <f>HYPERLINK("http://www.worldcat.org/oclc/15654928","WorldCat Record")</f>
        <v/>
      </c>
      <c r="AU817" t="inlineStr">
        <is>
          <t>9865579:eng</t>
        </is>
      </c>
      <c r="AV817" t="inlineStr">
        <is>
          <t>15654928</t>
        </is>
      </c>
      <c r="AW817" t="inlineStr">
        <is>
          <t>991001051459702656</t>
        </is>
      </c>
      <c r="AX817" t="inlineStr">
        <is>
          <t>991001051459702656</t>
        </is>
      </c>
      <c r="AY817" t="inlineStr">
        <is>
          <t>2265436810002656</t>
        </is>
      </c>
      <c r="AZ817" t="inlineStr">
        <is>
          <t>BOOK</t>
        </is>
      </c>
      <c r="BB817" t="inlineStr">
        <is>
          <t>9780813374130</t>
        </is>
      </c>
      <c r="BC817" t="inlineStr">
        <is>
          <t>32285001127629</t>
        </is>
      </c>
      <c r="BD817" t="inlineStr">
        <is>
          <t>893432555</t>
        </is>
      </c>
    </row>
    <row r="818">
      <c r="A818" t="inlineStr">
        <is>
          <t>No</t>
        </is>
      </c>
      <c r="B818" t="inlineStr">
        <is>
          <t>DS318 .Z33</t>
        </is>
      </c>
      <c r="C818" t="inlineStr">
        <is>
          <t>0                      DS 0318000Z  33</t>
        </is>
      </c>
      <c r="D818" t="inlineStr">
        <is>
          <t>The Mossadegh era : roots of the Iranian revolution / Sepehr Zabih.</t>
        </is>
      </c>
      <c r="F818" t="inlineStr">
        <is>
          <t>No</t>
        </is>
      </c>
      <c r="G818" t="inlineStr">
        <is>
          <t>1</t>
        </is>
      </c>
      <c r="H818" t="inlineStr">
        <is>
          <t>No</t>
        </is>
      </c>
      <c r="I818" t="inlineStr">
        <is>
          <t>No</t>
        </is>
      </c>
      <c r="J818" t="inlineStr">
        <is>
          <t>0</t>
        </is>
      </c>
      <c r="K818" t="inlineStr">
        <is>
          <t>Zabih, Sepehr.</t>
        </is>
      </c>
      <c r="L818" t="inlineStr">
        <is>
          <t>Chicago, Ill. : Lake View Press, c1982.</t>
        </is>
      </c>
      <c r="M818" t="inlineStr">
        <is>
          <t>1982</t>
        </is>
      </c>
      <c r="O818" t="inlineStr">
        <is>
          <t>eng</t>
        </is>
      </c>
      <c r="P818" t="inlineStr">
        <is>
          <t>ilu</t>
        </is>
      </c>
      <c r="R818" t="inlineStr">
        <is>
          <t xml:space="preserve">DS </t>
        </is>
      </c>
      <c r="S818" t="n">
        <v>1</v>
      </c>
      <c r="T818" t="n">
        <v>1</v>
      </c>
      <c r="U818" t="inlineStr">
        <is>
          <t>2009-11-06</t>
        </is>
      </c>
      <c r="V818" t="inlineStr">
        <is>
          <t>2009-11-06</t>
        </is>
      </c>
      <c r="W818" t="inlineStr">
        <is>
          <t>1990-06-20</t>
        </is>
      </c>
      <c r="X818" t="inlineStr">
        <is>
          <t>1990-06-20</t>
        </is>
      </c>
      <c r="Y818" t="n">
        <v>413</v>
      </c>
      <c r="Z818" t="n">
        <v>340</v>
      </c>
      <c r="AA818" t="n">
        <v>342</v>
      </c>
      <c r="AB818" t="n">
        <v>5</v>
      </c>
      <c r="AC818" t="n">
        <v>5</v>
      </c>
      <c r="AD818" t="n">
        <v>15</v>
      </c>
      <c r="AE818" t="n">
        <v>15</v>
      </c>
      <c r="AF818" t="n">
        <v>0</v>
      </c>
      <c r="AG818" t="n">
        <v>0</v>
      </c>
      <c r="AH818" t="n">
        <v>4</v>
      </c>
      <c r="AI818" t="n">
        <v>4</v>
      </c>
      <c r="AJ818" t="n">
        <v>8</v>
      </c>
      <c r="AK818" t="n">
        <v>8</v>
      </c>
      <c r="AL818" t="n">
        <v>4</v>
      </c>
      <c r="AM818" t="n">
        <v>4</v>
      </c>
      <c r="AN818" t="n">
        <v>0</v>
      </c>
      <c r="AO818" t="n">
        <v>0</v>
      </c>
      <c r="AP818" t="inlineStr">
        <is>
          <t>No</t>
        </is>
      </c>
      <c r="AQ818" t="inlineStr">
        <is>
          <t>Yes</t>
        </is>
      </c>
      <c r="AR818">
        <f>HYPERLINK("http://catalog.hathitrust.org/Record/000435730","HathiTrust Record")</f>
        <v/>
      </c>
      <c r="AS818">
        <f>HYPERLINK("https://creighton-primo.hosted.exlibrisgroup.com/primo-explore/search?tab=default_tab&amp;search_scope=EVERYTHING&amp;vid=01CRU&amp;lang=en_US&amp;offset=0&amp;query=any,contains,991005224599702656","Catalog Record")</f>
        <v/>
      </c>
      <c r="AT818">
        <f>HYPERLINK("http://www.worldcat.org/oclc/8277065","WorldCat Record")</f>
        <v/>
      </c>
      <c r="AU818" t="inlineStr">
        <is>
          <t>585165:eng</t>
        </is>
      </c>
      <c r="AV818" t="inlineStr">
        <is>
          <t>8277065</t>
        </is>
      </c>
      <c r="AW818" t="inlineStr">
        <is>
          <t>991005224599702656</t>
        </is>
      </c>
      <c r="AX818" t="inlineStr">
        <is>
          <t>991005224599702656</t>
        </is>
      </c>
      <c r="AY818" t="inlineStr">
        <is>
          <t>2265978210002656</t>
        </is>
      </c>
      <c r="AZ818" t="inlineStr">
        <is>
          <t>BOOK</t>
        </is>
      </c>
      <c r="BB818" t="inlineStr">
        <is>
          <t>9780941702003</t>
        </is>
      </c>
      <c r="BC818" t="inlineStr">
        <is>
          <t>32285000210301</t>
        </is>
      </c>
      <c r="BD818" t="inlineStr">
        <is>
          <t>893248572</t>
        </is>
      </c>
    </row>
    <row r="819">
      <c r="A819" t="inlineStr">
        <is>
          <t>No</t>
        </is>
      </c>
      <c r="B819" t="inlineStr">
        <is>
          <t>DS318.8 .B46 1984</t>
        </is>
      </c>
      <c r="C819" t="inlineStr">
        <is>
          <t>0                      DS 0318800B  46          1984</t>
        </is>
      </c>
      <c r="D819" t="inlineStr">
        <is>
          <t>"The government of God" : Iran's Islamic republic / Cheryl Benard and Zalmay Khalilzad.</t>
        </is>
      </c>
      <c r="F819" t="inlineStr">
        <is>
          <t>No</t>
        </is>
      </c>
      <c r="G819" t="inlineStr">
        <is>
          <t>1</t>
        </is>
      </c>
      <c r="H819" t="inlineStr">
        <is>
          <t>No</t>
        </is>
      </c>
      <c r="I819" t="inlineStr">
        <is>
          <t>No</t>
        </is>
      </c>
      <c r="J819" t="inlineStr">
        <is>
          <t>0</t>
        </is>
      </c>
      <c r="K819" t="inlineStr">
        <is>
          <t>Benard, Cheryl, 1953-</t>
        </is>
      </c>
      <c r="L819" t="inlineStr">
        <is>
          <t>New York : Columbia University Press, 1984.</t>
        </is>
      </c>
      <c r="M819" t="inlineStr">
        <is>
          <t>1984</t>
        </is>
      </c>
      <c r="O819" t="inlineStr">
        <is>
          <t>eng</t>
        </is>
      </c>
      <c r="P819" t="inlineStr">
        <is>
          <t>nyu</t>
        </is>
      </c>
      <c r="Q819" t="inlineStr">
        <is>
          <t>The Modern Middle East series ; no. 15</t>
        </is>
      </c>
      <c r="R819" t="inlineStr">
        <is>
          <t xml:space="preserve">DS </t>
        </is>
      </c>
      <c r="S819" t="n">
        <v>5</v>
      </c>
      <c r="T819" t="n">
        <v>5</v>
      </c>
      <c r="U819" t="inlineStr">
        <is>
          <t>2004-11-15</t>
        </is>
      </c>
      <c r="V819" t="inlineStr">
        <is>
          <t>2004-11-15</t>
        </is>
      </c>
      <c r="W819" t="inlineStr">
        <is>
          <t>1991-06-28</t>
        </is>
      </c>
      <c r="X819" t="inlineStr">
        <is>
          <t>1991-06-28</t>
        </is>
      </c>
      <c r="Y819" t="n">
        <v>715</v>
      </c>
      <c r="Z819" t="n">
        <v>578</v>
      </c>
      <c r="AA819" t="n">
        <v>587</v>
      </c>
      <c r="AB819" t="n">
        <v>3</v>
      </c>
      <c r="AC819" t="n">
        <v>3</v>
      </c>
      <c r="AD819" t="n">
        <v>21</v>
      </c>
      <c r="AE819" t="n">
        <v>21</v>
      </c>
      <c r="AF819" t="n">
        <v>5</v>
      </c>
      <c r="AG819" t="n">
        <v>5</v>
      </c>
      <c r="AH819" t="n">
        <v>6</v>
      </c>
      <c r="AI819" t="n">
        <v>6</v>
      </c>
      <c r="AJ819" t="n">
        <v>14</v>
      </c>
      <c r="AK819" t="n">
        <v>14</v>
      </c>
      <c r="AL819" t="n">
        <v>2</v>
      </c>
      <c r="AM819" t="n">
        <v>2</v>
      </c>
      <c r="AN819" t="n">
        <v>0</v>
      </c>
      <c r="AO819" t="n">
        <v>0</v>
      </c>
      <c r="AP819" t="inlineStr">
        <is>
          <t>No</t>
        </is>
      </c>
      <c r="AQ819" t="inlineStr">
        <is>
          <t>No</t>
        </is>
      </c>
      <c r="AS819">
        <f>HYPERLINK("https://creighton-primo.hosted.exlibrisgroup.com/primo-explore/search?tab=default_tab&amp;search_scope=EVERYTHING&amp;vid=01CRU&amp;lang=en_US&amp;offset=0&amp;query=any,contains,991000301449702656","Catalog Record")</f>
        <v/>
      </c>
      <c r="AT819">
        <f>HYPERLINK("http://www.worldcat.org/oclc/10022790","WorldCat Record")</f>
        <v/>
      </c>
      <c r="AU819" t="inlineStr">
        <is>
          <t>836634428:eng</t>
        </is>
      </c>
      <c r="AV819" t="inlineStr">
        <is>
          <t>10022790</t>
        </is>
      </c>
      <c r="AW819" t="inlineStr">
        <is>
          <t>991000301449702656</t>
        </is>
      </c>
      <c r="AX819" t="inlineStr">
        <is>
          <t>991000301449702656</t>
        </is>
      </c>
      <c r="AY819" t="inlineStr">
        <is>
          <t>2268520940002656</t>
        </is>
      </c>
      <c r="AZ819" t="inlineStr">
        <is>
          <t>BOOK</t>
        </is>
      </c>
      <c r="BB819" t="inlineStr">
        <is>
          <t>9780231053761</t>
        </is>
      </c>
      <c r="BC819" t="inlineStr">
        <is>
          <t>32285000672385</t>
        </is>
      </c>
      <c r="BD819" t="inlineStr">
        <is>
          <t>893255322</t>
        </is>
      </c>
    </row>
    <row r="820">
      <c r="A820" t="inlineStr">
        <is>
          <t>No</t>
        </is>
      </c>
      <c r="B820" t="inlineStr">
        <is>
          <t>DS318.8 .H865 1992</t>
        </is>
      </c>
      <c r="C820" t="inlineStr">
        <is>
          <t>0                      DS 0318800H  865         1992</t>
        </is>
      </c>
      <c r="D820" t="inlineStr">
        <is>
          <t>Iran after Khomeini / Shireen T. Hunter ; foreword by David D. Newsom.</t>
        </is>
      </c>
      <c r="F820" t="inlineStr">
        <is>
          <t>No</t>
        </is>
      </c>
      <c r="G820" t="inlineStr">
        <is>
          <t>1</t>
        </is>
      </c>
      <c r="H820" t="inlineStr">
        <is>
          <t>No</t>
        </is>
      </c>
      <c r="I820" t="inlineStr">
        <is>
          <t>No</t>
        </is>
      </c>
      <c r="J820" t="inlineStr">
        <is>
          <t>0</t>
        </is>
      </c>
      <c r="K820" t="inlineStr">
        <is>
          <t>Hunter, Shireen.</t>
        </is>
      </c>
      <c r="L820" t="inlineStr">
        <is>
          <t>New York : Praeger, 1992.</t>
        </is>
      </c>
      <c r="M820" t="inlineStr">
        <is>
          <t>1992</t>
        </is>
      </c>
      <c r="O820" t="inlineStr">
        <is>
          <t>eng</t>
        </is>
      </c>
      <c r="P820" t="inlineStr">
        <is>
          <t>nyu</t>
        </is>
      </c>
      <c r="Q820" t="inlineStr">
        <is>
          <t>The Washington papers, 0278-937X ; 156</t>
        </is>
      </c>
      <c r="R820" t="inlineStr">
        <is>
          <t xml:space="preserve">DS </t>
        </is>
      </c>
      <c r="S820" t="n">
        <v>8</v>
      </c>
      <c r="T820" t="n">
        <v>8</v>
      </c>
      <c r="U820" t="inlineStr">
        <is>
          <t>2003-02-16</t>
        </is>
      </c>
      <c r="V820" t="inlineStr">
        <is>
          <t>2003-02-16</t>
        </is>
      </c>
      <c r="W820" t="inlineStr">
        <is>
          <t>1995-01-10</t>
        </is>
      </c>
      <c r="X820" t="inlineStr">
        <is>
          <t>1995-01-10</t>
        </is>
      </c>
      <c r="Y820" t="n">
        <v>538</v>
      </c>
      <c r="Z820" t="n">
        <v>440</v>
      </c>
      <c r="AA820" t="n">
        <v>932</v>
      </c>
      <c r="AB820" t="n">
        <v>2</v>
      </c>
      <c r="AC820" t="n">
        <v>17</v>
      </c>
      <c r="AD820" t="n">
        <v>22</v>
      </c>
      <c r="AE820" t="n">
        <v>35</v>
      </c>
      <c r="AF820" t="n">
        <v>10</v>
      </c>
      <c r="AG820" t="n">
        <v>13</v>
      </c>
      <c r="AH820" t="n">
        <v>5</v>
      </c>
      <c r="AI820" t="n">
        <v>6</v>
      </c>
      <c r="AJ820" t="n">
        <v>11</v>
      </c>
      <c r="AK820" t="n">
        <v>13</v>
      </c>
      <c r="AL820" t="n">
        <v>1</v>
      </c>
      <c r="AM820" t="n">
        <v>9</v>
      </c>
      <c r="AN820" t="n">
        <v>1</v>
      </c>
      <c r="AO820" t="n">
        <v>1</v>
      </c>
      <c r="AP820" t="inlineStr">
        <is>
          <t>No</t>
        </is>
      </c>
      <c r="AQ820" t="inlineStr">
        <is>
          <t>Yes</t>
        </is>
      </c>
      <c r="AR820">
        <f>HYPERLINK("http://catalog.hathitrust.org/Record/002562333","HathiTrust Record")</f>
        <v/>
      </c>
      <c r="AS820">
        <f>HYPERLINK("https://creighton-primo.hosted.exlibrisgroup.com/primo-explore/search?tab=default_tab&amp;search_scope=EVERYTHING&amp;vid=01CRU&amp;lang=en_US&amp;offset=0&amp;query=any,contains,991001988039702656","Catalog Record")</f>
        <v/>
      </c>
      <c r="AT820">
        <f>HYPERLINK("http://www.worldcat.org/oclc/25247197","WorldCat Record")</f>
        <v/>
      </c>
      <c r="AU820" t="inlineStr">
        <is>
          <t>2571207:eng</t>
        </is>
      </c>
      <c r="AV820" t="inlineStr">
        <is>
          <t>25247197</t>
        </is>
      </c>
      <c r="AW820" t="inlineStr">
        <is>
          <t>991001988039702656</t>
        </is>
      </c>
      <c r="AX820" t="inlineStr">
        <is>
          <t>991001988039702656</t>
        </is>
      </c>
      <c r="AY820" t="inlineStr">
        <is>
          <t>2258711440002656</t>
        </is>
      </c>
      <c r="AZ820" t="inlineStr">
        <is>
          <t>BOOK</t>
        </is>
      </c>
      <c r="BB820" t="inlineStr">
        <is>
          <t>9780275942922</t>
        </is>
      </c>
      <c r="BC820" t="inlineStr">
        <is>
          <t>32285001992311</t>
        </is>
      </c>
      <c r="BD820" t="inlineStr">
        <is>
          <t>893603069</t>
        </is>
      </c>
    </row>
    <row r="821">
      <c r="A821" t="inlineStr">
        <is>
          <t>No</t>
        </is>
      </c>
      <c r="B821" t="inlineStr">
        <is>
          <t>DS318.8 .I72 1986</t>
        </is>
      </c>
      <c r="C821" t="inlineStr">
        <is>
          <t>0                      DS 0318800I  72          1986</t>
        </is>
      </c>
      <c r="D821" t="inlineStr">
        <is>
          <t>The Iranian revolution &amp; the Islamic Republic / edited by Nikki R. Keddie and Eric Hooglund.</t>
        </is>
      </c>
      <c r="F821" t="inlineStr">
        <is>
          <t>No</t>
        </is>
      </c>
      <c r="G821" t="inlineStr">
        <is>
          <t>1</t>
        </is>
      </c>
      <c r="H821" t="inlineStr">
        <is>
          <t>No</t>
        </is>
      </c>
      <c r="I821" t="inlineStr">
        <is>
          <t>No</t>
        </is>
      </c>
      <c r="J821" t="inlineStr">
        <is>
          <t>0</t>
        </is>
      </c>
      <c r="L821" t="inlineStr">
        <is>
          <t>Syracuse, N.Y. : Syracuse University Press, 1986.</t>
        </is>
      </c>
      <c r="M821" t="inlineStr">
        <is>
          <t>1986</t>
        </is>
      </c>
      <c r="N821" t="inlineStr">
        <is>
          <t>New ed.</t>
        </is>
      </c>
      <c r="O821" t="inlineStr">
        <is>
          <t>eng</t>
        </is>
      </c>
      <c r="P821" t="inlineStr">
        <is>
          <t>nyu</t>
        </is>
      </c>
      <c r="Q821" t="inlineStr">
        <is>
          <t>Contemporary issues in the Middle East</t>
        </is>
      </c>
      <c r="R821" t="inlineStr">
        <is>
          <t xml:space="preserve">DS </t>
        </is>
      </c>
      <c r="S821" t="n">
        <v>2</v>
      </c>
      <c r="T821" t="n">
        <v>2</v>
      </c>
      <c r="U821" t="inlineStr">
        <is>
          <t>2010-04-23</t>
        </is>
      </c>
      <c r="V821" t="inlineStr">
        <is>
          <t>2010-04-23</t>
        </is>
      </c>
      <c r="W821" t="inlineStr">
        <is>
          <t>2008-05-22</t>
        </is>
      </c>
      <c r="X821" t="inlineStr">
        <is>
          <t>2008-05-22</t>
        </is>
      </c>
      <c r="Y821" t="n">
        <v>400</v>
      </c>
      <c r="Z821" t="n">
        <v>327</v>
      </c>
      <c r="AA821" t="n">
        <v>338</v>
      </c>
      <c r="AB821" t="n">
        <v>3</v>
      </c>
      <c r="AC821" t="n">
        <v>3</v>
      </c>
      <c r="AD821" t="n">
        <v>19</v>
      </c>
      <c r="AE821" t="n">
        <v>20</v>
      </c>
      <c r="AF821" t="n">
        <v>4</v>
      </c>
      <c r="AG821" t="n">
        <v>5</v>
      </c>
      <c r="AH821" t="n">
        <v>6</v>
      </c>
      <c r="AI821" t="n">
        <v>6</v>
      </c>
      <c r="AJ821" t="n">
        <v>12</v>
      </c>
      <c r="AK821" t="n">
        <v>13</v>
      </c>
      <c r="AL821" t="n">
        <v>2</v>
      </c>
      <c r="AM821" t="n">
        <v>2</v>
      </c>
      <c r="AN821" t="n">
        <v>1</v>
      </c>
      <c r="AO821" t="n">
        <v>1</v>
      </c>
      <c r="AP821" t="inlineStr">
        <is>
          <t>No</t>
        </is>
      </c>
      <c r="AQ821" t="inlineStr">
        <is>
          <t>Yes</t>
        </is>
      </c>
      <c r="AR821">
        <f>HYPERLINK("http://catalog.hathitrust.org/Record/000490642","HathiTrust Record")</f>
        <v/>
      </c>
      <c r="AS821">
        <f>HYPERLINK("https://creighton-primo.hosted.exlibrisgroup.com/primo-explore/search?tab=default_tab&amp;search_scope=EVERYTHING&amp;vid=01CRU&amp;lang=en_US&amp;offset=0&amp;query=any,contains,991005225679702656","Catalog Record")</f>
        <v/>
      </c>
      <c r="AT821">
        <f>HYPERLINK("http://www.worldcat.org/oclc/13903363","WorldCat Record")</f>
        <v/>
      </c>
      <c r="AU821" t="inlineStr">
        <is>
          <t>434551374:eng</t>
        </is>
      </c>
      <c r="AV821" t="inlineStr">
        <is>
          <t>13903363</t>
        </is>
      </c>
      <c r="AW821" t="inlineStr">
        <is>
          <t>991005225679702656</t>
        </is>
      </c>
      <c r="AX821" t="inlineStr">
        <is>
          <t>991005225679702656</t>
        </is>
      </c>
      <c r="AY821" t="inlineStr">
        <is>
          <t>2270166680002656</t>
        </is>
      </c>
      <c r="AZ821" t="inlineStr">
        <is>
          <t>BOOK</t>
        </is>
      </c>
      <c r="BB821" t="inlineStr">
        <is>
          <t>9780815623878</t>
        </is>
      </c>
      <c r="BC821" t="inlineStr">
        <is>
          <t>32285005440416</t>
        </is>
      </c>
      <c r="BD821" t="inlineStr">
        <is>
          <t>893783239</t>
        </is>
      </c>
    </row>
    <row r="822">
      <c r="A822" t="inlineStr">
        <is>
          <t>No</t>
        </is>
      </c>
      <c r="B822" t="inlineStr">
        <is>
          <t>DS318.8 .K87 2004</t>
        </is>
      </c>
      <c r="C822" t="inlineStr">
        <is>
          <t>0                      DS 0318800K  87          2004</t>
        </is>
      </c>
      <c r="D822" t="inlineStr">
        <is>
          <t>The unthinkable revolution in Iran / Charles Kurzman.</t>
        </is>
      </c>
      <c r="F822" t="inlineStr">
        <is>
          <t>No</t>
        </is>
      </c>
      <c r="G822" t="inlineStr">
        <is>
          <t>1</t>
        </is>
      </c>
      <c r="H822" t="inlineStr">
        <is>
          <t>No</t>
        </is>
      </c>
      <c r="I822" t="inlineStr">
        <is>
          <t>No</t>
        </is>
      </c>
      <c r="J822" t="inlineStr">
        <is>
          <t>0</t>
        </is>
      </c>
      <c r="K822" t="inlineStr">
        <is>
          <t>Kurzman, Charles.</t>
        </is>
      </c>
      <c r="L822" t="inlineStr">
        <is>
          <t>Cambridge, Mass. : Harvard University Press, 2004.</t>
        </is>
      </c>
      <c r="M822" t="inlineStr">
        <is>
          <t>2004</t>
        </is>
      </c>
      <c r="O822" t="inlineStr">
        <is>
          <t>eng</t>
        </is>
      </c>
      <c r="P822" t="inlineStr">
        <is>
          <t>mau</t>
        </is>
      </c>
      <c r="R822" t="inlineStr">
        <is>
          <t xml:space="preserve">DS </t>
        </is>
      </c>
      <c r="S822" t="n">
        <v>5</v>
      </c>
      <c r="T822" t="n">
        <v>5</v>
      </c>
      <c r="U822" t="inlineStr">
        <is>
          <t>2010-03-28</t>
        </is>
      </c>
      <c r="V822" t="inlineStr">
        <is>
          <t>2010-03-28</t>
        </is>
      </c>
      <c r="W822" t="inlineStr">
        <is>
          <t>2005-02-22</t>
        </is>
      </c>
      <c r="X822" t="inlineStr">
        <is>
          <t>2005-02-22</t>
        </is>
      </c>
      <c r="Y822" t="n">
        <v>709</v>
      </c>
      <c r="Z822" t="n">
        <v>587</v>
      </c>
      <c r="AA822" t="n">
        <v>637</v>
      </c>
      <c r="AB822" t="n">
        <v>4</v>
      </c>
      <c r="AC822" t="n">
        <v>4</v>
      </c>
      <c r="AD822" t="n">
        <v>31</v>
      </c>
      <c r="AE822" t="n">
        <v>34</v>
      </c>
      <c r="AF822" t="n">
        <v>15</v>
      </c>
      <c r="AG822" t="n">
        <v>18</v>
      </c>
      <c r="AH822" t="n">
        <v>6</v>
      </c>
      <c r="AI822" t="n">
        <v>8</v>
      </c>
      <c r="AJ822" t="n">
        <v>15</v>
      </c>
      <c r="AK822" t="n">
        <v>15</v>
      </c>
      <c r="AL822" t="n">
        <v>3</v>
      </c>
      <c r="AM822" t="n">
        <v>3</v>
      </c>
      <c r="AN822" t="n">
        <v>0</v>
      </c>
      <c r="AO822" t="n">
        <v>0</v>
      </c>
      <c r="AP822" t="inlineStr">
        <is>
          <t>No</t>
        </is>
      </c>
      <c r="AQ822" t="inlineStr">
        <is>
          <t>Yes</t>
        </is>
      </c>
      <c r="AR822">
        <f>HYPERLINK("http://catalog.hathitrust.org/Record/004366349","HathiTrust Record")</f>
        <v/>
      </c>
      <c r="AS822">
        <f>HYPERLINK("https://creighton-primo.hosted.exlibrisgroup.com/primo-explore/search?tab=default_tab&amp;search_scope=EVERYTHING&amp;vid=01CRU&amp;lang=en_US&amp;offset=0&amp;query=any,contains,991004463039702656","Catalog Record")</f>
        <v/>
      </c>
      <c r="AT822">
        <f>HYPERLINK("http://www.worldcat.org/oclc/53306064","WorldCat Record")</f>
        <v/>
      </c>
      <c r="AU822" t="inlineStr">
        <is>
          <t>10732527:eng</t>
        </is>
      </c>
      <c r="AV822" t="inlineStr">
        <is>
          <t>53306064</t>
        </is>
      </c>
      <c r="AW822" t="inlineStr">
        <is>
          <t>991004463039702656</t>
        </is>
      </c>
      <c r="AX822" t="inlineStr">
        <is>
          <t>991004463039702656</t>
        </is>
      </c>
      <c r="AY822" t="inlineStr">
        <is>
          <t>2261012690002656</t>
        </is>
      </c>
      <c r="AZ822" t="inlineStr">
        <is>
          <t>BOOK</t>
        </is>
      </c>
      <c r="BB822" t="inlineStr">
        <is>
          <t>9780674013285</t>
        </is>
      </c>
      <c r="BC822" t="inlineStr">
        <is>
          <t>32285005025894</t>
        </is>
      </c>
      <c r="BD822" t="inlineStr">
        <is>
          <t>893500601</t>
        </is>
      </c>
    </row>
    <row r="823">
      <c r="A823" t="inlineStr">
        <is>
          <t>No</t>
        </is>
      </c>
      <c r="B823" t="inlineStr">
        <is>
          <t>DS318.8 .M3 1996</t>
        </is>
      </c>
      <c r="C823" t="inlineStr">
        <is>
          <t>0                      DS 0318800M  3           1996</t>
        </is>
      </c>
      <c r="D823" t="inlineStr">
        <is>
          <t>The Iranians : Persia, Islam and the soul of a nation / Sandra Mackey ; W. Scott Harrop, research assistant.</t>
        </is>
      </c>
      <c r="F823" t="inlineStr">
        <is>
          <t>No</t>
        </is>
      </c>
      <c r="G823" t="inlineStr">
        <is>
          <t>1</t>
        </is>
      </c>
      <c r="H823" t="inlineStr">
        <is>
          <t>No</t>
        </is>
      </c>
      <c r="I823" t="inlineStr">
        <is>
          <t>No</t>
        </is>
      </c>
      <c r="J823" t="inlineStr">
        <is>
          <t>0</t>
        </is>
      </c>
      <c r="K823" t="inlineStr">
        <is>
          <t>Mackey, Sandra, 1937-</t>
        </is>
      </c>
      <c r="L823" t="inlineStr">
        <is>
          <t>New York : Dutton, c1996.</t>
        </is>
      </c>
      <c r="M823" t="inlineStr">
        <is>
          <t>1996</t>
        </is>
      </c>
      <c r="O823" t="inlineStr">
        <is>
          <t>eng</t>
        </is>
      </c>
      <c r="P823" t="inlineStr">
        <is>
          <t>nyu</t>
        </is>
      </c>
      <c r="R823" t="inlineStr">
        <is>
          <t xml:space="preserve">DS </t>
        </is>
      </c>
      <c r="S823" t="n">
        <v>9</v>
      </c>
      <c r="T823" t="n">
        <v>9</v>
      </c>
      <c r="U823" t="inlineStr">
        <is>
          <t>2008-08-08</t>
        </is>
      </c>
      <c r="V823" t="inlineStr">
        <is>
          <t>2008-08-08</t>
        </is>
      </c>
      <c r="W823" t="inlineStr">
        <is>
          <t>1996-05-17</t>
        </is>
      </c>
      <c r="X823" t="inlineStr">
        <is>
          <t>1996-05-17</t>
        </is>
      </c>
      <c r="Y823" t="n">
        <v>1282</v>
      </c>
      <c r="Z823" t="n">
        <v>1187</v>
      </c>
      <c r="AA823" t="n">
        <v>1199</v>
      </c>
      <c r="AB823" t="n">
        <v>10</v>
      </c>
      <c r="AC823" t="n">
        <v>10</v>
      </c>
      <c r="AD823" t="n">
        <v>30</v>
      </c>
      <c r="AE823" t="n">
        <v>30</v>
      </c>
      <c r="AF823" t="n">
        <v>8</v>
      </c>
      <c r="AG823" t="n">
        <v>8</v>
      </c>
      <c r="AH823" t="n">
        <v>8</v>
      </c>
      <c r="AI823" t="n">
        <v>8</v>
      </c>
      <c r="AJ823" t="n">
        <v>16</v>
      </c>
      <c r="AK823" t="n">
        <v>16</v>
      </c>
      <c r="AL823" t="n">
        <v>5</v>
      </c>
      <c r="AM823" t="n">
        <v>5</v>
      </c>
      <c r="AN823" t="n">
        <v>0</v>
      </c>
      <c r="AO823" t="n">
        <v>0</v>
      </c>
      <c r="AP823" t="inlineStr">
        <is>
          <t>No</t>
        </is>
      </c>
      <c r="AQ823" t="inlineStr">
        <is>
          <t>Yes</t>
        </is>
      </c>
      <c r="AR823">
        <f>HYPERLINK("http://catalog.hathitrust.org/Record/003062153","HathiTrust Record")</f>
        <v/>
      </c>
      <c r="AS823">
        <f>HYPERLINK("https://creighton-primo.hosted.exlibrisgroup.com/primo-explore/search?tab=default_tab&amp;search_scope=EVERYTHING&amp;vid=01CRU&amp;lang=en_US&amp;offset=0&amp;query=any,contains,991002558279702656","Catalog Record")</f>
        <v/>
      </c>
      <c r="AT823">
        <f>HYPERLINK("http://www.worldcat.org/oclc/33245278","WorldCat Record")</f>
        <v/>
      </c>
      <c r="AU823" t="inlineStr">
        <is>
          <t>38377176:eng</t>
        </is>
      </c>
      <c r="AV823" t="inlineStr">
        <is>
          <t>33245278</t>
        </is>
      </c>
      <c r="AW823" t="inlineStr">
        <is>
          <t>991002558279702656</t>
        </is>
      </c>
      <c r="AX823" t="inlineStr">
        <is>
          <t>991002558279702656</t>
        </is>
      </c>
      <c r="AY823" t="inlineStr">
        <is>
          <t>2257159270002656</t>
        </is>
      </c>
      <c r="AZ823" t="inlineStr">
        <is>
          <t>BOOK</t>
        </is>
      </c>
      <c r="BB823" t="inlineStr">
        <is>
          <t>9780525940050</t>
        </is>
      </c>
      <c r="BC823" t="inlineStr">
        <is>
          <t>32285002175197</t>
        </is>
      </c>
      <c r="BD823" t="inlineStr">
        <is>
          <t>893779953</t>
        </is>
      </c>
    </row>
    <row r="824">
      <c r="A824" t="inlineStr">
        <is>
          <t>No</t>
        </is>
      </c>
      <c r="B824" t="inlineStr">
        <is>
          <t>DS318.8 .T44 1980</t>
        </is>
      </c>
      <c r="C824" t="inlineStr">
        <is>
          <t>0                      DS 0318800T  44          1980</t>
        </is>
      </c>
      <c r="D824" t="inlineStr">
        <is>
          <t>Tell the American people : perspectives on the Iranian revolution / edited with introd. and chronology by David H. Albert.</t>
        </is>
      </c>
      <c r="F824" t="inlineStr">
        <is>
          <t>No</t>
        </is>
      </c>
      <c r="G824" t="inlineStr">
        <is>
          <t>1</t>
        </is>
      </c>
      <c r="H824" t="inlineStr">
        <is>
          <t>No</t>
        </is>
      </c>
      <c r="I824" t="inlineStr">
        <is>
          <t>No</t>
        </is>
      </c>
      <c r="J824" t="inlineStr">
        <is>
          <t>0</t>
        </is>
      </c>
      <c r="L824" t="inlineStr">
        <is>
          <t>Philadelphia, Pa. : Movement for a New Society, 1980.</t>
        </is>
      </c>
      <c r="M824" t="inlineStr">
        <is>
          <t>1980</t>
        </is>
      </c>
      <c r="N824" t="inlineStr">
        <is>
          <t>New rev. and enl. ed.</t>
        </is>
      </c>
      <c r="O824" t="inlineStr">
        <is>
          <t>eng</t>
        </is>
      </c>
      <c r="P824" t="inlineStr">
        <is>
          <t>pau</t>
        </is>
      </c>
      <c r="R824" t="inlineStr">
        <is>
          <t xml:space="preserve">DS </t>
        </is>
      </c>
      <c r="S824" t="n">
        <v>6</v>
      </c>
      <c r="T824" t="n">
        <v>6</v>
      </c>
      <c r="U824" t="inlineStr">
        <is>
          <t>2003-10-12</t>
        </is>
      </c>
      <c r="V824" t="inlineStr">
        <is>
          <t>2003-10-12</t>
        </is>
      </c>
      <c r="W824" t="inlineStr">
        <is>
          <t>1990-10-08</t>
        </is>
      </c>
      <c r="X824" t="inlineStr">
        <is>
          <t>1990-10-08</t>
        </is>
      </c>
      <c r="Y824" t="n">
        <v>313</v>
      </c>
      <c r="Z824" t="n">
        <v>293</v>
      </c>
      <c r="AA824" t="n">
        <v>418</v>
      </c>
      <c r="AB824" t="n">
        <v>2</v>
      </c>
      <c r="AC824" t="n">
        <v>4</v>
      </c>
      <c r="AD824" t="n">
        <v>9</v>
      </c>
      <c r="AE824" t="n">
        <v>17</v>
      </c>
      <c r="AF824" t="n">
        <v>3</v>
      </c>
      <c r="AG824" t="n">
        <v>5</v>
      </c>
      <c r="AH824" t="n">
        <v>3</v>
      </c>
      <c r="AI824" t="n">
        <v>5</v>
      </c>
      <c r="AJ824" t="n">
        <v>4</v>
      </c>
      <c r="AK824" t="n">
        <v>8</v>
      </c>
      <c r="AL824" t="n">
        <v>1</v>
      </c>
      <c r="AM824" t="n">
        <v>3</v>
      </c>
      <c r="AN824" t="n">
        <v>0</v>
      </c>
      <c r="AO824" t="n">
        <v>0</v>
      </c>
      <c r="AP824" t="inlineStr">
        <is>
          <t>No</t>
        </is>
      </c>
      <c r="AQ824" t="inlineStr">
        <is>
          <t>Yes</t>
        </is>
      </c>
      <c r="AR824">
        <f>HYPERLINK("http://catalog.hathitrust.org/Record/000224028","HathiTrust Record")</f>
        <v/>
      </c>
      <c r="AS824">
        <f>HYPERLINK("https://creighton-primo.hosted.exlibrisgroup.com/primo-explore/search?tab=default_tab&amp;search_scope=EVERYTHING&amp;vid=01CRU&amp;lang=en_US&amp;offset=0&amp;query=any,contains,991005075989702656","Catalog Record")</f>
        <v/>
      </c>
      <c r="AT824">
        <f>HYPERLINK("http://www.worldcat.org/oclc/7113501","WorldCat Record")</f>
        <v/>
      </c>
      <c r="AU824" t="inlineStr">
        <is>
          <t>54403031:eng</t>
        </is>
      </c>
      <c r="AV824" t="inlineStr">
        <is>
          <t>7113501</t>
        </is>
      </c>
      <c r="AW824" t="inlineStr">
        <is>
          <t>991005075989702656</t>
        </is>
      </c>
      <c r="AX824" t="inlineStr">
        <is>
          <t>991005075989702656</t>
        </is>
      </c>
      <c r="AY824" t="inlineStr">
        <is>
          <t>2262070760002656</t>
        </is>
      </c>
      <c r="AZ824" t="inlineStr">
        <is>
          <t>BOOK</t>
        </is>
      </c>
      <c r="BB824" t="inlineStr">
        <is>
          <t>9780865710016</t>
        </is>
      </c>
      <c r="BC824" t="inlineStr">
        <is>
          <t>32285000335850</t>
        </is>
      </c>
      <c r="BD824" t="inlineStr">
        <is>
          <t>893889629</t>
        </is>
      </c>
    </row>
    <row r="825">
      <c r="A825" t="inlineStr">
        <is>
          <t>No</t>
        </is>
      </c>
      <c r="B825" t="inlineStr">
        <is>
          <t>DS318.8 .Z32 1982</t>
        </is>
      </c>
      <c r="C825" t="inlineStr">
        <is>
          <t>0                      DS 0318800Z  32          1982</t>
        </is>
      </c>
      <c r="D825" t="inlineStr">
        <is>
          <t>Iran since the revolution / Sepehr Zabih.</t>
        </is>
      </c>
      <c r="F825" t="inlineStr">
        <is>
          <t>No</t>
        </is>
      </c>
      <c r="G825" t="inlineStr">
        <is>
          <t>1</t>
        </is>
      </c>
      <c r="H825" t="inlineStr">
        <is>
          <t>No</t>
        </is>
      </c>
      <c r="I825" t="inlineStr">
        <is>
          <t>No</t>
        </is>
      </c>
      <c r="J825" t="inlineStr">
        <is>
          <t>0</t>
        </is>
      </c>
      <c r="K825" t="inlineStr">
        <is>
          <t>Zabih, Sepehr.</t>
        </is>
      </c>
      <c r="L825" t="inlineStr">
        <is>
          <t>Baltimore, Md. : Johns Hopkins University Press, 1982.</t>
        </is>
      </c>
      <c r="M825" t="inlineStr">
        <is>
          <t>1982</t>
        </is>
      </c>
      <c r="O825" t="inlineStr">
        <is>
          <t>eng</t>
        </is>
      </c>
      <c r="P825" t="inlineStr">
        <is>
          <t>mdu</t>
        </is>
      </c>
      <c r="R825" t="inlineStr">
        <is>
          <t xml:space="preserve">DS </t>
        </is>
      </c>
      <c r="S825" t="n">
        <v>11</v>
      </c>
      <c r="T825" t="n">
        <v>11</v>
      </c>
      <c r="U825" t="inlineStr">
        <is>
          <t>2008-04-20</t>
        </is>
      </c>
      <c r="V825" t="inlineStr">
        <is>
          <t>2008-04-20</t>
        </is>
      </c>
      <c r="W825" t="inlineStr">
        <is>
          <t>1990-10-08</t>
        </is>
      </c>
      <c r="X825" t="inlineStr">
        <is>
          <t>1990-10-08</t>
        </is>
      </c>
      <c r="Y825" t="n">
        <v>481</v>
      </c>
      <c r="Z825" t="n">
        <v>424</v>
      </c>
      <c r="AA825" t="n">
        <v>857</v>
      </c>
      <c r="AB825" t="n">
        <v>3</v>
      </c>
      <c r="AC825" t="n">
        <v>13</v>
      </c>
      <c r="AD825" t="n">
        <v>15</v>
      </c>
      <c r="AE825" t="n">
        <v>34</v>
      </c>
      <c r="AF825" t="n">
        <v>3</v>
      </c>
      <c r="AG825" t="n">
        <v>8</v>
      </c>
      <c r="AH825" t="n">
        <v>5</v>
      </c>
      <c r="AI825" t="n">
        <v>8</v>
      </c>
      <c r="AJ825" t="n">
        <v>9</v>
      </c>
      <c r="AK825" t="n">
        <v>12</v>
      </c>
      <c r="AL825" t="n">
        <v>2</v>
      </c>
      <c r="AM825" t="n">
        <v>11</v>
      </c>
      <c r="AN825" t="n">
        <v>0</v>
      </c>
      <c r="AO825" t="n">
        <v>1</v>
      </c>
      <c r="AP825" t="inlineStr">
        <is>
          <t>No</t>
        </is>
      </c>
      <c r="AQ825" t="inlineStr">
        <is>
          <t>Yes</t>
        </is>
      </c>
      <c r="AR825">
        <f>HYPERLINK("http://catalog.hathitrust.org/Record/000271407","HathiTrust Record")</f>
        <v/>
      </c>
      <c r="AS825">
        <f>HYPERLINK("https://creighton-primo.hosted.exlibrisgroup.com/primo-explore/search?tab=default_tab&amp;search_scope=EVERYTHING&amp;vid=01CRU&amp;lang=en_US&amp;offset=0&amp;query=any,contains,991005244279702656","Catalog Record")</f>
        <v/>
      </c>
      <c r="AT825">
        <f>HYPERLINK("http://www.worldcat.org/oclc/8451225","WorldCat Record")</f>
        <v/>
      </c>
      <c r="AU825" t="inlineStr">
        <is>
          <t>452649:eng</t>
        </is>
      </c>
      <c r="AV825" t="inlineStr">
        <is>
          <t>8451225</t>
        </is>
      </c>
      <c r="AW825" t="inlineStr">
        <is>
          <t>991005244279702656</t>
        </is>
      </c>
      <c r="AX825" t="inlineStr">
        <is>
          <t>991005244279702656</t>
        </is>
      </c>
      <c r="AY825" t="inlineStr">
        <is>
          <t>2266021380002656</t>
        </is>
      </c>
      <c r="AZ825" t="inlineStr">
        <is>
          <t>BOOK</t>
        </is>
      </c>
      <c r="BB825" t="inlineStr">
        <is>
          <t>9780801828881</t>
        </is>
      </c>
      <c r="BC825" t="inlineStr">
        <is>
          <t>32285000335868</t>
        </is>
      </c>
      <c r="BD825" t="inlineStr">
        <is>
          <t>893783272</t>
        </is>
      </c>
    </row>
    <row r="826">
      <c r="A826" t="inlineStr">
        <is>
          <t>No</t>
        </is>
      </c>
      <c r="B826" t="inlineStr">
        <is>
          <t>DS318.825 .B6 2005</t>
        </is>
      </c>
      <c r="C826" t="inlineStr">
        <is>
          <t>0                      DS 0318825B  6           2005</t>
        </is>
      </c>
      <c r="D826" t="inlineStr">
        <is>
          <t>A nation under siege : nukes, mullahs, and the ultimate nightmare / M. Blake.</t>
        </is>
      </c>
      <c r="F826" t="inlineStr">
        <is>
          <t>No</t>
        </is>
      </c>
      <c r="G826" t="inlineStr">
        <is>
          <t>1</t>
        </is>
      </c>
      <c r="H826" t="inlineStr">
        <is>
          <t>No</t>
        </is>
      </c>
      <c r="I826" t="inlineStr">
        <is>
          <t>No</t>
        </is>
      </c>
      <c r="J826" t="inlineStr">
        <is>
          <t>0</t>
        </is>
      </c>
      <c r="K826" t="inlineStr">
        <is>
          <t>Blake, M.</t>
        </is>
      </c>
      <c r="L826" t="inlineStr">
        <is>
          <t>San Francisco : Blake Press, c2005.</t>
        </is>
      </c>
      <c r="M826" t="inlineStr">
        <is>
          <t>2005</t>
        </is>
      </c>
      <c r="N826" t="inlineStr">
        <is>
          <t>1st ed.</t>
        </is>
      </c>
      <c r="O826" t="inlineStr">
        <is>
          <t>eng</t>
        </is>
      </c>
      <c r="P826" t="inlineStr">
        <is>
          <t>cau</t>
        </is>
      </c>
      <c r="R826" t="inlineStr">
        <is>
          <t xml:space="preserve">DS </t>
        </is>
      </c>
      <c r="S826" t="n">
        <v>4</v>
      </c>
      <c r="T826" t="n">
        <v>4</v>
      </c>
      <c r="U826" t="inlineStr">
        <is>
          <t>2009-08-24</t>
        </is>
      </c>
      <c r="V826" t="inlineStr">
        <is>
          <t>2009-08-24</t>
        </is>
      </c>
      <c r="W826" t="inlineStr">
        <is>
          <t>2006-05-04</t>
        </is>
      </c>
      <c r="X826" t="inlineStr">
        <is>
          <t>2006-05-04</t>
        </is>
      </c>
      <c r="Y826" t="n">
        <v>41</v>
      </c>
      <c r="Z826" t="n">
        <v>40</v>
      </c>
      <c r="AA826" t="n">
        <v>41</v>
      </c>
      <c r="AB826" t="n">
        <v>1</v>
      </c>
      <c r="AC826" t="n">
        <v>1</v>
      </c>
      <c r="AD826" t="n">
        <v>3</v>
      </c>
      <c r="AE826" t="n">
        <v>3</v>
      </c>
      <c r="AF826" t="n">
        <v>0</v>
      </c>
      <c r="AG826" t="n">
        <v>0</v>
      </c>
      <c r="AH826" t="n">
        <v>3</v>
      </c>
      <c r="AI826" t="n">
        <v>3</v>
      </c>
      <c r="AJ826" t="n">
        <v>0</v>
      </c>
      <c r="AK826" t="n">
        <v>0</v>
      </c>
      <c r="AL826" t="n">
        <v>0</v>
      </c>
      <c r="AM826" t="n">
        <v>0</v>
      </c>
      <c r="AN826" t="n">
        <v>0</v>
      </c>
      <c r="AO826" t="n">
        <v>0</v>
      </c>
      <c r="AP826" t="inlineStr">
        <is>
          <t>No</t>
        </is>
      </c>
      <c r="AQ826" t="inlineStr">
        <is>
          <t>No</t>
        </is>
      </c>
      <c r="AS826">
        <f>HYPERLINK("https://creighton-primo.hosted.exlibrisgroup.com/primo-explore/search?tab=default_tab&amp;search_scope=EVERYTHING&amp;vid=01CRU&amp;lang=en_US&amp;offset=0&amp;query=any,contains,991004799669702656","Catalog Record")</f>
        <v/>
      </c>
      <c r="AT826">
        <f>HYPERLINK("http://www.worldcat.org/oclc/60791783","WorldCat Record")</f>
        <v/>
      </c>
      <c r="AU826" t="inlineStr">
        <is>
          <t>1043425291:eng</t>
        </is>
      </c>
      <c r="AV826" t="inlineStr">
        <is>
          <t>60791783</t>
        </is>
      </c>
      <c r="AW826" t="inlineStr">
        <is>
          <t>991004799669702656</t>
        </is>
      </c>
      <c r="AX826" t="inlineStr">
        <is>
          <t>991004799669702656</t>
        </is>
      </c>
      <c r="AY826" t="inlineStr">
        <is>
          <t>2261226470002656</t>
        </is>
      </c>
      <c r="AZ826" t="inlineStr">
        <is>
          <t>BOOK</t>
        </is>
      </c>
      <c r="BB826" t="inlineStr">
        <is>
          <t>9780976415503</t>
        </is>
      </c>
      <c r="BC826" t="inlineStr">
        <is>
          <t>32285005184550</t>
        </is>
      </c>
      <c r="BD826" t="inlineStr">
        <is>
          <t>893430506</t>
        </is>
      </c>
    </row>
    <row r="827">
      <c r="A827" t="inlineStr">
        <is>
          <t>No</t>
        </is>
      </c>
      <c r="B827" t="inlineStr">
        <is>
          <t>DS318.825 .I65 1992</t>
        </is>
      </c>
      <c r="C827" t="inlineStr">
        <is>
          <t>0                      DS 0318825I  65          1992</t>
        </is>
      </c>
      <c r="D827" t="inlineStr">
        <is>
          <t>Iran : political culture in the Islamic republic / edited by Samih K. Farsoun and Mehrdad Mashayekhi.</t>
        </is>
      </c>
      <c r="F827" t="inlineStr">
        <is>
          <t>No</t>
        </is>
      </c>
      <c r="G827" t="inlineStr">
        <is>
          <t>1</t>
        </is>
      </c>
      <c r="H827" t="inlineStr">
        <is>
          <t>No</t>
        </is>
      </c>
      <c r="I827" t="inlineStr">
        <is>
          <t>No</t>
        </is>
      </c>
      <c r="J827" t="inlineStr">
        <is>
          <t>0</t>
        </is>
      </c>
      <c r="L827" t="inlineStr">
        <is>
          <t>London ; New York : Routledge, 1992.</t>
        </is>
      </c>
      <c r="M827" t="inlineStr">
        <is>
          <t>1992</t>
        </is>
      </c>
      <c r="O827" t="inlineStr">
        <is>
          <t>eng</t>
        </is>
      </c>
      <c r="P827" t="inlineStr">
        <is>
          <t>enk</t>
        </is>
      </c>
      <c r="R827" t="inlineStr">
        <is>
          <t xml:space="preserve">DS </t>
        </is>
      </c>
      <c r="S827" t="n">
        <v>8</v>
      </c>
      <c r="T827" t="n">
        <v>8</v>
      </c>
      <c r="U827" t="inlineStr">
        <is>
          <t>2004-06-17</t>
        </is>
      </c>
      <c r="V827" t="inlineStr">
        <is>
          <t>2004-06-17</t>
        </is>
      </c>
      <c r="W827" t="inlineStr">
        <is>
          <t>1993-05-24</t>
        </is>
      </c>
      <c r="X827" t="inlineStr">
        <is>
          <t>1993-05-24</t>
        </is>
      </c>
      <c r="Y827" t="n">
        <v>286</v>
      </c>
      <c r="Z827" t="n">
        <v>194</v>
      </c>
      <c r="AA827" t="n">
        <v>229</v>
      </c>
      <c r="AB827" t="n">
        <v>2</v>
      </c>
      <c r="AC827" t="n">
        <v>2</v>
      </c>
      <c r="AD827" t="n">
        <v>15</v>
      </c>
      <c r="AE827" t="n">
        <v>15</v>
      </c>
      <c r="AF827" t="n">
        <v>5</v>
      </c>
      <c r="AG827" t="n">
        <v>5</v>
      </c>
      <c r="AH827" t="n">
        <v>5</v>
      </c>
      <c r="AI827" t="n">
        <v>5</v>
      </c>
      <c r="AJ827" t="n">
        <v>10</v>
      </c>
      <c r="AK827" t="n">
        <v>10</v>
      </c>
      <c r="AL827" t="n">
        <v>1</v>
      </c>
      <c r="AM827" t="n">
        <v>1</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HYPERLINK("https://creighton-primo.hosted.exlibrisgroup.com/primo-explore/search?tab=default_tab&amp;search_scope=EVERYTHING&amp;vid=01CRU&amp;lang=en_US&amp;offset=0&amp;query=any,contains,991001951359702656","Catalog Record")</f>
        <v/>
      </c>
      <c r="AT827">
        <f>HYPERLINK("http://www.worldcat.org/oclc/24668707","WorldCat Record")</f>
        <v/>
      </c>
      <c r="AU827" t="inlineStr">
        <is>
          <t>9415450211:eng</t>
        </is>
      </c>
      <c r="AV827" t="inlineStr">
        <is>
          <t>24668707</t>
        </is>
      </c>
      <c r="AW827" t="inlineStr">
        <is>
          <t>991001951359702656</t>
        </is>
      </c>
      <c r="AX827" t="inlineStr">
        <is>
          <t>991001951359702656</t>
        </is>
      </c>
      <c r="AY827" t="inlineStr">
        <is>
          <t>2256902580002656</t>
        </is>
      </c>
      <c r="AZ827" t="inlineStr">
        <is>
          <t>BOOK</t>
        </is>
      </c>
      <c r="BB827" t="inlineStr">
        <is>
          <t>9780415031424</t>
        </is>
      </c>
      <c r="BC827" t="inlineStr">
        <is>
          <t>32285001582583</t>
        </is>
      </c>
      <c r="BD827" t="inlineStr">
        <is>
          <t>893510105</t>
        </is>
      </c>
    </row>
    <row r="828">
      <c r="A828" t="inlineStr">
        <is>
          <t>No</t>
        </is>
      </c>
      <c r="B828" t="inlineStr">
        <is>
          <t>DS318.825 .P47 2008</t>
        </is>
      </c>
      <c r="C828" t="inlineStr">
        <is>
          <t>0                      DS 0318825P  47          2008</t>
        </is>
      </c>
      <c r="D828" t="inlineStr">
        <is>
          <t>Engaging Iran and building peace in the Persian Gulf Region : a report to the Trilateral Commission / European author Volker Perthes, North American author Ray Takeyh, Pacific Asian author Hitoshi Tanaka.</t>
        </is>
      </c>
      <c r="F828" t="inlineStr">
        <is>
          <t>No</t>
        </is>
      </c>
      <c r="G828" t="inlineStr">
        <is>
          <t>1</t>
        </is>
      </c>
      <c r="H828" t="inlineStr">
        <is>
          <t>No</t>
        </is>
      </c>
      <c r="I828" t="inlineStr">
        <is>
          <t>No</t>
        </is>
      </c>
      <c r="J828" t="inlineStr">
        <is>
          <t>0</t>
        </is>
      </c>
      <c r="K828" t="inlineStr">
        <is>
          <t>Perthes, Volker.</t>
        </is>
      </c>
      <c r="L828" t="inlineStr">
        <is>
          <t>Washington, D.C. : Trilateral Commission, 2008.</t>
        </is>
      </c>
      <c r="M828" t="inlineStr">
        <is>
          <t>2008</t>
        </is>
      </c>
      <c r="O828" t="inlineStr">
        <is>
          <t>eng</t>
        </is>
      </c>
      <c r="P828" t="inlineStr">
        <is>
          <t>dcu</t>
        </is>
      </c>
      <c r="Q828" t="inlineStr">
        <is>
          <t>The triangle papers ; 62</t>
        </is>
      </c>
      <c r="R828" t="inlineStr">
        <is>
          <t xml:space="preserve">DS </t>
        </is>
      </c>
      <c r="S828" t="n">
        <v>1</v>
      </c>
      <c r="T828" t="n">
        <v>1</v>
      </c>
      <c r="U828" t="inlineStr">
        <is>
          <t>2010-12-14</t>
        </is>
      </c>
      <c r="V828" t="inlineStr">
        <is>
          <t>2010-12-14</t>
        </is>
      </c>
      <c r="W828" t="inlineStr">
        <is>
          <t>2010-12-14</t>
        </is>
      </c>
      <c r="X828" t="inlineStr">
        <is>
          <t>2010-12-14</t>
        </is>
      </c>
      <c r="Y828" t="n">
        <v>142</v>
      </c>
      <c r="Z828" t="n">
        <v>104</v>
      </c>
      <c r="AA828" t="n">
        <v>105</v>
      </c>
      <c r="AB828" t="n">
        <v>1</v>
      </c>
      <c r="AC828" t="n">
        <v>1</v>
      </c>
      <c r="AD828" t="n">
        <v>7</v>
      </c>
      <c r="AE828" t="n">
        <v>7</v>
      </c>
      <c r="AF828" t="n">
        <v>1</v>
      </c>
      <c r="AG828" t="n">
        <v>1</v>
      </c>
      <c r="AH828" t="n">
        <v>3</v>
      </c>
      <c r="AI828" t="n">
        <v>3</v>
      </c>
      <c r="AJ828" t="n">
        <v>5</v>
      </c>
      <c r="AK828" t="n">
        <v>5</v>
      </c>
      <c r="AL828" t="n">
        <v>0</v>
      </c>
      <c r="AM828" t="n">
        <v>0</v>
      </c>
      <c r="AN828" t="n">
        <v>1</v>
      </c>
      <c r="AO828" t="n">
        <v>1</v>
      </c>
      <c r="AP828" t="inlineStr">
        <is>
          <t>No</t>
        </is>
      </c>
      <c r="AQ828" t="inlineStr">
        <is>
          <t>Yes</t>
        </is>
      </c>
      <c r="AR828">
        <f>HYPERLINK("http://catalog.hathitrust.org/Record/005925603","HathiTrust Record")</f>
        <v/>
      </c>
      <c r="AS828">
        <f>HYPERLINK("https://creighton-primo.hosted.exlibrisgroup.com/primo-explore/search?tab=default_tab&amp;search_scope=EVERYTHING&amp;vid=01CRU&amp;lang=en_US&amp;offset=0&amp;query=any,contains,991000384829702656","Catalog Record")</f>
        <v/>
      </c>
      <c r="AT828">
        <f>HYPERLINK("http://www.worldcat.org/oclc/244695407","WorldCat Record")</f>
        <v/>
      </c>
      <c r="AU828" t="inlineStr">
        <is>
          <t>892051663:eng</t>
        </is>
      </c>
      <c r="AV828" t="inlineStr">
        <is>
          <t>244695407</t>
        </is>
      </c>
      <c r="AW828" t="inlineStr">
        <is>
          <t>991000384829702656</t>
        </is>
      </c>
      <c r="AX828" t="inlineStr">
        <is>
          <t>991000384829702656</t>
        </is>
      </c>
      <c r="AY828" t="inlineStr">
        <is>
          <t>2267940490002656</t>
        </is>
      </c>
      <c r="AZ828" t="inlineStr">
        <is>
          <t>BOOK</t>
        </is>
      </c>
      <c r="BB828" t="inlineStr">
        <is>
          <t>9780930503918</t>
        </is>
      </c>
      <c r="BC828" t="inlineStr">
        <is>
          <t>32285005650691</t>
        </is>
      </c>
      <c r="BD828" t="inlineStr">
        <is>
          <t>893407132</t>
        </is>
      </c>
    </row>
    <row r="829">
      <c r="A829" t="inlineStr">
        <is>
          <t>No</t>
        </is>
      </c>
      <c r="B829" t="inlineStr">
        <is>
          <t>DS318.825 .R44 1992</t>
        </is>
      </c>
      <c r="C829" t="inlineStr">
        <is>
          <t>0                      DS 0318825R  44          1992</t>
        </is>
      </c>
      <c r="D829" t="inlineStr">
        <is>
          <t>Reconstruction and regional diplomacy in the Persian Gulf / edited by Hooshang Amirahmadi and Nader Entessar.</t>
        </is>
      </c>
      <c r="F829" t="inlineStr">
        <is>
          <t>No</t>
        </is>
      </c>
      <c r="G829" t="inlineStr">
        <is>
          <t>1</t>
        </is>
      </c>
      <c r="H829" t="inlineStr">
        <is>
          <t>No</t>
        </is>
      </c>
      <c r="I829" t="inlineStr">
        <is>
          <t>No</t>
        </is>
      </c>
      <c r="J829" t="inlineStr">
        <is>
          <t>0</t>
        </is>
      </c>
      <c r="L829" t="inlineStr">
        <is>
          <t>London ; New York : Routledge, 1992.</t>
        </is>
      </c>
      <c r="M829" t="inlineStr">
        <is>
          <t>1992</t>
        </is>
      </c>
      <c r="O829" t="inlineStr">
        <is>
          <t>eng</t>
        </is>
      </c>
      <c r="P829" t="inlineStr">
        <is>
          <t>enk</t>
        </is>
      </c>
      <c r="R829" t="inlineStr">
        <is>
          <t xml:space="preserve">DS </t>
        </is>
      </c>
      <c r="S829" t="n">
        <v>7</v>
      </c>
      <c r="T829" t="n">
        <v>7</v>
      </c>
      <c r="U829" t="inlineStr">
        <is>
          <t>2002-04-07</t>
        </is>
      </c>
      <c r="V829" t="inlineStr">
        <is>
          <t>2002-04-07</t>
        </is>
      </c>
      <c r="W829" t="inlineStr">
        <is>
          <t>1993-03-25</t>
        </is>
      </c>
      <c r="X829" t="inlineStr">
        <is>
          <t>1993-03-25</t>
        </is>
      </c>
      <c r="Y829" t="n">
        <v>247</v>
      </c>
      <c r="Z829" t="n">
        <v>179</v>
      </c>
      <c r="AA829" t="n">
        <v>314</v>
      </c>
      <c r="AB829" t="n">
        <v>1</v>
      </c>
      <c r="AC829" t="n">
        <v>1</v>
      </c>
      <c r="AD829" t="n">
        <v>13</v>
      </c>
      <c r="AE829" t="n">
        <v>14</v>
      </c>
      <c r="AF829" t="n">
        <v>4</v>
      </c>
      <c r="AG829" t="n">
        <v>4</v>
      </c>
      <c r="AH829" t="n">
        <v>5</v>
      </c>
      <c r="AI829" t="n">
        <v>5</v>
      </c>
      <c r="AJ829" t="n">
        <v>8</v>
      </c>
      <c r="AK829" t="n">
        <v>9</v>
      </c>
      <c r="AL829" t="n">
        <v>0</v>
      </c>
      <c r="AM829" t="n">
        <v>0</v>
      </c>
      <c r="AN829" t="n">
        <v>0</v>
      </c>
      <c r="AO829" t="n">
        <v>0</v>
      </c>
      <c r="AP829" t="inlineStr">
        <is>
          <t>No</t>
        </is>
      </c>
      <c r="AQ829" t="inlineStr">
        <is>
          <t>No</t>
        </is>
      </c>
      <c r="AS829">
        <f>HYPERLINK("https://creighton-primo.hosted.exlibrisgroup.com/primo-explore/search?tab=default_tab&amp;search_scope=EVERYTHING&amp;vid=01CRU&amp;lang=en_US&amp;offset=0&amp;query=any,contains,991002007029702656","Catalog Record")</f>
        <v/>
      </c>
      <c r="AT829">
        <f>HYPERLINK("http://www.worldcat.org/oclc/25509564","WorldCat Record")</f>
        <v/>
      </c>
      <c r="AU829" t="inlineStr">
        <is>
          <t>1060424058:eng</t>
        </is>
      </c>
      <c r="AV829" t="inlineStr">
        <is>
          <t>25509564</t>
        </is>
      </c>
      <c r="AW829" t="inlineStr">
        <is>
          <t>991002007029702656</t>
        </is>
      </c>
      <c r="AX829" t="inlineStr">
        <is>
          <t>991002007029702656</t>
        </is>
      </c>
      <c r="AY829" t="inlineStr">
        <is>
          <t>2271943860002656</t>
        </is>
      </c>
      <c r="AZ829" t="inlineStr">
        <is>
          <t>BOOK</t>
        </is>
      </c>
      <c r="BB829" t="inlineStr">
        <is>
          <t>9780415064859</t>
        </is>
      </c>
      <c r="BC829" t="inlineStr">
        <is>
          <t>32285001498640</t>
        </is>
      </c>
      <c r="BD829" t="inlineStr">
        <is>
          <t>893709762</t>
        </is>
      </c>
    </row>
    <row r="830">
      <c r="A830" t="inlineStr">
        <is>
          <t>No</t>
        </is>
      </c>
      <c r="B830" t="inlineStr">
        <is>
          <t>DS318.825 .T355 2006</t>
        </is>
      </c>
      <c r="C830" t="inlineStr">
        <is>
          <t>0                      DS 0318825T  355         2006</t>
        </is>
      </c>
      <c r="D830" t="inlineStr">
        <is>
          <t>Hidden Iran : paradox and power in the Islamic Republic / Ray Takeyh.</t>
        </is>
      </c>
      <c r="F830" t="inlineStr">
        <is>
          <t>No</t>
        </is>
      </c>
      <c r="G830" t="inlineStr">
        <is>
          <t>1</t>
        </is>
      </c>
      <c r="H830" t="inlineStr">
        <is>
          <t>No</t>
        </is>
      </c>
      <c r="I830" t="inlineStr">
        <is>
          <t>No</t>
        </is>
      </c>
      <c r="J830" t="inlineStr">
        <is>
          <t>0</t>
        </is>
      </c>
      <c r="K830" t="inlineStr">
        <is>
          <t>Takeyh, Ray, 1966-</t>
        </is>
      </c>
      <c r="L830" t="inlineStr">
        <is>
          <t>New York : Times Book, 2006.</t>
        </is>
      </c>
      <c r="M830" t="inlineStr">
        <is>
          <t>2006</t>
        </is>
      </c>
      <c r="N830" t="inlineStr">
        <is>
          <t>1st ed.</t>
        </is>
      </c>
      <c r="O830" t="inlineStr">
        <is>
          <t>eng</t>
        </is>
      </c>
      <c r="P830" t="inlineStr">
        <is>
          <t>nyu</t>
        </is>
      </c>
      <c r="R830" t="inlineStr">
        <is>
          <t xml:space="preserve">DS </t>
        </is>
      </c>
      <c r="S830" t="n">
        <v>5</v>
      </c>
      <c r="T830" t="n">
        <v>5</v>
      </c>
      <c r="U830" t="inlineStr">
        <is>
          <t>2010-06-22</t>
        </is>
      </c>
      <c r="V830" t="inlineStr">
        <is>
          <t>2010-06-22</t>
        </is>
      </c>
      <c r="W830" t="inlineStr">
        <is>
          <t>2006-10-16</t>
        </is>
      </c>
      <c r="X830" t="inlineStr">
        <is>
          <t>2006-10-16</t>
        </is>
      </c>
      <c r="Y830" t="n">
        <v>737</v>
      </c>
      <c r="Z830" t="n">
        <v>643</v>
      </c>
      <c r="AA830" t="n">
        <v>705</v>
      </c>
      <c r="AB830" t="n">
        <v>4</v>
      </c>
      <c r="AC830" t="n">
        <v>5</v>
      </c>
      <c r="AD830" t="n">
        <v>18</v>
      </c>
      <c r="AE830" t="n">
        <v>19</v>
      </c>
      <c r="AF830" t="n">
        <v>5</v>
      </c>
      <c r="AG830" t="n">
        <v>5</v>
      </c>
      <c r="AH830" t="n">
        <v>5</v>
      </c>
      <c r="AI830" t="n">
        <v>5</v>
      </c>
      <c r="AJ830" t="n">
        <v>10</v>
      </c>
      <c r="AK830" t="n">
        <v>10</v>
      </c>
      <c r="AL830" t="n">
        <v>2</v>
      </c>
      <c r="AM830" t="n">
        <v>3</v>
      </c>
      <c r="AN830" t="n">
        <v>0</v>
      </c>
      <c r="AO830" t="n">
        <v>0</v>
      </c>
      <c r="AP830" t="inlineStr">
        <is>
          <t>No</t>
        </is>
      </c>
      <c r="AQ830" t="inlineStr">
        <is>
          <t>No</t>
        </is>
      </c>
      <c r="AS830">
        <f>HYPERLINK("https://creighton-primo.hosted.exlibrisgroup.com/primo-explore/search?tab=default_tab&amp;search_scope=EVERYTHING&amp;vid=01CRU&amp;lang=en_US&amp;offset=0&amp;query=any,contains,991004909459702656","Catalog Record")</f>
        <v/>
      </c>
      <c r="AT830">
        <f>HYPERLINK("http://www.worldcat.org/oclc/65400761","WorldCat Record")</f>
        <v/>
      </c>
      <c r="AU830" t="inlineStr">
        <is>
          <t>552211952:eng</t>
        </is>
      </c>
      <c r="AV830" t="inlineStr">
        <is>
          <t>65400761</t>
        </is>
      </c>
      <c r="AW830" t="inlineStr">
        <is>
          <t>991004909459702656</t>
        </is>
      </c>
      <c r="AX830" t="inlineStr">
        <is>
          <t>991004909459702656</t>
        </is>
      </c>
      <c r="AY830" t="inlineStr">
        <is>
          <t>2258332740002656</t>
        </is>
      </c>
      <c r="AZ830" t="inlineStr">
        <is>
          <t>BOOK</t>
        </is>
      </c>
      <c r="BB830" t="inlineStr">
        <is>
          <t>9780805079760</t>
        </is>
      </c>
      <c r="BC830" t="inlineStr">
        <is>
          <t>32285005230338</t>
        </is>
      </c>
      <c r="BD830" t="inlineStr">
        <is>
          <t>893430602</t>
        </is>
      </c>
    </row>
    <row r="831">
      <c r="A831" t="inlineStr">
        <is>
          <t>No</t>
        </is>
      </c>
      <c r="B831" t="inlineStr">
        <is>
          <t>DS318.83 .I736 2008</t>
        </is>
      </c>
      <c r="C831" t="inlineStr">
        <is>
          <t>0                      DS 0318830I  736         2008</t>
        </is>
      </c>
      <c r="D831" t="inlineStr">
        <is>
          <t>Iran's foreign policy : from Khatami to Ahmadinejad / edited by Anoushiravan Ehteshami and Mahjoob Zweiri.</t>
        </is>
      </c>
      <c r="F831" t="inlineStr">
        <is>
          <t>No</t>
        </is>
      </c>
      <c r="G831" t="inlineStr">
        <is>
          <t>1</t>
        </is>
      </c>
      <c r="H831" t="inlineStr">
        <is>
          <t>No</t>
        </is>
      </c>
      <c r="I831" t="inlineStr">
        <is>
          <t>No</t>
        </is>
      </c>
      <c r="J831" t="inlineStr">
        <is>
          <t>0</t>
        </is>
      </c>
      <c r="L831" t="inlineStr">
        <is>
          <t>Reading, Berkshire, U.K. : Ithaca Press, 2008.</t>
        </is>
      </c>
      <c r="M831" t="inlineStr">
        <is>
          <t>2008</t>
        </is>
      </c>
      <c r="N831" t="inlineStr">
        <is>
          <t>1st ed.</t>
        </is>
      </c>
      <c r="O831" t="inlineStr">
        <is>
          <t>eng</t>
        </is>
      </c>
      <c r="P831" t="inlineStr">
        <is>
          <t>enk</t>
        </is>
      </c>
      <c r="R831" t="inlineStr">
        <is>
          <t xml:space="preserve">DS </t>
        </is>
      </c>
      <c r="S831" t="n">
        <v>2</v>
      </c>
      <c r="T831" t="n">
        <v>2</v>
      </c>
      <c r="U831" t="inlineStr">
        <is>
          <t>2009-08-24</t>
        </is>
      </c>
      <c r="V831" t="inlineStr">
        <is>
          <t>2009-08-24</t>
        </is>
      </c>
      <c r="W831" t="inlineStr">
        <is>
          <t>2009-03-26</t>
        </is>
      </c>
      <c r="X831" t="inlineStr">
        <is>
          <t>2009-03-26</t>
        </is>
      </c>
      <c r="Y831" t="n">
        <v>213</v>
      </c>
      <c r="Z831" t="n">
        <v>142</v>
      </c>
      <c r="AA831" t="n">
        <v>870</v>
      </c>
      <c r="AB831" t="n">
        <v>1</v>
      </c>
      <c r="AC831" t="n">
        <v>9</v>
      </c>
      <c r="AD831" t="n">
        <v>10</v>
      </c>
      <c r="AE831" t="n">
        <v>34</v>
      </c>
      <c r="AF831" t="n">
        <v>6</v>
      </c>
      <c r="AG831" t="n">
        <v>10</v>
      </c>
      <c r="AH831" t="n">
        <v>3</v>
      </c>
      <c r="AI831" t="n">
        <v>7</v>
      </c>
      <c r="AJ831" t="n">
        <v>6</v>
      </c>
      <c r="AK831" t="n">
        <v>11</v>
      </c>
      <c r="AL831" t="n">
        <v>0</v>
      </c>
      <c r="AM831" t="n">
        <v>7</v>
      </c>
      <c r="AN831" t="n">
        <v>0</v>
      </c>
      <c r="AO831" t="n">
        <v>5</v>
      </c>
      <c r="AP831" t="inlineStr">
        <is>
          <t>No</t>
        </is>
      </c>
      <c r="AQ831" t="inlineStr">
        <is>
          <t>No</t>
        </is>
      </c>
      <c r="AS831">
        <f>HYPERLINK("https://creighton-primo.hosted.exlibrisgroup.com/primo-explore/search?tab=default_tab&amp;search_scope=EVERYTHING&amp;vid=01CRU&amp;lang=en_US&amp;offset=0&amp;query=any,contains,991005299969702656","Catalog Record")</f>
        <v/>
      </c>
      <c r="AT831">
        <f>HYPERLINK("http://www.worldcat.org/oclc/233705005","WorldCat Record")</f>
        <v/>
      </c>
      <c r="AU831" t="inlineStr">
        <is>
          <t>866243979:eng</t>
        </is>
      </c>
      <c r="AV831" t="inlineStr">
        <is>
          <t>233705005</t>
        </is>
      </c>
      <c r="AW831" t="inlineStr">
        <is>
          <t>991005299969702656</t>
        </is>
      </c>
      <c r="AX831" t="inlineStr">
        <is>
          <t>991005299969702656</t>
        </is>
      </c>
      <c r="AY831" t="inlineStr">
        <is>
          <t>2258132570002656</t>
        </is>
      </c>
      <c r="AZ831" t="inlineStr">
        <is>
          <t>BOOK</t>
        </is>
      </c>
      <c r="BB831" t="inlineStr">
        <is>
          <t>9780863723247</t>
        </is>
      </c>
      <c r="BC831" t="inlineStr">
        <is>
          <t>32285005510507</t>
        </is>
      </c>
      <c r="BD831" t="inlineStr">
        <is>
          <t>893507936</t>
        </is>
      </c>
    </row>
    <row r="832">
      <c r="A832" t="inlineStr">
        <is>
          <t>No</t>
        </is>
      </c>
      <c r="B832" t="inlineStr">
        <is>
          <t>DS318.84.K48 T34 1985</t>
        </is>
      </c>
      <c r="C832" t="inlineStr">
        <is>
          <t>0                      DS 0318840K  48                 T  34          1985</t>
        </is>
      </c>
      <c r="D832" t="inlineStr">
        <is>
          <t>The spirit of Allah : Khomeini and the Islamic revolution / Amir Taheri.</t>
        </is>
      </c>
      <c r="F832" t="inlineStr">
        <is>
          <t>No</t>
        </is>
      </c>
      <c r="G832" t="inlineStr">
        <is>
          <t>1</t>
        </is>
      </c>
      <c r="H832" t="inlineStr">
        <is>
          <t>No</t>
        </is>
      </c>
      <c r="I832" t="inlineStr">
        <is>
          <t>No</t>
        </is>
      </c>
      <c r="J832" t="inlineStr">
        <is>
          <t>0</t>
        </is>
      </c>
      <c r="K832" t="inlineStr">
        <is>
          <t>Taheri, Amir.</t>
        </is>
      </c>
      <c r="L832" t="inlineStr">
        <is>
          <t>London : Hutchinson, [1985].</t>
        </is>
      </c>
      <c r="M832" t="inlineStr">
        <is>
          <t>1985</t>
        </is>
      </c>
      <c r="O832" t="inlineStr">
        <is>
          <t>eng</t>
        </is>
      </c>
      <c r="P832" t="inlineStr">
        <is>
          <t>enk</t>
        </is>
      </c>
      <c r="R832" t="inlineStr">
        <is>
          <t xml:space="preserve">DS </t>
        </is>
      </c>
      <c r="S832" t="n">
        <v>6</v>
      </c>
      <c r="T832" t="n">
        <v>6</v>
      </c>
      <c r="U832" t="inlineStr">
        <is>
          <t>2003-11-17</t>
        </is>
      </c>
      <c r="V832" t="inlineStr">
        <is>
          <t>2003-11-17</t>
        </is>
      </c>
      <c r="W832" t="inlineStr">
        <is>
          <t>1990-06-20</t>
        </is>
      </c>
      <c r="X832" t="inlineStr">
        <is>
          <t>1990-06-20</t>
        </is>
      </c>
      <c r="Y832" t="n">
        <v>159</v>
      </c>
      <c r="Z832" t="n">
        <v>61</v>
      </c>
      <c r="AA832" t="n">
        <v>1041</v>
      </c>
      <c r="AB832" t="n">
        <v>3</v>
      </c>
      <c r="AC832" t="n">
        <v>6</v>
      </c>
      <c r="AD832" t="n">
        <v>2</v>
      </c>
      <c r="AE832" t="n">
        <v>27</v>
      </c>
      <c r="AF832" t="n">
        <v>0</v>
      </c>
      <c r="AG832" t="n">
        <v>10</v>
      </c>
      <c r="AH832" t="n">
        <v>0</v>
      </c>
      <c r="AI832" t="n">
        <v>5</v>
      </c>
      <c r="AJ832" t="n">
        <v>0</v>
      </c>
      <c r="AK832" t="n">
        <v>13</v>
      </c>
      <c r="AL832" t="n">
        <v>2</v>
      </c>
      <c r="AM832" t="n">
        <v>5</v>
      </c>
      <c r="AN832" t="n">
        <v>0</v>
      </c>
      <c r="AO832" t="n">
        <v>0</v>
      </c>
      <c r="AP832" t="inlineStr">
        <is>
          <t>No</t>
        </is>
      </c>
      <c r="AQ832" t="inlineStr">
        <is>
          <t>Yes</t>
        </is>
      </c>
      <c r="AR832">
        <f>HYPERLINK("http://catalog.hathitrust.org/Record/000379479","HathiTrust Record")</f>
        <v/>
      </c>
      <c r="AS832">
        <f>HYPERLINK("https://creighton-primo.hosted.exlibrisgroup.com/primo-explore/search?tab=default_tab&amp;search_scope=EVERYTHING&amp;vid=01CRU&amp;lang=en_US&amp;offset=0&amp;query=any,contains,991000625309702656","Catalog Record")</f>
        <v/>
      </c>
      <c r="AT832">
        <f>HYPERLINK("http://www.worldcat.org/oclc/59083775","WorldCat Record")</f>
        <v/>
      </c>
      <c r="AU832" t="inlineStr">
        <is>
          <t>5048158:eng</t>
        </is>
      </c>
      <c r="AV832" t="inlineStr">
        <is>
          <t>59083775</t>
        </is>
      </c>
      <c r="AW832" t="inlineStr">
        <is>
          <t>991000625309702656</t>
        </is>
      </c>
      <c r="AX832" t="inlineStr">
        <is>
          <t>991000625309702656</t>
        </is>
      </c>
      <c r="AY832" t="inlineStr">
        <is>
          <t>2254722300002656</t>
        </is>
      </c>
      <c r="AZ832" t="inlineStr">
        <is>
          <t>BOOK</t>
        </is>
      </c>
      <c r="BB832" t="inlineStr">
        <is>
          <t>9780091603205</t>
        </is>
      </c>
      <c r="BC832" t="inlineStr">
        <is>
          <t>32285000210319</t>
        </is>
      </c>
      <c r="BD832" t="inlineStr">
        <is>
          <t>893683599</t>
        </is>
      </c>
    </row>
    <row r="833">
      <c r="A833" t="inlineStr">
        <is>
          <t>No</t>
        </is>
      </c>
      <c r="B833" t="inlineStr">
        <is>
          <t>DS318.85 .B3613 1991</t>
        </is>
      </c>
      <c r="C833" t="inlineStr">
        <is>
          <t>0                      DS 0318850B  3613        1991</t>
        </is>
      </c>
      <c r="D833" t="inlineStr">
        <is>
          <t>My turn to speak : Iran, the revolution &amp; secret deals with the U.S. / Abol Hassan Bani-Sadr ; from a series of interviews by Jean-Charles Deniau ; foreword by L. Bruce Laingen.</t>
        </is>
      </c>
      <c r="F833" t="inlineStr">
        <is>
          <t>No</t>
        </is>
      </c>
      <c r="G833" t="inlineStr">
        <is>
          <t>1</t>
        </is>
      </c>
      <c r="H833" t="inlineStr">
        <is>
          <t>No</t>
        </is>
      </c>
      <c r="I833" t="inlineStr">
        <is>
          <t>No</t>
        </is>
      </c>
      <c r="J833" t="inlineStr">
        <is>
          <t>0</t>
        </is>
      </c>
      <c r="K833" t="inlineStr">
        <is>
          <t>Banī Ṣadr, Abū al-Ḥasan.</t>
        </is>
      </c>
      <c r="L833" t="inlineStr">
        <is>
          <t>Washington : Brassey's (US), c1991.</t>
        </is>
      </c>
      <c r="M833" t="inlineStr">
        <is>
          <t>1991</t>
        </is>
      </c>
      <c r="O833" t="inlineStr">
        <is>
          <t>eng</t>
        </is>
      </c>
      <c r="P833" t="inlineStr">
        <is>
          <t>dcu</t>
        </is>
      </c>
      <c r="R833" t="inlineStr">
        <is>
          <t xml:space="preserve">DS </t>
        </is>
      </c>
      <c r="S833" t="n">
        <v>5</v>
      </c>
      <c r="T833" t="n">
        <v>5</v>
      </c>
      <c r="U833" t="inlineStr">
        <is>
          <t>1998-04-16</t>
        </is>
      </c>
      <c r="V833" t="inlineStr">
        <is>
          <t>1998-04-16</t>
        </is>
      </c>
      <c r="W833" t="inlineStr">
        <is>
          <t>1991-10-24</t>
        </is>
      </c>
      <c r="X833" t="inlineStr">
        <is>
          <t>1991-10-24</t>
        </is>
      </c>
      <c r="Y833" t="n">
        <v>893</v>
      </c>
      <c r="Z833" t="n">
        <v>810</v>
      </c>
      <c r="AA833" t="n">
        <v>816</v>
      </c>
      <c r="AB833" t="n">
        <v>5</v>
      </c>
      <c r="AC833" t="n">
        <v>5</v>
      </c>
      <c r="AD833" t="n">
        <v>23</v>
      </c>
      <c r="AE833" t="n">
        <v>23</v>
      </c>
      <c r="AF833" t="n">
        <v>10</v>
      </c>
      <c r="AG833" t="n">
        <v>10</v>
      </c>
      <c r="AH833" t="n">
        <v>6</v>
      </c>
      <c r="AI833" t="n">
        <v>6</v>
      </c>
      <c r="AJ833" t="n">
        <v>8</v>
      </c>
      <c r="AK833" t="n">
        <v>8</v>
      </c>
      <c r="AL833" t="n">
        <v>4</v>
      </c>
      <c r="AM833" t="n">
        <v>4</v>
      </c>
      <c r="AN833" t="n">
        <v>0</v>
      </c>
      <c r="AO833" t="n">
        <v>0</v>
      </c>
      <c r="AP833" t="inlineStr">
        <is>
          <t>No</t>
        </is>
      </c>
      <c r="AQ833" t="inlineStr">
        <is>
          <t>Yes</t>
        </is>
      </c>
      <c r="AR833">
        <f>HYPERLINK("http://catalog.hathitrust.org/Record/002448241","HathiTrust Record")</f>
        <v/>
      </c>
      <c r="AS833">
        <f>HYPERLINK("https://creighton-primo.hosted.exlibrisgroup.com/primo-explore/search?tab=default_tab&amp;search_scope=EVERYTHING&amp;vid=01CRU&amp;lang=en_US&amp;offset=0&amp;query=any,contains,991001780289702656","Catalog Record")</f>
        <v/>
      </c>
      <c r="AT833">
        <f>HYPERLINK("http://www.worldcat.org/oclc/22452500","WorldCat Record")</f>
        <v/>
      </c>
      <c r="AU833" t="inlineStr">
        <is>
          <t>23899001:eng</t>
        </is>
      </c>
      <c r="AV833" t="inlineStr">
        <is>
          <t>22452500</t>
        </is>
      </c>
      <c r="AW833" t="inlineStr">
        <is>
          <t>991001780289702656</t>
        </is>
      </c>
      <c r="AX833" t="inlineStr">
        <is>
          <t>991001780289702656</t>
        </is>
      </c>
      <c r="AY833" t="inlineStr">
        <is>
          <t>2260300070002656</t>
        </is>
      </c>
      <c r="AZ833" t="inlineStr">
        <is>
          <t>BOOK</t>
        </is>
      </c>
      <c r="BB833" t="inlineStr">
        <is>
          <t>9780080405636</t>
        </is>
      </c>
      <c r="BC833" t="inlineStr">
        <is>
          <t>32285000727890</t>
        </is>
      </c>
      <c r="BD833" t="inlineStr">
        <is>
          <t>893791695</t>
        </is>
      </c>
    </row>
    <row r="834">
      <c r="A834" t="inlineStr">
        <is>
          <t>No</t>
        </is>
      </c>
      <c r="B834" t="inlineStr">
        <is>
          <t>DS318.85 .B84 1989</t>
        </is>
      </c>
      <c r="C834" t="inlineStr">
        <is>
          <t>0                      DS 0318850B  84          1989</t>
        </is>
      </c>
      <c r="D834" t="inlineStr">
        <is>
          <t>The Gulf War : its origins, history and consequences / John Bulloch and Harvey Morris.</t>
        </is>
      </c>
      <c r="F834" t="inlineStr">
        <is>
          <t>No</t>
        </is>
      </c>
      <c r="G834" t="inlineStr">
        <is>
          <t>1</t>
        </is>
      </c>
      <c r="H834" t="inlineStr">
        <is>
          <t>No</t>
        </is>
      </c>
      <c r="I834" t="inlineStr">
        <is>
          <t>No</t>
        </is>
      </c>
      <c r="J834" t="inlineStr">
        <is>
          <t>0</t>
        </is>
      </c>
      <c r="K834" t="inlineStr">
        <is>
          <t>Bulloch, John.</t>
        </is>
      </c>
      <c r="L834" t="inlineStr">
        <is>
          <t>London : Methuen London, 1989.</t>
        </is>
      </c>
      <c r="M834" t="inlineStr">
        <is>
          <t>1989</t>
        </is>
      </c>
      <c r="O834" t="inlineStr">
        <is>
          <t>eng</t>
        </is>
      </c>
      <c r="P834" t="inlineStr">
        <is>
          <t>enk</t>
        </is>
      </c>
      <c r="R834" t="inlineStr">
        <is>
          <t xml:space="preserve">DS </t>
        </is>
      </c>
      <c r="S834" t="n">
        <v>10</v>
      </c>
      <c r="T834" t="n">
        <v>10</v>
      </c>
      <c r="U834" t="inlineStr">
        <is>
          <t>2000-10-16</t>
        </is>
      </c>
      <c r="V834" t="inlineStr">
        <is>
          <t>2000-10-16</t>
        </is>
      </c>
      <c r="W834" t="inlineStr">
        <is>
          <t>1991-09-24</t>
        </is>
      </c>
      <c r="X834" t="inlineStr">
        <is>
          <t>1991-09-24</t>
        </is>
      </c>
      <c r="Y834" t="n">
        <v>492</v>
      </c>
      <c r="Z834" t="n">
        <v>365</v>
      </c>
      <c r="AA834" t="n">
        <v>407</v>
      </c>
      <c r="AB834" t="n">
        <v>3</v>
      </c>
      <c r="AC834" t="n">
        <v>3</v>
      </c>
      <c r="AD834" t="n">
        <v>6</v>
      </c>
      <c r="AE834" t="n">
        <v>6</v>
      </c>
      <c r="AF834" t="n">
        <v>0</v>
      </c>
      <c r="AG834" t="n">
        <v>0</v>
      </c>
      <c r="AH834" t="n">
        <v>1</v>
      </c>
      <c r="AI834" t="n">
        <v>1</v>
      </c>
      <c r="AJ834" t="n">
        <v>3</v>
      </c>
      <c r="AK834" t="n">
        <v>3</v>
      </c>
      <c r="AL834" t="n">
        <v>2</v>
      </c>
      <c r="AM834" t="n">
        <v>2</v>
      </c>
      <c r="AN834" t="n">
        <v>1</v>
      </c>
      <c r="AO834" t="n">
        <v>1</v>
      </c>
      <c r="AP834" t="inlineStr">
        <is>
          <t>No</t>
        </is>
      </c>
      <c r="AQ834" t="inlineStr">
        <is>
          <t>Yes</t>
        </is>
      </c>
      <c r="AR834">
        <f>HYPERLINK("http://catalog.hathitrust.org/Record/001821783","HathiTrust Record")</f>
        <v/>
      </c>
      <c r="AS834">
        <f>HYPERLINK("https://creighton-primo.hosted.exlibrisgroup.com/primo-explore/search?tab=default_tab&amp;search_scope=EVERYTHING&amp;vid=01CRU&amp;lang=en_US&amp;offset=0&amp;query=any,contains,991001804869702656","Catalog Record")</f>
        <v/>
      </c>
      <c r="AT834">
        <f>HYPERLINK("http://www.worldcat.org/oclc/26096939","WorldCat Record")</f>
        <v/>
      </c>
      <c r="AU834" t="inlineStr">
        <is>
          <t>836914264:eng</t>
        </is>
      </c>
      <c r="AV834" t="inlineStr">
        <is>
          <t>26096939</t>
        </is>
      </c>
      <c r="AW834" t="inlineStr">
        <is>
          <t>991001804869702656</t>
        </is>
      </c>
      <c r="AX834" t="inlineStr">
        <is>
          <t>991001804869702656</t>
        </is>
      </c>
      <c r="AY834" t="inlineStr">
        <is>
          <t>2260023520002656</t>
        </is>
      </c>
      <c r="AZ834" t="inlineStr">
        <is>
          <t>BOOK</t>
        </is>
      </c>
      <c r="BB834" t="inlineStr">
        <is>
          <t>9780413613707</t>
        </is>
      </c>
      <c r="BC834" t="inlineStr">
        <is>
          <t>32285000704998</t>
        </is>
      </c>
      <c r="BD834" t="inlineStr">
        <is>
          <t>893797845</t>
        </is>
      </c>
    </row>
    <row r="835">
      <c r="A835" t="inlineStr">
        <is>
          <t>No</t>
        </is>
      </c>
      <c r="B835" t="inlineStr">
        <is>
          <t>DS318.85 .M68 2001</t>
        </is>
      </c>
      <c r="C835" t="inlineStr">
        <is>
          <t>0                      DS 0318850M  68          2001</t>
        </is>
      </c>
      <c r="D835" t="inlineStr">
        <is>
          <t>The origins of the Gulf wars / Morris M. Mottale.</t>
        </is>
      </c>
      <c r="F835" t="inlineStr">
        <is>
          <t>No</t>
        </is>
      </c>
      <c r="G835" t="inlineStr">
        <is>
          <t>1</t>
        </is>
      </c>
      <c r="H835" t="inlineStr">
        <is>
          <t>No</t>
        </is>
      </c>
      <c r="I835" t="inlineStr">
        <is>
          <t>No</t>
        </is>
      </c>
      <c r="J835" t="inlineStr">
        <is>
          <t>0</t>
        </is>
      </c>
      <c r="K835" t="inlineStr">
        <is>
          <t>Mottale, Morris Mehrdad, 1947-</t>
        </is>
      </c>
      <c r="L835" t="inlineStr">
        <is>
          <t>Lanham, Md. : University Press of America, c2001.</t>
        </is>
      </c>
      <c r="M835" t="inlineStr">
        <is>
          <t>2001</t>
        </is>
      </c>
      <c r="O835" t="inlineStr">
        <is>
          <t>eng</t>
        </is>
      </c>
      <c r="P835" t="inlineStr">
        <is>
          <t>mdu</t>
        </is>
      </c>
      <c r="R835" t="inlineStr">
        <is>
          <t xml:space="preserve">DS </t>
        </is>
      </c>
      <c r="S835" t="n">
        <v>4</v>
      </c>
      <c r="T835" t="n">
        <v>4</v>
      </c>
      <c r="U835" t="inlineStr">
        <is>
          <t>2004-06-23</t>
        </is>
      </c>
      <c r="V835" t="inlineStr">
        <is>
          <t>2004-06-23</t>
        </is>
      </c>
      <c r="W835" t="inlineStr">
        <is>
          <t>2002-04-25</t>
        </is>
      </c>
      <c r="X835" t="inlineStr">
        <is>
          <t>2002-04-25</t>
        </is>
      </c>
      <c r="Y835" t="n">
        <v>199</v>
      </c>
      <c r="Z835" t="n">
        <v>165</v>
      </c>
      <c r="AA835" t="n">
        <v>167</v>
      </c>
      <c r="AB835" t="n">
        <v>2</v>
      </c>
      <c r="AC835" t="n">
        <v>2</v>
      </c>
      <c r="AD835" t="n">
        <v>10</v>
      </c>
      <c r="AE835" t="n">
        <v>10</v>
      </c>
      <c r="AF835" t="n">
        <v>4</v>
      </c>
      <c r="AG835" t="n">
        <v>4</v>
      </c>
      <c r="AH835" t="n">
        <v>3</v>
      </c>
      <c r="AI835" t="n">
        <v>3</v>
      </c>
      <c r="AJ835" t="n">
        <v>4</v>
      </c>
      <c r="AK835" t="n">
        <v>4</v>
      </c>
      <c r="AL835" t="n">
        <v>1</v>
      </c>
      <c r="AM835" t="n">
        <v>1</v>
      </c>
      <c r="AN835" t="n">
        <v>0</v>
      </c>
      <c r="AO835" t="n">
        <v>0</v>
      </c>
      <c r="AP835" t="inlineStr">
        <is>
          <t>No</t>
        </is>
      </c>
      <c r="AQ835" t="inlineStr">
        <is>
          <t>Yes</t>
        </is>
      </c>
      <c r="AR835">
        <f>HYPERLINK("http://catalog.hathitrust.org/Record/004229906","HathiTrust Record")</f>
        <v/>
      </c>
      <c r="AS835">
        <f>HYPERLINK("https://creighton-primo.hosted.exlibrisgroup.com/primo-explore/search?tab=default_tab&amp;search_scope=EVERYTHING&amp;vid=01CRU&amp;lang=en_US&amp;offset=0&amp;query=any,contains,991003781469702656","Catalog Record")</f>
        <v/>
      </c>
      <c r="AT835">
        <f>HYPERLINK("http://www.worldcat.org/oclc/47927637","WorldCat Record")</f>
        <v/>
      </c>
      <c r="AU835" t="inlineStr">
        <is>
          <t>20409887:eng</t>
        </is>
      </c>
      <c r="AV835" t="inlineStr">
        <is>
          <t>47927637</t>
        </is>
      </c>
      <c r="AW835" t="inlineStr">
        <is>
          <t>991003781469702656</t>
        </is>
      </c>
      <c r="AX835" t="inlineStr">
        <is>
          <t>991003781469702656</t>
        </is>
      </c>
      <c r="AY835" t="inlineStr">
        <is>
          <t>2268171120002656</t>
        </is>
      </c>
      <c r="AZ835" t="inlineStr">
        <is>
          <t>BOOK</t>
        </is>
      </c>
      <c r="BB835" t="inlineStr">
        <is>
          <t>9780761821281</t>
        </is>
      </c>
      <c r="BC835" t="inlineStr">
        <is>
          <t>32285004483649</t>
        </is>
      </c>
      <c r="BD835" t="inlineStr">
        <is>
          <t>893410702</t>
        </is>
      </c>
    </row>
    <row r="836">
      <c r="A836" t="inlineStr">
        <is>
          <t>No</t>
        </is>
      </c>
      <c r="B836" t="inlineStr">
        <is>
          <t>DS318.9 .A23 2003</t>
        </is>
      </c>
      <c r="C836" t="inlineStr">
        <is>
          <t>0                      DS 0318900A  23          2003</t>
        </is>
      </c>
      <c r="D836" t="inlineStr">
        <is>
          <t>Answering only to God : faith and freedom in twenty-first-century Iran / Geneive Abdo and Jonathan Lyons.</t>
        </is>
      </c>
      <c r="F836" t="inlineStr">
        <is>
          <t>No</t>
        </is>
      </c>
      <c r="G836" t="inlineStr">
        <is>
          <t>1</t>
        </is>
      </c>
      <c r="H836" t="inlineStr">
        <is>
          <t>No</t>
        </is>
      </c>
      <c r="I836" t="inlineStr">
        <is>
          <t>No</t>
        </is>
      </c>
      <c r="J836" t="inlineStr">
        <is>
          <t>0</t>
        </is>
      </c>
      <c r="K836" t="inlineStr">
        <is>
          <t>Abdo, Geneive, 1960-</t>
        </is>
      </c>
      <c r="L836" t="inlineStr">
        <is>
          <t>New York : Henry Holt, 2003.</t>
        </is>
      </c>
      <c r="M836" t="inlineStr">
        <is>
          <t>2003</t>
        </is>
      </c>
      <c r="N836" t="inlineStr">
        <is>
          <t>1st ed.</t>
        </is>
      </c>
      <c r="O836" t="inlineStr">
        <is>
          <t>eng</t>
        </is>
      </c>
      <c r="P836" t="inlineStr">
        <is>
          <t>nyu</t>
        </is>
      </c>
      <c r="R836" t="inlineStr">
        <is>
          <t xml:space="preserve">DS </t>
        </is>
      </c>
      <c r="S836" t="n">
        <v>2</v>
      </c>
      <c r="T836" t="n">
        <v>2</v>
      </c>
      <c r="U836" t="inlineStr">
        <is>
          <t>2005-06-29</t>
        </is>
      </c>
      <c r="V836" t="inlineStr">
        <is>
          <t>2005-06-29</t>
        </is>
      </c>
      <c r="W836" t="inlineStr">
        <is>
          <t>2003-06-09</t>
        </is>
      </c>
      <c r="X836" t="inlineStr">
        <is>
          <t>2003-06-09</t>
        </is>
      </c>
      <c r="Y836" t="n">
        <v>644</v>
      </c>
      <c r="Z836" t="n">
        <v>582</v>
      </c>
      <c r="AA836" t="n">
        <v>599</v>
      </c>
      <c r="AB836" t="n">
        <v>3</v>
      </c>
      <c r="AC836" t="n">
        <v>3</v>
      </c>
      <c r="AD836" t="n">
        <v>20</v>
      </c>
      <c r="AE836" t="n">
        <v>20</v>
      </c>
      <c r="AF836" t="n">
        <v>7</v>
      </c>
      <c r="AG836" t="n">
        <v>7</v>
      </c>
      <c r="AH836" t="n">
        <v>4</v>
      </c>
      <c r="AI836" t="n">
        <v>4</v>
      </c>
      <c r="AJ836" t="n">
        <v>13</v>
      </c>
      <c r="AK836" t="n">
        <v>13</v>
      </c>
      <c r="AL836" t="n">
        <v>2</v>
      </c>
      <c r="AM836" t="n">
        <v>2</v>
      </c>
      <c r="AN836" t="n">
        <v>0</v>
      </c>
      <c r="AO836" t="n">
        <v>0</v>
      </c>
      <c r="AP836" t="inlineStr">
        <is>
          <t>No</t>
        </is>
      </c>
      <c r="AQ836" t="inlineStr">
        <is>
          <t>No</t>
        </is>
      </c>
      <c r="AS836">
        <f>HYPERLINK("https://creighton-primo.hosted.exlibrisgroup.com/primo-explore/search?tab=default_tab&amp;search_scope=EVERYTHING&amp;vid=01CRU&amp;lang=en_US&amp;offset=0&amp;query=any,contains,991004058819702656","Catalog Record")</f>
        <v/>
      </c>
      <c r="AT836">
        <f>HYPERLINK("http://www.worldcat.org/oclc/50606444","WorldCat Record")</f>
        <v/>
      </c>
      <c r="AU836" t="inlineStr">
        <is>
          <t>234018350:eng</t>
        </is>
      </c>
      <c r="AV836" t="inlineStr">
        <is>
          <t>50606444</t>
        </is>
      </c>
      <c r="AW836" t="inlineStr">
        <is>
          <t>991004058819702656</t>
        </is>
      </c>
      <c r="AX836" t="inlineStr">
        <is>
          <t>991004058819702656</t>
        </is>
      </c>
      <c r="AY836" t="inlineStr">
        <is>
          <t>2263404500002656</t>
        </is>
      </c>
      <c r="AZ836" t="inlineStr">
        <is>
          <t>BOOK</t>
        </is>
      </c>
      <c r="BB836" t="inlineStr">
        <is>
          <t>9780805072990</t>
        </is>
      </c>
      <c r="BC836" t="inlineStr">
        <is>
          <t>32285004751250</t>
        </is>
      </c>
      <c r="BD836" t="inlineStr">
        <is>
          <t>893611861</t>
        </is>
      </c>
    </row>
    <row r="837">
      <c r="A837" t="inlineStr">
        <is>
          <t>No</t>
        </is>
      </c>
      <c r="B837" t="inlineStr">
        <is>
          <t>DS318.9 .D43 2007</t>
        </is>
      </c>
      <c r="C837" t="inlineStr">
        <is>
          <t>0                      DS 0318900D  43          2007</t>
        </is>
      </c>
      <c r="D837" t="inlineStr">
        <is>
          <t>The struggle for Iran / by Christopher de Bellaigue.</t>
        </is>
      </c>
      <c r="F837" t="inlineStr">
        <is>
          <t>No</t>
        </is>
      </c>
      <c r="G837" t="inlineStr">
        <is>
          <t>1</t>
        </is>
      </c>
      <c r="H837" t="inlineStr">
        <is>
          <t>No</t>
        </is>
      </c>
      <c r="I837" t="inlineStr">
        <is>
          <t>No</t>
        </is>
      </c>
      <c r="J837" t="inlineStr">
        <is>
          <t>0</t>
        </is>
      </c>
      <c r="K837" t="inlineStr">
        <is>
          <t>De Bellaigue, Christopher, 1971-</t>
        </is>
      </c>
      <c r="L837" t="inlineStr">
        <is>
          <t>New York, NY : New York Review Books, 2007.</t>
        </is>
      </c>
      <c r="M837" t="inlineStr">
        <is>
          <t>2007</t>
        </is>
      </c>
      <c r="O837" t="inlineStr">
        <is>
          <t>eng</t>
        </is>
      </c>
      <c r="P837" t="inlineStr">
        <is>
          <t>nyu</t>
        </is>
      </c>
      <c r="Q837" t="inlineStr">
        <is>
          <t>New York Review Book</t>
        </is>
      </c>
      <c r="R837" t="inlineStr">
        <is>
          <t xml:space="preserve">DS </t>
        </is>
      </c>
      <c r="S837" t="n">
        <v>1</v>
      </c>
      <c r="T837" t="n">
        <v>1</v>
      </c>
      <c r="U837" t="inlineStr">
        <is>
          <t>2010-05-13</t>
        </is>
      </c>
      <c r="V837" t="inlineStr">
        <is>
          <t>2010-05-13</t>
        </is>
      </c>
      <c r="W837" t="inlineStr">
        <is>
          <t>2010-05-13</t>
        </is>
      </c>
      <c r="X837" t="inlineStr">
        <is>
          <t>2010-05-13</t>
        </is>
      </c>
      <c r="Y837" t="n">
        <v>365</v>
      </c>
      <c r="Z837" t="n">
        <v>321</v>
      </c>
      <c r="AA837" t="n">
        <v>326</v>
      </c>
      <c r="AB837" t="n">
        <v>1</v>
      </c>
      <c r="AC837" t="n">
        <v>1</v>
      </c>
      <c r="AD837" t="n">
        <v>11</v>
      </c>
      <c r="AE837" t="n">
        <v>11</v>
      </c>
      <c r="AF837" t="n">
        <v>4</v>
      </c>
      <c r="AG837" t="n">
        <v>4</v>
      </c>
      <c r="AH837" t="n">
        <v>5</v>
      </c>
      <c r="AI837" t="n">
        <v>5</v>
      </c>
      <c r="AJ837" t="n">
        <v>5</v>
      </c>
      <c r="AK837" t="n">
        <v>5</v>
      </c>
      <c r="AL837" t="n">
        <v>0</v>
      </c>
      <c r="AM837" t="n">
        <v>0</v>
      </c>
      <c r="AN837" t="n">
        <v>0</v>
      </c>
      <c r="AO837" t="n">
        <v>0</v>
      </c>
      <c r="AP837" t="inlineStr">
        <is>
          <t>No</t>
        </is>
      </c>
      <c r="AQ837" t="inlineStr">
        <is>
          <t>No</t>
        </is>
      </c>
      <c r="AS837">
        <f>HYPERLINK("https://creighton-primo.hosted.exlibrisgroup.com/primo-explore/search?tab=default_tab&amp;search_scope=EVERYTHING&amp;vid=01CRU&amp;lang=en_US&amp;offset=0&amp;query=any,contains,991005390569702656","Catalog Record")</f>
        <v/>
      </c>
      <c r="AT837">
        <f>HYPERLINK("http://www.worldcat.org/oclc/81150623","WorldCat Record")</f>
        <v/>
      </c>
      <c r="AU837" t="inlineStr">
        <is>
          <t>66007897:eng</t>
        </is>
      </c>
      <c r="AV837" t="inlineStr">
        <is>
          <t>81150623</t>
        </is>
      </c>
      <c r="AW837" t="inlineStr">
        <is>
          <t>991005390569702656</t>
        </is>
      </c>
      <c r="AX837" t="inlineStr">
        <is>
          <t>991005390569702656</t>
        </is>
      </c>
      <c r="AY837" t="inlineStr">
        <is>
          <t>2257478370002656</t>
        </is>
      </c>
      <c r="AZ837" t="inlineStr">
        <is>
          <t>BOOK</t>
        </is>
      </c>
      <c r="BB837" t="inlineStr">
        <is>
          <t>9781590172384</t>
        </is>
      </c>
      <c r="BC837" t="inlineStr">
        <is>
          <t>32285005582795</t>
        </is>
      </c>
      <c r="BD837" t="inlineStr">
        <is>
          <t>893594975</t>
        </is>
      </c>
    </row>
    <row r="838">
      <c r="A838" t="inlineStr">
        <is>
          <t>No</t>
        </is>
      </c>
      <c r="B838" t="inlineStr">
        <is>
          <t>DS318.9 .T39 2009</t>
        </is>
      </c>
      <c r="C838" t="inlineStr">
        <is>
          <t>0                      DS 0318900T  39          2009</t>
        </is>
      </c>
      <c r="D838" t="inlineStr">
        <is>
          <t>Khatami's Iran : the Islamic Republic and the turbulent path to reform / Ghoncheh Tazmini.</t>
        </is>
      </c>
      <c r="F838" t="inlineStr">
        <is>
          <t>No</t>
        </is>
      </c>
      <c r="G838" t="inlineStr">
        <is>
          <t>1</t>
        </is>
      </c>
      <c r="H838" t="inlineStr">
        <is>
          <t>No</t>
        </is>
      </c>
      <c r="I838" t="inlineStr">
        <is>
          <t>No</t>
        </is>
      </c>
      <c r="J838" t="inlineStr">
        <is>
          <t>0</t>
        </is>
      </c>
      <c r="K838" t="inlineStr">
        <is>
          <t>Tazmini, Ghoncheh, 1974-</t>
        </is>
      </c>
      <c r="L838" t="inlineStr">
        <is>
          <t>London ; New York : Tauris Academic Studies ; New York : Distributed in the U.S. by Palgrave Macmillan, 2009.</t>
        </is>
      </c>
      <c r="M838" t="inlineStr">
        <is>
          <t>2009</t>
        </is>
      </c>
      <c r="O838" t="inlineStr">
        <is>
          <t>eng</t>
        </is>
      </c>
      <c r="P838" t="inlineStr">
        <is>
          <t>enk</t>
        </is>
      </c>
      <c r="Q838" t="inlineStr">
        <is>
          <t>International library of Iranian studies ; 12</t>
        </is>
      </c>
      <c r="R838" t="inlineStr">
        <is>
          <t xml:space="preserve">DS </t>
        </is>
      </c>
      <c r="S838" t="n">
        <v>2</v>
      </c>
      <c r="T838" t="n">
        <v>2</v>
      </c>
      <c r="U838" t="inlineStr">
        <is>
          <t>2010-04-14</t>
        </is>
      </c>
      <c r="V838" t="inlineStr">
        <is>
          <t>2010-04-14</t>
        </is>
      </c>
      <c r="W838" t="inlineStr">
        <is>
          <t>2010-04-14</t>
        </is>
      </c>
      <c r="X838" t="inlineStr">
        <is>
          <t>2010-04-14</t>
        </is>
      </c>
      <c r="Y838" t="n">
        <v>157</v>
      </c>
      <c r="Z838" t="n">
        <v>99</v>
      </c>
      <c r="AA838" t="n">
        <v>735</v>
      </c>
      <c r="AB838" t="n">
        <v>1</v>
      </c>
      <c r="AC838" t="n">
        <v>16</v>
      </c>
      <c r="AD838" t="n">
        <v>6</v>
      </c>
      <c r="AE838" t="n">
        <v>20</v>
      </c>
      <c r="AF838" t="n">
        <v>1</v>
      </c>
      <c r="AG838" t="n">
        <v>6</v>
      </c>
      <c r="AH838" t="n">
        <v>3</v>
      </c>
      <c r="AI838" t="n">
        <v>4</v>
      </c>
      <c r="AJ838" t="n">
        <v>5</v>
      </c>
      <c r="AK838" t="n">
        <v>6</v>
      </c>
      <c r="AL838" t="n">
        <v>0</v>
      </c>
      <c r="AM838" t="n">
        <v>9</v>
      </c>
      <c r="AN838" t="n">
        <v>0</v>
      </c>
      <c r="AO838" t="n">
        <v>0</v>
      </c>
      <c r="AP838" t="inlineStr">
        <is>
          <t>No</t>
        </is>
      </c>
      <c r="AQ838" t="inlineStr">
        <is>
          <t>Yes</t>
        </is>
      </c>
      <c r="AR838">
        <f>HYPERLINK("http://catalog.hathitrust.org/Record/007506688","HathiTrust Record")</f>
        <v/>
      </c>
      <c r="AS838">
        <f>HYPERLINK("https://creighton-primo.hosted.exlibrisgroup.com/primo-explore/search?tab=default_tab&amp;search_scope=EVERYTHING&amp;vid=01CRU&amp;lang=en_US&amp;offset=0&amp;query=any,contains,991005381259702656","Catalog Record")</f>
        <v/>
      </c>
      <c r="AT838">
        <f>HYPERLINK("http://www.worldcat.org/oclc/280430398","WorldCat Record")</f>
        <v/>
      </c>
      <c r="AU838" t="inlineStr">
        <is>
          <t>793133748:eng</t>
        </is>
      </c>
      <c r="AV838" t="inlineStr">
        <is>
          <t>280430398</t>
        </is>
      </c>
      <c r="AW838" t="inlineStr">
        <is>
          <t>991005381259702656</t>
        </is>
      </c>
      <c r="AX838" t="inlineStr">
        <is>
          <t>991005381259702656</t>
        </is>
      </c>
      <c r="AY838" t="inlineStr">
        <is>
          <t>2266658600002656</t>
        </is>
      </c>
      <c r="AZ838" t="inlineStr">
        <is>
          <t>BOOK</t>
        </is>
      </c>
      <c r="BB838" t="inlineStr">
        <is>
          <t>9781845115944</t>
        </is>
      </c>
      <c r="BC838" t="inlineStr">
        <is>
          <t>32285005564298</t>
        </is>
      </c>
      <c r="BD838" t="inlineStr">
        <is>
          <t>893707816</t>
        </is>
      </c>
    </row>
    <row r="839">
      <c r="A839" t="inlineStr">
        <is>
          <t>No</t>
        </is>
      </c>
      <c r="B839" t="inlineStr">
        <is>
          <t>DS326 .B83</t>
        </is>
      </c>
      <c r="C839" t="inlineStr">
        <is>
          <t>0                      DS 0326000B  83</t>
        </is>
      </c>
      <c r="D839" t="inlineStr">
        <is>
          <t>Britain and the Persian Gulf, 1894-1914.</t>
        </is>
      </c>
      <c r="F839" t="inlineStr">
        <is>
          <t>No</t>
        </is>
      </c>
      <c r="G839" t="inlineStr">
        <is>
          <t>1</t>
        </is>
      </c>
      <c r="H839" t="inlineStr">
        <is>
          <t>No</t>
        </is>
      </c>
      <c r="I839" t="inlineStr">
        <is>
          <t>No</t>
        </is>
      </c>
      <c r="J839" t="inlineStr">
        <is>
          <t>0</t>
        </is>
      </c>
      <c r="K839" t="inlineStr">
        <is>
          <t>Busch, Briton Cooper.</t>
        </is>
      </c>
      <c r="L839" t="inlineStr">
        <is>
          <t>Berkeley, University of California Press, 1967.</t>
        </is>
      </c>
      <c r="M839" t="inlineStr">
        <is>
          <t>1967</t>
        </is>
      </c>
      <c r="O839" t="inlineStr">
        <is>
          <t>eng</t>
        </is>
      </c>
      <c r="P839" t="inlineStr">
        <is>
          <t>cau</t>
        </is>
      </c>
      <c r="R839" t="inlineStr">
        <is>
          <t xml:space="preserve">DS </t>
        </is>
      </c>
      <c r="S839" t="n">
        <v>2</v>
      </c>
      <c r="T839" t="n">
        <v>2</v>
      </c>
      <c r="U839" t="inlineStr">
        <is>
          <t>1997-04-06</t>
        </is>
      </c>
      <c r="V839" t="inlineStr">
        <is>
          <t>1997-04-06</t>
        </is>
      </c>
      <c r="W839" t="inlineStr">
        <is>
          <t>1997-03-06</t>
        </is>
      </c>
      <c r="X839" t="inlineStr">
        <is>
          <t>1997-03-06</t>
        </is>
      </c>
      <c r="Y839" t="n">
        <v>691</v>
      </c>
      <c r="Z839" t="n">
        <v>545</v>
      </c>
      <c r="AA839" t="n">
        <v>547</v>
      </c>
      <c r="AB839" t="n">
        <v>4</v>
      </c>
      <c r="AC839" t="n">
        <v>4</v>
      </c>
      <c r="AD839" t="n">
        <v>25</v>
      </c>
      <c r="AE839" t="n">
        <v>25</v>
      </c>
      <c r="AF839" t="n">
        <v>9</v>
      </c>
      <c r="AG839" t="n">
        <v>9</v>
      </c>
      <c r="AH839" t="n">
        <v>7</v>
      </c>
      <c r="AI839" t="n">
        <v>7</v>
      </c>
      <c r="AJ839" t="n">
        <v>12</v>
      </c>
      <c r="AK839" t="n">
        <v>12</v>
      </c>
      <c r="AL839" t="n">
        <v>3</v>
      </c>
      <c r="AM839" t="n">
        <v>3</v>
      </c>
      <c r="AN839" t="n">
        <v>0</v>
      </c>
      <c r="AO839" t="n">
        <v>0</v>
      </c>
      <c r="AP839" t="inlineStr">
        <is>
          <t>No</t>
        </is>
      </c>
      <c r="AQ839" t="inlineStr">
        <is>
          <t>No</t>
        </is>
      </c>
      <c r="AS839">
        <f>HYPERLINK("https://creighton-primo.hosted.exlibrisgroup.com/primo-explore/search?tab=default_tab&amp;search_scope=EVERYTHING&amp;vid=01CRU&amp;lang=en_US&amp;offset=0&amp;query=any,contains,991003072299702656","Catalog Record")</f>
        <v/>
      </c>
      <c r="AT839">
        <f>HYPERLINK("http://www.worldcat.org/oclc/626554","WorldCat Record")</f>
        <v/>
      </c>
      <c r="AU839" t="inlineStr">
        <is>
          <t>346939570:eng</t>
        </is>
      </c>
      <c r="AV839" t="inlineStr">
        <is>
          <t>626554</t>
        </is>
      </c>
      <c r="AW839" t="inlineStr">
        <is>
          <t>991003072299702656</t>
        </is>
      </c>
      <c r="AX839" t="inlineStr">
        <is>
          <t>991003072299702656</t>
        </is>
      </c>
      <c r="AY839" t="inlineStr">
        <is>
          <t>2257266840002656</t>
        </is>
      </c>
      <c r="AZ839" t="inlineStr">
        <is>
          <t>BOOK</t>
        </is>
      </c>
      <c r="BC839" t="inlineStr">
        <is>
          <t>32285002455565</t>
        </is>
      </c>
      <c r="BD839" t="inlineStr">
        <is>
          <t>893530820</t>
        </is>
      </c>
    </row>
    <row r="840">
      <c r="A840" t="inlineStr">
        <is>
          <t>No</t>
        </is>
      </c>
      <c r="B840" t="inlineStr">
        <is>
          <t>DS326 .C46</t>
        </is>
      </c>
      <c r="C840" t="inlineStr">
        <is>
          <t>0                      DS 0326000C  46</t>
        </is>
      </c>
      <c r="D840" t="inlineStr">
        <is>
          <t>The Changing balance of power in the Persian Gulf; the report of an international seminar at the Center for Mediterranean Studies, Rome, June 26th to July 1st, 1972. Elizabeth Monroe, rapporteuse.</t>
        </is>
      </c>
      <c r="F840" t="inlineStr">
        <is>
          <t>No</t>
        </is>
      </c>
      <c r="G840" t="inlineStr">
        <is>
          <t>1</t>
        </is>
      </c>
      <c r="H840" t="inlineStr">
        <is>
          <t>No</t>
        </is>
      </c>
      <c r="I840" t="inlineStr">
        <is>
          <t>No</t>
        </is>
      </c>
      <c r="J840" t="inlineStr">
        <is>
          <t>0</t>
        </is>
      </c>
      <c r="L840" t="inlineStr">
        <is>
          <t>New York, American Universities Field Staff [1972]</t>
        </is>
      </c>
      <c r="M840" t="inlineStr">
        <is>
          <t>1972</t>
        </is>
      </c>
      <c r="O840" t="inlineStr">
        <is>
          <t>eng</t>
        </is>
      </c>
      <c r="P840" t="inlineStr">
        <is>
          <t>nyu</t>
        </is>
      </c>
      <c r="R840" t="inlineStr">
        <is>
          <t xml:space="preserve">DS </t>
        </is>
      </c>
      <c r="S840" t="n">
        <v>1</v>
      </c>
      <c r="T840" t="n">
        <v>1</v>
      </c>
      <c r="U840" t="inlineStr">
        <is>
          <t>2003-04-01</t>
        </is>
      </c>
      <c r="V840" t="inlineStr">
        <is>
          <t>2003-04-01</t>
        </is>
      </c>
      <c r="W840" t="inlineStr">
        <is>
          <t>1997-03-06</t>
        </is>
      </c>
      <c r="X840" t="inlineStr">
        <is>
          <t>1997-03-06</t>
        </is>
      </c>
      <c r="Y840" t="n">
        <v>420</v>
      </c>
      <c r="Z840" t="n">
        <v>350</v>
      </c>
      <c r="AA840" t="n">
        <v>357</v>
      </c>
      <c r="AB840" t="n">
        <v>2</v>
      </c>
      <c r="AC840" t="n">
        <v>2</v>
      </c>
      <c r="AD840" t="n">
        <v>19</v>
      </c>
      <c r="AE840" t="n">
        <v>19</v>
      </c>
      <c r="AF840" t="n">
        <v>7</v>
      </c>
      <c r="AG840" t="n">
        <v>7</v>
      </c>
      <c r="AH840" t="n">
        <v>6</v>
      </c>
      <c r="AI840" t="n">
        <v>6</v>
      </c>
      <c r="AJ840" t="n">
        <v>10</v>
      </c>
      <c r="AK840" t="n">
        <v>10</v>
      </c>
      <c r="AL840" t="n">
        <v>1</v>
      </c>
      <c r="AM840" t="n">
        <v>1</v>
      </c>
      <c r="AN840" t="n">
        <v>1</v>
      </c>
      <c r="AO840" t="n">
        <v>1</v>
      </c>
      <c r="AP840" t="inlineStr">
        <is>
          <t>No</t>
        </is>
      </c>
      <c r="AQ840" t="inlineStr">
        <is>
          <t>Yes</t>
        </is>
      </c>
      <c r="AR840">
        <f>HYPERLINK("http://catalog.hathitrust.org/Record/001249034","HathiTrust Record")</f>
        <v/>
      </c>
      <c r="AS840">
        <f>HYPERLINK("https://creighton-primo.hosted.exlibrisgroup.com/primo-explore/search?tab=default_tab&amp;search_scope=EVERYTHING&amp;vid=01CRU&amp;lang=en_US&amp;offset=0&amp;query=any,contains,991002953169702656","Catalog Record")</f>
        <v/>
      </c>
      <c r="AT840">
        <f>HYPERLINK("http://www.worldcat.org/oclc/540040","WorldCat Record")</f>
        <v/>
      </c>
      <c r="AU840" t="inlineStr">
        <is>
          <t>1566040:eng</t>
        </is>
      </c>
      <c r="AV840" t="inlineStr">
        <is>
          <t>540040</t>
        </is>
      </c>
      <c r="AW840" t="inlineStr">
        <is>
          <t>991002953169702656</t>
        </is>
      </c>
      <c r="AX840" t="inlineStr">
        <is>
          <t>991002953169702656</t>
        </is>
      </c>
      <c r="AY840" t="inlineStr">
        <is>
          <t>2270250180002656</t>
        </is>
      </c>
      <c r="AZ840" t="inlineStr">
        <is>
          <t>BOOK</t>
        </is>
      </c>
      <c r="BB840" t="inlineStr">
        <is>
          <t>9780910116862</t>
        </is>
      </c>
      <c r="BC840" t="inlineStr">
        <is>
          <t>32285002455573</t>
        </is>
      </c>
      <c r="BD840" t="inlineStr">
        <is>
          <t>893685999</t>
        </is>
      </c>
    </row>
    <row r="841">
      <c r="A841" t="inlineStr">
        <is>
          <t>No</t>
        </is>
      </c>
      <c r="B841" t="inlineStr">
        <is>
          <t>DS326 .C76 1988</t>
        </is>
      </c>
      <c r="C841" t="inlineStr">
        <is>
          <t>0                      DS 0326000C  76          1988</t>
        </is>
      </c>
      <c r="D841" t="inlineStr">
        <is>
          <t>Crosscurrents in the Gulf : Arab, regional and global interests / edited by H. Richard Sindelar, III and J.E. Peterson for the Middle East Institute, Washington.</t>
        </is>
      </c>
      <c r="F841" t="inlineStr">
        <is>
          <t>No</t>
        </is>
      </c>
      <c r="G841" t="inlineStr">
        <is>
          <t>1</t>
        </is>
      </c>
      <c r="H841" t="inlineStr">
        <is>
          <t>No</t>
        </is>
      </c>
      <c r="I841" t="inlineStr">
        <is>
          <t>No</t>
        </is>
      </c>
      <c r="J841" t="inlineStr">
        <is>
          <t>0</t>
        </is>
      </c>
      <c r="L841" t="inlineStr">
        <is>
          <t>London ; New York : Routledge, 1988.</t>
        </is>
      </c>
      <c r="M841" t="inlineStr">
        <is>
          <t>1988</t>
        </is>
      </c>
      <c r="O841" t="inlineStr">
        <is>
          <t>eng</t>
        </is>
      </c>
      <c r="P841" t="inlineStr">
        <is>
          <t>enk</t>
        </is>
      </c>
      <c r="R841" t="inlineStr">
        <is>
          <t xml:space="preserve">DS </t>
        </is>
      </c>
      <c r="S841" t="n">
        <v>11</v>
      </c>
      <c r="T841" t="n">
        <v>11</v>
      </c>
      <c r="U841" t="inlineStr">
        <is>
          <t>2000-04-26</t>
        </is>
      </c>
      <c r="V841" t="inlineStr">
        <is>
          <t>2000-04-26</t>
        </is>
      </c>
      <c r="W841" t="inlineStr">
        <is>
          <t>1990-10-08</t>
        </is>
      </c>
      <c r="X841" t="inlineStr">
        <is>
          <t>1990-10-08</t>
        </is>
      </c>
      <c r="Y841" t="n">
        <v>225</v>
      </c>
      <c r="Z841" t="n">
        <v>161</v>
      </c>
      <c r="AA841" t="n">
        <v>161</v>
      </c>
      <c r="AB841" t="n">
        <v>2</v>
      </c>
      <c r="AC841" t="n">
        <v>2</v>
      </c>
      <c r="AD841" t="n">
        <v>5</v>
      </c>
      <c r="AE841" t="n">
        <v>5</v>
      </c>
      <c r="AF841" t="n">
        <v>0</v>
      </c>
      <c r="AG841" t="n">
        <v>0</v>
      </c>
      <c r="AH841" t="n">
        <v>1</v>
      </c>
      <c r="AI841" t="n">
        <v>1</v>
      </c>
      <c r="AJ841" t="n">
        <v>4</v>
      </c>
      <c r="AK841" t="n">
        <v>4</v>
      </c>
      <c r="AL841" t="n">
        <v>1</v>
      </c>
      <c r="AM841" t="n">
        <v>1</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HYPERLINK("https://creighton-primo.hosted.exlibrisgroup.com/primo-explore/search?tab=default_tab&amp;search_scope=EVERYTHING&amp;vid=01CRU&amp;lang=en_US&amp;offset=0&amp;query=any,contains,991001269609702656","Catalog Record")</f>
        <v/>
      </c>
      <c r="AT841">
        <f>HYPERLINK("http://www.worldcat.org/oclc/17840689","WorldCat Record")</f>
        <v/>
      </c>
      <c r="AU841" t="inlineStr">
        <is>
          <t>836866326:eng</t>
        </is>
      </c>
      <c r="AV841" t="inlineStr">
        <is>
          <t>17840689</t>
        </is>
      </c>
      <c r="AW841" t="inlineStr">
        <is>
          <t>991001269609702656</t>
        </is>
      </c>
      <c r="AX841" t="inlineStr">
        <is>
          <t>991001269609702656</t>
        </is>
      </c>
      <c r="AY841" t="inlineStr">
        <is>
          <t>2269449760002656</t>
        </is>
      </c>
      <c r="AZ841" t="inlineStr">
        <is>
          <t>BOOK</t>
        </is>
      </c>
      <c r="BB841" t="inlineStr">
        <is>
          <t>9780415000321</t>
        </is>
      </c>
      <c r="BC841" t="inlineStr">
        <is>
          <t>32285000335900</t>
        </is>
      </c>
      <c r="BD841" t="inlineStr">
        <is>
          <t>893231852</t>
        </is>
      </c>
    </row>
    <row r="842">
      <c r="A842" t="inlineStr">
        <is>
          <t>No</t>
        </is>
      </c>
      <c r="B842" t="inlineStr">
        <is>
          <t>DS326 .G659 1990</t>
        </is>
      </c>
      <c r="C842" t="inlineStr">
        <is>
          <t>0                      DS 0326000G  659         1990</t>
        </is>
      </c>
      <c r="D842" t="inlineStr">
        <is>
          <t>The turbulent Gulf / Liesl Graz.</t>
        </is>
      </c>
      <c r="F842" t="inlineStr">
        <is>
          <t>No</t>
        </is>
      </c>
      <c r="G842" t="inlineStr">
        <is>
          <t>1</t>
        </is>
      </c>
      <c r="H842" t="inlineStr">
        <is>
          <t>No</t>
        </is>
      </c>
      <c r="I842" t="inlineStr">
        <is>
          <t>No</t>
        </is>
      </c>
      <c r="J842" t="inlineStr">
        <is>
          <t>0</t>
        </is>
      </c>
      <c r="K842" t="inlineStr">
        <is>
          <t>Graz, Liesl.</t>
        </is>
      </c>
      <c r="L842" t="inlineStr">
        <is>
          <t>London ; New York : I.B. Tauris ; New York, NY : St. Martin's Press [U.S. distributor], c1990.</t>
        </is>
      </c>
      <c r="M842" t="inlineStr">
        <is>
          <t>1990</t>
        </is>
      </c>
      <c r="O842" t="inlineStr">
        <is>
          <t>eng</t>
        </is>
      </c>
      <c r="P842" t="inlineStr">
        <is>
          <t>enk</t>
        </is>
      </c>
      <c r="R842" t="inlineStr">
        <is>
          <t xml:space="preserve">DS </t>
        </is>
      </c>
      <c r="S842" t="n">
        <v>4</v>
      </c>
      <c r="T842" t="n">
        <v>4</v>
      </c>
      <c r="U842" t="inlineStr">
        <is>
          <t>1997-04-08</t>
        </is>
      </c>
      <c r="V842" t="inlineStr">
        <is>
          <t>1997-04-08</t>
        </is>
      </c>
      <c r="W842" t="inlineStr">
        <is>
          <t>1991-09-06</t>
        </is>
      </c>
      <c r="X842" t="inlineStr">
        <is>
          <t>1991-09-06</t>
        </is>
      </c>
      <c r="Y842" t="n">
        <v>371</v>
      </c>
      <c r="Z842" t="n">
        <v>286</v>
      </c>
      <c r="AA842" t="n">
        <v>475</v>
      </c>
      <c r="AB842" t="n">
        <v>1</v>
      </c>
      <c r="AC842" t="n">
        <v>2</v>
      </c>
      <c r="AD842" t="n">
        <v>8</v>
      </c>
      <c r="AE842" t="n">
        <v>17</v>
      </c>
      <c r="AF842" t="n">
        <v>3</v>
      </c>
      <c r="AG842" t="n">
        <v>7</v>
      </c>
      <c r="AH842" t="n">
        <v>1</v>
      </c>
      <c r="AI842" t="n">
        <v>3</v>
      </c>
      <c r="AJ842" t="n">
        <v>5</v>
      </c>
      <c r="AK842" t="n">
        <v>10</v>
      </c>
      <c r="AL842" t="n">
        <v>0</v>
      </c>
      <c r="AM842" t="n">
        <v>1</v>
      </c>
      <c r="AN842" t="n">
        <v>0</v>
      </c>
      <c r="AO842" t="n">
        <v>0</v>
      </c>
      <c r="AP842" t="inlineStr">
        <is>
          <t>No</t>
        </is>
      </c>
      <c r="AQ842" t="inlineStr">
        <is>
          <t>Yes</t>
        </is>
      </c>
      <c r="AR842">
        <f>HYPERLINK("http://catalog.hathitrust.org/Record/002455460","HathiTrust Record")</f>
        <v/>
      </c>
      <c r="AS842">
        <f>HYPERLINK("https://creighton-primo.hosted.exlibrisgroup.com/primo-explore/search?tab=default_tab&amp;search_scope=EVERYTHING&amp;vid=01CRU&amp;lang=en_US&amp;offset=0&amp;query=any,contains,991001888529702656","Catalog Record")</f>
        <v/>
      </c>
      <c r="AT842">
        <f>HYPERLINK("http://www.worldcat.org/oclc/23770173","WorldCat Record")</f>
        <v/>
      </c>
      <c r="AU842" t="inlineStr">
        <is>
          <t>25115682:eng</t>
        </is>
      </c>
      <c r="AV842" t="inlineStr">
        <is>
          <t>23770173</t>
        </is>
      </c>
      <c r="AW842" t="inlineStr">
        <is>
          <t>991001888529702656</t>
        </is>
      </c>
      <c r="AX842" t="inlineStr">
        <is>
          <t>991001888529702656</t>
        </is>
      </c>
      <c r="AY842" t="inlineStr">
        <is>
          <t>2255221260002656</t>
        </is>
      </c>
      <c r="AZ842" t="inlineStr">
        <is>
          <t>BOOK</t>
        </is>
      </c>
      <c r="BB842" t="inlineStr">
        <is>
          <t>9781850431992</t>
        </is>
      </c>
      <c r="BC842" t="inlineStr">
        <is>
          <t>32285000702935</t>
        </is>
      </c>
      <c r="BD842" t="inlineStr">
        <is>
          <t>893238413</t>
        </is>
      </c>
    </row>
    <row r="843">
      <c r="A843" t="inlineStr">
        <is>
          <t>No</t>
        </is>
      </c>
      <c r="B843" t="inlineStr">
        <is>
          <t>DS326 .G84</t>
        </is>
      </c>
      <c r="C843" t="inlineStr">
        <is>
          <t>0                      DS 0326000G  84</t>
        </is>
      </c>
      <c r="D843" t="inlineStr">
        <is>
          <t>The Gulf; implications of British withdrawal.</t>
        </is>
      </c>
      <c r="F843" t="inlineStr">
        <is>
          <t>No</t>
        </is>
      </c>
      <c r="G843" t="inlineStr">
        <is>
          <t>1</t>
        </is>
      </c>
      <c r="H843" t="inlineStr">
        <is>
          <t>No</t>
        </is>
      </c>
      <c r="I843" t="inlineStr">
        <is>
          <t>No</t>
        </is>
      </c>
      <c r="J843" t="inlineStr">
        <is>
          <t>0</t>
        </is>
      </c>
      <c r="L843" t="inlineStr">
        <is>
          <t>Washington, Center for Strategic and International Studies, Georgetown University, 1969.</t>
        </is>
      </c>
      <c r="M843" t="inlineStr">
        <is>
          <t>1969</t>
        </is>
      </c>
      <c r="O843" t="inlineStr">
        <is>
          <t>eng</t>
        </is>
      </c>
      <c r="P843" t="inlineStr">
        <is>
          <t>dcu</t>
        </is>
      </c>
      <c r="Q843" t="inlineStr">
        <is>
          <t>Georgetown University. Center for Strategic and International Studies. Special report series, no. 8</t>
        </is>
      </c>
      <c r="R843" t="inlineStr">
        <is>
          <t xml:space="preserve">DS </t>
        </is>
      </c>
      <c r="S843" t="n">
        <v>1</v>
      </c>
      <c r="T843" t="n">
        <v>1</v>
      </c>
      <c r="U843" t="inlineStr">
        <is>
          <t>2001-03-29</t>
        </is>
      </c>
      <c r="V843" t="inlineStr">
        <is>
          <t>2001-03-29</t>
        </is>
      </c>
      <c r="W843" t="inlineStr">
        <is>
          <t>1997-03-06</t>
        </is>
      </c>
      <c r="X843" t="inlineStr">
        <is>
          <t>1997-03-06</t>
        </is>
      </c>
      <c r="Y843" t="n">
        <v>288</v>
      </c>
      <c r="Z843" t="n">
        <v>238</v>
      </c>
      <c r="AA843" t="n">
        <v>240</v>
      </c>
      <c r="AB843" t="n">
        <v>2</v>
      </c>
      <c r="AC843" t="n">
        <v>2</v>
      </c>
      <c r="AD843" t="n">
        <v>9</v>
      </c>
      <c r="AE843" t="n">
        <v>9</v>
      </c>
      <c r="AF843" t="n">
        <v>3</v>
      </c>
      <c r="AG843" t="n">
        <v>3</v>
      </c>
      <c r="AH843" t="n">
        <v>3</v>
      </c>
      <c r="AI843" t="n">
        <v>3</v>
      </c>
      <c r="AJ843" t="n">
        <v>5</v>
      </c>
      <c r="AK843" t="n">
        <v>5</v>
      </c>
      <c r="AL843" t="n">
        <v>1</v>
      </c>
      <c r="AM843" t="n">
        <v>1</v>
      </c>
      <c r="AN843" t="n">
        <v>0</v>
      </c>
      <c r="AO843" t="n">
        <v>0</v>
      </c>
      <c r="AP843" t="inlineStr">
        <is>
          <t>No</t>
        </is>
      </c>
      <c r="AQ843" t="inlineStr">
        <is>
          <t>Yes</t>
        </is>
      </c>
      <c r="AR843">
        <f>HYPERLINK("http://catalog.hathitrust.org/Record/000763334","HathiTrust Record")</f>
        <v/>
      </c>
      <c r="AS843">
        <f>HYPERLINK("https://creighton-primo.hosted.exlibrisgroup.com/primo-explore/search?tab=default_tab&amp;search_scope=EVERYTHING&amp;vid=01CRU&amp;lang=en_US&amp;offset=0&amp;query=any,contains,991000654139702656","Catalog Record")</f>
        <v/>
      </c>
      <c r="AT843">
        <f>HYPERLINK("http://www.worldcat.org/oclc/114317","WorldCat Record")</f>
        <v/>
      </c>
      <c r="AU843" t="inlineStr">
        <is>
          <t>1230395:eng</t>
        </is>
      </c>
      <c r="AV843" t="inlineStr">
        <is>
          <t>114317</t>
        </is>
      </c>
      <c r="AW843" t="inlineStr">
        <is>
          <t>991000654139702656</t>
        </is>
      </c>
      <c r="AX843" t="inlineStr">
        <is>
          <t>991000654139702656</t>
        </is>
      </c>
      <c r="AY843" t="inlineStr">
        <is>
          <t>2259844110002656</t>
        </is>
      </c>
      <c r="AZ843" t="inlineStr">
        <is>
          <t>BOOK</t>
        </is>
      </c>
      <c r="BC843" t="inlineStr">
        <is>
          <t>32285002455599</t>
        </is>
      </c>
      <c r="BD843" t="inlineStr">
        <is>
          <t>893614377</t>
        </is>
      </c>
    </row>
    <row r="844">
      <c r="A844" t="inlineStr">
        <is>
          <t>No</t>
        </is>
      </c>
      <c r="B844" t="inlineStr">
        <is>
          <t>DS326 .K83 1984</t>
        </is>
      </c>
      <c r="C844" t="inlineStr">
        <is>
          <t>0                      DS 0326000K  83          1984</t>
        </is>
      </c>
      <c r="D844" t="inlineStr">
        <is>
          <t>The Persian Gulf and United States policy : a guide to issues and references / Bruce R. Kuniholm.</t>
        </is>
      </c>
      <c r="F844" t="inlineStr">
        <is>
          <t>No</t>
        </is>
      </c>
      <c r="G844" t="inlineStr">
        <is>
          <t>1</t>
        </is>
      </c>
      <c r="H844" t="inlineStr">
        <is>
          <t>No</t>
        </is>
      </c>
      <c r="I844" t="inlineStr">
        <is>
          <t>No</t>
        </is>
      </c>
      <c r="J844" t="inlineStr">
        <is>
          <t>0</t>
        </is>
      </c>
      <c r="K844" t="inlineStr">
        <is>
          <t>Kuniholm, Bruce Robellet, 1942-</t>
        </is>
      </c>
      <c r="L844" t="inlineStr">
        <is>
          <t>Claremont, Calif. : Regina Books, c1984.</t>
        </is>
      </c>
      <c r="M844" t="inlineStr">
        <is>
          <t>1984</t>
        </is>
      </c>
      <c r="O844" t="inlineStr">
        <is>
          <t>eng</t>
        </is>
      </c>
      <c r="P844" t="inlineStr">
        <is>
          <t>cau</t>
        </is>
      </c>
      <c r="Q844" t="inlineStr">
        <is>
          <t>Guides to contemporary issues ; 3</t>
        </is>
      </c>
      <c r="R844" t="inlineStr">
        <is>
          <t xml:space="preserve">DS </t>
        </is>
      </c>
      <c r="S844" t="n">
        <v>3</v>
      </c>
      <c r="T844" t="n">
        <v>3</v>
      </c>
      <c r="U844" t="inlineStr">
        <is>
          <t>2002-04-05</t>
        </is>
      </c>
      <c r="V844" t="inlineStr">
        <is>
          <t>2002-04-05</t>
        </is>
      </c>
      <c r="W844" t="inlineStr">
        <is>
          <t>1990-10-08</t>
        </is>
      </c>
      <c r="X844" t="inlineStr">
        <is>
          <t>1990-10-08</t>
        </is>
      </c>
      <c r="Y844" t="n">
        <v>304</v>
      </c>
      <c r="Z844" t="n">
        <v>246</v>
      </c>
      <c r="AA844" t="n">
        <v>252</v>
      </c>
      <c r="AB844" t="n">
        <v>4</v>
      </c>
      <c r="AC844" t="n">
        <v>4</v>
      </c>
      <c r="AD844" t="n">
        <v>13</v>
      </c>
      <c r="AE844" t="n">
        <v>13</v>
      </c>
      <c r="AF844" t="n">
        <v>5</v>
      </c>
      <c r="AG844" t="n">
        <v>5</v>
      </c>
      <c r="AH844" t="n">
        <v>4</v>
      </c>
      <c r="AI844" t="n">
        <v>4</v>
      </c>
      <c r="AJ844" t="n">
        <v>4</v>
      </c>
      <c r="AK844" t="n">
        <v>4</v>
      </c>
      <c r="AL844" t="n">
        <v>3</v>
      </c>
      <c r="AM844" t="n">
        <v>3</v>
      </c>
      <c r="AN844" t="n">
        <v>0</v>
      </c>
      <c r="AO844" t="n">
        <v>0</v>
      </c>
      <c r="AP844" t="inlineStr">
        <is>
          <t>No</t>
        </is>
      </c>
      <c r="AQ844" t="inlineStr">
        <is>
          <t>Yes</t>
        </is>
      </c>
      <c r="AR844">
        <f>HYPERLINK("http://catalog.hathitrust.org/Record/000364507","HathiTrust Record")</f>
        <v/>
      </c>
      <c r="AS844">
        <f>HYPERLINK("https://creighton-primo.hosted.exlibrisgroup.com/primo-explore/search?tab=default_tab&amp;search_scope=EVERYTHING&amp;vid=01CRU&amp;lang=en_US&amp;offset=0&amp;query=any,contains,991000429579702656","Catalog Record")</f>
        <v/>
      </c>
      <c r="AT844">
        <f>HYPERLINK("http://www.worldcat.org/oclc/10777844","WorldCat Record")</f>
        <v/>
      </c>
      <c r="AU844" t="inlineStr">
        <is>
          <t>3401030:eng</t>
        </is>
      </c>
      <c r="AV844" t="inlineStr">
        <is>
          <t>10777844</t>
        </is>
      </c>
      <c r="AW844" t="inlineStr">
        <is>
          <t>991000429579702656</t>
        </is>
      </c>
      <c r="AX844" t="inlineStr">
        <is>
          <t>991000429579702656</t>
        </is>
      </c>
      <c r="AY844" t="inlineStr">
        <is>
          <t>2265474980002656</t>
        </is>
      </c>
      <c r="AZ844" t="inlineStr">
        <is>
          <t>BOOK</t>
        </is>
      </c>
      <c r="BB844" t="inlineStr">
        <is>
          <t>9780941690119</t>
        </is>
      </c>
      <c r="BC844" t="inlineStr">
        <is>
          <t>32285000335918</t>
        </is>
      </c>
      <c r="BD844" t="inlineStr">
        <is>
          <t>893884374</t>
        </is>
      </c>
    </row>
    <row r="845">
      <c r="A845" t="inlineStr">
        <is>
          <t>No</t>
        </is>
      </c>
      <c r="B845" t="inlineStr">
        <is>
          <t>DS326 .M53 1991</t>
        </is>
      </c>
      <c r="C845" t="inlineStr">
        <is>
          <t>0                      DS 0326000M  53          1991</t>
        </is>
      </c>
      <c r="D845" t="inlineStr">
        <is>
          <t>Victory Desert Storm / Eric Micheletti &amp; Yves Debay.</t>
        </is>
      </c>
      <c r="F845" t="inlineStr">
        <is>
          <t>No</t>
        </is>
      </c>
      <c r="G845" t="inlineStr">
        <is>
          <t>1</t>
        </is>
      </c>
      <c r="H845" t="inlineStr">
        <is>
          <t>No</t>
        </is>
      </c>
      <c r="I845" t="inlineStr">
        <is>
          <t>No</t>
        </is>
      </c>
      <c r="J845" t="inlineStr">
        <is>
          <t>0</t>
        </is>
      </c>
      <c r="K845" t="inlineStr">
        <is>
          <t>Micheletti, Eric.</t>
        </is>
      </c>
      <c r="L845" t="inlineStr">
        <is>
          <t>London : Windrow &amp; Greene ; [Osceola, Wis.] : Sole USA distribution by Motorbooks International, c1991.</t>
        </is>
      </c>
      <c r="M845" t="inlineStr">
        <is>
          <t>1991</t>
        </is>
      </c>
      <c r="O845" t="inlineStr">
        <is>
          <t>eng</t>
        </is>
      </c>
      <c r="P845" t="inlineStr">
        <is>
          <t>enk</t>
        </is>
      </c>
      <c r="R845" t="inlineStr">
        <is>
          <t xml:space="preserve">DS </t>
        </is>
      </c>
      <c r="S845" t="n">
        <v>4</v>
      </c>
      <c r="T845" t="n">
        <v>4</v>
      </c>
      <c r="U845" t="inlineStr">
        <is>
          <t>1998-11-27</t>
        </is>
      </c>
      <c r="V845" t="inlineStr">
        <is>
          <t>1998-11-27</t>
        </is>
      </c>
      <c r="W845" t="inlineStr">
        <is>
          <t>1992-12-23</t>
        </is>
      </c>
      <c r="X845" t="inlineStr">
        <is>
          <t>1992-12-23</t>
        </is>
      </c>
      <c r="Y845" t="n">
        <v>148</v>
      </c>
      <c r="Z845" t="n">
        <v>142</v>
      </c>
      <c r="AA845" t="n">
        <v>142</v>
      </c>
      <c r="AB845" t="n">
        <v>4</v>
      </c>
      <c r="AC845" t="n">
        <v>4</v>
      </c>
      <c r="AD845" t="n">
        <v>1</v>
      </c>
      <c r="AE845" t="n">
        <v>1</v>
      </c>
      <c r="AF845" t="n">
        <v>0</v>
      </c>
      <c r="AG845" t="n">
        <v>0</v>
      </c>
      <c r="AH845" t="n">
        <v>0</v>
      </c>
      <c r="AI845" t="n">
        <v>0</v>
      </c>
      <c r="AJ845" t="n">
        <v>1</v>
      </c>
      <c r="AK845" t="n">
        <v>1</v>
      </c>
      <c r="AL845" t="n">
        <v>0</v>
      </c>
      <c r="AM845" t="n">
        <v>0</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HYPERLINK("https://creighton-primo.hosted.exlibrisgroup.com/primo-explore/search?tab=default_tab&amp;search_scope=EVERYTHING&amp;vid=01CRU&amp;lang=en_US&amp;offset=0&amp;query=any,contains,991001880109702656","Catalog Record")</f>
        <v/>
      </c>
      <c r="AT845">
        <f>HYPERLINK("http://www.worldcat.org/oclc/23728600","WorldCat Record")</f>
        <v/>
      </c>
      <c r="AU845" t="inlineStr">
        <is>
          <t>1402910729:eng</t>
        </is>
      </c>
      <c r="AV845" t="inlineStr">
        <is>
          <t>23728600</t>
        </is>
      </c>
      <c r="AW845" t="inlineStr">
        <is>
          <t>991001880109702656</t>
        </is>
      </c>
      <c r="AX845" t="inlineStr">
        <is>
          <t>991001880109702656</t>
        </is>
      </c>
      <c r="AY845" t="inlineStr">
        <is>
          <t>2258666040002656</t>
        </is>
      </c>
      <c r="AZ845" t="inlineStr">
        <is>
          <t>BOOK</t>
        </is>
      </c>
      <c r="BB845" t="inlineStr">
        <is>
          <t>9781872004310</t>
        </is>
      </c>
      <c r="BC845" t="inlineStr">
        <is>
          <t>32285001453041</t>
        </is>
      </c>
      <c r="BD845" t="inlineStr">
        <is>
          <t>893444837</t>
        </is>
      </c>
    </row>
    <row r="846">
      <c r="A846" t="inlineStr">
        <is>
          <t>No</t>
        </is>
      </c>
      <c r="B846" t="inlineStr">
        <is>
          <t>DS326 .N68</t>
        </is>
      </c>
      <c r="C846" t="inlineStr">
        <is>
          <t>0                      DS 0326000N  68</t>
        </is>
      </c>
      <c r="D846" t="inlineStr">
        <is>
          <t>The clouded lens : Persian Gulf security and U.S. policy / James H. Noyes ; foreword by William J. Porter.</t>
        </is>
      </c>
      <c r="F846" t="inlineStr">
        <is>
          <t>No</t>
        </is>
      </c>
      <c r="G846" t="inlineStr">
        <is>
          <t>1</t>
        </is>
      </c>
      <c r="H846" t="inlineStr">
        <is>
          <t>No</t>
        </is>
      </c>
      <c r="I846" t="inlineStr">
        <is>
          <t>No</t>
        </is>
      </c>
      <c r="J846" t="inlineStr">
        <is>
          <t>0</t>
        </is>
      </c>
      <c r="K846" t="inlineStr">
        <is>
          <t>Noyes, James H.</t>
        </is>
      </c>
      <c r="L846" t="inlineStr">
        <is>
          <t>Stanford, Calif. : Hoover Institution Press, c1979.</t>
        </is>
      </c>
      <c r="M846" t="inlineStr">
        <is>
          <t>1979</t>
        </is>
      </c>
      <c r="O846" t="inlineStr">
        <is>
          <t>eng</t>
        </is>
      </c>
      <c r="P846" t="inlineStr">
        <is>
          <t>cau</t>
        </is>
      </c>
      <c r="Q846" t="inlineStr">
        <is>
          <t>Hoover Institution publication ; 206</t>
        </is>
      </c>
      <c r="R846" t="inlineStr">
        <is>
          <t xml:space="preserve">DS </t>
        </is>
      </c>
      <c r="S846" t="n">
        <v>3</v>
      </c>
      <c r="T846" t="n">
        <v>3</v>
      </c>
      <c r="U846" t="inlineStr">
        <is>
          <t>2002-04-05</t>
        </is>
      </c>
      <c r="V846" t="inlineStr">
        <is>
          <t>2002-04-05</t>
        </is>
      </c>
      <c r="W846" t="inlineStr">
        <is>
          <t>1990-10-08</t>
        </is>
      </c>
      <c r="X846" t="inlineStr">
        <is>
          <t>1990-10-08</t>
        </is>
      </c>
      <c r="Y846" t="n">
        <v>342</v>
      </c>
      <c r="Z846" t="n">
        <v>271</v>
      </c>
      <c r="AA846" t="n">
        <v>273</v>
      </c>
      <c r="AB846" t="n">
        <v>4</v>
      </c>
      <c r="AC846" t="n">
        <v>4</v>
      </c>
      <c r="AD846" t="n">
        <v>14</v>
      </c>
      <c r="AE846" t="n">
        <v>14</v>
      </c>
      <c r="AF846" t="n">
        <v>2</v>
      </c>
      <c r="AG846" t="n">
        <v>2</v>
      </c>
      <c r="AH846" t="n">
        <v>3</v>
      </c>
      <c r="AI846" t="n">
        <v>3</v>
      </c>
      <c r="AJ846" t="n">
        <v>8</v>
      </c>
      <c r="AK846" t="n">
        <v>8</v>
      </c>
      <c r="AL846" t="n">
        <v>3</v>
      </c>
      <c r="AM846" t="n">
        <v>3</v>
      </c>
      <c r="AN846" t="n">
        <v>0</v>
      </c>
      <c r="AO846" t="n">
        <v>0</v>
      </c>
      <c r="AP846" t="inlineStr">
        <is>
          <t>No</t>
        </is>
      </c>
      <c r="AQ846" t="inlineStr">
        <is>
          <t>Yes</t>
        </is>
      </c>
      <c r="AR846">
        <f>HYPERLINK("http://catalog.hathitrust.org/Record/000754365","HathiTrust Record")</f>
        <v/>
      </c>
      <c r="AS846">
        <f>HYPERLINK("https://creighton-primo.hosted.exlibrisgroup.com/primo-explore/search?tab=default_tab&amp;search_scope=EVERYTHING&amp;vid=01CRU&amp;lang=en_US&amp;offset=0&amp;query=any,contains,991004787229702656","Catalog Record")</f>
        <v/>
      </c>
      <c r="AT846">
        <f>HYPERLINK("http://www.worldcat.org/oclc/5153395","WorldCat Record")</f>
        <v/>
      </c>
      <c r="AU846" t="inlineStr">
        <is>
          <t>9593139998:eng</t>
        </is>
      </c>
      <c r="AV846" t="inlineStr">
        <is>
          <t>5153395</t>
        </is>
      </c>
      <c r="AW846" t="inlineStr">
        <is>
          <t>991004787229702656</t>
        </is>
      </c>
      <c r="AX846" t="inlineStr">
        <is>
          <t>991004787229702656</t>
        </is>
      </c>
      <c r="AY846" t="inlineStr">
        <is>
          <t>2257173090002656</t>
        </is>
      </c>
      <c r="AZ846" t="inlineStr">
        <is>
          <t>BOOK</t>
        </is>
      </c>
      <c r="BB846" t="inlineStr">
        <is>
          <t>9780817970628</t>
        </is>
      </c>
      <c r="BC846" t="inlineStr">
        <is>
          <t>32285000335926</t>
        </is>
      </c>
      <c r="BD846" t="inlineStr">
        <is>
          <t>893430492</t>
        </is>
      </c>
    </row>
    <row r="847">
      <c r="A847" t="inlineStr">
        <is>
          <t>No</t>
        </is>
      </c>
      <c r="B847" t="inlineStr">
        <is>
          <t>DS326 .P36 1992</t>
        </is>
      </c>
      <c r="C847" t="inlineStr">
        <is>
          <t>0                      DS 0326000P  36          1992</t>
        </is>
      </c>
      <c r="D847" t="inlineStr">
        <is>
          <t>Guardians of the Gulf : a history of America's expanding role in the Persian Gulf, 1833-1992 / Michael A. Palmer.</t>
        </is>
      </c>
      <c r="F847" t="inlineStr">
        <is>
          <t>No</t>
        </is>
      </c>
      <c r="G847" t="inlineStr">
        <is>
          <t>1</t>
        </is>
      </c>
      <c r="H847" t="inlineStr">
        <is>
          <t>No</t>
        </is>
      </c>
      <c r="I847" t="inlineStr">
        <is>
          <t>No</t>
        </is>
      </c>
      <c r="J847" t="inlineStr">
        <is>
          <t>0</t>
        </is>
      </c>
      <c r="K847" t="inlineStr">
        <is>
          <t>Palmer, Michael A.</t>
        </is>
      </c>
      <c r="L847" t="inlineStr">
        <is>
          <t>New York : Free Press ; Toronto : Maxwell Macmillan Canada ; New York : Maxwell Macmillan International, c1992.</t>
        </is>
      </c>
      <c r="M847" t="inlineStr">
        <is>
          <t>1992</t>
        </is>
      </c>
      <c r="O847" t="inlineStr">
        <is>
          <t>eng</t>
        </is>
      </c>
      <c r="P847" t="inlineStr">
        <is>
          <t>nyu</t>
        </is>
      </c>
      <c r="R847" t="inlineStr">
        <is>
          <t xml:space="preserve">DS </t>
        </is>
      </c>
      <c r="S847" t="n">
        <v>3</v>
      </c>
      <c r="T847" t="n">
        <v>3</v>
      </c>
      <c r="U847" t="inlineStr">
        <is>
          <t>2001-01-28</t>
        </is>
      </c>
      <c r="V847" t="inlineStr">
        <is>
          <t>2001-01-28</t>
        </is>
      </c>
      <c r="W847" t="inlineStr">
        <is>
          <t>1992-09-28</t>
        </is>
      </c>
      <c r="X847" t="inlineStr">
        <is>
          <t>1992-09-28</t>
        </is>
      </c>
      <c r="Y847" t="n">
        <v>818</v>
      </c>
      <c r="Z847" t="n">
        <v>709</v>
      </c>
      <c r="AA847" t="n">
        <v>731</v>
      </c>
      <c r="AB847" t="n">
        <v>3</v>
      </c>
      <c r="AC847" t="n">
        <v>3</v>
      </c>
      <c r="AD847" t="n">
        <v>23</v>
      </c>
      <c r="AE847" t="n">
        <v>23</v>
      </c>
      <c r="AF847" t="n">
        <v>8</v>
      </c>
      <c r="AG847" t="n">
        <v>8</v>
      </c>
      <c r="AH847" t="n">
        <v>6</v>
      </c>
      <c r="AI847" t="n">
        <v>6</v>
      </c>
      <c r="AJ847" t="n">
        <v>14</v>
      </c>
      <c r="AK847" t="n">
        <v>14</v>
      </c>
      <c r="AL847" t="n">
        <v>2</v>
      </c>
      <c r="AM847" t="n">
        <v>2</v>
      </c>
      <c r="AN847" t="n">
        <v>0</v>
      </c>
      <c r="AO847" t="n">
        <v>0</v>
      </c>
      <c r="AP847" t="inlineStr">
        <is>
          <t>No</t>
        </is>
      </c>
      <c r="AQ847" t="inlineStr">
        <is>
          <t>Yes</t>
        </is>
      </c>
      <c r="AR847">
        <f>HYPERLINK("http://catalog.hathitrust.org/Record/002557768","HathiTrust Record")</f>
        <v/>
      </c>
      <c r="AS847">
        <f>HYPERLINK("https://creighton-primo.hosted.exlibrisgroup.com/primo-explore/search?tab=default_tab&amp;search_scope=EVERYTHING&amp;vid=01CRU&amp;lang=en_US&amp;offset=0&amp;query=any,contains,991002021469702656","Catalog Record")</f>
        <v/>
      </c>
      <c r="AT847">
        <f>HYPERLINK("http://www.worldcat.org/oclc/25712311","WorldCat Record")</f>
        <v/>
      </c>
      <c r="AU847" t="inlineStr">
        <is>
          <t>234959023:eng</t>
        </is>
      </c>
      <c r="AV847" t="inlineStr">
        <is>
          <t>25712311</t>
        </is>
      </c>
      <c r="AW847" t="inlineStr">
        <is>
          <t>991002021469702656</t>
        </is>
      </c>
      <c r="AX847" t="inlineStr">
        <is>
          <t>991002021469702656</t>
        </is>
      </c>
      <c r="AY847" t="inlineStr">
        <is>
          <t>2266532160002656</t>
        </is>
      </c>
      <c r="AZ847" t="inlineStr">
        <is>
          <t>BOOK</t>
        </is>
      </c>
      <c r="BB847" t="inlineStr">
        <is>
          <t>9780029238431</t>
        </is>
      </c>
      <c r="BC847" t="inlineStr">
        <is>
          <t>32285001289247</t>
        </is>
      </c>
      <c r="BD847" t="inlineStr">
        <is>
          <t>893414731</t>
        </is>
      </c>
    </row>
    <row r="848">
      <c r="A848" t="inlineStr">
        <is>
          <t>No</t>
        </is>
      </c>
      <c r="B848" t="inlineStr">
        <is>
          <t>DS326 .P38 2005</t>
        </is>
      </c>
      <c r="C848" t="inlineStr">
        <is>
          <t>0                      DS 0326000P  38          2005</t>
        </is>
      </c>
      <c r="D848" t="inlineStr">
        <is>
          <t>US foreign policy and the Persian Gulf : safeguarding American interests through selective multilateralism / Robert J. Pauly, Jr.</t>
        </is>
      </c>
      <c r="F848" t="inlineStr">
        <is>
          <t>No</t>
        </is>
      </c>
      <c r="G848" t="inlineStr">
        <is>
          <t>1</t>
        </is>
      </c>
      <c r="H848" t="inlineStr">
        <is>
          <t>No</t>
        </is>
      </c>
      <c r="I848" t="inlineStr">
        <is>
          <t>No</t>
        </is>
      </c>
      <c r="J848" t="inlineStr">
        <is>
          <t>0</t>
        </is>
      </c>
      <c r="K848" t="inlineStr">
        <is>
          <t>Pauly, Robert J., 1967-</t>
        </is>
      </c>
      <c r="L848" t="inlineStr">
        <is>
          <t>Aldershot, Hants, England ; Burlington, VT : Ashgate, c2005.</t>
        </is>
      </c>
      <c r="M848" t="inlineStr">
        <is>
          <t>2005</t>
        </is>
      </c>
      <c r="O848" t="inlineStr">
        <is>
          <t>eng</t>
        </is>
      </c>
      <c r="P848" t="inlineStr">
        <is>
          <t>enk</t>
        </is>
      </c>
      <c r="Q848" t="inlineStr">
        <is>
          <t>US foreign policy and conflict in the Islamic world series</t>
        </is>
      </c>
      <c r="R848" t="inlineStr">
        <is>
          <t xml:space="preserve">DS </t>
        </is>
      </c>
      <c r="S848" t="n">
        <v>1</v>
      </c>
      <c r="T848" t="n">
        <v>1</v>
      </c>
      <c r="U848" t="inlineStr">
        <is>
          <t>2009-01-07</t>
        </is>
      </c>
      <c r="V848" t="inlineStr">
        <is>
          <t>2009-01-07</t>
        </is>
      </c>
      <c r="W848" t="inlineStr">
        <is>
          <t>2009-01-07</t>
        </is>
      </c>
      <c r="X848" t="inlineStr">
        <is>
          <t>2009-01-07</t>
        </is>
      </c>
      <c r="Y848" t="n">
        <v>241</v>
      </c>
      <c r="Z848" t="n">
        <v>165</v>
      </c>
      <c r="AA848" t="n">
        <v>185</v>
      </c>
      <c r="AB848" t="n">
        <v>2</v>
      </c>
      <c r="AC848" t="n">
        <v>2</v>
      </c>
      <c r="AD848" t="n">
        <v>4</v>
      </c>
      <c r="AE848" t="n">
        <v>5</v>
      </c>
      <c r="AF848" t="n">
        <v>1</v>
      </c>
      <c r="AG848" t="n">
        <v>1</v>
      </c>
      <c r="AH848" t="n">
        <v>1</v>
      </c>
      <c r="AI848" t="n">
        <v>2</v>
      </c>
      <c r="AJ848" t="n">
        <v>2</v>
      </c>
      <c r="AK848" t="n">
        <v>3</v>
      </c>
      <c r="AL848" t="n">
        <v>1</v>
      </c>
      <c r="AM848" t="n">
        <v>1</v>
      </c>
      <c r="AN848" t="n">
        <v>0</v>
      </c>
      <c r="AO848" t="n">
        <v>0</v>
      </c>
      <c r="AP848" t="inlineStr">
        <is>
          <t>No</t>
        </is>
      </c>
      <c r="AQ848" t="inlineStr">
        <is>
          <t>Yes</t>
        </is>
      </c>
      <c r="AR848">
        <f>HYPERLINK("http://catalog.hathitrust.org/Record/004971141","HathiTrust Record")</f>
        <v/>
      </c>
      <c r="AS848">
        <f>HYPERLINK("https://creighton-primo.hosted.exlibrisgroup.com/primo-explore/search?tab=default_tab&amp;search_scope=EVERYTHING&amp;vid=01CRU&amp;lang=en_US&amp;offset=0&amp;query=any,contains,991005285449702656","Catalog Record")</f>
        <v/>
      </c>
      <c r="AT848">
        <f>HYPERLINK("http://www.worldcat.org/oclc/57010216","WorldCat Record")</f>
        <v/>
      </c>
      <c r="AU848" t="inlineStr">
        <is>
          <t>421317:eng</t>
        </is>
      </c>
      <c r="AV848" t="inlineStr">
        <is>
          <t>57010216</t>
        </is>
      </c>
      <c r="AW848" t="inlineStr">
        <is>
          <t>991005285449702656</t>
        </is>
      </c>
      <c r="AX848" t="inlineStr">
        <is>
          <t>991005285449702656</t>
        </is>
      </c>
      <c r="AY848" t="inlineStr">
        <is>
          <t>2265843690002656</t>
        </is>
      </c>
      <c r="AZ848" t="inlineStr">
        <is>
          <t>BOOK</t>
        </is>
      </c>
      <c r="BB848" t="inlineStr">
        <is>
          <t>9780754635338</t>
        </is>
      </c>
      <c r="BC848" t="inlineStr">
        <is>
          <t>32285005475875</t>
        </is>
      </c>
      <c r="BD848" t="inlineStr">
        <is>
          <t>893527234</t>
        </is>
      </c>
    </row>
    <row r="849">
      <c r="A849" t="inlineStr">
        <is>
          <t>No</t>
        </is>
      </c>
      <c r="B849" t="inlineStr">
        <is>
          <t>DS326 .P48</t>
        </is>
      </c>
      <c r="C849" t="inlineStr">
        <is>
          <t>0                      DS 0326000P  48</t>
        </is>
      </c>
      <c r="D849" t="inlineStr">
        <is>
          <t>The Persian Gulf States : a general survey / Alvin J. Cottrell, general editor, C. E. Bosworth.</t>
        </is>
      </c>
      <c r="F849" t="inlineStr">
        <is>
          <t>No</t>
        </is>
      </c>
      <c r="G849" t="inlineStr">
        <is>
          <t>1</t>
        </is>
      </c>
      <c r="H849" t="inlineStr">
        <is>
          <t>No</t>
        </is>
      </c>
      <c r="I849" t="inlineStr">
        <is>
          <t>No</t>
        </is>
      </c>
      <c r="J849" t="inlineStr">
        <is>
          <t>0</t>
        </is>
      </c>
      <c r="L849" t="inlineStr">
        <is>
          <t>Baltimore : Johns Hopkins University Press, c1980.</t>
        </is>
      </c>
      <c r="M849" t="inlineStr">
        <is>
          <t>1980</t>
        </is>
      </c>
      <c r="N849" t="inlineStr">
        <is>
          <t>[et al.], editors.</t>
        </is>
      </c>
      <c r="O849" t="inlineStr">
        <is>
          <t>eng</t>
        </is>
      </c>
      <c r="P849" t="inlineStr">
        <is>
          <t>mdu</t>
        </is>
      </c>
      <c r="R849" t="inlineStr">
        <is>
          <t xml:space="preserve">DS </t>
        </is>
      </c>
      <c r="S849" t="n">
        <v>4</v>
      </c>
      <c r="T849" t="n">
        <v>4</v>
      </c>
      <c r="U849" t="inlineStr">
        <is>
          <t>1993-10-07</t>
        </is>
      </c>
      <c r="V849" t="inlineStr">
        <is>
          <t>1993-10-07</t>
        </is>
      </c>
      <c r="W849" t="inlineStr">
        <is>
          <t>1990-10-08</t>
        </is>
      </c>
      <c r="X849" t="inlineStr">
        <is>
          <t>1990-10-08</t>
        </is>
      </c>
      <c r="Y849" t="n">
        <v>1153</v>
      </c>
      <c r="Z849" t="n">
        <v>998</v>
      </c>
      <c r="AA849" t="n">
        <v>1013</v>
      </c>
      <c r="AB849" t="n">
        <v>5</v>
      </c>
      <c r="AC849" t="n">
        <v>5</v>
      </c>
      <c r="AD849" t="n">
        <v>34</v>
      </c>
      <c r="AE849" t="n">
        <v>34</v>
      </c>
      <c r="AF849" t="n">
        <v>13</v>
      </c>
      <c r="AG849" t="n">
        <v>13</v>
      </c>
      <c r="AH849" t="n">
        <v>9</v>
      </c>
      <c r="AI849" t="n">
        <v>9</v>
      </c>
      <c r="AJ849" t="n">
        <v>17</v>
      </c>
      <c r="AK849" t="n">
        <v>17</v>
      </c>
      <c r="AL849" t="n">
        <v>4</v>
      </c>
      <c r="AM849" t="n">
        <v>4</v>
      </c>
      <c r="AN849" t="n">
        <v>0</v>
      </c>
      <c r="AO849" t="n">
        <v>0</v>
      </c>
      <c r="AP849" t="inlineStr">
        <is>
          <t>No</t>
        </is>
      </c>
      <c r="AQ849" t="inlineStr">
        <is>
          <t>Yes</t>
        </is>
      </c>
      <c r="AR849">
        <f>HYPERLINK("http://catalog.hathitrust.org/Record/000743580","HathiTrust Record")</f>
        <v/>
      </c>
      <c r="AS849">
        <f>HYPERLINK("https://creighton-primo.hosted.exlibrisgroup.com/primo-explore/search?tab=default_tab&amp;search_scope=EVERYTHING&amp;vid=01CRU&amp;lang=en_US&amp;offset=0&amp;query=any,contains,991004816619702656","Catalog Record")</f>
        <v/>
      </c>
      <c r="AT849">
        <f>HYPERLINK("http://www.worldcat.org/oclc/5310646","WorldCat Record")</f>
        <v/>
      </c>
      <c r="AU849" t="inlineStr">
        <is>
          <t>889816633:eng</t>
        </is>
      </c>
      <c r="AV849" t="inlineStr">
        <is>
          <t>5310646</t>
        </is>
      </c>
      <c r="AW849" t="inlineStr">
        <is>
          <t>991004816619702656</t>
        </is>
      </c>
      <c r="AX849" t="inlineStr">
        <is>
          <t>991004816619702656</t>
        </is>
      </c>
      <c r="AY849" t="inlineStr">
        <is>
          <t>2264428610002656</t>
        </is>
      </c>
      <c r="AZ849" t="inlineStr">
        <is>
          <t>BOOK</t>
        </is>
      </c>
      <c r="BB849" t="inlineStr">
        <is>
          <t>9780801822049</t>
        </is>
      </c>
      <c r="BC849" t="inlineStr">
        <is>
          <t>32285000335959</t>
        </is>
      </c>
      <c r="BD849" t="inlineStr">
        <is>
          <t>893241873</t>
        </is>
      </c>
    </row>
    <row r="850">
      <c r="A850" t="inlineStr">
        <is>
          <t>No</t>
        </is>
      </c>
      <c r="B850" t="inlineStr">
        <is>
          <t>DS326 .P65 2009</t>
        </is>
      </c>
      <c r="C850" t="inlineStr">
        <is>
          <t>0                      DS 0326000P  65          2009</t>
        </is>
      </c>
      <c r="D850" t="inlineStr">
        <is>
          <t>Political liberalization in the Persian Gulf / Joshua Teitelbaum, editor.</t>
        </is>
      </c>
      <c r="F850" t="inlineStr">
        <is>
          <t>No</t>
        </is>
      </c>
      <c r="G850" t="inlineStr">
        <is>
          <t>1</t>
        </is>
      </c>
      <c r="H850" t="inlineStr">
        <is>
          <t>No</t>
        </is>
      </c>
      <c r="I850" t="inlineStr">
        <is>
          <t>No</t>
        </is>
      </c>
      <c r="J850" t="inlineStr">
        <is>
          <t>0</t>
        </is>
      </c>
      <c r="L850" t="inlineStr">
        <is>
          <t>New York : Columbia University Press, c2009.</t>
        </is>
      </c>
      <c r="M850" t="inlineStr">
        <is>
          <t>2009</t>
        </is>
      </c>
      <c r="O850" t="inlineStr">
        <is>
          <t>eng</t>
        </is>
      </c>
      <c r="P850" t="inlineStr">
        <is>
          <t>nyu</t>
        </is>
      </c>
      <c r="R850" t="inlineStr">
        <is>
          <t xml:space="preserve">DS </t>
        </is>
      </c>
      <c r="S850" t="n">
        <v>1</v>
      </c>
      <c r="T850" t="n">
        <v>1</v>
      </c>
      <c r="U850" t="inlineStr">
        <is>
          <t>2010-01-14</t>
        </is>
      </c>
      <c r="V850" t="inlineStr">
        <is>
          <t>2010-01-14</t>
        </is>
      </c>
      <c r="W850" t="inlineStr">
        <is>
          <t>2010-01-14</t>
        </is>
      </c>
      <c r="X850" t="inlineStr">
        <is>
          <t>2010-01-14</t>
        </is>
      </c>
      <c r="Y850" t="n">
        <v>197</v>
      </c>
      <c r="Z850" t="n">
        <v>165</v>
      </c>
      <c r="AA850" t="n">
        <v>188</v>
      </c>
      <c r="AB850" t="n">
        <v>2</v>
      </c>
      <c r="AC850" t="n">
        <v>2</v>
      </c>
      <c r="AD850" t="n">
        <v>10</v>
      </c>
      <c r="AE850" t="n">
        <v>11</v>
      </c>
      <c r="AF850" t="n">
        <v>3</v>
      </c>
      <c r="AG850" t="n">
        <v>3</v>
      </c>
      <c r="AH850" t="n">
        <v>4</v>
      </c>
      <c r="AI850" t="n">
        <v>4</v>
      </c>
      <c r="AJ850" t="n">
        <v>5</v>
      </c>
      <c r="AK850" t="n">
        <v>6</v>
      </c>
      <c r="AL850" t="n">
        <v>1</v>
      </c>
      <c r="AM850" t="n">
        <v>1</v>
      </c>
      <c r="AN850" t="n">
        <v>0</v>
      </c>
      <c r="AO850" t="n">
        <v>0</v>
      </c>
      <c r="AP850" t="inlineStr">
        <is>
          <t>No</t>
        </is>
      </c>
      <c r="AQ850" t="inlineStr">
        <is>
          <t>Yes</t>
        </is>
      </c>
      <c r="AR850">
        <f>HYPERLINK("http://catalog.hathitrust.org/Record/006877095","HathiTrust Record")</f>
        <v/>
      </c>
      <c r="AS850">
        <f>HYPERLINK("https://creighton-primo.hosted.exlibrisgroup.com/primo-explore/search?tab=default_tab&amp;search_scope=EVERYTHING&amp;vid=01CRU&amp;lang=en_US&amp;offset=0&amp;query=any,contains,991005349599702656","Catalog Record")</f>
        <v/>
      </c>
      <c r="AT850">
        <f>HYPERLINK("http://www.worldcat.org/oclc/226360277","WorldCat Record")</f>
        <v/>
      </c>
      <c r="AU850" t="inlineStr">
        <is>
          <t>136199504:eng</t>
        </is>
      </c>
      <c r="AV850" t="inlineStr">
        <is>
          <t>226360277</t>
        </is>
      </c>
      <c r="AW850" t="inlineStr">
        <is>
          <t>991005349599702656</t>
        </is>
      </c>
      <c r="AX850" t="inlineStr">
        <is>
          <t>991005349599702656</t>
        </is>
      </c>
      <c r="AY850" t="inlineStr">
        <is>
          <t>2268369590002656</t>
        </is>
      </c>
      <c r="AZ850" t="inlineStr">
        <is>
          <t>BOOK</t>
        </is>
      </c>
      <c r="BB850" t="inlineStr">
        <is>
          <t>9780231700863</t>
        </is>
      </c>
      <c r="BC850" t="inlineStr">
        <is>
          <t>32285005557151</t>
        </is>
      </c>
      <c r="BD850" t="inlineStr">
        <is>
          <t>893883705</t>
        </is>
      </c>
    </row>
    <row r="851">
      <c r="A851" t="inlineStr">
        <is>
          <t>No</t>
        </is>
      </c>
      <c r="B851" t="inlineStr">
        <is>
          <t>DS326 .Y48 1995</t>
        </is>
      </c>
      <c r="C851" t="inlineStr">
        <is>
          <t>0                      DS 0326000Y  48          1995</t>
        </is>
      </c>
      <c r="D851" t="inlineStr">
        <is>
          <t>America and the Persian Gulf : the third party dimension in world politics / Steve A. Yetiv.</t>
        </is>
      </c>
      <c r="F851" t="inlineStr">
        <is>
          <t>No</t>
        </is>
      </c>
      <c r="G851" t="inlineStr">
        <is>
          <t>1</t>
        </is>
      </c>
      <c r="H851" t="inlineStr">
        <is>
          <t>No</t>
        </is>
      </c>
      <c r="I851" t="inlineStr">
        <is>
          <t>No</t>
        </is>
      </c>
      <c r="J851" t="inlineStr">
        <is>
          <t>0</t>
        </is>
      </c>
      <c r="K851" t="inlineStr">
        <is>
          <t>Yetiv, Steven A.</t>
        </is>
      </c>
      <c r="L851" t="inlineStr">
        <is>
          <t>Westport, CT : Praeger, 1995.</t>
        </is>
      </c>
      <c r="M851" t="inlineStr">
        <is>
          <t>1995</t>
        </is>
      </c>
      <c r="O851" t="inlineStr">
        <is>
          <t>eng</t>
        </is>
      </c>
      <c r="P851" t="inlineStr">
        <is>
          <t>ctu</t>
        </is>
      </c>
      <c r="R851" t="inlineStr">
        <is>
          <t xml:space="preserve">DS </t>
        </is>
      </c>
      <c r="S851" t="n">
        <v>4</v>
      </c>
      <c r="T851" t="n">
        <v>4</v>
      </c>
      <c r="U851" t="inlineStr">
        <is>
          <t>1996-08-28</t>
        </is>
      </c>
      <c r="V851" t="inlineStr">
        <is>
          <t>1996-08-28</t>
        </is>
      </c>
      <c r="W851" t="inlineStr">
        <is>
          <t>1996-06-06</t>
        </is>
      </c>
      <c r="X851" t="inlineStr">
        <is>
          <t>1996-06-06</t>
        </is>
      </c>
      <c r="Y851" t="n">
        <v>314</v>
      </c>
      <c r="Z851" t="n">
        <v>254</v>
      </c>
      <c r="AA851" t="n">
        <v>263</v>
      </c>
      <c r="AB851" t="n">
        <v>3</v>
      </c>
      <c r="AC851" t="n">
        <v>3</v>
      </c>
      <c r="AD851" t="n">
        <v>12</v>
      </c>
      <c r="AE851" t="n">
        <v>12</v>
      </c>
      <c r="AF851" t="n">
        <v>3</v>
      </c>
      <c r="AG851" t="n">
        <v>3</v>
      </c>
      <c r="AH851" t="n">
        <v>3</v>
      </c>
      <c r="AI851" t="n">
        <v>3</v>
      </c>
      <c r="AJ851" t="n">
        <v>8</v>
      </c>
      <c r="AK851" t="n">
        <v>8</v>
      </c>
      <c r="AL851" t="n">
        <v>2</v>
      </c>
      <c r="AM851" t="n">
        <v>2</v>
      </c>
      <c r="AN851" t="n">
        <v>0</v>
      </c>
      <c r="AO851" t="n">
        <v>0</v>
      </c>
      <c r="AP851" t="inlineStr">
        <is>
          <t>No</t>
        </is>
      </c>
      <c r="AQ851" t="inlineStr">
        <is>
          <t>Yes</t>
        </is>
      </c>
      <c r="AR851">
        <f>HYPERLINK("http://catalog.hathitrust.org/Record/002999375","HathiTrust Record")</f>
        <v/>
      </c>
      <c r="AS851">
        <f>HYPERLINK("https://creighton-primo.hosted.exlibrisgroup.com/primo-explore/search?tab=default_tab&amp;search_scope=EVERYTHING&amp;vid=01CRU&amp;lang=en_US&amp;offset=0&amp;query=any,contains,991002431729702656","Catalog Record")</f>
        <v/>
      </c>
      <c r="AT851">
        <f>HYPERLINK("http://www.worldcat.org/oclc/31708924","WorldCat Record")</f>
        <v/>
      </c>
      <c r="AU851" t="inlineStr">
        <is>
          <t>2574203:eng</t>
        </is>
      </c>
      <c r="AV851" t="inlineStr">
        <is>
          <t>31708924</t>
        </is>
      </c>
      <c r="AW851" t="inlineStr">
        <is>
          <t>991002431729702656</t>
        </is>
      </c>
      <c r="AX851" t="inlineStr">
        <is>
          <t>991002431729702656</t>
        </is>
      </c>
      <c r="AY851" t="inlineStr">
        <is>
          <t>2269950210002656</t>
        </is>
      </c>
      <c r="AZ851" t="inlineStr">
        <is>
          <t>BOOK</t>
        </is>
      </c>
      <c r="BB851" t="inlineStr">
        <is>
          <t>9780275949730</t>
        </is>
      </c>
      <c r="BC851" t="inlineStr">
        <is>
          <t>32285002189313</t>
        </is>
      </c>
      <c r="BD851" t="inlineStr">
        <is>
          <t>893239028</t>
        </is>
      </c>
    </row>
    <row r="852">
      <c r="A852" t="inlineStr">
        <is>
          <t>No</t>
        </is>
      </c>
      <c r="B852" t="inlineStr">
        <is>
          <t>DS326 .Y6 1977</t>
        </is>
      </c>
      <c r="C852" t="inlineStr">
        <is>
          <t>0                      DS 0326000Y  6           1977</t>
        </is>
      </c>
      <c r="D852" t="inlineStr">
        <is>
          <t>In the direction of the Persian Gulf : the Soviet Union and the Persian Gulf / A. Yodfat and M. Abir. --</t>
        </is>
      </c>
      <c r="F852" t="inlineStr">
        <is>
          <t>No</t>
        </is>
      </c>
      <c r="G852" t="inlineStr">
        <is>
          <t>1</t>
        </is>
      </c>
      <c r="H852" t="inlineStr">
        <is>
          <t>No</t>
        </is>
      </c>
      <c r="I852" t="inlineStr">
        <is>
          <t>No</t>
        </is>
      </c>
      <c r="J852" t="inlineStr">
        <is>
          <t>0</t>
        </is>
      </c>
      <c r="K852" t="inlineStr">
        <is>
          <t>Yodfat, Aryeh, 1923-</t>
        </is>
      </c>
      <c r="L852" t="inlineStr">
        <is>
          <t>London : Cass ; Totowa, N.J. : Biblio Distribution Center, 1977.</t>
        </is>
      </c>
      <c r="M852" t="inlineStr">
        <is>
          <t>1977</t>
        </is>
      </c>
      <c r="O852" t="inlineStr">
        <is>
          <t>eng</t>
        </is>
      </c>
      <c r="P852" t="inlineStr">
        <is>
          <t>enk</t>
        </is>
      </c>
      <c r="R852" t="inlineStr">
        <is>
          <t xml:space="preserve">DS </t>
        </is>
      </c>
      <c r="S852" t="n">
        <v>1</v>
      </c>
      <c r="T852" t="n">
        <v>1</v>
      </c>
      <c r="U852" t="inlineStr">
        <is>
          <t>2001-04-05</t>
        </is>
      </c>
      <c r="V852" t="inlineStr">
        <is>
          <t>2001-04-05</t>
        </is>
      </c>
      <c r="W852" t="inlineStr">
        <is>
          <t>1990-10-08</t>
        </is>
      </c>
      <c r="X852" t="inlineStr">
        <is>
          <t>1990-10-08</t>
        </is>
      </c>
      <c r="Y852" t="n">
        <v>369</v>
      </c>
      <c r="Z852" t="n">
        <v>241</v>
      </c>
      <c r="AA852" t="n">
        <v>269</v>
      </c>
      <c r="AB852" t="n">
        <v>3</v>
      </c>
      <c r="AC852" t="n">
        <v>3</v>
      </c>
      <c r="AD852" t="n">
        <v>9</v>
      </c>
      <c r="AE852" t="n">
        <v>9</v>
      </c>
      <c r="AF852" t="n">
        <v>1</v>
      </c>
      <c r="AG852" t="n">
        <v>1</v>
      </c>
      <c r="AH852" t="n">
        <v>3</v>
      </c>
      <c r="AI852" t="n">
        <v>3</v>
      </c>
      <c r="AJ852" t="n">
        <v>5</v>
      </c>
      <c r="AK852" t="n">
        <v>5</v>
      </c>
      <c r="AL852" t="n">
        <v>2</v>
      </c>
      <c r="AM852" t="n">
        <v>2</v>
      </c>
      <c r="AN852" t="n">
        <v>0</v>
      </c>
      <c r="AO852" t="n">
        <v>0</v>
      </c>
      <c r="AP852" t="inlineStr">
        <is>
          <t>No</t>
        </is>
      </c>
      <c r="AQ852" t="inlineStr">
        <is>
          <t>No</t>
        </is>
      </c>
      <c r="AS852">
        <f>HYPERLINK("https://creighton-primo.hosted.exlibrisgroup.com/primo-explore/search?tab=default_tab&amp;search_scope=EVERYTHING&amp;vid=01CRU&amp;lang=en_US&amp;offset=0&amp;query=any,contains,991004332119702656","Catalog Record")</f>
        <v/>
      </c>
      <c r="AT852">
        <f>HYPERLINK("http://www.worldcat.org/oclc/3064436","WorldCat Record")</f>
        <v/>
      </c>
      <c r="AU852" t="inlineStr">
        <is>
          <t>868748628:eng</t>
        </is>
      </c>
      <c r="AV852" t="inlineStr">
        <is>
          <t>3064436</t>
        </is>
      </c>
      <c r="AW852" t="inlineStr">
        <is>
          <t>991004332119702656</t>
        </is>
      </c>
      <c r="AX852" t="inlineStr">
        <is>
          <t>991004332119702656</t>
        </is>
      </c>
      <c r="AY852" t="inlineStr">
        <is>
          <t>2263078850002656</t>
        </is>
      </c>
      <c r="AZ852" t="inlineStr">
        <is>
          <t>BOOK</t>
        </is>
      </c>
      <c r="BB852" t="inlineStr">
        <is>
          <t>9780714630717</t>
        </is>
      </c>
      <c r="BC852" t="inlineStr">
        <is>
          <t>32285000335975</t>
        </is>
      </c>
      <c r="BD852" t="inlineStr">
        <is>
          <t>893506720</t>
        </is>
      </c>
    </row>
    <row r="853">
      <c r="A853" t="inlineStr">
        <is>
          <t>No</t>
        </is>
      </c>
      <c r="B853" t="inlineStr">
        <is>
          <t>DS326 .Z35 1989</t>
        </is>
      </c>
      <c r="C853" t="inlineStr">
        <is>
          <t>0                      DS 0326000Z  35          1989</t>
        </is>
      </c>
      <c r="D853" t="inlineStr">
        <is>
          <t>The making of the modern Gulf states : Kuwait, Bahrain, Qatar, the United Arab Emirates and Oman / Rosemarie Said Zahlan.</t>
        </is>
      </c>
      <c r="F853" t="inlineStr">
        <is>
          <t>No</t>
        </is>
      </c>
      <c r="G853" t="inlineStr">
        <is>
          <t>1</t>
        </is>
      </c>
      <c r="H853" t="inlineStr">
        <is>
          <t>No</t>
        </is>
      </c>
      <c r="I853" t="inlineStr">
        <is>
          <t>No</t>
        </is>
      </c>
      <c r="J853" t="inlineStr">
        <is>
          <t>0</t>
        </is>
      </c>
      <c r="K853" t="inlineStr">
        <is>
          <t>Zahlan, Rosemarie Said.</t>
        </is>
      </c>
      <c r="L853" t="inlineStr">
        <is>
          <t>London ; Boston, Mass., USA : Unwin Hyman, 1989.</t>
        </is>
      </c>
      <c r="M853" t="inlineStr">
        <is>
          <t>1989</t>
        </is>
      </c>
      <c r="O853" t="inlineStr">
        <is>
          <t>eng</t>
        </is>
      </c>
      <c r="P853" t="inlineStr">
        <is>
          <t>enk</t>
        </is>
      </c>
      <c r="Q853" t="inlineStr">
        <is>
          <t>Making of the Middle East</t>
        </is>
      </c>
      <c r="R853" t="inlineStr">
        <is>
          <t xml:space="preserve">DS </t>
        </is>
      </c>
      <c r="S853" t="n">
        <v>13</v>
      </c>
      <c r="T853" t="n">
        <v>13</v>
      </c>
      <c r="U853" t="inlineStr">
        <is>
          <t>1997-04-06</t>
        </is>
      </c>
      <c r="V853" t="inlineStr">
        <is>
          <t>1997-04-06</t>
        </is>
      </c>
      <c r="W853" t="inlineStr">
        <is>
          <t>1989-10-24</t>
        </is>
      </c>
      <c r="X853" t="inlineStr">
        <is>
          <t>1989-10-24</t>
        </is>
      </c>
      <c r="Y853" t="n">
        <v>466</v>
      </c>
      <c r="Z853" t="n">
        <v>355</v>
      </c>
      <c r="AA853" t="n">
        <v>509</v>
      </c>
      <c r="AB853" t="n">
        <v>3</v>
      </c>
      <c r="AC853" t="n">
        <v>3</v>
      </c>
      <c r="AD853" t="n">
        <v>14</v>
      </c>
      <c r="AE853" t="n">
        <v>19</v>
      </c>
      <c r="AF853" t="n">
        <v>4</v>
      </c>
      <c r="AG853" t="n">
        <v>5</v>
      </c>
      <c r="AH853" t="n">
        <v>3</v>
      </c>
      <c r="AI853" t="n">
        <v>7</v>
      </c>
      <c r="AJ853" t="n">
        <v>8</v>
      </c>
      <c r="AK853" t="n">
        <v>10</v>
      </c>
      <c r="AL853" t="n">
        <v>2</v>
      </c>
      <c r="AM853" t="n">
        <v>2</v>
      </c>
      <c r="AN853" t="n">
        <v>0</v>
      </c>
      <c r="AO853" t="n">
        <v>0</v>
      </c>
      <c r="AP853" t="inlineStr">
        <is>
          <t>No</t>
        </is>
      </c>
      <c r="AQ853" t="inlineStr">
        <is>
          <t>No</t>
        </is>
      </c>
      <c r="AS853">
        <f>HYPERLINK("https://creighton-primo.hosted.exlibrisgroup.com/primo-explore/search?tab=default_tab&amp;search_scope=EVERYTHING&amp;vid=01CRU&amp;lang=en_US&amp;offset=0&amp;query=any,contains,991001505719702656","Catalog Record")</f>
        <v/>
      </c>
      <c r="AT853">
        <f>HYPERLINK("http://www.worldcat.org/oclc/20800343","WorldCat Record")</f>
        <v/>
      </c>
      <c r="AU853" t="inlineStr">
        <is>
          <t>836721256:eng</t>
        </is>
      </c>
      <c r="AV853" t="inlineStr">
        <is>
          <t>20800343</t>
        </is>
      </c>
      <c r="AW853" t="inlineStr">
        <is>
          <t>991001505719702656</t>
        </is>
      </c>
      <c r="AX853" t="inlineStr">
        <is>
          <t>991001505719702656</t>
        </is>
      </c>
      <c r="AY853" t="inlineStr">
        <is>
          <t>2266652790002656</t>
        </is>
      </c>
      <c r="AZ853" t="inlineStr">
        <is>
          <t>BOOK</t>
        </is>
      </c>
      <c r="BB853" t="inlineStr">
        <is>
          <t>9780044452935</t>
        </is>
      </c>
      <c r="BC853" t="inlineStr">
        <is>
          <t>32285000010438</t>
        </is>
      </c>
      <c r="BD853" t="inlineStr">
        <is>
          <t>893528967</t>
        </is>
      </c>
    </row>
    <row r="854">
      <c r="A854" t="inlineStr">
        <is>
          <t>No</t>
        </is>
      </c>
      <c r="B854" t="inlineStr">
        <is>
          <t>DS329.4 .A37 1993</t>
        </is>
      </c>
      <c r="C854" t="inlineStr">
        <is>
          <t>0                      DS 0329400A  37          1993</t>
        </is>
      </c>
      <c r="D854" t="inlineStr">
        <is>
          <t>Central Asia in world history / S.A.M. Adshead.</t>
        </is>
      </c>
      <c r="F854" t="inlineStr">
        <is>
          <t>No</t>
        </is>
      </c>
      <c r="G854" t="inlineStr">
        <is>
          <t>1</t>
        </is>
      </c>
      <c r="H854" t="inlineStr">
        <is>
          <t>No</t>
        </is>
      </c>
      <c r="I854" t="inlineStr">
        <is>
          <t>No</t>
        </is>
      </c>
      <c r="J854" t="inlineStr">
        <is>
          <t>0</t>
        </is>
      </c>
      <c r="K854" t="inlineStr">
        <is>
          <t>Adshead, Samuel Adrian M. (Samuel Adrian Miles)</t>
        </is>
      </c>
      <c r="L854" t="inlineStr">
        <is>
          <t>New York : St. Martin's Press, 1993.</t>
        </is>
      </c>
      <c r="M854" t="inlineStr">
        <is>
          <t>1993</t>
        </is>
      </c>
      <c r="O854" t="inlineStr">
        <is>
          <t>eng</t>
        </is>
      </c>
      <c r="P854" t="inlineStr">
        <is>
          <t>nyu</t>
        </is>
      </c>
      <c r="R854" t="inlineStr">
        <is>
          <t xml:space="preserve">DS </t>
        </is>
      </c>
      <c r="S854" t="n">
        <v>4</v>
      </c>
      <c r="T854" t="n">
        <v>4</v>
      </c>
      <c r="U854" t="inlineStr">
        <is>
          <t>2008-05-09</t>
        </is>
      </c>
      <c r="V854" t="inlineStr">
        <is>
          <t>2008-05-09</t>
        </is>
      </c>
      <c r="W854" t="inlineStr">
        <is>
          <t>1993-06-07</t>
        </is>
      </c>
      <c r="X854" t="inlineStr">
        <is>
          <t>1993-06-07</t>
        </is>
      </c>
      <c r="Y854" t="n">
        <v>293</v>
      </c>
      <c r="Z854" t="n">
        <v>255</v>
      </c>
      <c r="AA854" t="n">
        <v>310</v>
      </c>
      <c r="AB854" t="n">
        <v>3</v>
      </c>
      <c r="AC854" t="n">
        <v>3</v>
      </c>
      <c r="AD854" t="n">
        <v>15</v>
      </c>
      <c r="AE854" t="n">
        <v>18</v>
      </c>
      <c r="AF854" t="n">
        <v>3</v>
      </c>
      <c r="AG854" t="n">
        <v>4</v>
      </c>
      <c r="AH854" t="n">
        <v>6</v>
      </c>
      <c r="AI854" t="n">
        <v>7</v>
      </c>
      <c r="AJ854" t="n">
        <v>6</v>
      </c>
      <c r="AK854" t="n">
        <v>9</v>
      </c>
      <c r="AL854" t="n">
        <v>2</v>
      </c>
      <c r="AM854" t="n">
        <v>2</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HYPERLINK("https://creighton-primo.hosted.exlibrisgroup.com/primo-explore/search?tab=default_tab&amp;search_scope=EVERYTHING&amp;vid=01CRU&amp;lang=en_US&amp;offset=0&amp;query=any,contains,991002024559702656","Catalog Record")</f>
        <v/>
      </c>
      <c r="AT854">
        <f>HYPERLINK("http://www.worldcat.org/oclc/25748003","WorldCat Record")</f>
        <v/>
      </c>
      <c r="AU854" t="inlineStr">
        <is>
          <t>29122182:eng</t>
        </is>
      </c>
      <c r="AV854" t="inlineStr">
        <is>
          <t>25748003</t>
        </is>
      </c>
      <c r="AW854" t="inlineStr">
        <is>
          <t>991002024559702656</t>
        </is>
      </c>
      <c r="AX854" t="inlineStr">
        <is>
          <t>991002024559702656</t>
        </is>
      </c>
      <c r="AY854" t="inlineStr">
        <is>
          <t>2272132260002656</t>
        </is>
      </c>
      <c r="AZ854" t="inlineStr">
        <is>
          <t>BOOK</t>
        </is>
      </c>
      <c r="BB854" t="inlineStr">
        <is>
          <t>9780312085476</t>
        </is>
      </c>
      <c r="BC854" t="inlineStr">
        <is>
          <t>32285001584407</t>
        </is>
      </c>
      <c r="BD854" t="inlineStr">
        <is>
          <t>893626917</t>
        </is>
      </c>
    </row>
    <row r="855">
      <c r="A855" t="inlineStr">
        <is>
          <t>No</t>
        </is>
      </c>
      <c r="B855" t="inlineStr">
        <is>
          <t>DS329.4 .C4813 2004</t>
        </is>
      </c>
      <c r="C855" t="inlineStr">
        <is>
          <t>0                      DS 0329400C  4813        2004</t>
        </is>
      </c>
      <c r="D855" t="inlineStr">
        <is>
          <t>Nomadic empires : from Mongolia to the Danube / Gerard Chaliand ; translated from the French by A.M. Berrett.</t>
        </is>
      </c>
      <c r="F855" t="inlineStr">
        <is>
          <t>No</t>
        </is>
      </c>
      <c r="G855" t="inlineStr">
        <is>
          <t>1</t>
        </is>
      </c>
      <c r="H855" t="inlineStr">
        <is>
          <t>No</t>
        </is>
      </c>
      <c r="I855" t="inlineStr">
        <is>
          <t>No</t>
        </is>
      </c>
      <c r="J855" t="inlineStr">
        <is>
          <t>0</t>
        </is>
      </c>
      <c r="K855" t="inlineStr">
        <is>
          <t>Chaliand, Gérard, 1934-</t>
        </is>
      </c>
      <c r="L855" t="inlineStr">
        <is>
          <t>New Brunswick, U.S.A. : Transaction Publishers, c2004.</t>
        </is>
      </c>
      <c r="M855" t="inlineStr">
        <is>
          <t>2004</t>
        </is>
      </c>
      <c r="O855" t="inlineStr">
        <is>
          <t>eng</t>
        </is>
      </c>
      <c r="P855" t="inlineStr">
        <is>
          <t>nju</t>
        </is>
      </c>
      <c r="R855" t="inlineStr">
        <is>
          <t xml:space="preserve">DS </t>
        </is>
      </c>
      <c r="S855" t="n">
        <v>3</v>
      </c>
      <c r="T855" t="n">
        <v>3</v>
      </c>
      <c r="U855" t="inlineStr">
        <is>
          <t>2008-05-09</t>
        </is>
      </c>
      <c r="V855" t="inlineStr">
        <is>
          <t>2008-05-09</t>
        </is>
      </c>
      <c r="W855" t="inlineStr">
        <is>
          <t>2005-09-28</t>
        </is>
      </c>
      <c r="X855" t="inlineStr">
        <is>
          <t>2005-09-28</t>
        </is>
      </c>
      <c r="Y855" t="n">
        <v>455</v>
      </c>
      <c r="Z855" t="n">
        <v>399</v>
      </c>
      <c r="AA855" t="n">
        <v>435</v>
      </c>
      <c r="AB855" t="n">
        <v>1</v>
      </c>
      <c r="AC855" t="n">
        <v>1</v>
      </c>
      <c r="AD855" t="n">
        <v>17</v>
      </c>
      <c r="AE855" t="n">
        <v>17</v>
      </c>
      <c r="AF855" t="n">
        <v>6</v>
      </c>
      <c r="AG855" t="n">
        <v>6</v>
      </c>
      <c r="AH855" t="n">
        <v>5</v>
      </c>
      <c r="AI855" t="n">
        <v>5</v>
      </c>
      <c r="AJ855" t="n">
        <v>14</v>
      </c>
      <c r="AK855" t="n">
        <v>14</v>
      </c>
      <c r="AL855" t="n">
        <v>0</v>
      </c>
      <c r="AM855" t="n">
        <v>0</v>
      </c>
      <c r="AN855" t="n">
        <v>0</v>
      </c>
      <c r="AO855" t="n">
        <v>0</v>
      </c>
      <c r="AP855" t="inlineStr">
        <is>
          <t>No</t>
        </is>
      </c>
      <c r="AQ855" t="inlineStr">
        <is>
          <t>No</t>
        </is>
      </c>
      <c r="AS855">
        <f>HYPERLINK("https://creighton-primo.hosted.exlibrisgroup.com/primo-explore/search?tab=default_tab&amp;search_scope=EVERYTHING&amp;vid=01CRU&amp;lang=en_US&amp;offset=0&amp;query=any,contains,991004542959702656","Catalog Record")</f>
        <v/>
      </c>
      <c r="AT855">
        <f>HYPERLINK("http://www.worldcat.org/oclc/52348837","WorldCat Record")</f>
        <v/>
      </c>
      <c r="AU855" t="inlineStr">
        <is>
          <t>502900212:eng</t>
        </is>
      </c>
      <c r="AV855" t="inlineStr">
        <is>
          <t>52348837</t>
        </is>
      </c>
      <c r="AW855" t="inlineStr">
        <is>
          <t>991004542959702656</t>
        </is>
      </c>
      <c r="AX855" t="inlineStr">
        <is>
          <t>991004542959702656</t>
        </is>
      </c>
      <c r="AY855" t="inlineStr">
        <is>
          <t>2261975080002656</t>
        </is>
      </c>
      <c r="AZ855" t="inlineStr">
        <is>
          <t>BOOK</t>
        </is>
      </c>
      <c r="BB855" t="inlineStr">
        <is>
          <t>9780765802040</t>
        </is>
      </c>
      <c r="BC855" t="inlineStr">
        <is>
          <t>32285005085849</t>
        </is>
      </c>
      <c r="BD855" t="inlineStr">
        <is>
          <t>893331724</t>
        </is>
      </c>
    </row>
    <row r="856">
      <c r="A856" t="inlineStr">
        <is>
          <t>No</t>
        </is>
      </c>
      <c r="B856" t="inlineStr">
        <is>
          <t>DS329.4 .H67 1992</t>
        </is>
      </c>
      <c r="C856" t="inlineStr">
        <is>
          <t>0                      DS 0329400H  67          1992</t>
        </is>
      </c>
      <c r="D856" t="inlineStr">
        <is>
          <t>The great game : the struggle for empire in central Asia / Peter Hopkirk.</t>
        </is>
      </c>
      <c r="F856" t="inlineStr">
        <is>
          <t>No</t>
        </is>
      </c>
      <c r="G856" t="inlineStr">
        <is>
          <t>1</t>
        </is>
      </c>
      <c r="H856" t="inlineStr">
        <is>
          <t>No</t>
        </is>
      </c>
      <c r="I856" t="inlineStr">
        <is>
          <t>No</t>
        </is>
      </c>
      <c r="J856" t="inlineStr">
        <is>
          <t>0</t>
        </is>
      </c>
      <c r="K856" t="inlineStr">
        <is>
          <t>Hopkirk, Peter.</t>
        </is>
      </c>
      <c r="L856" t="inlineStr">
        <is>
          <t>Tokyo ; New York : Kodansha International, 1992.</t>
        </is>
      </c>
      <c r="M856" t="inlineStr">
        <is>
          <t>1992</t>
        </is>
      </c>
      <c r="O856" t="inlineStr">
        <is>
          <t>eng</t>
        </is>
      </c>
      <c r="P856" t="inlineStr">
        <is>
          <t xml:space="preserve">ja </t>
        </is>
      </c>
      <c r="R856" t="inlineStr">
        <is>
          <t xml:space="preserve">DS </t>
        </is>
      </c>
      <c r="S856" t="n">
        <v>2</v>
      </c>
      <c r="T856" t="n">
        <v>2</v>
      </c>
      <c r="U856" t="inlineStr">
        <is>
          <t>2007-02-11</t>
        </is>
      </c>
      <c r="V856" t="inlineStr">
        <is>
          <t>2007-02-11</t>
        </is>
      </c>
      <c r="W856" t="inlineStr">
        <is>
          <t>1992-11-09</t>
        </is>
      </c>
      <c r="X856" t="inlineStr">
        <is>
          <t>1992-11-09</t>
        </is>
      </c>
      <c r="Y856" t="n">
        <v>847</v>
      </c>
      <c r="Z856" t="n">
        <v>772</v>
      </c>
      <c r="AA856" t="n">
        <v>1088</v>
      </c>
      <c r="AB856" t="n">
        <v>6</v>
      </c>
      <c r="AC856" t="n">
        <v>8</v>
      </c>
      <c r="AD856" t="n">
        <v>27</v>
      </c>
      <c r="AE856" t="n">
        <v>40</v>
      </c>
      <c r="AF856" t="n">
        <v>9</v>
      </c>
      <c r="AG856" t="n">
        <v>15</v>
      </c>
      <c r="AH856" t="n">
        <v>7</v>
      </c>
      <c r="AI856" t="n">
        <v>9</v>
      </c>
      <c r="AJ856" t="n">
        <v>15</v>
      </c>
      <c r="AK856" t="n">
        <v>19</v>
      </c>
      <c r="AL856" t="n">
        <v>4</v>
      </c>
      <c r="AM856" t="n">
        <v>6</v>
      </c>
      <c r="AN856" t="n">
        <v>0</v>
      </c>
      <c r="AO856" t="n">
        <v>0</v>
      </c>
      <c r="AP856" t="inlineStr">
        <is>
          <t>No</t>
        </is>
      </c>
      <c r="AQ856" t="inlineStr">
        <is>
          <t>No</t>
        </is>
      </c>
      <c r="AS856">
        <f>HYPERLINK("https://creighton-primo.hosted.exlibrisgroup.com/primo-explore/search?tab=default_tab&amp;search_scope=EVERYTHING&amp;vid=01CRU&amp;lang=en_US&amp;offset=0&amp;query=any,contains,991002032349702656","Catalog Record")</f>
        <v/>
      </c>
      <c r="AT856">
        <f>HYPERLINK("http://www.worldcat.org/oclc/25873772","WorldCat Record")</f>
        <v/>
      </c>
      <c r="AU856" t="inlineStr">
        <is>
          <t>13179812:eng</t>
        </is>
      </c>
      <c r="AV856" t="inlineStr">
        <is>
          <t>25873772</t>
        </is>
      </c>
      <c r="AW856" t="inlineStr">
        <is>
          <t>991002032349702656</t>
        </is>
      </c>
      <c r="AX856" t="inlineStr">
        <is>
          <t>991002032349702656</t>
        </is>
      </c>
      <c r="AY856" t="inlineStr">
        <is>
          <t>2269571950002656</t>
        </is>
      </c>
      <c r="AZ856" t="inlineStr">
        <is>
          <t>BOOK</t>
        </is>
      </c>
      <c r="BB856" t="inlineStr">
        <is>
          <t>9784770017031</t>
        </is>
      </c>
      <c r="BC856" t="inlineStr">
        <is>
          <t>32285001361467</t>
        </is>
      </c>
      <c r="BD856" t="inlineStr">
        <is>
          <t>893497646</t>
        </is>
      </c>
    </row>
    <row r="857">
      <c r="A857" t="inlineStr">
        <is>
          <t>No</t>
        </is>
      </c>
      <c r="B857" t="inlineStr">
        <is>
          <t>DS329.4 .M46 2003</t>
        </is>
      </c>
      <c r="C857" t="inlineStr">
        <is>
          <t>0                      DS 0329400M  46          2003</t>
        </is>
      </c>
      <c r="D857" t="inlineStr">
        <is>
          <t>The dust of empire : the race for mastery in the Asian heartland / by Karl E. Meyer.</t>
        </is>
      </c>
      <c r="F857" t="inlineStr">
        <is>
          <t>No</t>
        </is>
      </c>
      <c r="G857" t="inlineStr">
        <is>
          <t>1</t>
        </is>
      </c>
      <c r="H857" t="inlineStr">
        <is>
          <t>No</t>
        </is>
      </c>
      <c r="I857" t="inlineStr">
        <is>
          <t>No</t>
        </is>
      </c>
      <c r="J857" t="inlineStr">
        <is>
          <t>0</t>
        </is>
      </c>
      <c r="K857" t="inlineStr">
        <is>
          <t>Meyer, Karl E. (Karl Ernest), 1928-</t>
        </is>
      </c>
      <c r="L857" t="inlineStr">
        <is>
          <t>New York : PublicAffairs, c2003.</t>
        </is>
      </c>
      <c r="M857" t="inlineStr">
        <is>
          <t>2003</t>
        </is>
      </c>
      <c r="N857" t="inlineStr">
        <is>
          <t>1st ed.</t>
        </is>
      </c>
      <c r="O857" t="inlineStr">
        <is>
          <t>eng</t>
        </is>
      </c>
      <c r="P857" t="inlineStr">
        <is>
          <t>nyu</t>
        </is>
      </c>
      <c r="R857" t="inlineStr">
        <is>
          <t xml:space="preserve">DS </t>
        </is>
      </c>
      <c r="S857" t="n">
        <v>3</v>
      </c>
      <c r="T857" t="n">
        <v>3</v>
      </c>
      <c r="U857" t="inlineStr">
        <is>
          <t>2005-02-15</t>
        </is>
      </c>
      <c r="V857" t="inlineStr">
        <is>
          <t>2005-02-15</t>
        </is>
      </c>
      <c r="W857" t="inlineStr">
        <is>
          <t>2003-07-16</t>
        </is>
      </c>
      <c r="X857" t="inlineStr">
        <is>
          <t>2003-07-16</t>
        </is>
      </c>
      <c r="Y857" t="n">
        <v>806</v>
      </c>
      <c r="Z857" t="n">
        <v>707</v>
      </c>
      <c r="AA857" t="n">
        <v>796</v>
      </c>
      <c r="AB857" t="n">
        <v>6</v>
      </c>
      <c r="AC857" t="n">
        <v>7</v>
      </c>
      <c r="AD857" t="n">
        <v>26</v>
      </c>
      <c r="AE857" t="n">
        <v>28</v>
      </c>
      <c r="AF857" t="n">
        <v>13</v>
      </c>
      <c r="AG857" t="n">
        <v>14</v>
      </c>
      <c r="AH857" t="n">
        <v>5</v>
      </c>
      <c r="AI857" t="n">
        <v>5</v>
      </c>
      <c r="AJ857" t="n">
        <v>12</v>
      </c>
      <c r="AK857" t="n">
        <v>12</v>
      </c>
      <c r="AL857" t="n">
        <v>3</v>
      </c>
      <c r="AM857" t="n">
        <v>4</v>
      </c>
      <c r="AN857" t="n">
        <v>0</v>
      </c>
      <c r="AO857" t="n">
        <v>0</v>
      </c>
      <c r="AP857" t="inlineStr">
        <is>
          <t>No</t>
        </is>
      </c>
      <c r="AQ857" t="inlineStr">
        <is>
          <t>Yes</t>
        </is>
      </c>
      <c r="AR857">
        <f>HYPERLINK("http://catalog.hathitrust.org/Record/004321273","HathiTrust Record")</f>
        <v/>
      </c>
      <c r="AS857">
        <f>HYPERLINK("https://creighton-primo.hosted.exlibrisgroup.com/primo-explore/search?tab=default_tab&amp;search_scope=EVERYTHING&amp;vid=01CRU&amp;lang=en_US&amp;offset=0&amp;query=any,contains,991004076949702656","Catalog Record")</f>
        <v/>
      </c>
      <c r="AT857">
        <f>HYPERLINK("http://www.worldcat.org/oclc/51216548","WorldCat Record")</f>
        <v/>
      </c>
      <c r="AU857" t="inlineStr">
        <is>
          <t>839978228:eng</t>
        </is>
      </c>
      <c r="AV857" t="inlineStr">
        <is>
          <t>51216548</t>
        </is>
      </c>
      <c r="AW857" t="inlineStr">
        <is>
          <t>991004076949702656</t>
        </is>
      </c>
      <c r="AX857" t="inlineStr">
        <is>
          <t>991004076949702656</t>
        </is>
      </c>
      <c r="AY857" t="inlineStr">
        <is>
          <t>2270503270002656</t>
        </is>
      </c>
      <c r="AZ857" t="inlineStr">
        <is>
          <t>BOOK</t>
        </is>
      </c>
      <c r="BB857" t="inlineStr">
        <is>
          <t>9781586480486</t>
        </is>
      </c>
      <c r="BC857" t="inlineStr">
        <is>
          <t>32285004756069</t>
        </is>
      </c>
      <c r="BD857" t="inlineStr">
        <is>
          <t>893882036</t>
        </is>
      </c>
    </row>
    <row r="858">
      <c r="A858" t="inlineStr">
        <is>
          <t>No</t>
        </is>
      </c>
      <c r="B858" t="inlineStr">
        <is>
          <t>DS329.4 .N48 1994</t>
        </is>
      </c>
      <c r="C858" t="inlineStr">
        <is>
          <t>0                      DS 0329400N  48          1994</t>
        </is>
      </c>
      <c r="D858" t="inlineStr">
        <is>
          <t>The New geopolitics of Central Asia and its borderlands / edited by Ali Banuazizi and Myron Weiner.</t>
        </is>
      </c>
      <c r="F858" t="inlineStr">
        <is>
          <t>No</t>
        </is>
      </c>
      <c r="G858" t="inlineStr">
        <is>
          <t>1</t>
        </is>
      </c>
      <c r="H858" t="inlineStr">
        <is>
          <t>No</t>
        </is>
      </c>
      <c r="I858" t="inlineStr">
        <is>
          <t>No</t>
        </is>
      </c>
      <c r="J858" t="inlineStr">
        <is>
          <t>0</t>
        </is>
      </c>
      <c r="L858" t="inlineStr">
        <is>
          <t>Bloomington : Indiana University Press, c1994.</t>
        </is>
      </c>
      <c r="M858" t="inlineStr">
        <is>
          <t>1994</t>
        </is>
      </c>
      <c r="O858" t="inlineStr">
        <is>
          <t>eng</t>
        </is>
      </c>
      <c r="P858" t="inlineStr">
        <is>
          <t>inu</t>
        </is>
      </c>
      <c r="R858" t="inlineStr">
        <is>
          <t xml:space="preserve">DS </t>
        </is>
      </c>
      <c r="S858" t="n">
        <v>5</v>
      </c>
      <c r="T858" t="n">
        <v>5</v>
      </c>
      <c r="U858" t="inlineStr">
        <is>
          <t>2010-03-27</t>
        </is>
      </c>
      <c r="V858" t="inlineStr">
        <is>
          <t>2010-03-27</t>
        </is>
      </c>
      <c r="W858" t="inlineStr">
        <is>
          <t>1995-11-30</t>
        </is>
      </c>
      <c r="X858" t="inlineStr">
        <is>
          <t>1995-11-30</t>
        </is>
      </c>
      <c r="Y858" t="n">
        <v>351</v>
      </c>
      <c r="Z858" t="n">
        <v>293</v>
      </c>
      <c r="AA858" t="n">
        <v>317</v>
      </c>
      <c r="AB858" t="n">
        <v>3</v>
      </c>
      <c r="AC858" t="n">
        <v>3</v>
      </c>
      <c r="AD858" t="n">
        <v>13</v>
      </c>
      <c r="AE858" t="n">
        <v>13</v>
      </c>
      <c r="AF858" t="n">
        <v>3</v>
      </c>
      <c r="AG858" t="n">
        <v>3</v>
      </c>
      <c r="AH858" t="n">
        <v>5</v>
      </c>
      <c r="AI858" t="n">
        <v>5</v>
      </c>
      <c r="AJ858" t="n">
        <v>6</v>
      </c>
      <c r="AK858" t="n">
        <v>6</v>
      </c>
      <c r="AL858" t="n">
        <v>2</v>
      </c>
      <c r="AM858" t="n">
        <v>2</v>
      </c>
      <c r="AN858" t="n">
        <v>0</v>
      </c>
      <c r="AO858" t="n">
        <v>0</v>
      </c>
      <c r="AP858" t="inlineStr">
        <is>
          <t>No</t>
        </is>
      </c>
      <c r="AQ858" t="inlineStr">
        <is>
          <t>No</t>
        </is>
      </c>
      <c r="AS858">
        <f>HYPERLINK("https://creighton-primo.hosted.exlibrisgroup.com/primo-explore/search?tab=default_tab&amp;search_scope=EVERYTHING&amp;vid=01CRU&amp;lang=en_US&amp;offset=0&amp;query=any,contains,991002337839702656","Catalog Record")</f>
        <v/>
      </c>
      <c r="AT858">
        <f>HYPERLINK("http://www.worldcat.org/oclc/30436779","WorldCat Record")</f>
        <v/>
      </c>
      <c r="AU858" t="inlineStr">
        <is>
          <t>353646358:eng</t>
        </is>
      </c>
      <c r="AV858" t="inlineStr">
        <is>
          <t>30436779</t>
        </is>
      </c>
      <c r="AW858" t="inlineStr">
        <is>
          <t>991002337839702656</t>
        </is>
      </c>
      <c r="AX858" t="inlineStr">
        <is>
          <t>991002337839702656</t>
        </is>
      </c>
      <c r="AY858" t="inlineStr">
        <is>
          <t>2258878000002656</t>
        </is>
      </c>
      <c r="AZ858" t="inlineStr">
        <is>
          <t>BOOK</t>
        </is>
      </c>
      <c r="BB858" t="inlineStr">
        <is>
          <t>9780253209184</t>
        </is>
      </c>
      <c r="BC858" t="inlineStr">
        <is>
          <t>32285002106978</t>
        </is>
      </c>
      <c r="BD858" t="inlineStr">
        <is>
          <t>893697660</t>
        </is>
      </c>
    </row>
    <row r="859">
      <c r="A859" t="inlineStr">
        <is>
          <t>No</t>
        </is>
      </c>
      <c r="B859" t="inlineStr">
        <is>
          <t>DS329.B2 R3 1969</t>
        </is>
      </c>
      <c r="C859" t="inlineStr">
        <is>
          <t>0                      DS 0329000B  2                  R  3           1969</t>
        </is>
      </c>
      <c r="D859" t="inlineStr">
        <is>
          <t>Bactria; the history of forgotten empire, by H. G. Rawlinson.</t>
        </is>
      </c>
      <c r="F859" t="inlineStr">
        <is>
          <t>No</t>
        </is>
      </c>
      <c r="G859" t="inlineStr">
        <is>
          <t>1</t>
        </is>
      </c>
      <c r="H859" t="inlineStr">
        <is>
          <t>No</t>
        </is>
      </c>
      <c r="I859" t="inlineStr">
        <is>
          <t>No</t>
        </is>
      </c>
      <c r="J859" t="inlineStr">
        <is>
          <t>0</t>
        </is>
      </c>
      <c r="K859" t="inlineStr">
        <is>
          <t>Rawlinson, H. G. (Hugh George), 1880-1957.</t>
        </is>
      </c>
      <c r="L859" t="inlineStr">
        <is>
          <t>New York, AMS Press [1969]</t>
        </is>
      </c>
      <c r="M859" t="inlineStr">
        <is>
          <t>1969</t>
        </is>
      </c>
      <c r="O859" t="inlineStr">
        <is>
          <t>eng</t>
        </is>
      </c>
      <c r="P859" t="inlineStr">
        <is>
          <t>nyu</t>
        </is>
      </c>
      <c r="Q859" t="inlineStr">
        <is>
          <t>Probsthain's oriental series ; v. 6</t>
        </is>
      </c>
      <c r="R859" t="inlineStr">
        <is>
          <t xml:space="preserve">DS </t>
        </is>
      </c>
      <c r="S859" t="n">
        <v>2</v>
      </c>
      <c r="T859" t="n">
        <v>2</v>
      </c>
      <c r="U859" t="inlineStr">
        <is>
          <t>2007-06-19</t>
        </is>
      </c>
      <c r="V859" t="inlineStr">
        <is>
          <t>2007-06-19</t>
        </is>
      </c>
      <c r="W859" t="inlineStr">
        <is>
          <t>1997-03-06</t>
        </is>
      </c>
      <c r="X859" t="inlineStr">
        <is>
          <t>1997-03-06</t>
        </is>
      </c>
      <c r="Y859" t="n">
        <v>145</v>
      </c>
      <c r="Z859" t="n">
        <v>135</v>
      </c>
      <c r="AA859" t="n">
        <v>138</v>
      </c>
      <c r="AB859" t="n">
        <v>2</v>
      </c>
      <c r="AC859" t="n">
        <v>2</v>
      </c>
      <c r="AD859" t="n">
        <v>7</v>
      </c>
      <c r="AE859" t="n">
        <v>7</v>
      </c>
      <c r="AF859" t="n">
        <v>2</v>
      </c>
      <c r="AG859" t="n">
        <v>2</v>
      </c>
      <c r="AH859" t="n">
        <v>1</v>
      </c>
      <c r="AI859" t="n">
        <v>1</v>
      </c>
      <c r="AJ859" t="n">
        <v>3</v>
      </c>
      <c r="AK859" t="n">
        <v>3</v>
      </c>
      <c r="AL859" t="n">
        <v>1</v>
      </c>
      <c r="AM859" t="n">
        <v>1</v>
      </c>
      <c r="AN859" t="n">
        <v>0</v>
      </c>
      <c r="AO859" t="n">
        <v>0</v>
      </c>
      <c r="AP859" t="inlineStr">
        <is>
          <t>No</t>
        </is>
      </c>
      <c r="AQ859" t="inlineStr">
        <is>
          <t>Yes</t>
        </is>
      </c>
      <c r="AR859">
        <f>HYPERLINK("http://catalog.hathitrust.org/Record/008869689","HathiTrust Record")</f>
        <v/>
      </c>
      <c r="AS859">
        <f>HYPERLINK("https://creighton-primo.hosted.exlibrisgroup.com/primo-explore/search?tab=default_tab&amp;search_scope=EVERYTHING&amp;vid=01CRU&amp;lang=en_US&amp;offset=0&amp;query=any,contains,991000101959702656","Catalog Record")</f>
        <v/>
      </c>
      <c r="AT859">
        <f>HYPERLINK("http://www.worldcat.org/oclc/44943","WorldCat Record")</f>
        <v/>
      </c>
      <c r="AU859" t="inlineStr">
        <is>
          <t>8908997208:eng</t>
        </is>
      </c>
      <c r="AV859" t="inlineStr">
        <is>
          <t>44943</t>
        </is>
      </c>
      <c r="AW859" t="inlineStr">
        <is>
          <t>991000101959702656</t>
        </is>
      </c>
      <c r="AX859" t="inlineStr">
        <is>
          <t>991000101959702656</t>
        </is>
      </c>
      <c r="AY859" t="inlineStr">
        <is>
          <t>2261534470002656</t>
        </is>
      </c>
      <c r="AZ859" t="inlineStr">
        <is>
          <t>BOOK</t>
        </is>
      </c>
      <c r="BC859" t="inlineStr">
        <is>
          <t>32285002455631</t>
        </is>
      </c>
      <c r="BD859" t="inlineStr">
        <is>
          <t>893314675</t>
        </is>
      </c>
    </row>
    <row r="860">
      <c r="A860" t="inlineStr">
        <is>
          <t>No</t>
        </is>
      </c>
      <c r="B860" t="inlineStr">
        <is>
          <t>DS329.P2 D42</t>
        </is>
      </c>
      <c r="C860" t="inlineStr">
        <is>
          <t>0                      DS 0329000P  2                  D  42</t>
        </is>
      </c>
      <c r="D860" t="inlineStr">
        <is>
          <t>A political history of Parthia, by Neilson C. Debevoise.</t>
        </is>
      </c>
      <c r="F860" t="inlineStr">
        <is>
          <t>No</t>
        </is>
      </c>
      <c r="G860" t="inlineStr">
        <is>
          <t>1</t>
        </is>
      </c>
      <c r="H860" t="inlineStr">
        <is>
          <t>No</t>
        </is>
      </c>
      <c r="I860" t="inlineStr">
        <is>
          <t>No</t>
        </is>
      </c>
      <c r="J860" t="inlineStr">
        <is>
          <t>0</t>
        </is>
      </c>
      <c r="K860" t="inlineStr">
        <is>
          <t>Debevoise, Neilson Carel, 1903-</t>
        </is>
      </c>
      <c r="L860" t="inlineStr">
        <is>
          <t>Chicago, Ill., University of Chicago Press [c1938]</t>
        </is>
      </c>
      <c r="M860" t="inlineStr">
        <is>
          <t>1938</t>
        </is>
      </c>
      <c r="O860" t="inlineStr">
        <is>
          <t>eng</t>
        </is>
      </c>
      <c r="P860" t="inlineStr">
        <is>
          <t>ilu</t>
        </is>
      </c>
      <c r="R860" t="inlineStr">
        <is>
          <t xml:space="preserve">DS </t>
        </is>
      </c>
      <c r="S860" t="n">
        <v>2</v>
      </c>
      <c r="T860" t="n">
        <v>2</v>
      </c>
      <c r="U860" t="inlineStr">
        <is>
          <t>2003-03-08</t>
        </is>
      </c>
      <c r="V860" t="inlineStr">
        <is>
          <t>2003-03-08</t>
        </is>
      </c>
      <c r="W860" t="inlineStr">
        <is>
          <t>1997-03-06</t>
        </is>
      </c>
      <c r="X860" t="inlineStr">
        <is>
          <t>1997-03-06</t>
        </is>
      </c>
      <c r="Y860" t="n">
        <v>328</v>
      </c>
      <c r="Z860" t="n">
        <v>276</v>
      </c>
      <c r="AA860" t="n">
        <v>467</v>
      </c>
      <c r="AB860" t="n">
        <v>4</v>
      </c>
      <c r="AC860" t="n">
        <v>4</v>
      </c>
      <c r="AD860" t="n">
        <v>15</v>
      </c>
      <c r="AE860" t="n">
        <v>22</v>
      </c>
      <c r="AF860" t="n">
        <v>1</v>
      </c>
      <c r="AG860" t="n">
        <v>6</v>
      </c>
      <c r="AH860" t="n">
        <v>5</v>
      </c>
      <c r="AI860" t="n">
        <v>7</v>
      </c>
      <c r="AJ860" t="n">
        <v>8</v>
      </c>
      <c r="AK860" t="n">
        <v>13</v>
      </c>
      <c r="AL860" t="n">
        <v>3</v>
      </c>
      <c r="AM860" t="n">
        <v>3</v>
      </c>
      <c r="AN860" t="n">
        <v>0</v>
      </c>
      <c r="AO860" t="n">
        <v>0</v>
      </c>
      <c r="AP860" t="inlineStr">
        <is>
          <t>Yes</t>
        </is>
      </c>
      <c r="AQ860" t="inlineStr">
        <is>
          <t>No</t>
        </is>
      </c>
      <c r="AR860">
        <f>HYPERLINK("http://catalog.hathitrust.org/Record/001249057","HathiTrust Record")</f>
        <v/>
      </c>
      <c r="AS860">
        <f>HYPERLINK("https://creighton-primo.hosted.exlibrisgroup.com/primo-explore/search?tab=default_tab&amp;search_scope=EVERYTHING&amp;vid=01CRU&amp;lang=en_US&amp;offset=0&amp;query=any,contains,991004230409702656","Catalog Record")</f>
        <v/>
      </c>
      <c r="AT860">
        <f>HYPERLINK("http://www.worldcat.org/oclc/2745091","WorldCat Record")</f>
        <v/>
      </c>
      <c r="AU860" t="inlineStr">
        <is>
          <t>193748225:eng</t>
        </is>
      </c>
      <c r="AV860" t="inlineStr">
        <is>
          <t>2745091</t>
        </is>
      </c>
      <c r="AW860" t="inlineStr">
        <is>
          <t>991004230409702656</t>
        </is>
      </c>
      <c r="AX860" t="inlineStr">
        <is>
          <t>991004230409702656</t>
        </is>
      </c>
      <c r="AY860" t="inlineStr">
        <is>
          <t>2256166290002656</t>
        </is>
      </c>
      <c r="AZ860" t="inlineStr">
        <is>
          <t>BOOK</t>
        </is>
      </c>
      <c r="BC860" t="inlineStr">
        <is>
          <t>32285002455649</t>
        </is>
      </c>
      <c r="BD860" t="inlineStr">
        <is>
          <t>893712303</t>
        </is>
      </c>
    </row>
    <row r="861">
      <c r="A861" t="inlineStr">
        <is>
          <t>No</t>
        </is>
      </c>
      <c r="B861" t="inlineStr">
        <is>
          <t>DS33 .P3 1969</t>
        </is>
      </c>
      <c r="C861" t="inlineStr">
        <is>
          <t>0                      DS 0033000P  3           1969</t>
        </is>
      </c>
      <c r="D861" t="inlineStr">
        <is>
          <t>Asia and Western dominance / by K. M. Panikkar.</t>
        </is>
      </c>
      <c r="F861" t="inlineStr">
        <is>
          <t>No</t>
        </is>
      </c>
      <c r="G861" t="inlineStr">
        <is>
          <t>1</t>
        </is>
      </c>
      <c r="H861" t="inlineStr">
        <is>
          <t>No</t>
        </is>
      </c>
      <c r="I861" t="inlineStr">
        <is>
          <t>No</t>
        </is>
      </c>
      <c r="J861" t="inlineStr">
        <is>
          <t>0</t>
        </is>
      </c>
      <c r="K861" t="inlineStr">
        <is>
          <t>Panikkar, K. M. (Kavalam Madhava), 1896-1963.</t>
        </is>
      </c>
      <c r="L861" t="inlineStr">
        <is>
          <t>[New York] : Collier Books, [1969]</t>
        </is>
      </c>
      <c r="M861" t="inlineStr">
        <is>
          <t>1969</t>
        </is>
      </c>
      <c r="O861" t="inlineStr">
        <is>
          <t>eng</t>
        </is>
      </c>
      <c r="P861" t="inlineStr">
        <is>
          <t>nyu</t>
        </is>
      </c>
      <c r="R861" t="inlineStr">
        <is>
          <t xml:space="preserve">DS </t>
        </is>
      </c>
      <c r="S861" t="n">
        <v>1</v>
      </c>
      <c r="T861" t="n">
        <v>1</v>
      </c>
      <c r="U861" t="inlineStr">
        <is>
          <t>2006-04-27</t>
        </is>
      </c>
      <c r="V861" t="inlineStr">
        <is>
          <t>2006-04-27</t>
        </is>
      </c>
      <c r="W861" t="inlineStr">
        <is>
          <t>1990-09-13</t>
        </is>
      </c>
      <c r="X861" t="inlineStr">
        <is>
          <t>1990-09-13</t>
        </is>
      </c>
      <c r="Y861" t="n">
        <v>317</v>
      </c>
      <c r="Z861" t="n">
        <v>288</v>
      </c>
      <c r="AA861" t="n">
        <v>295</v>
      </c>
      <c r="AB861" t="n">
        <v>2</v>
      </c>
      <c r="AC861" t="n">
        <v>2</v>
      </c>
      <c r="AD861" t="n">
        <v>16</v>
      </c>
      <c r="AE861" t="n">
        <v>16</v>
      </c>
      <c r="AF861" t="n">
        <v>6</v>
      </c>
      <c r="AG861" t="n">
        <v>6</v>
      </c>
      <c r="AH861" t="n">
        <v>1</v>
      </c>
      <c r="AI861" t="n">
        <v>1</v>
      </c>
      <c r="AJ861" t="n">
        <v>11</v>
      </c>
      <c r="AK861" t="n">
        <v>11</v>
      </c>
      <c r="AL861" t="n">
        <v>1</v>
      </c>
      <c r="AM861" t="n">
        <v>1</v>
      </c>
      <c r="AN861" t="n">
        <v>0</v>
      </c>
      <c r="AO861" t="n">
        <v>0</v>
      </c>
      <c r="AP861" t="inlineStr">
        <is>
          <t>No</t>
        </is>
      </c>
      <c r="AQ861" t="inlineStr">
        <is>
          <t>Yes</t>
        </is>
      </c>
      <c r="AR861">
        <f>HYPERLINK("http://catalog.hathitrust.org/Record/007480744","HathiTrust Record")</f>
        <v/>
      </c>
      <c r="AS861">
        <f>HYPERLINK("https://creighton-primo.hosted.exlibrisgroup.com/primo-explore/search?tab=default_tab&amp;search_scope=EVERYTHING&amp;vid=01CRU&amp;lang=en_US&amp;offset=0&amp;query=any,contains,991000011989702656","Catalog Record")</f>
        <v/>
      </c>
      <c r="AT861">
        <f>HYPERLINK("http://www.worldcat.org/oclc/15362","WorldCat Record")</f>
        <v/>
      </c>
      <c r="AU861" t="inlineStr">
        <is>
          <t>4916832833:eng</t>
        </is>
      </c>
      <c r="AV861" t="inlineStr">
        <is>
          <t>15362</t>
        </is>
      </c>
      <c r="AW861" t="inlineStr">
        <is>
          <t>991000011989702656</t>
        </is>
      </c>
      <c r="AX861" t="inlineStr">
        <is>
          <t>991000011989702656</t>
        </is>
      </c>
      <c r="AY861" t="inlineStr">
        <is>
          <t>2262649290002656</t>
        </is>
      </c>
      <c r="AZ861" t="inlineStr">
        <is>
          <t>BOOK</t>
        </is>
      </c>
      <c r="BC861" t="inlineStr">
        <is>
          <t>32285000291202</t>
        </is>
      </c>
      <c r="BD861" t="inlineStr">
        <is>
          <t>893419116</t>
        </is>
      </c>
    </row>
    <row r="862">
      <c r="A862" t="inlineStr">
        <is>
          <t>No</t>
        </is>
      </c>
      <c r="B862" t="inlineStr">
        <is>
          <t>DS33 .W36 1992</t>
        </is>
      </c>
      <c r="C862" t="inlineStr">
        <is>
          <t>0                      DS 0033000W  36          1992</t>
        </is>
      </c>
      <c r="D862" t="inlineStr">
        <is>
          <t>Community and nation : China, Southeast Asia and Australia / Wang Gungwu.</t>
        </is>
      </c>
      <c r="F862" t="inlineStr">
        <is>
          <t>No</t>
        </is>
      </c>
      <c r="G862" t="inlineStr">
        <is>
          <t>1</t>
        </is>
      </c>
      <c r="H862" t="inlineStr">
        <is>
          <t>No</t>
        </is>
      </c>
      <c r="I862" t="inlineStr">
        <is>
          <t>No</t>
        </is>
      </c>
      <c r="J862" t="inlineStr">
        <is>
          <t>0</t>
        </is>
      </c>
      <c r="K862" t="inlineStr">
        <is>
          <t>Wang, Gungwu.</t>
        </is>
      </c>
      <c r="L862" t="inlineStr">
        <is>
          <t>North Sydney : Allen &amp; Unwin in association with the Asian Studies Association of Australia, 1992.</t>
        </is>
      </c>
      <c r="M862" t="inlineStr">
        <is>
          <t>1992</t>
        </is>
      </c>
      <c r="O862" t="inlineStr">
        <is>
          <t>eng</t>
        </is>
      </c>
      <c r="P862" t="inlineStr">
        <is>
          <t xml:space="preserve">at </t>
        </is>
      </c>
      <c r="Q862" t="inlineStr">
        <is>
          <t>Southeast Asia publications series ; no. 23</t>
        </is>
      </c>
      <c r="R862" t="inlineStr">
        <is>
          <t xml:space="preserve">DS </t>
        </is>
      </c>
      <c r="S862" t="n">
        <v>2</v>
      </c>
      <c r="T862" t="n">
        <v>2</v>
      </c>
      <c r="U862" t="inlineStr">
        <is>
          <t>1997-12-01</t>
        </is>
      </c>
      <c r="V862" t="inlineStr">
        <is>
          <t>1997-12-01</t>
        </is>
      </c>
      <c r="W862" t="inlineStr">
        <is>
          <t>1993-08-16</t>
        </is>
      </c>
      <c r="X862" t="inlineStr">
        <is>
          <t>1993-08-16</t>
        </is>
      </c>
      <c r="Y862" t="n">
        <v>155</v>
      </c>
      <c r="Z862" t="n">
        <v>74</v>
      </c>
      <c r="AA862" t="n">
        <v>74</v>
      </c>
      <c r="AB862" t="n">
        <v>1</v>
      </c>
      <c r="AC862" t="n">
        <v>1</v>
      </c>
      <c r="AD862" t="n">
        <v>4</v>
      </c>
      <c r="AE862" t="n">
        <v>4</v>
      </c>
      <c r="AF862" t="n">
        <v>1</v>
      </c>
      <c r="AG862" t="n">
        <v>1</v>
      </c>
      <c r="AH862" t="n">
        <v>2</v>
      </c>
      <c r="AI862" t="n">
        <v>2</v>
      </c>
      <c r="AJ862" t="n">
        <v>3</v>
      </c>
      <c r="AK862" t="n">
        <v>3</v>
      </c>
      <c r="AL862" t="n">
        <v>0</v>
      </c>
      <c r="AM862" t="n">
        <v>0</v>
      </c>
      <c r="AN862" t="n">
        <v>0</v>
      </c>
      <c r="AO862" t="n">
        <v>0</v>
      </c>
      <c r="AP862" t="inlineStr">
        <is>
          <t>No</t>
        </is>
      </c>
      <c r="AQ862" t="inlineStr">
        <is>
          <t>No</t>
        </is>
      </c>
      <c r="AS862">
        <f>HYPERLINK("https://creighton-primo.hosted.exlibrisgroup.com/primo-explore/search?tab=default_tab&amp;search_scope=EVERYTHING&amp;vid=01CRU&amp;lang=en_US&amp;offset=0&amp;query=any,contains,991002144419702656","Catalog Record")</f>
        <v/>
      </c>
      <c r="AT862">
        <f>HYPERLINK("http://www.worldcat.org/oclc/30700819","WorldCat Record")</f>
        <v/>
      </c>
      <c r="AU862" t="inlineStr">
        <is>
          <t>3856772211:eng</t>
        </is>
      </c>
      <c r="AV862" t="inlineStr">
        <is>
          <t>30700819</t>
        </is>
      </c>
      <c r="AW862" t="inlineStr">
        <is>
          <t>991002144419702656</t>
        </is>
      </c>
      <c r="AX862" t="inlineStr">
        <is>
          <t>991002144419702656</t>
        </is>
      </c>
      <c r="AY862" t="inlineStr">
        <is>
          <t>2272615260002656</t>
        </is>
      </c>
      <c r="AZ862" t="inlineStr">
        <is>
          <t>BOOK</t>
        </is>
      </c>
      <c r="BB862" t="inlineStr">
        <is>
          <t>9781863733724</t>
        </is>
      </c>
      <c r="BC862" t="inlineStr">
        <is>
          <t>32285001726776</t>
        </is>
      </c>
      <c r="BD862" t="inlineStr">
        <is>
          <t>893516938</t>
        </is>
      </c>
    </row>
    <row r="863">
      <c r="A863" t="inlineStr">
        <is>
          <t>No</t>
        </is>
      </c>
      <c r="B863" t="inlineStr">
        <is>
          <t>DS33.1 .S5655 2007</t>
        </is>
      </c>
      <c r="C863" t="inlineStr">
        <is>
          <t>0                      DS 0033100S  5655        2007</t>
        </is>
      </c>
      <c r="D863" t="inlineStr">
        <is>
          <t>The Silk Road and beyond : travel, trade, and transformation / [edited by Karen Manchester ; with contributions by James Cuno ... [et al.]].</t>
        </is>
      </c>
      <c r="F863" t="inlineStr">
        <is>
          <t>No</t>
        </is>
      </c>
      <c r="G863" t="inlineStr">
        <is>
          <t>1</t>
        </is>
      </c>
      <c r="H863" t="inlineStr">
        <is>
          <t>No</t>
        </is>
      </c>
      <c r="I863" t="inlineStr">
        <is>
          <t>No</t>
        </is>
      </c>
      <c r="J863" t="inlineStr">
        <is>
          <t>0</t>
        </is>
      </c>
      <c r="L863" t="inlineStr">
        <is>
          <t>New Haven, Conn. ; London : Yale University Press, 2007.</t>
        </is>
      </c>
      <c r="M863" t="inlineStr">
        <is>
          <t>2007</t>
        </is>
      </c>
      <c r="O863" t="inlineStr">
        <is>
          <t>eng</t>
        </is>
      </c>
      <c r="P863" t="inlineStr">
        <is>
          <t>ctu</t>
        </is>
      </c>
      <c r="Q863" t="inlineStr">
        <is>
          <t>Museum studies</t>
        </is>
      </c>
      <c r="R863" t="inlineStr">
        <is>
          <t xml:space="preserve">DS </t>
        </is>
      </c>
      <c r="S863" t="n">
        <v>1</v>
      </c>
      <c r="T863" t="n">
        <v>1</v>
      </c>
      <c r="U863" t="inlineStr">
        <is>
          <t>2009-11-16</t>
        </is>
      </c>
      <c r="V863" t="inlineStr">
        <is>
          <t>2009-11-16</t>
        </is>
      </c>
      <c r="W863" t="inlineStr">
        <is>
          <t>2009-11-16</t>
        </is>
      </c>
      <c r="X863" t="inlineStr">
        <is>
          <t>2009-11-16</t>
        </is>
      </c>
      <c r="Y863" t="n">
        <v>155</v>
      </c>
      <c r="Z863" t="n">
        <v>109</v>
      </c>
      <c r="AA863" t="n">
        <v>115</v>
      </c>
      <c r="AB863" t="n">
        <v>2</v>
      </c>
      <c r="AC863" t="n">
        <v>2</v>
      </c>
      <c r="AD863" t="n">
        <v>5</v>
      </c>
      <c r="AE863" t="n">
        <v>5</v>
      </c>
      <c r="AF863" t="n">
        <v>0</v>
      </c>
      <c r="AG863" t="n">
        <v>0</v>
      </c>
      <c r="AH863" t="n">
        <v>3</v>
      </c>
      <c r="AI863" t="n">
        <v>3</v>
      </c>
      <c r="AJ863" t="n">
        <v>2</v>
      </c>
      <c r="AK863" t="n">
        <v>2</v>
      </c>
      <c r="AL863" t="n">
        <v>1</v>
      </c>
      <c r="AM863" t="n">
        <v>1</v>
      </c>
      <c r="AN863" t="n">
        <v>0</v>
      </c>
      <c r="AO863" t="n">
        <v>0</v>
      </c>
      <c r="AP863" t="inlineStr">
        <is>
          <t>No</t>
        </is>
      </c>
      <c r="AQ863" t="inlineStr">
        <is>
          <t>Yes</t>
        </is>
      </c>
      <c r="AR863">
        <f>HYPERLINK("http://catalog.hathitrust.org/Record/005542336","HathiTrust Record")</f>
        <v/>
      </c>
      <c r="AS863">
        <f>HYPERLINK("https://creighton-primo.hosted.exlibrisgroup.com/primo-explore/search?tab=default_tab&amp;search_scope=EVERYTHING&amp;vid=01CRU&amp;lang=en_US&amp;offset=0&amp;query=any,contains,991005340899702656","Catalog Record")</f>
        <v/>
      </c>
      <c r="AT863">
        <f>HYPERLINK("http://www.worldcat.org/oclc/80331813","WorldCat Record")</f>
        <v/>
      </c>
      <c r="AU863" t="inlineStr">
        <is>
          <t>363032480:eng</t>
        </is>
      </c>
      <c r="AV863" t="inlineStr">
        <is>
          <t>80331813</t>
        </is>
      </c>
      <c r="AW863" t="inlineStr">
        <is>
          <t>991005340899702656</t>
        </is>
      </c>
      <c r="AX863" t="inlineStr">
        <is>
          <t>991005340899702656</t>
        </is>
      </c>
      <c r="AY863" t="inlineStr">
        <is>
          <t>2259057840002656</t>
        </is>
      </c>
      <c r="AZ863" t="inlineStr">
        <is>
          <t>BOOK</t>
        </is>
      </c>
      <c r="BB863" t="inlineStr">
        <is>
          <t>9780300124286</t>
        </is>
      </c>
      <c r="BC863" t="inlineStr">
        <is>
          <t>32285005551303</t>
        </is>
      </c>
      <c r="BD863" t="inlineStr">
        <is>
          <t>893713891</t>
        </is>
      </c>
    </row>
    <row r="864">
      <c r="A864" t="inlineStr">
        <is>
          <t>No</t>
        </is>
      </c>
      <c r="B864" t="inlineStr">
        <is>
          <t>DS33.1 .W66 2004</t>
        </is>
      </c>
      <c r="C864" t="inlineStr">
        <is>
          <t>0                      DS 0033100W  66          2004</t>
        </is>
      </c>
      <c r="D864" t="inlineStr">
        <is>
          <t>The Silk Road : two thousand years in the heart of Asia / Frances Wood.</t>
        </is>
      </c>
      <c r="F864" t="inlineStr">
        <is>
          <t>No</t>
        </is>
      </c>
      <c r="G864" t="inlineStr">
        <is>
          <t>1</t>
        </is>
      </c>
      <c r="H864" t="inlineStr">
        <is>
          <t>No</t>
        </is>
      </c>
      <c r="I864" t="inlineStr">
        <is>
          <t>No</t>
        </is>
      </c>
      <c r="J864" t="inlineStr">
        <is>
          <t>0</t>
        </is>
      </c>
      <c r="K864" t="inlineStr">
        <is>
          <t>Wood, Frances, 1948-</t>
        </is>
      </c>
      <c r="L864" t="inlineStr">
        <is>
          <t>Berkeley ; Los Angeles : University of California Press ; London : British Library, [2004], c2002.</t>
        </is>
      </c>
      <c r="M864" t="inlineStr">
        <is>
          <t>2004</t>
        </is>
      </c>
      <c r="O864" t="inlineStr">
        <is>
          <t>eng</t>
        </is>
      </c>
      <c r="P864" t="inlineStr">
        <is>
          <t>cau</t>
        </is>
      </c>
      <c r="R864" t="inlineStr">
        <is>
          <t xml:space="preserve">DS </t>
        </is>
      </c>
      <c r="S864" t="n">
        <v>3</v>
      </c>
      <c r="T864" t="n">
        <v>3</v>
      </c>
      <c r="U864" t="inlineStr">
        <is>
          <t>2009-04-13</t>
        </is>
      </c>
      <c r="V864" t="inlineStr">
        <is>
          <t>2009-04-13</t>
        </is>
      </c>
      <c r="W864" t="inlineStr">
        <is>
          <t>2005-05-25</t>
        </is>
      </c>
      <c r="X864" t="inlineStr">
        <is>
          <t>2005-05-25</t>
        </is>
      </c>
      <c r="Y864" t="n">
        <v>82</v>
      </c>
      <c r="Z864" t="n">
        <v>78</v>
      </c>
      <c r="AA864" t="n">
        <v>1088</v>
      </c>
      <c r="AB864" t="n">
        <v>1</v>
      </c>
      <c r="AC864" t="n">
        <v>9</v>
      </c>
      <c r="AD864" t="n">
        <v>3</v>
      </c>
      <c r="AE864" t="n">
        <v>47</v>
      </c>
      <c r="AF864" t="n">
        <v>2</v>
      </c>
      <c r="AG864" t="n">
        <v>20</v>
      </c>
      <c r="AH864" t="n">
        <v>0</v>
      </c>
      <c r="AI864" t="n">
        <v>10</v>
      </c>
      <c r="AJ864" t="n">
        <v>1</v>
      </c>
      <c r="AK864" t="n">
        <v>20</v>
      </c>
      <c r="AL864" t="n">
        <v>0</v>
      </c>
      <c r="AM864" t="n">
        <v>8</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HYPERLINK("https://creighton-primo.hosted.exlibrisgroup.com/primo-explore/search?tab=default_tab&amp;search_scope=EVERYTHING&amp;vid=01CRU&amp;lang=en_US&amp;offset=0&amp;query=any,contains,991004544059702656","Catalog Record")</f>
        <v/>
      </c>
      <c r="AT864">
        <f>HYPERLINK("http://www.worldcat.org/oclc/57724356","WorldCat Record")</f>
        <v/>
      </c>
      <c r="AU864" t="inlineStr">
        <is>
          <t>865950868:eng</t>
        </is>
      </c>
      <c r="AV864" t="inlineStr">
        <is>
          <t>57724356</t>
        </is>
      </c>
      <c r="AW864" t="inlineStr">
        <is>
          <t>991004544059702656</t>
        </is>
      </c>
      <c r="AX864" t="inlineStr">
        <is>
          <t>991004544059702656</t>
        </is>
      </c>
      <c r="AY864" t="inlineStr">
        <is>
          <t>2266230980002656</t>
        </is>
      </c>
      <c r="AZ864" t="inlineStr">
        <is>
          <t>BOOK</t>
        </is>
      </c>
      <c r="BB864" t="inlineStr">
        <is>
          <t>9780520243408</t>
        </is>
      </c>
      <c r="BC864" t="inlineStr">
        <is>
          <t>32285005090815</t>
        </is>
      </c>
      <c r="BD864" t="inlineStr">
        <is>
          <t>893247703</t>
        </is>
      </c>
    </row>
    <row r="865">
      <c r="A865" t="inlineStr">
        <is>
          <t>No</t>
        </is>
      </c>
      <c r="B865" t="inlineStr">
        <is>
          <t>DS33.3 .J39 1986</t>
        </is>
      </c>
      <c r="C865" t="inlineStr">
        <is>
          <t>0                      DS 0033300J  39          1986</t>
        </is>
      </c>
      <c r="D865" t="inlineStr">
        <is>
          <t>Feminism and nationalism in the Third World / Kumari Jayawardena.</t>
        </is>
      </c>
      <c r="F865" t="inlineStr">
        <is>
          <t>No</t>
        </is>
      </c>
      <c r="G865" t="inlineStr">
        <is>
          <t>1</t>
        </is>
      </c>
      <c r="H865" t="inlineStr">
        <is>
          <t>No</t>
        </is>
      </c>
      <c r="I865" t="inlineStr">
        <is>
          <t>No</t>
        </is>
      </c>
      <c r="J865" t="inlineStr">
        <is>
          <t>0</t>
        </is>
      </c>
      <c r="K865" t="inlineStr">
        <is>
          <t>Jayawardena, Kumari.</t>
        </is>
      </c>
      <c r="L865" t="inlineStr">
        <is>
          <t>London : Zed, 1986.</t>
        </is>
      </c>
      <c r="M865" t="inlineStr">
        <is>
          <t>1986</t>
        </is>
      </c>
      <c r="O865" t="inlineStr">
        <is>
          <t>eng</t>
        </is>
      </c>
      <c r="P865" t="inlineStr">
        <is>
          <t>enk</t>
        </is>
      </c>
      <c r="R865" t="inlineStr">
        <is>
          <t xml:space="preserve">DS </t>
        </is>
      </c>
      <c r="S865" t="n">
        <v>7</v>
      </c>
      <c r="T865" t="n">
        <v>7</v>
      </c>
      <c r="U865" t="inlineStr">
        <is>
          <t>2007-10-29</t>
        </is>
      </c>
      <c r="V865" t="inlineStr">
        <is>
          <t>2007-10-29</t>
        </is>
      </c>
      <c r="W865" t="inlineStr">
        <is>
          <t>1990-09-13</t>
        </is>
      </c>
      <c r="X865" t="inlineStr">
        <is>
          <t>1990-09-13</t>
        </is>
      </c>
      <c r="Y865" t="n">
        <v>291</v>
      </c>
      <c r="Z865" t="n">
        <v>182</v>
      </c>
      <c r="AA865" t="n">
        <v>620</v>
      </c>
      <c r="AB865" t="n">
        <v>4</v>
      </c>
      <c r="AC865" t="n">
        <v>5</v>
      </c>
      <c r="AD865" t="n">
        <v>12</v>
      </c>
      <c r="AE865" t="n">
        <v>32</v>
      </c>
      <c r="AF865" t="n">
        <v>3</v>
      </c>
      <c r="AG865" t="n">
        <v>12</v>
      </c>
      <c r="AH865" t="n">
        <v>2</v>
      </c>
      <c r="AI865" t="n">
        <v>8</v>
      </c>
      <c r="AJ865" t="n">
        <v>7</v>
      </c>
      <c r="AK865" t="n">
        <v>15</v>
      </c>
      <c r="AL865" t="n">
        <v>3</v>
      </c>
      <c r="AM865" t="n">
        <v>4</v>
      </c>
      <c r="AN865" t="n">
        <v>0</v>
      </c>
      <c r="AO865" t="n">
        <v>1</v>
      </c>
      <c r="AP865" t="inlineStr">
        <is>
          <t>No</t>
        </is>
      </c>
      <c r="AQ865" t="inlineStr">
        <is>
          <t>No</t>
        </is>
      </c>
      <c r="AS865">
        <f>HYPERLINK("https://creighton-primo.hosted.exlibrisgroup.com/primo-explore/search?tab=default_tab&amp;search_scope=EVERYTHING&amp;vid=01CRU&amp;lang=en_US&amp;offset=0&amp;query=any,contains,991000799589702656","Catalog Record")</f>
        <v/>
      </c>
      <c r="AT865">
        <f>HYPERLINK("http://www.worldcat.org/oclc/13218081","WorldCat Record")</f>
        <v/>
      </c>
      <c r="AU865" t="inlineStr">
        <is>
          <t>7125334:eng</t>
        </is>
      </c>
      <c r="AV865" t="inlineStr">
        <is>
          <t>13218081</t>
        </is>
      </c>
      <c r="AW865" t="inlineStr">
        <is>
          <t>991000799589702656</t>
        </is>
      </c>
      <c r="AX865" t="inlineStr">
        <is>
          <t>991000799589702656</t>
        </is>
      </c>
      <c r="AY865" t="inlineStr">
        <is>
          <t>2260690080002656</t>
        </is>
      </c>
      <c r="AZ865" t="inlineStr">
        <is>
          <t>BOOK</t>
        </is>
      </c>
      <c r="BB865" t="inlineStr">
        <is>
          <t>9780862322656</t>
        </is>
      </c>
      <c r="BC865" t="inlineStr">
        <is>
          <t>32285000291210</t>
        </is>
      </c>
      <c r="BD865" t="inlineStr">
        <is>
          <t>893878366</t>
        </is>
      </c>
    </row>
    <row r="866">
      <c r="A866" t="inlineStr">
        <is>
          <t>No</t>
        </is>
      </c>
      <c r="B866" t="inlineStr">
        <is>
          <t>DS33.4.C5 C46 1995</t>
        </is>
      </c>
      <c r="C866" t="inlineStr">
        <is>
          <t>0                      DS 0033400C  5                  C  46          1995</t>
        </is>
      </c>
      <c r="D866" t="inlineStr">
        <is>
          <t>China as a great power : myths, realities and challenges in the Asia-Pacific region / edited by Stuart Harris &amp; Gary Klintworth.</t>
        </is>
      </c>
      <c r="F866" t="inlineStr">
        <is>
          <t>No</t>
        </is>
      </c>
      <c r="G866" t="inlineStr">
        <is>
          <t>1</t>
        </is>
      </c>
      <c r="H866" t="inlineStr">
        <is>
          <t>No</t>
        </is>
      </c>
      <c r="I866" t="inlineStr">
        <is>
          <t>No</t>
        </is>
      </c>
      <c r="J866" t="inlineStr">
        <is>
          <t>0</t>
        </is>
      </c>
      <c r="L866" t="inlineStr">
        <is>
          <t>New York : St. Martin's Press ; Melbourne, Australia : Longman, 1995.</t>
        </is>
      </c>
      <c r="M866" t="inlineStr">
        <is>
          <t>1995</t>
        </is>
      </c>
      <c r="N866" t="inlineStr">
        <is>
          <t>1st ed.</t>
        </is>
      </c>
      <c r="O866" t="inlineStr">
        <is>
          <t>eng</t>
        </is>
      </c>
      <c r="P866" t="inlineStr">
        <is>
          <t>nyu</t>
        </is>
      </c>
      <c r="R866" t="inlineStr">
        <is>
          <t xml:space="preserve">DS </t>
        </is>
      </c>
      <c r="S866" t="n">
        <v>4</v>
      </c>
      <c r="T866" t="n">
        <v>4</v>
      </c>
      <c r="U866" t="inlineStr">
        <is>
          <t>2006-04-27</t>
        </is>
      </c>
      <c r="V866" t="inlineStr">
        <is>
          <t>2006-04-27</t>
        </is>
      </c>
      <c r="W866" t="inlineStr">
        <is>
          <t>1996-05-06</t>
        </is>
      </c>
      <c r="X866" t="inlineStr">
        <is>
          <t>1996-05-06</t>
        </is>
      </c>
      <c r="Y866" t="n">
        <v>299</v>
      </c>
      <c r="Z866" t="n">
        <v>165</v>
      </c>
      <c r="AA866" t="n">
        <v>170</v>
      </c>
      <c r="AB866" t="n">
        <v>1</v>
      </c>
      <c r="AC866" t="n">
        <v>1</v>
      </c>
      <c r="AD866" t="n">
        <v>8</v>
      </c>
      <c r="AE866" t="n">
        <v>8</v>
      </c>
      <c r="AF866" t="n">
        <v>1</v>
      </c>
      <c r="AG866" t="n">
        <v>1</v>
      </c>
      <c r="AH866" t="n">
        <v>5</v>
      </c>
      <c r="AI866" t="n">
        <v>5</v>
      </c>
      <c r="AJ866" t="n">
        <v>4</v>
      </c>
      <c r="AK866" t="n">
        <v>4</v>
      </c>
      <c r="AL866" t="n">
        <v>0</v>
      </c>
      <c r="AM866" t="n">
        <v>0</v>
      </c>
      <c r="AN866" t="n">
        <v>0</v>
      </c>
      <c r="AO866" t="n">
        <v>0</v>
      </c>
      <c r="AP866" t="inlineStr">
        <is>
          <t>No</t>
        </is>
      </c>
      <c r="AQ866" t="inlineStr">
        <is>
          <t>No</t>
        </is>
      </c>
      <c r="AS866">
        <f>HYPERLINK("https://creighton-primo.hosted.exlibrisgroup.com/primo-explore/search?tab=default_tab&amp;search_scope=EVERYTHING&amp;vid=01CRU&amp;lang=en_US&amp;offset=0&amp;query=any,contains,991002491919702656","Catalog Record")</f>
        <v/>
      </c>
      <c r="AT866">
        <f>HYPERLINK("http://www.worldcat.org/oclc/32429563","WorldCat Record")</f>
        <v/>
      </c>
      <c r="AU866" t="inlineStr">
        <is>
          <t>900964486:eng</t>
        </is>
      </c>
      <c r="AV866" t="inlineStr">
        <is>
          <t>32429563</t>
        </is>
      </c>
      <c r="AW866" t="inlineStr">
        <is>
          <t>991002491919702656</t>
        </is>
      </c>
      <c r="AX866" t="inlineStr">
        <is>
          <t>991002491919702656</t>
        </is>
      </c>
      <c r="AY866" t="inlineStr">
        <is>
          <t>2260464660002656</t>
        </is>
      </c>
      <c r="AZ866" t="inlineStr">
        <is>
          <t>BOOK</t>
        </is>
      </c>
      <c r="BB866" t="inlineStr">
        <is>
          <t>9780312121068</t>
        </is>
      </c>
      <c r="BC866" t="inlineStr">
        <is>
          <t>32285002158904</t>
        </is>
      </c>
      <c r="BD866" t="inlineStr">
        <is>
          <t>893445193</t>
        </is>
      </c>
    </row>
    <row r="867">
      <c r="A867" t="inlineStr">
        <is>
          <t>No</t>
        </is>
      </c>
      <c r="B867" t="inlineStr">
        <is>
          <t>DS33.4.R8 R85 1999</t>
        </is>
      </c>
      <c r="C867" t="inlineStr">
        <is>
          <t>0                      DS 0033400R  8                  R  85          1999</t>
        </is>
      </c>
      <c r="D867" t="inlineStr">
        <is>
          <t>Russia and Asia : the emerging security agenda / edited by Gennady Chufrin.</t>
        </is>
      </c>
      <c r="F867" t="inlineStr">
        <is>
          <t>No</t>
        </is>
      </c>
      <c r="G867" t="inlineStr">
        <is>
          <t>1</t>
        </is>
      </c>
      <c r="H867" t="inlineStr">
        <is>
          <t>No</t>
        </is>
      </c>
      <c r="I867" t="inlineStr">
        <is>
          <t>No</t>
        </is>
      </c>
      <c r="J867" t="inlineStr">
        <is>
          <t>0</t>
        </is>
      </c>
      <c r="L867" t="inlineStr">
        <is>
          <t>Oxford, UK ; New York : Oxford University Press, 1999.</t>
        </is>
      </c>
      <c r="M867" t="inlineStr">
        <is>
          <t>1999</t>
        </is>
      </c>
      <c r="O867" t="inlineStr">
        <is>
          <t>eng</t>
        </is>
      </c>
      <c r="P867" t="inlineStr">
        <is>
          <t>enk</t>
        </is>
      </c>
      <c r="Q867" t="inlineStr">
        <is>
          <t>SIPRI</t>
        </is>
      </c>
      <c r="R867" t="inlineStr">
        <is>
          <t xml:space="preserve">DS </t>
        </is>
      </c>
      <c r="S867" t="n">
        <v>1</v>
      </c>
      <c r="T867" t="n">
        <v>1</v>
      </c>
      <c r="U867" t="inlineStr">
        <is>
          <t>2001-05-30</t>
        </is>
      </c>
      <c r="V867" t="inlineStr">
        <is>
          <t>2001-05-30</t>
        </is>
      </c>
      <c r="W867" t="inlineStr">
        <is>
          <t>2001-05-30</t>
        </is>
      </c>
      <c r="X867" t="inlineStr">
        <is>
          <t>2001-05-30</t>
        </is>
      </c>
      <c r="Y867" t="n">
        <v>275</v>
      </c>
      <c r="Z867" t="n">
        <v>209</v>
      </c>
      <c r="AA867" t="n">
        <v>215</v>
      </c>
      <c r="AB867" t="n">
        <v>3</v>
      </c>
      <c r="AC867" t="n">
        <v>3</v>
      </c>
      <c r="AD867" t="n">
        <v>13</v>
      </c>
      <c r="AE867" t="n">
        <v>13</v>
      </c>
      <c r="AF867" t="n">
        <v>4</v>
      </c>
      <c r="AG867" t="n">
        <v>4</v>
      </c>
      <c r="AH867" t="n">
        <v>4</v>
      </c>
      <c r="AI867" t="n">
        <v>4</v>
      </c>
      <c r="AJ867" t="n">
        <v>7</v>
      </c>
      <c r="AK867" t="n">
        <v>7</v>
      </c>
      <c r="AL867" t="n">
        <v>2</v>
      </c>
      <c r="AM867" t="n">
        <v>2</v>
      </c>
      <c r="AN867" t="n">
        <v>0</v>
      </c>
      <c r="AO867" t="n">
        <v>0</v>
      </c>
      <c r="AP867" t="inlineStr">
        <is>
          <t>No</t>
        </is>
      </c>
      <c r="AQ867" t="inlineStr">
        <is>
          <t>Yes</t>
        </is>
      </c>
      <c r="AR867">
        <f>HYPERLINK("http://catalog.hathitrust.org/Record/004079848","HathiTrust Record")</f>
        <v/>
      </c>
      <c r="AS867">
        <f>HYPERLINK("https://creighton-primo.hosted.exlibrisgroup.com/primo-explore/search?tab=default_tab&amp;search_scope=EVERYTHING&amp;vid=01CRU&amp;lang=en_US&amp;offset=0&amp;query=any,contains,991003510879702656","Catalog Record")</f>
        <v/>
      </c>
      <c r="AT867">
        <f>HYPERLINK("http://www.worldcat.org/oclc/42786332","WorldCat Record")</f>
        <v/>
      </c>
      <c r="AU867" t="inlineStr">
        <is>
          <t>837000885:eng</t>
        </is>
      </c>
      <c r="AV867" t="inlineStr">
        <is>
          <t>42786332</t>
        </is>
      </c>
      <c r="AW867" t="inlineStr">
        <is>
          <t>991003510879702656</t>
        </is>
      </c>
      <c r="AX867" t="inlineStr">
        <is>
          <t>991003510879702656</t>
        </is>
      </c>
      <c r="AY867" t="inlineStr">
        <is>
          <t>2267179820002656</t>
        </is>
      </c>
      <c r="AZ867" t="inlineStr">
        <is>
          <t>BOOK</t>
        </is>
      </c>
      <c r="BB867" t="inlineStr">
        <is>
          <t>9780198296546</t>
        </is>
      </c>
      <c r="BC867" t="inlineStr">
        <is>
          <t>32285004319215</t>
        </is>
      </c>
      <c r="BD867" t="inlineStr">
        <is>
          <t>893228116</t>
        </is>
      </c>
    </row>
    <row r="868">
      <c r="A868" t="inlineStr">
        <is>
          <t>No</t>
        </is>
      </c>
      <c r="B868" t="inlineStr">
        <is>
          <t>DS33.4.U6 A64 2000</t>
        </is>
      </c>
      <c r="C868" t="inlineStr">
        <is>
          <t>0                      DS 0033400U  6                  A  64          2000</t>
        </is>
      </c>
      <c r="D868" t="inlineStr">
        <is>
          <t>America's Asian alliance / Robert D. Blackwill and Paul Dibb, editors.</t>
        </is>
      </c>
      <c r="F868" t="inlineStr">
        <is>
          <t>No</t>
        </is>
      </c>
      <c r="G868" t="inlineStr">
        <is>
          <t>1</t>
        </is>
      </c>
      <c r="H868" t="inlineStr">
        <is>
          <t>No</t>
        </is>
      </c>
      <c r="I868" t="inlineStr">
        <is>
          <t>No</t>
        </is>
      </c>
      <c r="J868" t="inlineStr">
        <is>
          <t>0</t>
        </is>
      </c>
      <c r="L868" t="inlineStr">
        <is>
          <t>Cambridge, Mass. : MIT Press, c2000.</t>
        </is>
      </c>
      <c r="M868" t="inlineStr">
        <is>
          <t>2000</t>
        </is>
      </c>
      <c r="O868" t="inlineStr">
        <is>
          <t>eng</t>
        </is>
      </c>
      <c r="P868" t="inlineStr">
        <is>
          <t>mau</t>
        </is>
      </c>
      <c r="Q868" t="inlineStr">
        <is>
          <t>BCSIA studies in international security</t>
        </is>
      </c>
      <c r="R868" t="inlineStr">
        <is>
          <t xml:space="preserve">DS </t>
        </is>
      </c>
      <c r="S868" t="n">
        <v>2</v>
      </c>
      <c r="T868" t="n">
        <v>2</v>
      </c>
      <c r="U868" t="inlineStr">
        <is>
          <t>2006-01-23</t>
        </is>
      </c>
      <c r="V868" t="inlineStr">
        <is>
          <t>2006-01-23</t>
        </is>
      </c>
      <c r="W868" t="inlineStr">
        <is>
          <t>2000-11-30</t>
        </is>
      </c>
      <c r="X868" t="inlineStr">
        <is>
          <t>2000-11-30</t>
        </is>
      </c>
      <c r="Y868" t="n">
        <v>337</v>
      </c>
      <c r="Z868" t="n">
        <v>247</v>
      </c>
      <c r="AA868" t="n">
        <v>252</v>
      </c>
      <c r="AB868" t="n">
        <v>1</v>
      </c>
      <c r="AC868" t="n">
        <v>1</v>
      </c>
      <c r="AD868" t="n">
        <v>11</v>
      </c>
      <c r="AE868" t="n">
        <v>11</v>
      </c>
      <c r="AF868" t="n">
        <v>2</v>
      </c>
      <c r="AG868" t="n">
        <v>2</v>
      </c>
      <c r="AH868" t="n">
        <v>4</v>
      </c>
      <c r="AI868" t="n">
        <v>4</v>
      </c>
      <c r="AJ868" t="n">
        <v>7</v>
      </c>
      <c r="AK868" t="n">
        <v>7</v>
      </c>
      <c r="AL868" t="n">
        <v>0</v>
      </c>
      <c r="AM868" t="n">
        <v>0</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HYPERLINK("https://creighton-primo.hosted.exlibrisgroup.com/primo-explore/search?tab=default_tab&amp;search_scope=EVERYTHING&amp;vid=01CRU&amp;lang=en_US&amp;offset=0&amp;query=any,contains,991003343059702656","Catalog Record")</f>
        <v/>
      </c>
      <c r="AT868">
        <f>HYPERLINK("http://www.worldcat.org/oclc/43930150","WorldCat Record")</f>
        <v/>
      </c>
      <c r="AU868" t="inlineStr">
        <is>
          <t>351561127:eng</t>
        </is>
      </c>
      <c r="AV868" t="inlineStr">
        <is>
          <t>43930150</t>
        </is>
      </c>
      <c r="AW868" t="inlineStr">
        <is>
          <t>991003343059702656</t>
        </is>
      </c>
      <c r="AX868" t="inlineStr">
        <is>
          <t>991003343059702656</t>
        </is>
      </c>
      <c r="AY868" t="inlineStr">
        <is>
          <t>2255020260002656</t>
        </is>
      </c>
      <c r="AZ868" t="inlineStr">
        <is>
          <t>BOOK</t>
        </is>
      </c>
      <c r="BB868" t="inlineStr">
        <is>
          <t>9780262024891</t>
        </is>
      </c>
      <c r="BC868" t="inlineStr">
        <is>
          <t>32285004268230</t>
        </is>
      </c>
      <c r="BD868" t="inlineStr">
        <is>
          <t>893434917</t>
        </is>
      </c>
    </row>
    <row r="869">
      <c r="A869" t="inlineStr">
        <is>
          <t>No</t>
        </is>
      </c>
      <c r="B869" t="inlineStr">
        <is>
          <t>DS33.4.U6 U394 1997</t>
        </is>
      </c>
      <c r="C869" t="inlineStr">
        <is>
          <t>0                      DS 0033400U  6                  U  394         1997</t>
        </is>
      </c>
      <c r="D869" t="inlineStr">
        <is>
          <t>The U.S. role in the Asian century : a panel of experts looks at national interest in the new environment / Sol Sanders, editor.</t>
        </is>
      </c>
      <c r="F869" t="inlineStr">
        <is>
          <t>No</t>
        </is>
      </c>
      <c r="G869" t="inlineStr">
        <is>
          <t>1</t>
        </is>
      </c>
      <c r="H869" t="inlineStr">
        <is>
          <t>No</t>
        </is>
      </c>
      <c r="I869" t="inlineStr">
        <is>
          <t>No</t>
        </is>
      </c>
      <c r="J869" t="inlineStr">
        <is>
          <t>0</t>
        </is>
      </c>
      <c r="L869" t="inlineStr">
        <is>
          <t>Lanham, Md. : University Press of America, c1997.</t>
        </is>
      </c>
      <c r="M869" t="inlineStr">
        <is>
          <t>1997</t>
        </is>
      </c>
      <c r="O869" t="inlineStr">
        <is>
          <t>eng</t>
        </is>
      </c>
      <c r="P869" t="inlineStr">
        <is>
          <t>mdu</t>
        </is>
      </c>
      <c r="R869" t="inlineStr">
        <is>
          <t xml:space="preserve">DS </t>
        </is>
      </c>
      <c r="S869" t="n">
        <v>5</v>
      </c>
      <c r="T869" t="n">
        <v>5</v>
      </c>
      <c r="U869" t="inlineStr">
        <is>
          <t>1997-12-13</t>
        </is>
      </c>
      <c r="V869" t="inlineStr">
        <is>
          <t>1997-12-13</t>
        </is>
      </c>
      <c r="W869" t="inlineStr">
        <is>
          <t>1997-06-06</t>
        </is>
      </c>
      <c r="X869" t="inlineStr">
        <is>
          <t>1997-06-06</t>
        </is>
      </c>
      <c r="Y869" t="n">
        <v>119</v>
      </c>
      <c r="Z869" t="n">
        <v>103</v>
      </c>
      <c r="AA869" t="n">
        <v>109</v>
      </c>
      <c r="AB869" t="n">
        <v>2</v>
      </c>
      <c r="AC869" t="n">
        <v>2</v>
      </c>
      <c r="AD869" t="n">
        <v>3</v>
      </c>
      <c r="AE869" t="n">
        <v>3</v>
      </c>
      <c r="AF869" t="n">
        <v>2</v>
      </c>
      <c r="AG869" t="n">
        <v>2</v>
      </c>
      <c r="AH869" t="n">
        <v>0</v>
      </c>
      <c r="AI869" t="n">
        <v>0</v>
      </c>
      <c r="AJ869" t="n">
        <v>0</v>
      </c>
      <c r="AK869" t="n">
        <v>0</v>
      </c>
      <c r="AL869" t="n">
        <v>1</v>
      </c>
      <c r="AM869" t="n">
        <v>1</v>
      </c>
      <c r="AN869" t="n">
        <v>0</v>
      </c>
      <c r="AO869" t="n">
        <v>0</v>
      </c>
      <c r="AP869" t="inlineStr">
        <is>
          <t>No</t>
        </is>
      </c>
      <c r="AQ869" t="inlineStr">
        <is>
          <t>Yes</t>
        </is>
      </c>
      <c r="AR869">
        <f>HYPERLINK("http://catalog.hathitrust.org/Record/003140293","HathiTrust Record")</f>
        <v/>
      </c>
      <c r="AS869">
        <f>HYPERLINK("https://creighton-primo.hosted.exlibrisgroup.com/primo-explore/search?tab=default_tab&amp;search_scope=EVERYTHING&amp;vid=01CRU&amp;lang=en_US&amp;offset=0&amp;query=any,contains,991002725149702656","Catalog Record")</f>
        <v/>
      </c>
      <c r="AT869">
        <f>HYPERLINK("http://www.worldcat.org/oclc/35742017","WorldCat Record")</f>
        <v/>
      </c>
      <c r="AU869" t="inlineStr">
        <is>
          <t>45606646:eng</t>
        </is>
      </c>
      <c r="AV869" t="inlineStr">
        <is>
          <t>35742017</t>
        </is>
      </c>
      <c r="AW869" t="inlineStr">
        <is>
          <t>991002725149702656</t>
        </is>
      </c>
      <c r="AX869" t="inlineStr">
        <is>
          <t>991002725149702656</t>
        </is>
      </c>
      <c r="AY869" t="inlineStr">
        <is>
          <t>2261116050002656</t>
        </is>
      </c>
      <c r="AZ869" t="inlineStr">
        <is>
          <t>BOOK</t>
        </is>
      </c>
      <c r="BB869" t="inlineStr">
        <is>
          <t>9780761806189</t>
        </is>
      </c>
      <c r="BC869" t="inlineStr">
        <is>
          <t>32285002750304</t>
        </is>
      </c>
      <c r="BD869" t="inlineStr">
        <is>
          <t>893610207</t>
        </is>
      </c>
    </row>
    <row r="870">
      <c r="A870" t="inlineStr">
        <is>
          <t>No</t>
        </is>
      </c>
      <c r="B870" t="inlineStr">
        <is>
          <t>DS335 .C3</t>
        </is>
      </c>
      <c r="C870" t="inlineStr">
        <is>
          <t>0                      DS 0335000C  3</t>
        </is>
      </c>
      <c r="D870" t="inlineStr">
        <is>
          <t>South Asian history, 1750-1950; a guide to periodicals, dissertations, and newspapers [by] Margaret H. Case.</t>
        </is>
      </c>
      <c r="F870" t="inlineStr">
        <is>
          <t>No</t>
        </is>
      </c>
      <c r="G870" t="inlineStr">
        <is>
          <t>1</t>
        </is>
      </c>
      <c r="H870" t="inlineStr">
        <is>
          <t>No</t>
        </is>
      </c>
      <c r="I870" t="inlineStr">
        <is>
          <t>No</t>
        </is>
      </c>
      <c r="J870" t="inlineStr">
        <is>
          <t>0</t>
        </is>
      </c>
      <c r="K870" t="inlineStr">
        <is>
          <t>Case, Margaret H.</t>
        </is>
      </c>
      <c r="L870" t="inlineStr">
        <is>
          <t>Princeton, N.J., Princeton University Press, 1968.</t>
        </is>
      </c>
      <c r="M870" t="inlineStr">
        <is>
          <t>1968</t>
        </is>
      </c>
      <c r="O870" t="inlineStr">
        <is>
          <t>eng</t>
        </is>
      </c>
      <c r="P870" t="inlineStr">
        <is>
          <t>nju</t>
        </is>
      </c>
      <c r="R870" t="inlineStr">
        <is>
          <t xml:space="preserve">DS </t>
        </is>
      </c>
      <c r="S870" t="n">
        <v>2</v>
      </c>
      <c r="T870" t="n">
        <v>2</v>
      </c>
      <c r="U870" t="inlineStr">
        <is>
          <t>2007-02-11</t>
        </is>
      </c>
      <c r="V870" t="inlineStr">
        <is>
          <t>2007-02-11</t>
        </is>
      </c>
      <c r="W870" t="inlineStr">
        <is>
          <t>1997-03-06</t>
        </is>
      </c>
      <c r="X870" t="inlineStr">
        <is>
          <t>1997-03-06</t>
        </is>
      </c>
      <c r="Y870" t="n">
        <v>627</v>
      </c>
      <c r="Z870" t="n">
        <v>501</v>
      </c>
      <c r="AA870" t="n">
        <v>681</v>
      </c>
      <c r="AB870" t="n">
        <v>4</v>
      </c>
      <c r="AC870" t="n">
        <v>4</v>
      </c>
      <c r="AD870" t="n">
        <v>23</v>
      </c>
      <c r="AE870" t="n">
        <v>29</v>
      </c>
      <c r="AF870" t="n">
        <v>7</v>
      </c>
      <c r="AG870" t="n">
        <v>12</v>
      </c>
      <c r="AH870" t="n">
        <v>6</v>
      </c>
      <c r="AI870" t="n">
        <v>7</v>
      </c>
      <c r="AJ870" t="n">
        <v>14</v>
      </c>
      <c r="AK870" t="n">
        <v>17</v>
      </c>
      <c r="AL870" t="n">
        <v>3</v>
      </c>
      <c r="AM870" t="n">
        <v>3</v>
      </c>
      <c r="AN870" t="n">
        <v>0</v>
      </c>
      <c r="AO870" t="n">
        <v>0</v>
      </c>
      <c r="AP870" t="inlineStr">
        <is>
          <t>No</t>
        </is>
      </c>
      <c r="AQ870" t="inlineStr">
        <is>
          <t>Yes</t>
        </is>
      </c>
      <c r="AR870">
        <f>HYPERLINK("http://catalog.hathitrust.org/Record/001170472","HathiTrust Record")</f>
        <v/>
      </c>
      <c r="AS870">
        <f>HYPERLINK("https://creighton-primo.hosted.exlibrisgroup.com/primo-explore/search?tab=default_tab&amp;search_scope=EVERYTHING&amp;vid=01CRU&amp;lang=en_US&amp;offset=0&amp;query=any,contains,991003022419702656","Catalog Record")</f>
        <v/>
      </c>
      <c r="AT870">
        <f>HYPERLINK("http://www.worldcat.org/oclc/587139","WorldCat Record")</f>
        <v/>
      </c>
      <c r="AU870" t="inlineStr">
        <is>
          <t>376854494:eng</t>
        </is>
      </c>
      <c r="AV870" t="inlineStr">
        <is>
          <t>587139</t>
        </is>
      </c>
      <c r="AW870" t="inlineStr">
        <is>
          <t>991003022419702656</t>
        </is>
      </c>
      <c r="AX870" t="inlineStr">
        <is>
          <t>991003022419702656</t>
        </is>
      </c>
      <c r="AY870" t="inlineStr">
        <is>
          <t>2267076000002656</t>
        </is>
      </c>
      <c r="AZ870" t="inlineStr">
        <is>
          <t>BOOK</t>
        </is>
      </c>
      <c r="BC870" t="inlineStr">
        <is>
          <t>32285002455664</t>
        </is>
      </c>
      <c r="BD870" t="inlineStr">
        <is>
          <t>893616903</t>
        </is>
      </c>
    </row>
    <row r="871">
      <c r="A871" t="inlineStr">
        <is>
          <t>No</t>
        </is>
      </c>
      <c r="B871" t="inlineStr">
        <is>
          <t>DS335 .P64</t>
        </is>
      </c>
      <c r="C871" t="inlineStr">
        <is>
          <t>0                      DS 0335000P  64</t>
        </is>
      </c>
      <c r="D871" t="inlineStr">
        <is>
          <t>Political identity in South Asia / edited by David Taylor and Malcolm Yapp.</t>
        </is>
      </c>
      <c r="F871" t="inlineStr">
        <is>
          <t>No</t>
        </is>
      </c>
      <c r="G871" t="inlineStr">
        <is>
          <t>1</t>
        </is>
      </c>
      <c r="H871" t="inlineStr">
        <is>
          <t>No</t>
        </is>
      </c>
      <c r="I871" t="inlineStr">
        <is>
          <t>No</t>
        </is>
      </c>
      <c r="J871" t="inlineStr">
        <is>
          <t>0</t>
        </is>
      </c>
      <c r="L871" t="inlineStr">
        <is>
          <t>London : Curzon Press ; Atlantic Highlands, NJ : Humanities Press, 1979.</t>
        </is>
      </c>
      <c r="M871" t="inlineStr">
        <is>
          <t>1979</t>
        </is>
      </c>
      <c r="O871" t="inlineStr">
        <is>
          <t>eng</t>
        </is>
      </c>
      <c r="P871" t="inlineStr">
        <is>
          <t>enk</t>
        </is>
      </c>
      <c r="Q871" t="inlineStr">
        <is>
          <t>Collected papers on South Asia, 0141-0156 ; no. 2</t>
        </is>
      </c>
      <c r="R871" t="inlineStr">
        <is>
          <t xml:space="preserve">DS </t>
        </is>
      </c>
      <c r="S871" t="n">
        <v>2</v>
      </c>
      <c r="T871" t="n">
        <v>2</v>
      </c>
      <c r="U871" t="inlineStr">
        <is>
          <t>1995-09-26</t>
        </is>
      </c>
      <c r="V871" t="inlineStr">
        <is>
          <t>1995-09-26</t>
        </is>
      </c>
      <c r="W871" t="inlineStr">
        <is>
          <t>1990-10-08</t>
        </is>
      </c>
      <c r="X871" t="inlineStr">
        <is>
          <t>1990-10-08</t>
        </is>
      </c>
      <c r="Y871" t="n">
        <v>188</v>
      </c>
      <c r="Z871" t="n">
        <v>125</v>
      </c>
      <c r="AA871" t="n">
        <v>133</v>
      </c>
      <c r="AB871" t="n">
        <v>2</v>
      </c>
      <c r="AC871" t="n">
        <v>2</v>
      </c>
      <c r="AD871" t="n">
        <v>5</v>
      </c>
      <c r="AE871" t="n">
        <v>5</v>
      </c>
      <c r="AF871" t="n">
        <v>0</v>
      </c>
      <c r="AG871" t="n">
        <v>0</v>
      </c>
      <c r="AH871" t="n">
        <v>3</v>
      </c>
      <c r="AI871" t="n">
        <v>3</v>
      </c>
      <c r="AJ871" t="n">
        <v>2</v>
      </c>
      <c r="AK871" t="n">
        <v>2</v>
      </c>
      <c r="AL871" t="n">
        <v>1</v>
      </c>
      <c r="AM871" t="n">
        <v>1</v>
      </c>
      <c r="AN871" t="n">
        <v>0</v>
      </c>
      <c r="AO871" t="n">
        <v>0</v>
      </c>
      <c r="AP871" t="inlineStr">
        <is>
          <t>No</t>
        </is>
      </c>
      <c r="AQ871" t="inlineStr">
        <is>
          <t>Yes</t>
        </is>
      </c>
      <c r="AR871">
        <f>HYPERLINK("http://catalog.hathitrust.org/Record/000156979","HathiTrust Record")</f>
        <v/>
      </c>
      <c r="AS871">
        <f>HYPERLINK("https://creighton-primo.hosted.exlibrisgroup.com/primo-explore/search?tab=default_tab&amp;search_scope=EVERYTHING&amp;vid=01CRU&amp;lang=en_US&amp;offset=0&amp;query=any,contains,991004977929702656","Catalog Record")</f>
        <v/>
      </c>
      <c r="AT871">
        <f>HYPERLINK("http://www.worldcat.org/oclc/6413788","WorldCat Record")</f>
        <v/>
      </c>
      <c r="AU871" t="inlineStr">
        <is>
          <t>918378940:eng</t>
        </is>
      </c>
      <c r="AV871" t="inlineStr">
        <is>
          <t>6413788</t>
        </is>
      </c>
      <c r="AW871" t="inlineStr">
        <is>
          <t>991004977929702656</t>
        </is>
      </c>
      <c r="AX871" t="inlineStr">
        <is>
          <t>991004977929702656</t>
        </is>
      </c>
      <c r="AY871" t="inlineStr">
        <is>
          <t>2271663450002656</t>
        </is>
      </c>
      <c r="AZ871" t="inlineStr">
        <is>
          <t>BOOK</t>
        </is>
      </c>
      <c r="BB871" t="inlineStr">
        <is>
          <t>9780391010055</t>
        </is>
      </c>
      <c r="BC871" t="inlineStr">
        <is>
          <t>32285000335983</t>
        </is>
      </c>
      <c r="BD871" t="inlineStr">
        <is>
          <t>893807684</t>
        </is>
      </c>
    </row>
    <row r="872">
      <c r="A872" t="inlineStr">
        <is>
          <t>No</t>
        </is>
      </c>
      <c r="B872" t="inlineStr">
        <is>
          <t>DS336.3.U6 W54</t>
        </is>
      </c>
      <c r="C872" t="inlineStr">
        <is>
          <t>0                      DS 0336300U  6                  W  54</t>
        </is>
      </c>
      <c r="D872" t="inlineStr">
        <is>
          <t>The emergence of Bangladesh; problems and opportunities for a redefined American policy in South Asia [by] Wayne Wilcox.</t>
        </is>
      </c>
      <c r="F872" t="inlineStr">
        <is>
          <t>No</t>
        </is>
      </c>
      <c r="G872" t="inlineStr">
        <is>
          <t>1</t>
        </is>
      </c>
      <c r="H872" t="inlineStr">
        <is>
          <t>No</t>
        </is>
      </c>
      <c r="I872" t="inlineStr">
        <is>
          <t>No</t>
        </is>
      </c>
      <c r="J872" t="inlineStr">
        <is>
          <t>0</t>
        </is>
      </c>
      <c r="K872" t="inlineStr">
        <is>
          <t>Wilcox, Wayne Ayres.</t>
        </is>
      </c>
      <c r="L872" t="inlineStr">
        <is>
          <t>Washington, American Enterprise Institute for Public Policy Research [1973]</t>
        </is>
      </c>
      <c r="M872" t="inlineStr">
        <is>
          <t>1973</t>
        </is>
      </c>
      <c r="O872" t="inlineStr">
        <is>
          <t>eng</t>
        </is>
      </c>
      <c r="P872" t="inlineStr">
        <is>
          <t>dcu</t>
        </is>
      </c>
      <c r="Q872" t="inlineStr">
        <is>
          <t>Foreign affairs study ; 7</t>
        </is>
      </c>
      <c r="R872" t="inlineStr">
        <is>
          <t xml:space="preserve">DS </t>
        </is>
      </c>
      <c r="S872" t="n">
        <v>2</v>
      </c>
      <c r="T872" t="n">
        <v>2</v>
      </c>
      <c r="U872" t="inlineStr">
        <is>
          <t>1998-04-03</t>
        </is>
      </c>
      <c r="V872" t="inlineStr">
        <is>
          <t>1998-04-03</t>
        </is>
      </c>
      <c r="W872" t="inlineStr">
        <is>
          <t>1997-03-06</t>
        </is>
      </c>
      <c r="X872" t="inlineStr">
        <is>
          <t>1997-03-06</t>
        </is>
      </c>
      <c r="Y872" t="n">
        <v>451</v>
      </c>
      <c r="Z872" t="n">
        <v>400</v>
      </c>
      <c r="AA872" t="n">
        <v>418</v>
      </c>
      <c r="AB872" t="n">
        <v>3</v>
      </c>
      <c r="AC872" t="n">
        <v>3</v>
      </c>
      <c r="AD872" t="n">
        <v>17</v>
      </c>
      <c r="AE872" t="n">
        <v>18</v>
      </c>
      <c r="AF872" t="n">
        <v>5</v>
      </c>
      <c r="AG872" t="n">
        <v>5</v>
      </c>
      <c r="AH872" t="n">
        <v>5</v>
      </c>
      <c r="AI872" t="n">
        <v>5</v>
      </c>
      <c r="AJ872" t="n">
        <v>8</v>
      </c>
      <c r="AK872" t="n">
        <v>8</v>
      </c>
      <c r="AL872" t="n">
        <v>2</v>
      </c>
      <c r="AM872" t="n">
        <v>2</v>
      </c>
      <c r="AN872" t="n">
        <v>2</v>
      </c>
      <c r="AO872" t="n">
        <v>3</v>
      </c>
      <c r="AP872" t="inlineStr">
        <is>
          <t>No</t>
        </is>
      </c>
      <c r="AQ872" t="inlineStr">
        <is>
          <t>Yes</t>
        </is>
      </c>
      <c r="AR872">
        <f>HYPERLINK("http://catalog.hathitrust.org/Record/001249087","HathiTrust Record")</f>
        <v/>
      </c>
      <c r="AS872">
        <f>HYPERLINK("https://creighton-primo.hosted.exlibrisgroup.com/primo-explore/search?tab=default_tab&amp;search_scope=EVERYTHING&amp;vid=01CRU&amp;lang=en_US&amp;offset=0&amp;query=any,contains,991003239499702656","Catalog Record")</f>
        <v/>
      </c>
      <c r="AT872">
        <f>HYPERLINK("http://www.worldcat.org/oclc/762826","WorldCat Record")</f>
        <v/>
      </c>
      <c r="AU872" t="inlineStr">
        <is>
          <t>231784003:eng</t>
        </is>
      </c>
      <c r="AV872" t="inlineStr">
        <is>
          <t>762826</t>
        </is>
      </c>
      <c r="AW872" t="inlineStr">
        <is>
          <t>991003239499702656</t>
        </is>
      </c>
      <c r="AX872" t="inlineStr">
        <is>
          <t>991003239499702656</t>
        </is>
      </c>
      <c r="AY872" t="inlineStr">
        <is>
          <t>2265273130002656</t>
        </is>
      </c>
      <c r="AZ872" t="inlineStr">
        <is>
          <t>BOOK</t>
        </is>
      </c>
      <c r="BB872" t="inlineStr">
        <is>
          <t>9780844731124</t>
        </is>
      </c>
      <c r="BC872" t="inlineStr">
        <is>
          <t>32285002455722</t>
        </is>
      </c>
      <c r="BD872" t="inlineStr">
        <is>
          <t>893246165</t>
        </is>
      </c>
    </row>
    <row r="873">
      <c r="A873" t="inlineStr">
        <is>
          <t>No</t>
        </is>
      </c>
      <c r="B873" t="inlineStr">
        <is>
          <t>DS337 .M58 2006</t>
        </is>
      </c>
      <c r="C873" t="inlineStr">
        <is>
          <t>0                      DS 0337000M  58          2006</t>
        </is>
      </c>
      <c r="D873" t="inlineStr">
        <is>
          <t>Temptations of the West : how to be modern in India, Pakistan, Tibet and beyond / Pankaj Mishra.</t>
        </is>
      </c>
      <c r="F873" t="inlineStr">
        <is>
          <t>No</t>
        </is>
      </c>
      <c r="G873" t="inlineStr">
        <is>
          <t>1</t>
        </is>
      </c>
      <c r="H873" t="inlineStr">
        <is>
          <t>No</t>
        </is>
      </c>
      <c r="I873" t="inlineStr">
        <is>
          <t>No</t>
        </is>
      </c>
      <c r="J873" t="inlineStr">
        <is>
          <t>0</t>
        </is>
      </c>
      <c r="K873" t="inlineStr">
        <is>
          <t>Mishra, Pankaj.</t>
        </is>
      </c>
      <c r="L873" t="inlineStr">
        <is>
          <t>New York : Farrar, Straus, and Giroux, 2006.</t>
        </is>
      </c>
      <c r="M873" t="inlineStr">
        <is>
          <t>2006</t>
        </is>
      </c>
      <c r="N873" t="inlineStr">
        <is>
          <t>1st ed.</t>
        </is>
      </c>
      <c r="O873" t="inlineStr">
        <is>
          <t>eng</t>
        </is>
      </c>
      <c r="P873" t="inlineStr">
        <is>
          <t>nyu</t>
        </is>
      </c>
      <c r="R873" t="inlineStr">
        <is>
          <t xml:space="preserve">DS </t>
        </is>
      </c>
      <c r="S873" t="n">
        <v>8</v>
      </c>
      <c r="T873" t="n">
        <v>8</v>
      </c>
      <c r="U873" t="inlineStr">
        <is>
          <t>2008-02-11</t>
        </is>
      </c>
      <c r="V873" t="inlineStr">
        <is>
          <t>2008-02-11</t>
        </is>
      </c>
      <c r="W873" t="inlineStr">
        <is>
          <t>2006-06-26</t>
        </is>
      </c>
      <c r="X873" t="inlineStr">
        <is>
          <t>2006-06-26</t>
        </is>
      </c>
      <c r="Y873" t="n">
        <v>729</v>
      </c>
      <c r="Z873" t="n">
        <v>642</v>
      </c>
      <c r="AA873" t="n">
        <v>707</v>
      </c>
      <c r="AB873" t="n">
        <v>4</v>
      </c>
      <c r="AC873" t="n">
        <v>4</v>
      </c>
      <c r="AD873" t="n">
        <v>19</v>
      </c>
      <c r="AE873" t="n">
        <v>19</v>
      </c>
      <c r="AF873" t="n">
        <v>7</v>
      </c>
      <c r="AG873" t="n">
        <v>7</v>
      </c>
      <c r="AH873" t="n">
        <v>6</v>
      </c>
      <c r="AI873" t="n">
        <v>6</v>
      </c>
      <c r="AJ873" t="n">
        <v>10</v>
      </c>
      <c r="AK873" t="n">
        <v>10</v>
      </c>
      <c r="AL873" t="n">
        <v>1</v>
      </c>
      <c r="AM873" t="n">
        <v>1</v>
      </c>
      <c r="AN873" t="n">
        <v>0</v>
      </c>
      <c r="AO873" t="n">
        <v>0</v>
      </c>
      <c r="AP873" t="inlineStr">
        <is>
          <t>No</t>
        </is>
      </c>
      <c r="AQ873" t="inlineStr">
        <is>
          <t>No</t>
        </is>
      </c>
      <c r="AS873">
        <f>HYPERLINK("https://creighton-primo.hosted.exlibrisgroup.com/primo-explore/search?tab=default_tab&amp;search_scope=EVERYTHING&amp;vid=01CRU&amp;lang=en_US&amp;offset=0&amp;query=any,contains,991004833569702656","Catalog Record")</f>
        <v/>
      </c>
      <c r="AT873">
        <f>HYPERLINK("http://www.worldcat.org/oclc/67240266","WorldCat Record")</f>
        <v/>
      </c>
      <c r="AU873" t="inlineStr">
        <is>
          <t>117680528:eng</t>
        </is>
      </c>
      <c r="AV873" t="inlineStr">
        <is>
          <t>67240266</t>
        </is>
      </c>
      <c r="AW873" t="inlineStr">
        <is>
          <t>991004833569702656</t>
        </is>
      </c>
      <c r="AX873" t="inlineStr">
        <is>
          <t>991004833569702656</t>
        </is>
      </c>
      <c r="AY873" t="inlineStr">
        <is>
          <t>2260926460002656</t>
        </is>
      </c>
      <c r="AZ873" t="inlineStr">
        <is>
          <t>BOOK</t>
        </is>
      </c>
      <c r="BB873" t="inlineStr">
        <is>
          <t>9780374173210</t>
        </is>
      </c>
      <c r="BC873" t="inlineStr">
        <is>
          <t>32285005192488</t>
        </is>
      </c>
      <c r="BD873" t="inlineStr">
        <is>
          <t>893501004</t>
        </is>
      </c>
    </row>
    <row r="874">
      <c r="A874" t="inlineStr">
        <is>
          <t>No</t>
        </is>
      </c>
      <c r="B874" t="inlineStr">
        <is>
          <t>DS34 .E38 1968</t>
        </is>
      </c>
      <c r="C874" t="inlineStr">
        <is>
          <t>0                      DS 0034000E  38          1968</t>
        </is>
      </c>
      <c r="D874" t="inlineStr">
        <is>
          <t>The West in Asia, 1850-1914 / Michael Edwardes.</t>
        </is>
      </c>
      <c r="F874" t="inlineStr">
        <is>
          <t>No</t>
        </is>
      </c>
      <c r="G874" t="inlineStr">
        <is>
          <t>1</t>
        </is>
      </c>
      <c r="H874" t="inlineStr">
        <is>
          <t>No</t>
        </is>
      </c>
      <c r="I874" t="inlineStr">
        <is>
          <t>No</t>
        </is>
      </c>
      <c r="J874" t="inlineStr">
        <is>
          <t>0</t>
        </is>
      </c>
      <c r="K874" t="inlineStr">
        <is>
          <t>Edwardes, Michael.</t>
        </is>
      </c>
      <c r="L874" t="inlineStr">
        <is>
          <t>New York : Capricorn Books, 1968, c1967.</t>
        </is>
      </c>
      <c r="M874" t="inlineStr">
        <is>
          <t>1968</t>
        </is>
      </c>
      <c r="O874" t="inlineStr">
        <is>
          <t>eng</t>
        </is>
      </c>
      <c r="P874" t="inlineStr">
        <is>
          <t xml:space="preserve">xx </t>
        </is>
      </c>
      <c r="R874" t="inlineStr">
        <is>
          <t xml:space="preserve">DS </t>
        </is>
      </c>
      <c r="S874" t="n">
        <v>3</v>
      </c>
      <c r="T874" t="n">
        <v>3</v>
      </c>
      <c r="U874" t="inlineStr">
        <is>
          <t>2005-11-26</t>
        </is>
      </c>
      <c r="V874" t="inlineStr">
        <is>
          <t>2005-11-26</t>
        </is>
      </c>
      <c r="W874" t="inlineStr">
        <is>
          <t>1996-08-02</t>
        </is>
      </c>
      <c r="X874" t="inlineStr">
        <is>
          <t>1996-08-02</t>
        </is>
      </c>
      <c r="Y874" t="n">
        <v>104</v>
      </c>
      <c r="Z874" t="n">
        <v>95</v>
      </c>
      <c r="AA874" t="n">
        <v>492</v>
      </c>
      <c r="AB874" t="n">
        <v>4</v>
      </c>
      <c r="AC874" t="n">
        <v>6</v>
      </c>
      <c r="AD874" t="n">
        <v>7</v>
      </c>
      <c r="AE874" t="n">
        <v>21</v>
      </c>
      <c r="AF874" t="n">
        <v>2</v>
      </c>
      <c r="AG874" t="n">
        <v>5</v>
      </c>
      <c r="AH874" t="n">
        <v>1</v>
      </c>
      <c r="AI874" t="n">
        <v>4</v>
      </c>
      <c r="AJ874" t="n">
        <v>2</v>
      </c>
      <c r="AK874" t="n">
        <v>10</v>
      </c>
      <c r="AL874" t="n">
        <v>3</v>
      </c>
      <c r="AM874" t="n">
        <v>5</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HYPERLINK("https://creighton-primo.hosted.exlibrisgroup.com/primo-explore/search?tab=default_tab&amp;search_scope=EVERYTHING&amp;vid=01CRU&amp;lang=en_US&amp;offset=0&amp;query=any,contains,991004213369702656","Catalog Record")</f>
        <v/>
      </c>
      <c r="AT874">
        <f>HYPERLINK("http://www.worldcat.org/oclc/2690712","WorldCat Record")</f>
        <v/>
      </c>
      <c r="AU874" t="inlineStr">
        <is>
          <t>1405069:eng</t>
        </is>
      </c>
      <c r="AV874" t="inlineStr">
        <is>
          <t>2690712</t>
        </is>
      </c>
      <c r="AW874" t="inlineStr">
        <is>
          <t>991004213369702656</t>
        </is>
      </c>
      <c r="AX874" t="inlineStr">
        <is>
          <t>991004213369702656</t>
        </is>
      </c>
      <c r="AY874" t="inlineStr">
        <is>
          <t>2271082260002656</t>
        </is>
      </c>
      <c r="AZ874" t="inlineStr">
        <is>
          <t>BOOK</t>
        </is>
      </c>
      <c r="BC874" t="inlineStr">
        <is>
          <t>32285002209475</t>
        </is>
      </c>
      <c r="BD874" t="inlineStr">
        <is>
          <t>893712285</t>
        </is>
      </c>
    </row>
    <row r="875">
      <c r="A875" t="inlineStr">
        <is>
          <t>No</t>
        </is>
      </c>
      <c r="B875" t="inlineStr">
        <is>
          <t>DS340 .S675 2001</t>
        </is>
      </c>
      <c r="C875" t="inlineStr">
        <is>
          <t>0                      DS 0340000S  675         2001</t>
        </is>
      </c>
      <c r="D875" t="inlineStr">
        <is>
          <t>The South Asian century, 1900-1999 / edited by Zubeida Mustafa ; with a foreword by Ahmad Ali Khan.</t>
        </is>
      </c>
      <c r="F875" t="inlineStr">
        <is>
          <t>No</t>
        </is>
      </c>
      <c r="G875" t="inlineStr">
        <is>
          <t>1</t>
        </is>
      </c>
      <c r="H875" t="inlineStr">
        <is>
          <t>No</t>
        </is>
      </c>
      <c r="I875" t="inlineStr">
        <is>
          <t>No</t>
        </is>
      </c>
      <c r="J875" t="inlineStr">
        <is>
          <t>0</t>
        </is>
      </c>
      <c r="L875" t="inlineStr">
        <is>
          <t>Karachi : Oxford University Press, 2001.</t>
        </is>
      </c>
      <c r="M875" t="inlineStr">
        <is>
          <t>2001</t>
        </is>
      </c>
      <c r="O875" t="inlineStr">
        <is>
          <t>eng</t>
        </is>
      </c>
      <c r="P875" t="inlineStr">
        <is>
          <t xml:space="preserve">pk </t>
        </is>
      </c>
      <c r="R875" t="inlineStr">
        <is>
          <t xml:space="preserve">DS </t>
        </is>
      </c>
      <c r="S875" t="n">
        <v>3</v>
      </c>
      <c r="T875" t="n">
        <v>3</v>
      </c>
      <c r="U875" t="inlineStr">
        <is>
          <t>2005-03-20</t>
        </is>
      </c>
      <c r="V875" t="inlineStr">
        <is>
          <t>2005-03-20</t>
        </is>
      </c>
      <c r="W875" t="inlineStr">
        <is>
          <t>2001-10-29</t>
        </is>
      </c>
      <c r="X875" t="inlineStr">
        <is>
          <t>2001-10-29</t>
        </is>
      </c>
      <c r="Y875" t="n">
        <v>177</v>
      </c>
      <c r="Z875" t="n">
        <v>139</v>
      </c>
      <c r="AA875" t="n">
        <v>141</v>
      </c>
      <c r="AB875" t="n">
        <v>2</v>
      </c>
      <c r="AC875" t="n">
        <v>2</v>
      </c>
      <c r="AD875" t="n">
        <v>7</v>
      </c>
      <c r="AE875" t="n">
        <v>7</v>
      </c>
      <c r="AF875" t="n">
        <v>0</v>
      </c>
      <c r="AG875" t="n">
        <v>0</v>
      </c>
      <c r="AH875" t="n">
        <v>4</v>
      </c>
      <c r="AI875" t="n">
        <v>4</v>
      </c>
      <c r="AJ875" t="n">
        <v>4</v>
      </c>
      <c r="AK875" t="n">
        <v>4</v>
      </c>
      <c r="AL875" t="n">
        <v>1</v>
      </c>
      <c r="AM875" t="n">
        <v>1</v>
      </c>
      <c r="AN875" t="n">
        <v>0</v>
      </c>
      <c r="AO875" t="n">
        <v>0</v>
      </c>
      <c r="AP875" t="inlineStr">
        <is>
          <t>No</t>
        </is>
      </c>
      <c r="AQ875" t="inlineStr">
        <is>
          <t>Yes</t>
        </is>
      </c>
      <c r="AR875">
        <f>HYPERLINK("http://catalog.hathitrust.org/Record/003564625","HathiTrust Record")</f>
        <v/>
      </c>
      <c r="AS875">
        <f>HYPERLINK("https://creighton-primo.hosted.exlibrisgroup.com/primo-explore/search?tab=default_tab&amp;search_scope=EVERYTHING&amp;vid=01CRU&amp;lang=en_US&amp;offset=0&amp;query=any,contains,991003639529702656","Catalog Record")</f>
        <v/>
      </c>
      <c r="AT875">
        <f>HYPERLINK("http://www.worldcat.org/oclc/46872443","WorldCat Record")</f>
        <v/>
      </c>
      <c r="AU875" t="inlineStr">
        <is>
          <t>35943227:eng</t>
        </is>
      </c>
      <c r="AV875" t="inlineStr">
        <is>
          <t>46872443</t>
        </is>
      </c>
      <c r="AW875" t="inlineStr">
        <is>
          <t>991003639529702656</t>
        </is>
      </c>
      <c r="AX875" t="inlineStr">
        <is>
          <t>991003639529702656</t>
        </is>
      </c>
      <c r="AY875" t="inlineStr">
        <is>
          <t>2271866890002656</t>
        </is>
      </c>
      <c r="AZ875" t="inlineStr">
        <is>
          <t>BOOK</t>
        </is>
      </c>
      <c r="BB875" t="inlineStr">
        <is>
          <t>9780195795868</t>
        </is>
      </c>
      <c r="BC875" t="inlineStr">
        <is>
          <t>32285004415237</t>
        </is>
      </c>
      <c r="BD875" t="inlineStr">
        <is>
          <t>893228261</t>
        </is>
      </c>
    </row>
    <row r="876">
      <c r="A876" t="inlineStr">
        <is>
          <t>No</t>
        </is>
      </c>
      <c r="B876" t="inlineStr">
        <is>
          <t>DS35 .A55 1998</t>
        </is>
      </c>
      <c r="C876" t="inlineStr">
        <is>
          <t>0                      DS 0035000A  55          1998</t>
        </is>
      </c>
      <c r="D876" t="inlineStr">
        <is>
          <t>America's wars in Asia : a cultural approach to history and memory / edited by Philip West, Steven I. Levine, Jackie Hiltz.</t>
        </is>
      </c>
      <c r="F876" t="inlineStr">
        <is>
          <t>No</t>
        </is>
      </c>
      <c r="G876" t="inlineStr">
        <is>
          <t>1</t>
        </is>
      </c>
      <c r="H876" t="inlineStr">
        <is>
          <t>No</t>
        </is>
      </c>
      <c r="I876" t="inlineStr">
        <is>
          <t>No</t>
        </is>
      </c>
      <c r="J876" t="inlineStr">
        <is>
          <t>0</t>
        </is>
      </c>
      <c r="L876" t="inlineStr">
        <is>
          <t>Armonk, N.Y. : M.E. Sharpe, 1998.</t>
        </is>
      </c>
      <c r="M876" t="inlineStr">
        <is>
          <t>1998</t>
        </is>
      </c>
      <c r="O876" t="inlineStr">
        <is>
          <t>eng</t>
        </is>
      </c>
      <c r="P876" t="inlineStr">
        <is>
          <t>nyu</t>
        </is>
      </c>
      <c r="R876" t="inlineStr">
        <is>
          <t xml:space="preserve">DS </t>
        </is>
      </c>
      <c r="S876" t="n">
        <v>1</v>
      </c>
      <c r="T876" t="n">
        <v>1</v>
      </c>
      <c r="U876" t="inlineStr">
        <is>
          <t>2006-01-23</t>
        </is>
      </c>
      <c r="V876" t="inlineStr">
        <is>
          <t>2006-01-23</t>
        </is>
      </c>
      <c r="W876" t="inlineStr">
        <is>
          <t>1998-11-11</t>
        </is>
      </c>
      <c r="X876" t="inlineStr">
        <is>
          <t>1998-11-11</t>
        </is>
      </c>
      <c r="Y876" t="n">
        <v>292</v>
      </c>
      <c r="Z876" t="n">
        <v>264</v>
      </c>
      <c r="AA876" t="n">
        <v>1231</v>
      </c>
      <c r="AB876" t="n">
        <v>3</v>
      </c>
      <c r="AC876" t="n">
        <v>6</v>
      </c>
      <c r="AD876" t="n">
        <v>17</v>
      </c>
      <c r="AE876" t="n">
        <v>30</v>
      </c>
      <c r="AF876" t="n">
        <v>6</v>
      </c>
      <c r="AG876" t="n">
        <v>13</v>
      </c>
      <c r="AH876" t="n">
        <v>6</v>
      </c>
      <c r="AI876" t="n">
        <v>8</v>
      </c>
      <c r="AJ876" t="n">
        <v>6</v>
      </c>
      <c r="AK876" t="n">
        <v>11</v>
      </c>
      <c r="AL876" t="n">
        <v>2</v>
      </c>
      <c r="AM876" t="n">
        <v>5</v>
      </c>
      <c r="AN876" t="n">
        <v>0</v>
      </c>
      <c r="AO876" t="n">
        <v>0</v>
      </c>
      <c r="AP876" t="inlineStr">
        <is>
          <t>No</t>
        </is>
      </c>
      <c r="AQ876" t="inlineStr">
        <is>
          <t>Yes</t>
        </is>
      </c>
      <c r="AR876">
        <f>HYPERLINK("http://catalog.hathitrust.org/Record/003972149","HathiTrust Record")</f>
        <v/>
      </c>
      <c r="AS876">
        <f>HYPERLINK("https://creighton-primo.hosted.exlibrisgroup.com/primo-explore/search?tab=default_tab&amp;search_scope=EVERYTHING&amp;vid=01CRU&amp;lang=en_US&amp;offset=0&amp;query=any,contains,991002833949702656","Catalog Record")</f>
        <v/>
      </c>
      <c r="AT876">
        <f>HYPERLINK("http://www.worldcat.org/oclc/37322484","WorldCat Record")</f>
        <v/>
      </c>
      <c r="AU876" t="inlineStr">
        <is>
          <t>799745881:eng</t>
        </is>
      </c>
      <c r="AV876" t="inlineStr">
        <is>
          <t>37322484</t>
        </is>
      </c>
      <c r="AW876" t="inlineStr">
        <is>
          <t>991002833949702656</t>
        </is>
      </c>
      <c r="AX876" t="inlineStr">
        <is>
          <t>991002833949702656</t>
        </is>
      </c>
      <c r="AY876" t="inlineStr">
        <is>
          <t>2269324520002656</t>
        </is>
      </c>
      <c r="AZ876" t="inlineStr">
        <is>
          <t>BOOK</t>
        </is>
      </c>
      <c r="BB876" t="inlineStr">
        <is>
          <t>9780765602367</t>
        </is>
      </c>
      <c r="BC876" t="inlineStr">
        <is>
          <t>32285003488102</t>
        </is>
      </c>
      <c r="BD876" t="inlineStr">
        <is>
          <t>893530542</t>
        </is>
      </c>
    </row>
    <row r="877">
      <c r="A877" t="inlineStr">
        <is>
          <t>No</t>
        </is>
      </c>
      <c r="B877" t="inlineStr">
        <is>
          <t>DS35 .A75</t>
        </is>
      </c>
      <c r="C877" t="inlineStr">
        <is>
          <t>0                      DS 0035000A  75</t>
        </is>
      </c>
      <c r="D877" t="inlineStr">
        <is>
          <t>Asia and the western Pacific : towards a new international order / edited by Hedley Bull.</t>
        </is>
      </c>
      <c r="F877" t="inlineStr">
        <is>
          <t>No</t>
        </is>
      </c>
      <c r="G877" t="inlineStr">
        <is>
          <t>1</t>
        </is>
      </c>
      <c r="H877" t="inlineStr">
        <is>
          <t>No</t>
        </is>
      </c>
      <c r="I877" t="inlineStr">
        <is>
          <t>No</t>
        </is>
      </c>
      <c r="J877" t="inlineStr">
        <is>
          <t>0</t>
        </is>
      </c>
      <c r="L877" t="inlineStr">
        <is>
          <t>Sydney : Nelson in association with the Australian Institute of International Affairs, 1975.</t>
        </is>
      </c>
      <c r="M877" t="inlineStr">
        <is>
          <t>1975</t>
        </is>
      </c>
      <c r="O877" t="inlineStr">
        <is>
          <t>eng</t>
        </is>
      </c>
      <c r="P877" t="inlineStr">
        <is>
          <t xml:space="preserve">at </t>
        </is>
      </c>
      <c r="R877" t="inlineStr">
        <is>
          <t xml:space="preserve">DS </t>
        </is>
      </c>
      <c r="S877" t="n">
        <v>1</v>
      </c>
      <c r="T877" t="n">
        <v>1</v>
      </c>
      <c r="U877" t="inlineStr">
        <is>
          <t>2000-05-30</t>
        </is>
      </c>
      <c r="V877" t="inlineStr">
        <is>
          <t>2000-05-30</t>
        </is>
      </c>
      <c r="W877" t="inlineStr">
        <is>
          <t>1997-02-20</t>
        </is>
      </c>
      <c r="X877" t="inlineStr">
        <is>
          <t>1997-02-20</t>
        </is>
      </c>
      <c r="Y877" t="n">
        <v>276</v>
      </c>
      <c r="Z877" t="n">
        <v>183</v>
      </c>
      <c r="AA877" t="n">
        <v>185</v>
      </c>
      <c r="AB877" t="n">
        <v>2</v>
      </c>
      <c r="AC877" t="n">
        <v>2</v>
      </c>
      <c r="AD877" t="n">
        <v>7</v>
      </c>
      <c r="AE877" t="n">
        <v>7</v>
      </c>
      <c r="AF877" t="n">
        <v>1</v>
      </c>
      <c r="AG877" t="n">
        <v>1</v>
      </c>
      <c r="AH877" t="n">
        <v>2</v>
      </c>
      <c r="AI877" t="n">
        <v>2</v>
      </c>
      <c r="AJ877" t="n">
        <v>4</v>
      </c>
      <c r="AK877" t="n">
        <v>4</v>
      </c>
      <c r="AL877" t="n">
        <v>1</v>
      </c>
      <c r="AM877" t="n">
        <v>1</v>
      </c>
      <c r="AN877" t="n">
        <v>0</v>
      </c>
      <c r="AO877" t="n">
        <v>0</v>
      </c>
      <c r="AP877" t="inlineStr">
        <is>
          <t>No</t>
        </is>
      </c>
      <c r="AQ877" t="inlineStr">
        <is>
          <t>Yes</t>
        </is>
      </c>
      <c r="AR877">
        <f>HYPERLINK("http://catalog.hathitrust.org/Record/006733932","HathiTrust Record")</f>
        <v/>
      </c>
      <c r="AS877">
        <f>HYPERLINK("https://creighton-primo.hosted.exlibrisgroup.com/primo-explore/search?tab=default_tab&amp;search_scope=EVERYTHING&amp;vid=01CRU&amp;lang=en_US&amp;offset=0&amp;query=any,contains,991005369369702656","Catalog Record")</f>
        <v/>
      </c>
      <c r="AT877">
        <f>HYPERLINK("http://www.worldcat.org/oclc/2119982","WorldCat Record")</f>
        <v/>
      </c>
      <c r="AU877" t="inlineStr">
        <is>
          <t>901787944:eng</t>
        </is>
      </c>
      <c r="AV877" t="inlineStr">
        <is>
          <t>2119982</t>
        </is>
      </c>
      <c r="AW877" t="inlineStr">
        <is>
          <t>991005369369702656</t>
        </is>
      </c>
      <c r="AX877" t="inlineStr">
        <is>
          <t>991005369369702656</t>
        </is>
      </c>
      <c r="AY877" t="inlineStr">
        <is>
          <t>2267897900002656</t>
        </is>
      </c>
      <c r="AZ877" t="inlineStr">
        <is>
          <t>BOOK</t>
        </is>
      </c>
      <c r="BB877" t="inlineStr">
        <is>
          <t>9780170050463</t>
        </is>
      </c>
      <c r="BC877" t="inlineStr">
        <is>
          <t>32285002467206</t>
        </is>
      </c>
      <c r="BD877" t="inlineStr">
        <is>
          <t>893707782</t>
        </is>
      </c>
    </row>
    <row r="878">
      <c r="A878" t="inlineStr">
        <is>
          <t>No</t>
        </is>
      </c>
      <c r="B878" t="inlineStr">
        <is>
          <t>DS35 .B3</t>
        </is>
      </c>
      <c r="C878" t="inlineStr">
        <is>
          <t>0                      DS 0035000B  3</t>
        </is>
      </c>
      <c r="D878" t="inlineStr">
        <is>
          <t>Communist strategies in Asia; a comparative analysis of governments and parties.</t>
        </is>
      </c>
      <c r="F878" t="inlineStr">
        <is>
          <t>No</t>
        </is>
      </c>
      <c r="G878" t="inlineStr">
        <is>
          <t>1</t>
        </is>
      </c>
      <c r="H878" t="inlineStr">
        <is>
          <t>No</t>
        </is>
      </c>
      <c r="I878" t="inlineStr">
        <is>
          <t>No</t>
        </is>
      </c>
      <c r="J878" t="inlineStr">
        <is>
          <t>0</t>
        </is>
      </c>
      <c r="K878" t="inlineStr">
        <is>
          <t>Barnett, A. Doak editor.</t>
        </is>
      </c>
      <c r="L878" t="inlineStr">
        <is>
          <t>New York, Praeger [1963]</t>
        </is>
      </c>
      <c r="M878" t="inlineStr">
        <is>
          <t>1963</t>
        </is>
      </c>
      <c r="O878" t="inlineStr">
        <is>
          <t>eng</t>
        </is>
      </c>
      <c r="P878" t="inlineStr">
        <is>
          <t>nyu</t>
        </is>
      </c>
      <c r="Q878" t="inlineStr">
        <is>
          <t>Praeger publications in Russian history and world communism ; no. 132</t>
        </is>
      </c>
      <c r="R878" t="inlineStr">
        <is>
          <t xml:space="preserve">DS </t>
        </is>
      </c>
      <c r="S878" t="n">
        <v>1</v>
      </c>
      <c r="T878" t="n">
        <v>1</v>
      </c>
      <c r="U878" t="inlineStr">
        <is>
          <t>2000-05-30</t>
        </is>
      </c>
      <c r="V878" t="inlineStr">
        <is>
          <t>2000-05-30</t>
        </is>
      </c>
      <c r="W878" t="inlineStr">
        <is>
          <t>1997-02-20</t>
        </is>
      </c>
      <c r="X878" t="inlineStr">
        <is>
          <t>1997-02-20</t>
        </is>
      </c>
      <c r="Y878" t="n">
        <v>715</v>
      </c>
      <c r="Z878" t="n">
        <v>626</v>
      </c>
      <c r="AA878" t="n">
        <v>683</v>
      </c>
      <c r="AB878" t="n">
        <v>3</v>
      </c>
      <c r="AC878" t="n">
        <v>3</v>
      </c>
      <c r="AD878" t="n">
        <v>25</v>
      </c>
      <c r="AE878" t="n">
        <v>26</v>
      </c>
      <c r="AF878" t="n">
        <v>8</v>
      </c>
      <c r="AG878" t="n">
        <v>9</v>
      </c>
      <c r="AH878" t="n">
        <v>7</v>
      </c>
      <c r="AI878" t="n">
        <v>7</v>
      </c>
      <c r="AJ878" t="n">
        <v>14</v>
      </c>
      <c r="AK878" t="n">
        <v>15</v>
      </c>
      <c r="AL878" t="n">
        <v>2</v>
      </c>
      <c r="AM878" t="n">
        <v>2</v>
      </c>
      <c r="AN878" t="n">
        <v>0</v>
      </c>
      <c r="AO878" t="n">
        <v>0</v>
      </c>
      <c r="AP878" t="inlineStr">
        <is>
          <t>No</t>
        </is>
      </c>
      <c r="AQ878" t="inlineStr">
        <is>
          <t>No</t>
        </is>
      </c>
      <c r="AR878">
        <f>HYPERLINK("http://catalog.hathitrust.org/Record/001240268","HathiTrust Record")</f>
        <v/>
      </c>
      <c r="AS878">
        <f>HYPERLINK("https://creighton-primo.hosted.exlibrisgroup.com/primo-explore/search?tab=default_tab&amp;search_scope=EVERYTHING&amp;vid=01CRU&amp;lang=en_US&amp;offset=0&amp;query=any,contains,991005355169702656","Catalog Record")</f>
        <v/>
      </c>
      <c r="AT878">
        <f>HYPERLINK("http://www.worldcat.org/oclc/398241","WorldCat Record")</f>
        <v/>
      </c>
      <c r="AU878" t="inlineStr">
        <is>
          <t>195446071:eng</t>
        </is>
      </c>
      <c r="AV878" t="inlineStr">
        <is>
          <t>398241</t>
        </is>
      </c>
      <c r="AW878" t="inlineStr">
        <is>
          <t>991005355169702656</t>
        </is>
      </c>
      <c r="AX878" t="inlineStr">
        <is>
          <t>991005355169702656</t>
        </is>
      </c>
      <c r="AY878" t="inlineStr">
        <is>
          <t>2259629460002656</t>
        </is>
      </c>
      <c r="AZ878" t="inlineStr">
        <is>
          <t>BOOK</t>
        </is>
      </c>
      <c r="BC878" t="inlineStr">
        <is>
          <t>32285002467214</t>
        </is>
      </c>
      <c r="BD878" t="inlineStr">
        <is>
          <t>893437575</t>
        </is>
      </c>
    </row>
    <row r="879">
      <c r="A879" t="inlineStr">
        <is>
          <t>No</t>
        </is>
      </c>
      <c r="B879" t="inlineStr">
        <is>
          <t>DS35 .C66 1979</t>
        </is>
      </c>
      <c r="C879" t="inlineStr">
        <is>
          <t>0                      DS 0035000C  66          1979</t>
        </is>
      </c>
      <c r="D879" t="inlineStr">
        <is>
          <t>Asian security in the 1980s : problems and policies for a time of transition / Richard H. Solomon, editor.</t>
        </is>
      </c>
      <c r="F879" t="inlineStr">
        <is>
          <t>No</t>
        </is>
      </c>
      <c r="G879" t="inlineStr">
        <is>
          <t>1</t>
        </is>
      </c>
      <c r="H879" t="inlineStr">
        <is>
          <t>No</t>
        </is>
      </c>
      <c r="I879" t="inlineStr">
        <is>
          <t>No</t>
        </is>
      </c>
      <c r="J879" t="inlineStr">
        <is>
          <t>0</t>
        </is>
      </c>
      <c r="K879" t="inlineStr">
        <is>
          <t>Conference on East Asian Security in the 1980s (1979 : Santa Monica, Calif.)</t>
        </is>
      </c>
      <c r="L879" t="inlineStr">
        <is>
          <t>Cambridge, Mass. : Oelgeschlager, Gunn &amp; Hain, c1980.</t>
        </is>
      </c>
      <c r="M879" t="inlineStr">
        <is>
          <t>1980</t>
        </is>
      </c>
      <c r="O879" t="inlineStr">
        <is>
          <t>eng</t>
        </is>
      </c>
      <c r="P879" t="inlineStr">
        <is>
          <t>mau</t>
        </is>
      </c>
      <c r="R879" t="inlineStr">
        <is>
          <t xml:space="preserve">DS </t>
        </is>
      </c>
      <c r="S879" t="n">
        <v>1</v>
      </c>
      <c r="T879" t="n">
        <v>1</v>
      </c>
      <c r="U879" t="inlineStr">
        <is>
          <t>2005-11-18</t>
        </is>
      </c>
      <c r="V879" t="inlineStr">
        <is>
          <t>2005-11-18</t>
        </is>
      </c>
      <c r="W879" t="inlineStr">
        <is>
          <t>1990-09-13</t>
        </is>
      </c>
      <c r="X879" t="inlineStr">
        <is>
          <t>1990-09-13</t>
        </is>
      </c>
      <c r="Y879" t="n">
        <v>286</v>
      </c>
      <c r="Z879" t="n">
        <v>226</v>
      </c>
      <c r="AA879" t="n">
        <v>326</v>
      </c>
      <c r="AB879" t="n">
        <v>2</v>
      </c>
      <c r="AC879" t="n">
        <v>3</v>
      </c>
      <c r="AD879" t="n">
        <v>10</v>
      </c>
      <c r="AE879" t="n">
        <v>17</v>
      </c>
      <c r="AF879" t="n">
        <v>3</v>
      </c>
      <c r="AG879" t="n">
        <v>4</v>
      </c>
      <c r="AH879" t="n">
        <v>4</v>
      </c>
      <c r="AI879" t="n">
        <v>4</v>
      </c>
      <c r="AJ879" t="n">
        <v>5</v>
      </c>
      <c r="AK879" t="n">
        <v>11</v>
      </c>
      <c r="AL879" t="n">
        <v>1</v>
      </c>
      <c r="AM879" t="n">
        <v>2</v>
      </c>
      <c r="AN879" t="n">
        <v>0</v>
      </c>
      <c r="AO879" t="n">
        <v>0</v>
      </c>
      <c r="AP879" t="inlineStr">
        <is>
          <t>No</t>
        </is>
      </c>
      <c r="AQ879" t="inlineStr">
        <is>
          <t>Yes</t>
        </is>
      </c>
      <c r="AR879">
        <f>HYPERLINK("http://catalog.hathitrust.org/Record/000709216","HathiTrust Record")</f>
        <v/>
      </c>
      <c r="AS879">
        <f>HYPERLINK("https://creighton-primo.hosted.exlibrisgroup.com/primo-explore/search?tab=default_tab&amp;search_scope=EVERYTHING&amp;vid=01CRU&amp;lang=en_US&amp;offset=0&amp;query=any,contains,991004979389702656","Catalog Record")</f>
        <v/>
      </c>
      <c r="AT879">
        <f>HYPERLINK("http://www.worldcat.org/oclc/6421173","WorldCat Record")</f>
        <v/>
      </c>
      <c r="AU879" t="inlineStr">
        <is>
          <t>477855733:eng</t>
        </is>
      </c>
      <c r="AV879" t="inlineStr">
        <is>
          <t>6421173</t>
        </is>
      </c>
      <c r="AW879" t="inlineStr">
        <is>
          <t>991004979389702656</t>
        </is>
      </c>
      <c r="AX879" t="inlineStr">
        <is>
          <t>991004979389702656</t>
        </is>
      </c>
      <c r="AY879" t="inlineStr">
        <is>
          <t>2270551810002656</t>
        </is>
      </c>
      <c r="AZ879" t="inlineStr">
        <is>
          <t>BOOK</t>
        </is>
      </c>
      <c r="BB879" t="inlineStr">
        <is>
          <t>9780899460376</t>
        </is>
      </c>
      <c r="BC879" t="inlineStr">
        <is>
          <t>32285000291251</t>
        </is>
      </c>
      <c r="BD879" t="inlineStr">
        <is>
          <t>893801552</t>
        </is>
      </c>
    </row>
    <row r="880">
      <c r="A880" t="inlineStr">
        <is>
          <t>No</t>
        </is>
      </c>
      <c r="B880" t="inlineStr">
        <is>
          <t>DS35 .G57 1997</t>
        </is>
      </c>
      <c r="C880" t="inlineStr">
        <is>
          <t>0                      DS 0035000G  57          1997</t>
        </is>
      </c>
      <c r="D880" t="inlineStr">
        <is>
          <t>The new Asian renaissance : from colonialism to the post-Cold War / François Godement ; translated by Elisabeth J. Parcell.</t>
        </is>
      </c>
      <c r="F880" t="inlineStr">
        <is>
          <t>No</t>
        </is>
      </c>
      <c r="G880" t="inlineStr">
        <is>
          <t>1</t>
        </is>
      </c>
      <c r="H880" t="inlineStr">
        <is>
          <t>No</t>
        </is>
      </c>
      <c r="I880" t="inlineStr">
        <is>
          <t>No</t>
        </is>
      </c>
      <c r="J880" t="inlineStr">
        <is>
          <t>0</t>
        </is>
      </c>
      <c r="K880" t="inlineStr">
        <is>
          <t>Godement, François.</t>
        </is>
      </c>
      <c r="L880" t="inlineStr">
        <is>
          <t>London ; New York : Routledge, 1997.</t>
        </is>
      </c>
      <c r="M880" t="inlineStr">
        <is>
          <t>1997</t>
        </is>
      </c>
      <c r="O880" t="inlineStr">
        <is>
          <t>eng</t>
        </is>
      </c>
      <c r="P880" t="inlineStr">
        <is>
          <t>enk</t>
        </is>
      </c>
      <c r="R880" t="inlineStr">
        <is>
          <t xml:space="preserve">DS </t>
        </is>
      </c>
      <c r="S880" t="n">
        <v>2</v>
      </c>
      <c r="T880" t="n">
        <v>2</v>
      </c>
      <c r="U880" t="inlineStr">
        <is>
          <t>1997-10-04</t>
        </is>
      </c>
      <c r="V880" t="inlineStr">
        <is>
          <t>1997-10-04</t>
        </is>
      </c>
      <c r="W880" t="inlineStr">
        <is>
          <t>1997-06-06</t>
        </is>
      </c>
      <c r="X880" t="inlineStr">
        <is>
          <t>1997-06-06</t>
        </is>
      </c>
      <c r="Y880" t="n">
        <v>203</v>
      </c>
      <c r="Z880" t="n">
        <v>158</v>
      </c>
      <c r="AA880" t="n">
        <v>204</v>
      </c>
      <c r="AB880" t="n">
        <v>2</v>
      </c>
      <c r="AC880" t="n">
        <v>2</v>
      </c>
      <c r="AD880" t="n">
        <v>6</v>
      </c>
      <c r="AE880" t="n">
        <v>8</v>
      </c>
      <c r="AF880" t="n">
        <v>2</v>
      </c>
      <c r="AG880" t="n">
        <v>3</v>
      </c>
      <c r="AH880" t="n">
        <v>2</v>
      </c>
      <c r="AI880" t="n">
        <v>4</v>
      </c>
      <c r="AJ880" t="n">
        <v>3</v>
      </c>
      <c r="AK880" t="n">
        <v>4</v>
      </c>
      <c r="AL880" t="n">
        <v>1</v>
      </c>
      <c r="AM880" t="n">
        <v>1</v>
      </c>
      <c r="AN880" t="n">
        <v>0</v>
      </c>
      <c r="AO880" t="n">
        <v>0</v>
      </c>
      <c r="AP880" t="inlineStr">
        <is>
          <t>No</t>
        </is>
      </c>
      <c r="AQ880" t="inlineStr">
        <is>
          <t>No</t>
        </is>
      </c>
      <c r="AS880">
        <f>HYPERLINK("https://creighton-primo.hosted.exlibrisgroup.com/primo-explore/search?tab=default_tab&amp;search_scope=EVERYTHING&amp;vid=01CRU&amp;lang=en_US&amp;offset=0&amp;query=any,contains,991002659559702656","Catalog Record")</f>
        <v/>
      </c>
      <c r="AT880">
        <f>HYPERLINK("http://www.worldcat.org/oclc/34767420","WorldCat Record")</f>
        <v/>
      </c>
      <c r="AU880" t="inlineStr">
        <is>
          <t>1151771290:eng</t>
        </is>
      </c>
      <c r="AV880" t="inlineStr">
        <is>
          <t>34767420</t>
        </is>
      </c>
      <c r="AW880" t="inlineStr">
        <is>
          <t>991002659559702656</t>
        </is>
      </c>
      <c r="AX880" t="inlineStr">
        <is>
          <t>991002659559702656</t>
        </is>
      </c>
      <c r="AY880" t="inlineStr">
        <is>
          <t>2270782580002656</t>
        </is>
      </c>
      <c r="AZ880" t="inlineStr">
        <is>
          <t>BOOK</t>
        </is>
      </c>
      <c r="BB880" t="inlineStr">
        <is>
          <t>9780415118569</t>
        </is>
      </c>
      <c r="BC880" t="inlineStr">
        <is>
          <t>32285002750288</t>
        </is>
      </c>
      <c r="BD880" t="inlineStr">
        <is>
          <t>893245456</t>
        </is>
      </c>
    </row>
    <row r="881">
      <c r="A881" t="inlineStr">
        <is>
          <t>No</t>
        </is>
      </c>
      <c r="B881" t="inlineStr">
        <is>
          <t>DS35 .J37</t>
        </is>
      </c>
      <c r="C881" t="inlineStr">
        <is>
          <t>0                      DS 0035000J  37</t>
        </is>
      </c>
      <c r="D881" t="inlineStr">
        <is>
          <t>International politics of Asia: readings, edited by George P. Jan.</t>
        </is>
      </c>
      <c r="F881" t="inlineStr">
        <is>
          <t>No</t>
        </is>
      </c>
      <c r="G881" t="inlineStr">
        <is>
          <t>1</t>
        </is>
      </c>
      <c r="H881" t="inlineStr">
        <is>
          <t>No</t>
        </is>
      </c>
      <c r="I881" t="inlineStr">
        <is>
          <t>No</t>
        </is>
      </c>
      <c r="J881" t="inlineStr">
        <is>
          <t>0</t>
        </is>
      </c>
      <c r="K881" t="inlineStr">
        <is>
          <t>Jan, George P., compiler.</t>
        </is>
      </c>
      <c r="L881" t="inlineStr">
        <is>
          <t>Belmont, Calif., Wadsworth Pub. Co. [1969]</t>
        </is>
      </c>
      <c r="M881" t="inlineStr">
        <is>
          <t>1969</t>
        </is>
      </c>
      <c r="O881" t="inlineStr">
        <is>
          <t>eng</t>
        </is>
      </c>
      <c r="P881" t="inlineStr">
        <is>
          <t>cau</t>
        </is>
      </c>
      <c r="R881" t="inlineStr">
        <is>
          <t xml:space="preserve">DS </t>
        </is>
      </c>
      <c r="S881" t="n">
        <v>1</v>
      </c>
      <c r="T881" t="n">
        <v>1</v>
      </c>
      <c r="U881" t="inlineStr">
        <is>
          <t>2005-11-18</t>
        </is>
      </c>
      <c r="V881" t="inlineStr">
        <is>
          <t>2005-11-18</t>
        </is>
      </c>
      <c r="W881" t="inlineStr">
        <is>
          <t>1996-04-24</t>
        </is>
      </c>
      <c r="X881" t="inlineStr">
        <is>
          <t>1996-04-24</t>
        </is>
      </c>
      <c r="Y881" t="n">
        <v>255</v>
      </c>
      <c r="Z881" t="n">
        <v>203</v>
      </c>
      <c r="AA881" t="n">
        <v>209</v>
      </c>
      <c r="AB881" t="n">
        <v>3</v>
      </c>
      <c r="AC881" t="n">
        <v>3</v>
      </c>
      <c r="AD881" t="n">
        <v>9</v>
      </c>
      <c r="AE881" t="n">
        <v>9</v>
      </c>
      <c r="AF881" t="n">
        <v>5</v>
      </c>
      <c r="AG881" t="n">
        <v>5</v>
      </c>
      <c r="AH881" t="n">
        <v>1</v>
      </c>
      <c r="AI881" t="n">
        <v>1</v>
      </c>
      <c r="AJ881" t="n">
        <v>4</v>
      </c>
      <c r="AK881" t="n">
        <v>4</v>
      </c>
      <c r="AL881" t="n">
        <v>2</v>
      </c>
      <c r="AM881" t="n">
        <v>2</v>
      </c>
      <c r="AN881" t="n">
        <v>0</v>
      </c>
      <c r="AO881" t="n">
        <v>0</v>
      </c>
      <c r="AP881" t="inlineStr">
        <is>
          <t>No</t>
        </is>
      </c>
      <c r="AQ881" t="inlineStr">
        <is>
          <t>Yes</t>
        </is>
      </c>
      <c r="AR881">
        <f>HYPERLINK("http://catalog.hathitrust.org/Record/007855501","HathiTrust Record")</f>
        <v/>
      </c>
      <c r="AS881">
        <f>HYPERLINK("https://creighton-primo.hosted.exlibrisgroup.com/primo-explore/search?tab=default_tab&amp;search_scope=EVERYTHING&amp;vid=01CRU&amp;lang=en_US&amp;offset=0&amp;query=any,contains,991000060509702656","Catalog Record")</f>
        <v/>
      </c>
      <c r="AT881">
        <f>HYPERLINK("http://www.worldcat.org/oclc/24469","WorldCat Record")</f>
        <v/>
      </c>
      <c r="AU881" t="inlineStr">
        <is>
          <t>1146681:eng</t>
        </is>
      </c>
      <c r="AV881" t="inlineStr">
        <is>
          <t>24469</t>
        </is>
      </c>
      <c r="AW881" t="inlineStr">
        <is>
          <t>991000060509702656</t>
        </is>
      </c>
      <c r="AX881" t="inlineStr">
        <is>
          <t>991000060509702656</t>
        </is>
      </c>
      <c r="AY881" t="inlineStr">
        <is>
          <t>2266715330002656</t>
        </is>
      </c>
      <c r="AZ881" t="inlineStr">
        <is>
          <t>BOOK</t>
        </is>
      </c>
      <c r="BC881" t="inlineStr">
        <is>
          <t>32285002120979</t>
        </is>
      </c>
      <c r="BD881" t="inlineStr">
        <is>
          <t>893871371</t>
        </is>
      </c>
    </row>
    <row r="882">
      <c r="A882" t="inlineStr">
        <is>
          <t>No</t>
        </is>
      </c>
      <c r="B882" t="inlineStr">
        <is>
          <t>DS35 .J38 1996</t>
        </is>
      </c>
      <c r="C882" t="inlineStr">
        <is>
          <t>0                      DS 0035000J  38          1996</t>
        </is>
      </c>
      <c r="D882" t="inlineStr">
        <is>
          <t>The Japanese wartime empire, 1931-1945 / edited by Peter Duus, Ramon H. Myers, and Mark R. Peattie ; contributors Wan-yao Chou ... [et al.].</t>
        </is>
      </c>
      <c r="F882" t="inlineStr">
        <is>
          <t>No</t>
        </is>
      </c>
      <c r="G882" t="inlineStr">
        <is>
          <t>1</t>
        </is>
      </c>
      <c r="H882" t="inlineStr">
        <is>
          <t>No</t>
        </is>
      </c>
      <c r="I882" t="inlineStr">
        <is>
          <t>No</t>
        </is>
      </c>
      <c r="J882" t="inlineStr">
        <is>
          <t>0</t>
        </is>
      </c>
      <c r="L882" t="inlineStr">
        <is>
          <t>Princeton, N.J. : Princeton University Press, c1996.</t>
        </is>
      </c>
      <c r="M882" t="inlineStr">
        <is>
          <t>1996</t>
        </is>
      </c>
      <c r="O882" t="inlineStr">
        <is>
          <t>eng</t>
        </is>
      </c>
      <c r="P882" t="inlineStr">
        <is>
          <t>nju</t>
        </is>
      </c>
      <c r="R882" t="inlineStr">
        <is>
          <t xml:space="preserve">DS </t>
        </is>
      </c>
      <c r="S882" t="n">
        <v>9</v>
      </c>
      <c r="T882" t="n">
        <v>9</v>
      </c>
      <c r="U882" t="inlineStr">
        <is>
          <t>2007-04-09</t>
        </is>
      </c>
      <c r="V882" t="inlineStr">
        <is>
          <t>2007-04-09</t>
        </is>
      </c>
      <c r="W882" t="inlineStr">
        <is>
          <t>1997-04-02</t>
        </is>
      </c>
      <c r="X882" t="inlineStr">
        <is>
          <t>1997-04-02</t>
        </is>
      </c>
      <c r="Y882" t="n">
        <v>621</v>
      </c>
      <c r="Z882" t="n">
        <v>466</v>
      </c>
      <c r="AA882" t="n">
        <v>613</v>
      </c>
      <c r="AB882" t="n">
        <v>4</v>
      </c>
      <c r="AC882" t="n">
        <v>6</v>
      </c>
      <c r="AD882" t="n">
        <v>26</v>
      </c>
      <c r="AE882" t="n">
        <v>35</v>
      </c>
      <c r="AF882" t="n">
        <v>8</v>
      </c>
      <c r="AG882" t="n">
        <v>11</v>
      </c>
      <c r="AH882" t="n">
        <v>5</v>
      </c>
      <c r="AI882" t="n">
        <v>8</v>
      </c>
      <c r="AJ882" t="n">
        <v>15</v>
      </c>
      <c r="AK882" t="n">
        <v>18</v>
      </c>
      <c r="AL882" t="n">
        <v>3</v>
      </c>
      <c r="AM882" t="n">
        <v>5</v>
      </c>
      <c r="AN882" t="n">
        <v>0</v>
      </c>
      <c r="AO882" t="n">
        <v>0</v>
      </c>
      <c r="AP882" t="inlineStr">
        <is>
          <t>No</t>
        </is>
      </c>
      <c r="AQ882" t="inlineStr">
        <is>
          <t>No</t>
        </is>
      </c>
      <c r="AS882">
        <f>HYPERLINK("https://creighton-primo.hosted.exlibrisgroup.com/primo-explore/search?tab=default_tab&amp;search_scope=EVERYTHING&amp;vid=01CRU&amp;lang=en_US&amp;offset=0&amp;query=any,contains,991005422229702656","Catalog Record")</f>
        <v/>
      </c>
      <c r="AT882">
        <f>HYPERLINK("http://www.worldcat.org/oclc/33102557","WorldCat Record")</f>
        <v/>
      </c>
      <c r="AU882" t="inlineStr">
        <is>
          <t>1117774225:eng</t>
        </is>
      </c>
      <c r="AV882" t="inlineStr">
        <is>
          <t>33102557</t>
        </is>
      </c>
      <c r="AW882" t="inlineStr">
        <is>
          <t>991005422229702656</t>
        </is>
      </c>
      <c r="AX882" t="inlineStr">
        <is>
          <t>991005422229702656</t>
        </is>
      </c>
      <c r="AY882" t="inlineStr">
        <is>
          <t>2272061110002656</t>
        </is>
      </c>
      <c r="AZ882" t="inlineStr">
        <is>
          <t>BOOK</t>
        </is>
      </c>
      <c r="BB882" t="inlineStr">
        <is>
          <t>9780691043821</t>
        </is>
      </c>
      <c r="BC882" t="inlineStr">
        <is>
          <t>32285002477957</t>
        </is>
      </c>
      <c r="BD882" t="inlineStr">
        <is>
          <t>893254986</t>
        </is>
      </c>
    </row>
    <row r="883">
      <c r="A883" t="inlineStr">
        <is>
          <t>No</t>
        </is>
      </c>
      <c r="B883" t="inlineStr">
        <is>
          <t>DS35.2 .K735 2002</t>
        </is>
      </c>
      <c r="C883" t="inlineStr">
        <is>
          <t>0                      DS 0035200K  735         2002</t>
        </is>
      </c>
      <c r="D883" t="inlineStr">
        <is>
          <t>The carpet wars : from Kabul to Baghdad : a ten-year journey along ancient trade routes / Christopher Kremmer.</t>
        </is>
      </c>
      <c r="F883" t="inlineStr">
        <is>
          <t>No</t>
        </is>
      </c>
      <c r="G883" t="inlineStr">
        <is>
          <t>1</t>
        </is>
      </c>
      <c r="H883" t="inlineStr">
        <is>
          <t>No</t>
        </is>
      </c>
      <c r="I883" t="inlineStr">
        <is>
          <t>No</t>
        </is>
      </c>
      <c r="J883" t="inlineStr">
        <is>
          <t>0</t>
        </is>
      </c>
      <c r="K883" t="inlineStr">
        <is>
          <t>Kremmer, Christopher.</t>
        </is>
      </c>
      <c r="L883" t="inlineStr">
        <is>
          <t>New York : Ecco, c2002.</t>
        </is>
      </c>
      <c r="M883" t="inlineStr">
        <is>
          <t>2002</t>
        </is>
      </c>
      <c r="N883" t="inlineStr">
        <is>
          <t>1st American ed.</t>
        </is>
      </c>
      <c r="O883" t="inlineStr">
        <is>
          <t>eng</t>
        </is>
      </c>
      <c r="P883" t="inlineStr">
        <is>
          <t>nyu</t>
        </is>
      </c>
      <c r="R883" t="inlineStr">
        <is>
          <t xml:space="preserve">DS </t>
        </is>
      </c>
      <c r="S883" t="n">
        <v>6</v>
      </c>
      <c r="T883" t="n">
        <v>6</v>
      </c>
      <c r="U883" t="inlineStr">
        <is>
          <t>2002-06-12</t>
        </is>
      </c>
      <c r="V883" t="inlineStr">
        <is>
          <t>2002-06-12</t>
        </is>
      </c>
      <c r="W883" t="inlineStr">
        <is>
          <t>2002-05-22</t>
        </is>
      </c>
      <c r="X883" t="inlineStr">
        <is>
          <t>2002-05-22</t>
        </is>
      </c>
      <c r="Y883" t="n">
        <v>583</v>
      </c>
      <c r="Z883" t="n">
        <v>561</v>
      </c>
      <c r="AA883" t="n">
        <v>578</v>
      </c>
      <c r="AB883" t="n">
        <v>4</v>
      </c>
      <c r="AC883" t="n">
        <v>4</v>
      </c>
      <c r="AD883" t="n">
        <v>11</v>
      </c>
      <c r="AE883" t="n">
        <v>11</v>
      </c>
      <c r="AF883" t="n">
        <v>3</v>
      </c>
      <c r="AG883" t="n">
        <v>3</v>
      </c>
      <c r="AH883" t="n">
        <v>2</v>
      </c>
      <c r="AI883" t="n">
        <v>2</v>
      </c>
      <c r="AJ883" t="n">
        <v>6</v>
      </c>
      <c r="AK883" t="n">
        <v>6</v>
      </c>
      <c r="AL883" t="n">
        <v>2</v>
      </c>
      <c r="AM883" t="n">
        <v>2</v>
      </c>
      <c r="AN883" t="n">
        <v>0</v>
      </c>
      <c r="AO883" t="n">
        <v>0</v>
      </c>
      <c r="AP883" t="inlineStr">
        <is>
          <t>No</t>
        </is>
      </c>
      <c r="AQ883" t="inlineStr">
        <is>
          <t>No</t>
        </is>
      </c>
      <c r="AS883">
        <f>HYPERLINK("https://creighton-primo.hosted.exlibrisgroup.com/primo-explore/search?tab=default_tab&amp;search_scope=EVERYTHING&amp;vid=01CRU&amp;lang=en_US&amp;offset=0&amp;query=any,contains,991003800509702656","Catalog Record")</f>
        <v/>
      </c>
      <c r="AT883">
        <f>HYPERLINK("http://www.worldcat.org/oclc/48892863","WorldCat Record")</f>
        <v/>
      </c>
      <c r="AU883" t="inlineStr">
        <is>
          <t>10278562340:eng</t>
        </is>
      </c>
      <c r="AV883" t="inlineStr">
        <is>
          <t>48892863</t>
        </is>
      </c>
      <c r="AW883" t="inlineStr">
        <is>
          <t>991003800509702656</t>
        </is>
      </c>
      <c r="AX883" t="inlineStr">
        <is>
          <t>991003800509702656</t>
        </is>
      </c>
      <c r="AY883" t="inlineStr">
        <is>
          <t>2269204970002656</t>
        </is>
      </c>
      <c r="AZ883" t="inlineStr">
        <is>
          <t>BOOK</t>
        </is>
      </c>
      <c r="BB883" t="inlineStr">
        <is>
          <t>9780060097325</t>
        </is>
      </c>
      <c r="BC883" t="inlineStr">
        <is>
          <t>32285004489596</t>
        </is>
      </c>
      <c r="BD883" t="inlineStr">
        <is>
          <t>893246748</t>
        </is>
      </c>
    </row>
    <row r="884">
      <c r="A884" t="inlineStr">
        <is>
          <t>No</t>
        </is>
      </c>
      <c r="B884" t="inlineStr">
        <is>
          <t>DS35.2 .S43 2004</t>
        </is>
      </c>
      <c r="C884" t="inlineStr">
        <is>
          <t>0                      DS 0035200S  43          2004</t>
        </is>
      </c>
      <c r="D884" t="inlineStr">
        <is>
          <t>Searching for peace in Asia Pacific : an overview of conflict prevention and peacebuilding activities / edited by Annelies Heijmans, Nicola Simmonds, and Hans van de Veen.</t>
        </is>
      </c>
      <c r="F884" t="inlineStr">
        <is>
          <t>No</t>
        </is>
      </c>
      <c r="G884" t="inlineStr">
        <is>
          <t>1</t>
        </is>
      </c>
      <c r="H884" t="inlineStr">
        <is>
          <t>No</t>
        </is>
      </c>
      <c r="I884" t="inlineStr">
        <is>
          <t>No</t>
        </is>
      </c>
      <c r="J884" t="inlineStr">
        <is>
          <t>0</t>
        </is>
      </c>
      <c r="L884" t="inlineStr">
        <is>
          <t>Boulder, Colo. : Lynne Rienner Publishers, 2004.</t>
        </is>
      </c>
      <c r="M884" t="inlineStr">
        <is>
          <t>2004</t>
        </is>
      </c>
      <c r="O884" t="inlineStr">
        <is>
          <t>eng</t>
        </is>
      </c>
      <c r="P884" t="inlineStr">
        <is>
          <t>cou</t>
        </is>
      </c>
      <c r="R884" t="inlineStr">
        <is>
          <t xml:space="preserve">DS </t>
        </is>
      </c>
      <c r="S884" t="n">
        <v>1</v>
      </c>
      <c r="T884" t="n">
        <v>1</v>
      </c>
      <c r="U884" t="inlineStr">
        <is>
          <t>2004-11-22</t>
        </is>
      </c>
      <c r="V884" t="inlineStr">
        <is>
          <t>2004-11-22</t>
        </is>
      </c>
      <c r="W884" t="inlineStr">
        <is>
          <t>2004-11-22</t>
        </is>
      </c>
      <c r="X884" t="inlineStr">
        <is>
          <t>2004-11-22</t>
        </is>
      </c>
      <c r="Y884" t="n">
        <v>297</v>
      </c>
      <c r="Z884" t="n">
        <v>169</v>
      </c>
      <c r="AA884" t="n">
        <v>169</v>
      </c>
      <c r="AB884" t="n">
        <v>1</v>
      </c>
      <c r="AC884" t="n">
        <v>1</v>
      </c>
      <c r="AD884" t="n">
        <v>5</v>
      </c>
      <c r="AE884" t="n">
        <v>5</v>
      </c>
      <c r="AF884" t="n">
        <v>0</v>
      </c>
      <c r="AG884" t="n">
        <v>0</v>
      </c>
      <c r="AH884" t="n">
        <v>3</v>
      </c>
      <c r="AI884" t="n">
        <v>3</v>
      </c>
      <c r="AJ884" t="n">
        <v>4</v>
      </c>
      <c r="AK884" t="n">
        <v>4</v>
      </c>
      <c r="AL884" t="n">
        <v>0</v>
      </c>
      <c r="AM884" t="n">
        <v>0</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HYPERLINK("https://creighton-primo.hosted.exlibrisgroup.com/primo-explore/search?tab=default_tab&amp;search_scope=EVERYTHING&amp;vid=01CRU&amp;lang=en_US&amp;offset=0&amp;query=any,contains,991004375359702656","Catalog Record")</f>
        <v/>
      </c>
      <c r="AT884">
        <f>HYPERLINK("http://www.worldcat.org/oclc/55044455","WorldCat Record")</f>
        <v/>
      </c>
      <c r="AU884" t="inlineStr">
        <is>
          <t>891461841:eng</t>
        </is>
      </c>
      <c r="AV884" t="inlineStr">
        <is>
          <t>55044455</t>
        </is>
      </c>
      <c r="AW884" t="inlineStr">
        <is>
          <t>991004375359702656</t>
        </is>
      </c>
      <c r="AX884" t="inlineStr">
        <is>
          <t>991004375359702656</t>
        </is>
      </c>
      <c r="AY884" t="inlineStr">
        <is>
          <t>2266334630002656</t>
        </is>
      </c>
      <c r="AZ884" t="inlineStr">
        <is>
          <t>BOOK</t>
        </is>
      </c>
      <c r="BB884" t="inlineStr">
        <is>
          <t>9781588262141</t>
        </is>
      </c>
      <c r="BC884" t="inlineStr">
        <is>
          <t>32285005012314</t>
        </is>
      </c>
      <c r="BD884" t="inlineStr">
        <is>
          <t>893800902</t>
        </is>
      </c>
    </row>
    <row r="885">
      <c r="A885" t="inlineStr">
        <is>
          <t>No</t>
        </is>
      </c>
      <c r="B885" t="inlineStr">
        <is>
          <t>DS35.3 .K43 2001</t>
        </is>
      </c>
      <c r="C885" t="inlineStr">
        <is>
          <t>0                      DS 0035300K  43          2001</t>
        </is>
      </c>
      <c r="D885" t="inlineStr">
        <is>
          <t>Reasserting international Islam : a focus on the Organization of the Islamic Conference and other Islamic institutions / Saad S. Khan ; foreword by John L. Esposito.</t>
        </is>
      </c>
      <c r="F885" t="inlineStr">
        <is>
          <t>No</t>
        </is>
      </c>
      <c r="G885" t="inlineStr">
        <is>
          <t>1</t>
        </is>
      </c>
      <c r="H885" t="inlineStr">
        <is>
          <t>No</t>
        </is>
      </c>
      <c r="I885" t="inlineStr">
        <is>
          <t>No</t>
        </is>
      </c>
      <c r="J885" t="inlineStr">
        <is>
          <t>0</t>
        </is>
      </c>
      <c r="K885" t="inlineStr">
        <is>
          <t>Khan, Saad S.</t>
        </is>
      </c>
      <c r="L885" t="inlineStr">
        <is>
          <t>Karachi ; New York : Oxford University Press, 2001.</t>
        </is>
      </c>
      <c r="M885" t="inlineStr">
        <is>
          <t>2001</t>
        </is>
      </c>
      <c r="O885" t="inlineStr">
        <is>
          <t>eng</t>
        </is>
      </c>
      <c r="P885" t="inlineStr">
        <is>
          <t xml:space="preserve">pk </t>
        </is>
      </c>
      <c r="R885" t="inlineStr">
        <is>
          <t xml:space="preserve">DS </t>
        </is>
      </c>
      <c r="S885" t="n">
        <v>1</v>
      </c>
      <c r="T885" t="n">
        <v>1</v>
      </c>
      <c r="U885" t="inlineStr">
        <is>
          <t>2002-04-11</t>
        </is>
      </c>
      <c r="V885" t="inlineStr">
        <is>
          <t>2002-04-11</t>
        </is>
      </c>
      <c r="W885" t="inlineStr">
        <is>
          <t>2002-03-20</t>
        </is>
      </c>
      <c r="X885" t="inlineStr">
        <is>
          <t>2002-03-20</t>
        </is>
      </c>
      <c r="Y885" t="n">
        <v>204</v>
      </c>
      <c r="Z885" t="n">
        <v>159</v>
      </c>
      <c r="AA885" t="n">
        <v>161</v>
      </c>
      <c r="AB885" t="n">
        <v>3</v>
      </c>
      <c r="AC885" t="n">
        <v>3</v>
      </c>
      <c r="AD885" t="n">
        <v>10</v>
      </c>
      <c r="AE885" t="n">
        <v>10</v>
      </c>
      <c r="AF885" t="n">
        <v>1</v>
      </c>
      <c r="AG885" t="n">
        <v>1</v>
      </c>
      <c r="AH885" t="n">
        <v>2</v>
      </c>
      <c r="AI885" t="n">
        <v>2</v>
      </c>
      <c r="AJ885" t="n">
        <v>6</v>
      </c>
      <c r="AK885" t="n">
        <v>6</v>
      </c>
      <c r="AL885" t="n">
        <v>2</v>
      </c>
      <c r="AM885" t="n">
        <v>2</v>
      </c>
      <c r="AN885" t="n">
        <v>1</v>
      </c>
      <c r="AO885" t="n">
        <v>1</v>
      </c>
      <c r="AP885" t="inlineStr">
        <is>
          <t>No</t>
        </is>
      </c>
      <c r="AQ885" t="inlineStr">
        <is>
          <t>Yes</t>
        </is>
      </c>
      <c r="AR885">
        <f>HYPERLINK("http://catalog.hathitrust.org/Record/003796437","HathiTrust Record")</f>
        <v/>
      </c>
      <c r="AS885">
        <f>HYPERLINK("https://creighton-primo.hosted.exlibrisgroup.com/primo-explore/search?tab=default_tab&amp;search_scope=EVERYTHING&amp;vid=01CRU&amp;lang=en_US&amp;offset=0&amp;query=any,contains,991003742809702656","Catalog Record")</f>
        <v/>
      </c>
      <c r="AT885">
        <f>HYPERLINK("http://www.worldcat.org/oclc/48375024","WorldCat Record")</f>
        <v/>
      </c>
      <c r="AU885" t="inlineStr">
        <is>
          <t>366913950:eng</t>
        </is>
      </c>
      <c r="AV885" t="inlineStr">
        <is>
          <t>48375024</t>
        </is>
      </c>
      <c r="AW885" t="inlineStr">
        <is>
          <t>991003742809702656</t>
        </is>
      </c>
      <c r="AX885" t="inlineStr">
        <is>
          <t>991003742809702656</t>
        </is>
      </c>
      <c r="AY885" t="inlineStr">
        <is>
          <t>2265603530002656</t>
        </is>
      </c>
      <c r="AZ885" t="inlineStr">
        <is>
          <t>BOOK</t>
        </is>
      </c>
      <c r="BB885" t="inlineStr">
        <is>
          <t>9780195794113</t>
        </is>
      </c>
      <c r="BC885" t="inlineStr">
        <is>
          <t>32285004463005</t>
        </is>
      </c>
      <c r="BD885" t="inlineStr">
        <is>
          <t>893605149</t>
        </is>
      </c>
    </row>
    <row r="886">
      <c r="A886" t="inlineStr">
        <is>
          <t>No</t>
        </is>
      </c>
      <c r="B886" t="inlineStr">
        <is>
          <t>DS35.57 .H68 2005</t>
        </is>
      </c>
      <c r="C886" t="inlineStr">
        <is>
          <t>0                      DS 0035570H  68          2005</t>
        </is>
      </c>
      <c r="D886" t="inlineStr">
        <is>
          <t>House of tears : westerners' adventures in Islamic lands / edited and with an introduction by John Hughes.</t>
        </is>
      </c>
      <c r="F886" t="inlineStr">
        <is>
          <t>No</t>
        </is>
      </c>
      <c r="G886" t="inlineStr">
        <is>
          <t>1</t>
        </is>
      </c>
      <c r="H886" t="inlineStr">
        <is>
          <t>No</t>
        </is>
      </c>
      <c r="I886" t="inlineStr">
        <is>
          <t>No</t>
        </is>
      </c>
      <c r="J886" t="inlineStr">
        <is>
          <t>0</t>
        </is>
      </c>
      <c r="L886" t="inlineStr">
        <is>
          <t>Guilford, Conn. : Lyons Press, c2005.</t>
        </is>
      </c>
      <c r="M886" t="inlineStr">
        <is>
          <t>2005</t>
        </is>
      </c>
      <c r="O886" t="inlineStr">
        <is>
          <t>eng</t>
        </is>
      </c>
      <c r="P886" t="inlineStr">
        <is>
          <t>ctu</t>
        </is>
      </c>
      <c r="R886" t="inlineStr">
        <is>
          <t xml:space="preserve">DS </t>
        </is>
      </c>
      <c r="S886" t="n">
        <v>3</v>
      </c>
      <c r="T886" t="n">
        <v>3</v>
      </c>
      <c r="U886" t="inlineStr">
        <is>
          <t>2009-04-20</t>
        </is>
      </c>
      <c r="V886" t="inlineStr">
        <is>
          <t>2009-04-20</t>
        </is>
      </c>
      <c r="W886" t="inlineStr">
        <is>
          <t>2006-01-16</t>
        </is>
      </c>
      <c r="X886" t="inlineStr">
        <is>
          <t>2006-01-16</t>
        </is>
      </c>
      <c r="Y886" t="n">
        <v>177</v>
      </c>
      <c r="Z886" t="n">
        <v>151</v>
      </c>
      <c r="AA886" t="n">
        <v>151</v>
      </c>
      <c r="AB886" t="n">
        <v>2</v>
      </c>
      <c r="AC886" t="n">
        <v>2</v>
      </c>
      <c r="AD886" t="n">
        <v>2</v>
      </c>
      <c r="AE886" t="n">
        <v>2</v>
      </c>
      <c r="AF886" t="n">
        <v>0</v>
      </c>
      <c r="AG886" t="n">
        <v>0</v>
      </c>
      <c r="AH886" t="n">
        <v>1</v>
      </c>
      <c r="AI886" t="n">
        <v>1</v>
      </c>
      <c r="AJ886" t="n">
        <v>1</v>
      </c>
      <c r="AK886" t="n">
        <v>1</v>
      </c>
      <c r="AL886" t="n">
        <v>1</v>
      </c>
      <c r="AM886" t="n">
        <v>1</v>
      </c>
      <c r="AN886" t="n">
        <v>0</v>
      </c>
      <c r="AO886" t="n">
        <v>0</v>
      </c>
      <c r="AP886" t="inlineStr">
        <is>
          <t>No</t>
        </is>
      </c>
      <c r="AQ886" t="inlineStr">
        <is>
          <t>No</t>
        </is>
      </c>
      <c r="AS886">
        <f>HYPERLINK("https://creighton-primo.hosted.exlibrisgroup.com/primo-explore/search?tab=default_tab&amp;search_scope=EVERYTHING&amp;vid=01CRU&amp;lang=en_US&amp;offset=0&amp;query=any,contains,991004708059702656","Catalog Record")</f>
        <v/>
      </c>
      <c r="AT886">
        <f>HYPERLINK("http://www.worldcat.org/oclc/61211354","WorldCat Record")</f>
        <v/>
      </c>
      <c r="AU886" t="inlineStr">
        <is>
          <t>1202169:eng</t>
        </is>
      </c>
      <c r="AV886" t="inlineStr">
        <is>
          <t>61211354</t>
        </is>
      </c>
      <c r="AW886" t="inlineStr">
        <is>
          <t>991004708059702656</t>
        </is>
      </c>
      <c r="AX886" t="inlineStr">
        <is>
          <t>991004708059702656</t>
        </is>
      </c>
      <c r="AY886" t="inlineStr">
        <is>
          <t>2256219580002656</t>
        </is>
      </c>
      <c r="AZ886" t="inlineStr">
        <is>
          <t>BOOK</t>
        </is>
      </c>
      <c r="BB886" t="inlineStr">
        <is>
          <t>9781592287994</t>
        </is>
      </c>
      <c r="BC886" t="inlineStr">
        <is>
          <t>32285005154819</t>
        </is>
      </c>
      <c r="BD886" t="inlineStr">
        <is>
          <t>893795180</t>
        </is>
      </c>
    </row>
    <row r="887">
      <c r="A887" t="inlineStr">
        <is>
          <t>No</t>
        </is>
      </c>
      <c r="B887" t="inlineStr">
        <is>
          <t>DS35.62 .I58 2000</t>
        </is>
      </c>
      <c r="C887" t="inlineStr">
        <is>
          <t>0                      DS 0035620I  58          2000</t>
        </is>
      </c>
      <c r="D887" t="inlineStr">
        <is>
          <t>Intellectual traditions in Islam / edited by Farhad Daftary.</t>
        </is>
      </c>
      <c r="F887" t="inlineStr">
        <is>
          <t>No</t>
        </is>
      </c>
      <c r="G887" t="inlineStr">
        <is>
          <t>1</t>
        </is>
      </c>
      <c r="H887" t="inlineStr">
        <is>
          <t>No</t>
        </is>
      </c>
      <c r="I887" t="inlineStr">
        <is>
          <t>No</t>
        </is>
      </c>
      <c r="J887" t="inlineStr">
        <is>
          <t>0</t>
        </is>
      </c>
      <c r="L887" t="inlineStr">
        <is>
          <t>London ; New York : I.B. Tauris in association with The Institute of Ismaili Studies ; New York : in the United States of America and Canada distributed by St. Martins Press, 2000.</t>
        </is>
      </c>
      <c r="M887" t="inlineStr">
        <is>
          <t>2000</t>
        </is>
      </c>
      <c r="O887" t="inlineStr">
        <is>
          <t>eng</t>
        </is>
      </c>
      <c r="P887" t="inlineStr">
        <is>
          <t>enk</t>
        </is>
      </c>
      <c r="R887" t="inlineStr">
        <is>
          <t xml:space="preserve">DS </t>
        </is>
      </c>
      <c r="S887" t="n">
        <v>6</v>
      </c>
      <c r="T887" t="n">
        <v>6</v>
      </c>
      <c r="U887" t="inlineStr">
        <is>
          <t>2005-10-23</t>
        </is>
      </c>
      <c r="V887" t="inlineStr">
        <is>
          <t>2005-10-23</t>
        </is>
      </c>
      <c r="W887" t="inlineStr">
        <is>
          <t>2002-03-21</t>
        </is>
      </c>
      <c r="X887" t="inlineStr">
        <is>
          <t>2002-03-21</t>
        </is>
      </c>
      <c r="Y887" t="n">
        <v>311</v>
      </c>
      <c r="Z887" t="n">
        <v>223</v>
      </c>
      <c r="AA887" t="n">
        <v>239</v>
      </c>
      <c r="AB887" t="n">
        <v>2</v>
      </c>
      <c r="AC887" t="n">
        <v>2</v>
      </c>
      <c r="AD887" t="n">
        <v>15</v>
      </c>
      <c r="AE887" t="n">
        <v>15</v>
      </c>
      <c r="AF887" t="n">
        <v>3</v>
      </c>
      <c r="AG887" t="n">
        <v>3</v>
      </c>
      <c r="AH887" t="n">
        <v>5</v>
      </c>
      <c r="AI887" t="n">
        <v>5</v>
      </c>
      <c r="AJ887" t="n">
        <v>10</v>
      </c>
      <c r="AK887" t="n">
        <v>10</v>
      </c>
      <c r="AL887" t="n">
        <v>1</v>
      </c>
      <c r="AM887" t="n">
        <v>1</v>
      </c>
      <c r="AN887" t="n">
        <v>0</v>
      </c>
      <c r="AO887" t="n">
        <v>0</v>
      </c>
      <c r="AP887" t="inlineStr">
        <is>
          <t>No</t>
        </is>
      </c>
      <c r="AQ887" t="inlineStr">
        <is>
          <t>No</t>
        </is>
      </c>
      <c r="AS887">
        <f>HYPERLINK("https://creighton-primo.hosted.exlibrisgroup.com/primo-explore/search?tab=default_tab&amp;search_scope=EVERYTHING&amp;vid=01CRU&amp;lang=en_US&amp;offset=0&amp;query=any,contains,991003736799702656","Catalog Record")</f>
        <v/>
      </c>
      <c r="AT887">
        <f>HYPERLINK("http://www.worldcat.org/oclc/43842278","WorldCat Record")</f>
        <v/>
      </c>
      <c r="AU887" t="inlineStr">
        <is>
          <t>56541315:eng</t>
        </is>
      </c>
      <c r="AV887" t="inlineStr">
        <is>
          <t>43842278</t>
        </is>
      </c>
      <c r="AW887" t="inlineStr">
        <is>
          <t>991003736799702656</t>
        </is>
      </c>
      <c r="AX887" t="inlineStr">
        <is>
          <t>991003736799702656</t>
        </is>
      </c>
      <c r="AY887" t="inlineStr">
        <is>
          <t>2270759600002656</t>
        </is>
      </c>
      <c r="AZ887" t="inlineStr">
        <is>
          <t>BOOK</t>
        </is>
      </c>
      <c r="BB887" t="inlineStr">
        <is>
          <t>9781860644351</t>
        </is>
      </c>
      <c r="BC887" t="inlineStr">
        <is>
          <t>32285004463948</t>
        </is>
      </c>
      <c r="BD887" t="inlineStr">
        <is>
          <t>893627739</t>
        </is>
      </c>
    </row>
    <row r="888">
      <c r="A888" t="inlineStr">
        <is>
          <t>No</t>
        </is>
      </c>
      <c r="B888" t="inlineStr">
        <is>
          <t>DS35.625.A1 M87</t>
        </is>
      </c>
      <c r="C888" t="inlineStr">
        <is>
          <t>0                      DS 0035625A  1                  M  87</t>
        </is>
      </c>
      <c r="D888" t="inlineStr">
        <is>
          <t>Muslim peoples : a world ethnographic survey / Richard V. Weekes, editor-in-chief.</t>
        </is>
      </c>
      <c r="F888" t="inlineStr">
        <is>
          <t>No</t>
        </is>
      </c>
      <c r="G888" t="inlineStr">
        <is>
          <t>1</t>
        </is>
      </c>
      <c r="H888" t="inlineStr">
        <is>
          <t>No</t>
        </is>
      </c>
      <c r="I888" t="inlineStr">
        <is>
          <t>No</t>
        </is>
      </c>
      <c r="J888" t="inlineStr">
        <is>
          <t>0</t>
        </is>
      </c>
      <c r="L888" t="inlineStr">
        <is>
          <t>Westport, Conn. : Greenwood Press, 1978.</t>
        </is>
      </c>
      <c r="M888" t="inlineStr">
        <is>
          <t>1978</t>
        </is>
      </c>
      <c r="O888" t="inlineStr">
        <is>
          <t>eng</t>
        </is>
      </c>
      <c r="P888" t="inlineStr">
        <is>
          <t>ctu</t>
        </is>
      </c>
      <c r="R888" t="inlineStr">
        <is>
          <t xml:space="preserve">DS </t>
        </is>
      </c>
      <c r="S888" t="n">
        <v>6</v>
      </c>
      <c r="T888" t="n">
        <v>6</v>
      </c>
      <c r="U888" t="inlineStr">
        <is>
          <t>2000-02-22</t>
        </is>
      </c>
      <c r="V888" t="inlineStr">
        <is>
          <t>2000-02-22</t>
        </is>
      </c>
      <c r="W888" t="inlineStr">
        <is>
          <t>1997-02-20</t>
        </is>
      </c>
      <c r="X888" t="inlineStr">
        <is>
          <t>1997-02-20</t>
        </is>
      </c>
      <c r="Y888" t="n">
        <v>974</v>
      </c>
      <c r="Z888" t="n">
        <v>795</v>
      </c>
      <c r="AA888" t="n">
        <v>1065</v>
      </c>
      <c r="AB888" t="n">
        <v>7</v>
      </c>
      <c r="AC888" t="n">
        <v>9</v>
      </c>
      <c r="AD888" t="n">
        <v>27</v>
      </c>
      <c r="AE888" t="n">
        <v>38</v>
      </c>
      <c r="AF888" t="n">
        <v>7</v>
      </c>
      <c r="AG888" t="n">
        <v>13</v>
      </c>
      <c r="AH888" t="n">
        <v>6</v>
      </c>
      <c r="AI888" t="n">
        <v>11</v>
      </c>
      <c r="AJ888" t="n">
        <v>12</v>
      </c>
      <c r="AK888" t="n">
        <v>17</v>
      </c>
      <c r="AL888" t="n">
        <v>6</v>
      </c>
      <c r="AM888" t="n">
        <v>7</v>
      </c>
      <c r="AN888" t="n">
        <v>0</v>
      </c>
      <c r="AO888" t="n">
        <v>0</v>
      </c>
      <c r="AP888" t="inlineStr">
        <is>
          <t>No</t>
        </is>
      </c>
      <c r="AQ888" t="inlineStr">
        <is>
          <t>Yes</t>
        </is>
      </c>
      <c r="AR888">
        <f>HYPERLINK("http://catalog.hathitrust.org/Record/000752809","HathiTrust Record")</f>
        <v/>
      </c>
      <c r="AS888">
        <f>HYPERLINK("https://creighton-primo.hosted.exlibrisgroup.com/primo-explore/search?tab=default_tab&amp;search_scope=EVERYTHING&amp;vid=01CRU&amp;lang=en_US&amp;offset=0&amp;query=any,contains,991004437009702656","Catalog Record")</f>
        <v/>
      </c>
      <c r="AT888">
        <f>HYPERLINK("http://www.worldcat.org/oclc/3447003","WorldCat Record")</f>
        <v/>
      </c>
      <c r="AU888" t="inlineStr">
        <is>
          <t>4714763546:eng</t>
        </is>
      </c>
      <c r="AV888" t="inlineStr">
        <is>
          <t>3447003</t>
        </is>
      </c>
      <c r="AW888" t="inlineStr">
        <is>
          <t>991004437009702656</t>
        </is>
      </c>
      <c r="AX888" t="inlineStr">
        <is>
          <t>991004437009702656</t>
        </is>
      </c>
      <c r="AY888" t="inlineStr">
        <is>
          <t>2268757710002656</t>
        </is>
      </c>
      <c r="AZ888" t="inlineStr">
        <is>
          <t>BOOK</t>
        </is>
      </c>
      <c r="BB888" t="inlineStr">
        <is>
          <t>9780837198804</t>
        </is>
      </c>
      <c r="BC888" t="inlineStr">
        <is>
          <t>32285002467347</t>
        </is>
      </c>
      <c r="BD888" t="inlineStr">
        <is>
          <t>893319225</t>
        </is>
      </c>
    </row>
    <row r="889">
      <c r="A889" t="inlineStr">
        <is>
          <t>No</t>
        </is>
      </c>
      <c r="B889" t="inlineStr">
        <is>
          <t>DS35.63 .H55 2003</t>
        </is>
      </c>
      <c r="C889" t="inlineStr">
        <is>
          <t>0                      DS 0035630H  55          2003</t>
        </is>
      </c>
      <c r="D889" t="inlineStr">
        <is>
          <t>A history of the Islamic world / Fred James Hill &amp; Nicholas Awde.</t>
        </is>
      </c>
      <c r="F889" t="inlineStr">
        <is>
          <t>No</t>
        </is>
      </c>
      <c r="G889" t="inlineStr">
        <is>
          <t>1</t>
        </is>
      </c>
      <c r="H889" t="inlineStr">
        <is>
          <t>No</t>
        </is>
      </c>
      <c r="I889" t="inlineStr">
        <is>
          <t>No</t>
        </is>
      </c>
      <c r="J889" t="inlineStr">
        <is>
          <t>0</t>
        </is>
      </c>
      <c r="K889" t="inlineStr">
        <is>
          <t>Hill, Fred James.</t>
        </is>
      </c>
      <c r="L889" t="inlineStr">
        <is>
          <t>New York : Hippocrene Books, c2003.</t>
        </is>
      </c>
      <c r="M889" t="inlineStr">
        <is>
          <t>2003</t>
        </is>
      </c>
      <c r="O889" t="inlineStr">
        <is>
          <t>eng</t>
        </is>
      </c>
      <c r="P889" t="inlineStr">
        <is>
          <t>nyu</t>
        </is>
      </c>
      <c r="Q889" t="inlineStr">
        <is>
          <t>Illustrated histories (Hippocrene Books (Firm))</t>
        </is>
      </c>
      <c r="R889" t="inlineStr">
        <is>
          <t xml:space="preserve">DS </t>
        </is>
      </c>
      <c r="S889" t="n">
        <v>2</v>
      </c>
      <c r="T889" t="n">
        <v>2</v>
      </c>
      <c r="U889" t="inlineStr">
        <is>
          <t>2004-08-10</t>
        </is>
      </c>
      <c r="V889" t="inlineStr">
        <is>
          <t>2004-08-10</t>
        </is>
      </c>
      <c r="W889" t="inlineStr">
        <is>
          <t>2004-08-10</t>
        </is>
      </c>
      <c r="X889" t="inlineStr">
        <is>
          <t>2004-08-10</t>
        </is>
      </c>
      <c r="Y889" t="n">
        <v>506</v>
      </c>
      <c r="Z889" t="n">
        <v>457</v>
      </c>
      <c r="AA889" t="n">
        <v>463</v>
      </c>
      <c r="AB889" t="n">
        <v>3</v>
      </c>
      <c r="AC889" t="n">
        <v>3</v>
      </c>
      <c r="AD889" t="n">
        <v>7</v>
      </c>
      <c r="AE889" t="n">
        <v>7</v>
      </c>
      <c r="AF889" t="n">
        <v>3</v>
      </c>
      <c r="AG889" t="n">
        <v>3</v>
      </c>
      <c r="AH889" t="n">
        <v>2</v>
      </c>
      <c r="AI889" t="n">
        <v>2</v>
      </c>
      <c r="AJ889" t="n">
        <v>3</v>
      </c>
      <c r="AK889" t="n">
        <v>3</v>
      </c>
      <c r="AL889" t="n">
        <v>1</v>
      </c>
      <c r="AM889" t="n">
        <v>1</v>
      </c>
      <c r="AN889" t="n">
        <v>0</v>
      </c>
      <c r="AO889" t="n">
        <v>0</v>
      </c>
      <c r="AP889" t="inlineStr">
        <is>
          <t>No</t>
        </is>
      </c>
      <c r="AQ889" t="inlineStr">
        <is>
          <t>No</t>
        </is>
      </c>
      <c r="AS889">
        <f>HYPERLINK("https://creighton-primo.hosted.exlibrisgroup.com/primo-explore/search?tab=default_tab&amp;search_scope=EVERYTHING&amp;vid=01CRU&amp;lang=en_US&amp;offset=0&amp;query=any,contains,991004303459702656","Catalog Record")</f>
        <v/>
      </c>
      <c r="AT889">
        <f>HYPERLINK("http://www.worldcat.org/oclc/53880221","WorldCat Record")</f>
        <v/>
      </c>
      <c r="AU889" t="inlineStr">
        <is>
          <t>4186089755:eng</t>
        </is>
      </c>
      <c r="AV889" t="inlineStr">
        <is>
          <t>53880221</t>
        </is>
      </c>
      <c r="AW889" t="inlineStr">
        <is>
          <t>991004303459702656</t>
        </is>
      </c>
      <c r="AX889" t="inlineStr">
        <is>
          <t>991004303459702656</t>
        </is>
      </c>
      <c r="AY889" t="inlineStr">
        <is>
          <t>2264524930002656</t>
        </is>
      </c>
      <c r="AZ889" t="inlineStr">
        <is>
          <t>BOOK</t>
        </is>
      </c>
      <c r="BB889" t="inlineStr">
        <is>
          <t>9780781810159</t>
        </is>
      </c>
      <c r="BC889" t="inlineStr">
        <is>
          <t>32285004980776</t>
        </is>
      </c>
      <c r="BD889" t="inlineStr">
        <is>
          <t>893888538</t>
        </is>
      </c>
    </row>
    <row r="890">
      <c r="A890" t="inlineStr">
        <is>
          <t>No</t>
        </is>
      </c>
      <c r="B890" t="inlineStr">
        <is>
          <t>DS35.7 .M87 2002</t>
        </is>
      </c>
      <c r="C890" t="inlineStr">
        <is>
          <t>0                      DS 0035700M  87          2002</t>
        </is>
      </c>
      <c r="D890" t="inlineStr">
        <is>
          <t>Sword of Islam : Muslim extremism from the Arab conquests to the attack on America / John F. Murphy, Jr.</t>
        </is>
      </c>
      <c r="F890" t="inlineStr">
        <is>
          <t>No</t>
        </is>
      </c>
      <c r="G890" t="inlineStr">
        <is>
          <t>1</t>
        </is>
      </c>
      <c r="H890" t="inlineStr">
        <is>
          <t>No</t>
        </is>
      </c>
      <c r="I890" t="inlineStr">
        <is>
          <t>No</t>
        </is>
      </c>
      <c r="J890" t="inlineStr">
        <is>
          <t>0</t>
        </is>
      </c>
      <c r="K890" t="inlineStr">
        <is>
          <t>Murphy, John Francis, 1937-</t>
        </is>
      </c>
      <c r="L890" t="inlineStr">
        <is>
          <t>Amherst, N.Y. : Prometheus Books, 2002.</t>
        </is>
      </c>
      <c r="M890" t="inlineStr">
        <is>
          <t>2002</t>
        </is>
      </c>
      <c r="O890" t="inlineStr">
        <is>
          <t>eng</t>
        </is>
      </c>
      <c r="P890" t="inlineStr">
        <is>
          <t>nyu</t>
        </is>
      </c>
      <c r="R890" t="inlineStr">
        <is>
          <t xml:space="preserve">DS </t>
        </is>
      </c>
      <c r="S890" t="n">
        <v>4</v>
      </c>
      <c r="T890" t="n">
        <v>4</v>
      </c>
      <c r="U890" t="inlineStr">
        <is>
          <t>2004-11-14</t>
        </is>
      </c>
      <c r="V890" t="inlineStr">
        <is>
          <t>2004-11-14</t>
        </is>
      </c>
      <c r="W890" t="inlineStr">
        <is>
          <t>2002-10-01</t>
        </is>
      </c>
      <c r="X890" t="inlineStr">
        <is>
          <t>2002-10-01</t>
        </is>
      </c>
      <c r="Y890" t="n">
        <v>445</v>
      </c>
      <c r="Z890" t="n">
        <v>397</v>
      </c>
      <c r="AA890" t="n">
        <v>402</v>
      </c>
      <c r="AB890" t="n">
        <v>5</v>
      </c>
      <c r="AC890" t="n">
        <v>5</v>
      </c>
      <c r="AD890" t="n">
        <v>13</v>
      </c>
      <c r="AE890" t="n">
        <v>13</v>
      </c>
      <c r="AF890" t="n">
        <v>3</v>
      </c>
      <c r="AG890" t="n">
        <v>3</v>
      </c>
      <c r="AH890" t="n">
        <v>4</v>
      </c>
      <c r="AI890" t="n">
        <v>4</v>
      </c>
      <c r="AJ890" t="n">
        <v>4</v>
      </c>
      <c r="AK890" t="n">
        <v>4</v>
      </c>
      <c r="AL890" t="n">
        <v>3</v>
      </c>
      <c r="AM890" t="n">
        <v>3</v>
      </c>
      <c r="AN890" t="n">
        <v>1</v>
      </c>
      <c r="AO890" t="n">
        <v>1</v>
      </c>
      <c r="AP890" t="inlineStr">
        <is>
          <t>No</t>
        </is>
      </c>
      <c r="AQ890" t="inlineStr">
        <is>
          <t>No</t>
        </is>
      </c>
      <c r="AS890">
        <f>HYPERLINK("https://creighton-primo.hosted.exlibrisgroup.com/primo-explore/search?tab=default_tab&amp;search_scope=EVERYTHING&amp;vid=01CRU&amp;lang=en_US&amp;offset=0&amp;query=any,contains,991003873139702656","Catalog Record")</f>
        <v/>
      </c>
      <c r="AT890">
        <f>HYPERLINK("http://www.worldcat.org/oclc/48966687","WorldCat Record")</f>
        <v/>
      </c>
      <c r="AU890" t="inlineStr">
        <is>
          <t>948695:eng</t>
        </is>
      </c>
      <c r="AV890" t="inlineStr">
        <is>
          <t>48966687</t>
        </is>
      </c>
      <c r="AW890" t="inlineStr">
        <is>
          <t>991003873139702656</t>
        </is>
      </c>
      <c r="AX890" t="inlineStr">
        <is>
          <t>991003873139702656</t>
        </is>
      </c>
      <c r="AY890" t="inlineStr">
        <is>
          <t>2270251370002656</t>
        </is>
      </c>
      <c r="AZ890" t="inlineStr">
        <is>
          <t>BOOK</t>
        </is>
      </c>
      <c r="BB890" t="inlineStr">
        <is>
          <t>9781591020103</t>
        </is>
      </c>
      <c r="BC890" t="inlineStr">
        <is>
          <t>32285004650635</t>
        </is>
      </c>
      <c r="BD890" t="inlineStr">
        <is>
          <t>893699525</t>
        </is>
      </c>
    </row>
    <row r="891">
      <c r="A891" t="inlineStr">
        <is>
          <t>No</t>
        </is>
      </c>
      <c r="B891" t="inlineStr">
        <is>
          <t>DS35.74.E85 F85 1995</t>
        </is>
      </c>
      <c r="C891" t="inlineStr">
        <is>
          <t>0                      DS 0035740E  85                 F  85          1995</t>
        </is>
      </c>
      <c r="D891" t="inlineStr">
        <is>
          <t>A sense of siege : the geopolitics of Islam and the West / Graham E. Fuller and Ian O. Lesser.</t>
        </is>
      </c>
      <c r="F891" t="inlineStr">
        <is>
          <t>No</t>
        </is>
      </c>
      <c r="G891" t="inlineStr">
        <is>
          <t>1</t>
        </is>
      </c>
      <c r="H891" t="inlineStr">
        <is>
          <t>No</t>
        </is>
      </c>
      <c r="I891" t="inlineStr">
        <is>
          <t>No</t>
        </is>
      </c>
      <c r="J891" t="inlineStr">
        <is>
          <t>0</t>
        </is>
      </c>
      <c r="K891" t="inlineStr">
        <is>
          <t>Fuller, Graham E., 1937-</t>
        </is>
      </c>
      <c r="L891" t="inlineStr">
        <is>
          <t>Boulder : Westview Press, 1995.</t>
        </is>
      </c>
      <c r="M891" t="inlineStr">
        <is>
          <t>1995</t>
        </is>
      </c>
      <c r="O891" t="inlineStr">
        <is>
          <t>eng</t>
        </is>
      </c>
      <c r="P891" t="inlineStr">
        <is>
          <t>cou</t>
        </is>
      </c>
      <c r="R891" t="inlineStr">
        <is>
          <t xml:space="preserve">DS </t>
        </is>
      </c>
      <c r="S891" t="n">
        <v>6</v>
      </c>
      <c r="T891" t="n">
        <v>6</v>
      </c>
      <c r="U891" t="inlineStr">
        <is>
          <t>2005-11-08</t>
        </is>
      </c>
      <c r="V891" t="inlineStr">
        <is>
          <t>2005-11-08</t>
        </is>
      </c>
      <c r="W891" t="inlineStr">
        <is>
          <t>1996-03-12</t>
        </is>
      </c>
      <c r="X891" t="inlineStr">
        <is>
          <t>1996-03-12</t>
        </is>
      </c>
      <c r="Y891" t="n">
        <v>546</v>
      </c>
      <c r="Z891" t="n">
        <v>407</v>
      </c>
      <c r="AA891" t="n">
        <v>428</v>
      </c>
      <c r="AB891" t="n">
        <v>5</v>
      </c>
      <c r="AC891" t="n">
        <v>5</v>
      </c>
      <c r="AD891" t="n">
        <v>19</v>
      </c>
      <c r="AE891" t="n">
        <v>19</v>
      </c>
      <c r="AF891" t="n">
        <v>7</v>
      </c>
      <c r="AG891" t="n">
        <v>7</v>
      </c>
      <c r="AH891" t="n">
        <v>4</v>
      </c>
      <c r="AI891" t="n">
        <v>4</v>
      </c>
      <c r="AJ891" t="n">
        <v>9</v>
      </c>
      <c r="AK891" t="n">
        <v>9</v>
      </c>
      <c r="AL891" t="n">
        <v>4</v>
      </c>
      <c r="AM891" t="n">
        <v>4</v>
      </c>
      <c r="AN891" t="n">
        <v>0</v>
      </c>
      <c r="AO891" t="n">
        <v>0</v>
      </c>
      <c r="AP891" t="inlineStr">
        <is>
          <t>No</t>
        </is>
      </c>
      <c r="AQ891" t="inlineStr">
        <is>
          <t>Yes</t>
        </is>
      </c>
      <c r="AR891">
        <f>HYPERLINK("http://catalog.hathitrust.org/Record/002973463","HathiTrust Record")</f>
        <v/>
      </c>
      <c r="AS891">
        <f>HYPERLINK("https://creighton-primo.hosted.exlibrisgroup.com/primo-explore/search?tab=default_tab&amp;search_scope=EVERYTHING&amp;vid=01CRU&amp;lang=en_US&amp;offset=0&amp;query=any,contains,991002467759702656","Catalog Record")</f>
        <v/>
      </c>
      <c r="AT891">
        <f>HYPERLINK("http://www.worldcat.org/oclc/32137482","WorldCat Record")</f>
        <v/>
      </c>
      <c r="AU891" t="inlineStr">
        <is>
          <t>198852382:eng</t>
        </is>
      </c>
      <c r="AV891" t="inlineStr">
        <is>
          <t>32137482</t>
        </is>
      </c>
      <c r="AW891" t="inlineStr">
        <is>
          <t>991002467759702656</t>
        </is>
      </c>
      <c r="AX891" t="inlineStr">
        <is>
          <t>991002467759702656</t>
        </is>
      </c>
      <c r="AY891" t="inlineStr">
        <is>
          <t>2256843370002656</t>
        </is>
      </c>
      <c r="AZ891" t="inlineStr">
        <is>
          <t>BOOK</t>
        </is>
      </c>
      <c r="BB891" t="inlineStr">
        <is>
          <t>9780813321486</t>
        </is>
      </c>
      <c r="BC891" t="inlineStr">
        <is>
          <t>32285002141587</t>
        </is>
      </c>
      <c r="BD891" t="inlineStr">
        <is>
          <t>893704114</t>
        </is>
      </c>
    </row>
    <row r="892">
      <c r="A892" t="inlineStr">
        <is>
          <t>No</t>
        </is>
      </c>
      <c r="B892" t="inlineStr">
        <is>
          <t>DS35.74.F7 W38 2003</t>
        </is>
      </c>
      <c r="C892" t="inlineStr">
        <is>
          <t>0                      DS 0035740F  7                  W  38          2003</t>
        </is>
      </c>
      <c r="D892" t="inlineStr">
        <is>
          <t>Tricolor and crescent : France and the Islamic world / William E. Watson.</t>
        </is>
      </c>
      <c r="F892" t="inlineStr">
        <is>
          <t>No</t>
        </is>
      </c>
      <c r="G892" t="inlineStr">
        <is>
          <t>1</t>
        </is>
      </c>
      <c r="H892" t="inlineStr">
        <is>
          <t>No</t>
        </is>
      </c>
      <c r="I892" t="inlineStr">
        <is>
          <t>No</t>
        </is>
      </c>
      <c r="J892" t="inlineStr">
        <is>
          <t>0</t>
        </is>
      </c>
      <c r="K892" t="inlineStr">
        <is>
          <t>Watson, William E.</t>
        </is>
      </c>
      <c r="L892" t="inlineStr">
        <is>
          <t>Westport, Conn. : Praeger, 2003.</t>
        </is>
      </c>
      <c r="M892" t="inlineStr">
        <is>
          <t>2003</t>
        </is>
      </c>
      <c r="O892" t="inlineStr">
        <is>
          <t>eng</t>
        </is>
      </c>
      <c r="P892" t="inlineStr">
        <is>
          <t>ctu</t>
        </is>
      </c>
      <c r="Q892" t="inlineStr">
        <is>
          <t>Perspectives on the twentieth century, 1538-9626</t>
        </is>
      </c>
      <c r="R892" t="inlineStr">
        <is>
          <t xml:space="preserve">DS </t>
        </is>
      </c>
      <c r="S892" t="n">
        <v>1</v>
      </c>
      <c r="T892" t="n">
        <v>1</v>
      </c>
      <c r="U892" t="inlineStr">
        <is>
          <t>2006-03-01</t>
        </is>
      </c>
      <c r="V892" t="inlineStr">
        <is>
          <t>2006-03-01</t>
        </is>
      </c>
      <c r="W892" t="inlineStr">
        <is>
          <t>2006-02-15</t>
        </is>
      </c>
      <c r="X892" t="inlineStr">
        <is>
          <t>2006-02-15</t>
        </is>
      </c>
      <c r="Y892" t="n">
        <v>409</v>
      </c>
      <c r="Z892" t="n">
        <v>329</v>
      </c>
      <c r="AA892" t="n">
        <v>334</v>
      </c>
      <c r="AB892" t="n">
        <v>4</v>
      </c>
      <c r="AC892" t="n">
        <v>4</v>
      </c>
      <c r="AD892" t="n">
        <v>21</v>
      </c>
      <c r="AE892" t="n">
        <v>21</v>
      </c>
      <c r="AF892" t="n">
        <v>11</v>
      </c>
      <c r="AG892" t="n">
        <v>11</v>
      </c>
      <c r="AH892" t="n">
        <v>4</v>
      </c>
      <c r="AI892" t="n">
        <v>4</v>
      </c>
      <c r="AJ892" t="n">
        <v>10</v>
      </c>
      <c r="AK892" t="n">
        <v>10</v>
      </c>
      <c r="AL892" t="n">
        <v>3</v>
      </c>
      <c r="AM892" t="n">
        <v>3</v>
      </c>
      <c r="AN892" t="n">
        <v>0</v>
      </c>
      <c r="AO892" t="n">
        <v>0</v>
      </c>
      <c r="AP892" t="inlineStr">
        <is>
          <t>No</t>
        </is>
      </c>
      <c r="AQ892" t="inlineStr">
        <is>
          <t>Yes</t>
        </is>
      </c>
      <c r="AR892">
        <f>HYPERLINK("http://catalog.hathitrust.org/Record/004331146","HathiTrust Record")</f>
        <v/>
      </c>
      <c r="AS892">
        <f>HYPERLINK("https://creighton-primo.hosted.exlibrisgroup.com/primo-explore/search?tab=default_tab&amp;search_scope=EVERYTHING&amp;vid=01CRU&amp;lang=en_US&amp;offset=0&amp;query=any,contains,991004742539702656","Catalog Record")</f>
        <v/>
      </c>
      <c r="AT892">
        <f>HYPERLINK("http://www.worldcat.org/oclc/50322732","WorldCat Record")</f>
        <v/>
      </c>
      <c r="AU892" t="inlineStr">
        <is>
          <t>995820:eng</t>
        </is>
      </c>
      <c r="AV892" t="inlineStr">
        <is>
          <t>50322732</t>
        </is>
      </c>
      <c r="AW892" t="inlineStr">
        <is>
          <t>991004742539702656</t>
        </is>
      </c>
      <c r="AX892" t="inlineStr">
        <is>
          <t>991004742539702656</t>
        </is>
      </c>
      <c r="AY892" t="inlineStr">
        <is>
          <t>2254894860002656</t>
        </is>
      </c>
      <c r="AZ892" t="inlineStr">
        <is>
          <t>BOOK</t>
        </is>
      </c>
      <c r="BB892" t="inlineStr">
        <is>
          <t>9780275974701</t>
        </is>
      </c>
      <c r="BC892" t="inlineStr">
        <is>
          <t>32285005161202</t>
        </is>
      </c>
      <c r="BD892" t="inlineStr">
        <is>
          <t>893241789</t>
        </is>
      </c>
    </row>
    <row r="893">
      <c r="A893" t="inlineStr">
        <is>
          <t>No</t>
        </is>
      </c>
      <c r="B893" t="inlineStr">
        <is>
          <t>DS35.74.U6 I535 1991</t>
        </is>
      </c>
      <c r="C893" t="inlineStr">
        <is>
          <t>0                      DS 0035740U  6                  I  535         1991</t>
        </is>
      </c>
      <c r="D893" t="inlineStr">
        <is>
          <t>Indian Muslims in North America / edited by Omar Khalidi.</t>
        </is>
      </c>
      <c r="F893" t="inlineStr">
        <is>
          <t>No</t>
        </is>
      </c>
      <c r="G893" t="inlineStr">
        <is>
          <t>1</t>
        </is>
      </c>
      <c r="H893" t="inlineStr">
        <is>
          <t>No</t>
        </is>
      </c>
      <c r="I893" t="inlineStr">
        <is>
          <t>No</t>
        </is>
      </c>
      <c r="J893" t="inlineStr">
        <is>
          <t>0</t>
        </is>
      </c>
      <c r="L893" t="inlineStr">
        <is>
          <t>Watertown, MA : South Asia Press, [1991?]</t>
        </is>
      </c>
      <c r="M893" t="inlineStr">
        <is>
          <t>1991</t>
        </is>
      </c>
      <c r="O893" t="inlineStr">
        <is>
          <t>eng</t>
        </is>
      </c>
      <c r="P893" t="inlineStr">
        <is>
          <t>mau</t>
        </is>
      </c>
      <c r="R893" t="inlineStr">
        <is>
          <t xml:space="preserve">DS </t>
        </is>
      </c>
      <c r="S893" t="n">
        <v>3</v>
      </c>
      <c r="T893" t="n">
        <v>3</v>
      </c>
      <c r="U893" t="inlineStr">
        <is>
          <t>1997-02-07</t>
        </is>
      </c>
      <c r="V893" t="inlineStr">
        <is>
          <t>1997-02-07</t>
        </is>
      </c>
      <c r="W893" t="inlineStr">
        <is>
          <t>1993-07-06</t>
        </is>
      </c>
      <c r="X893" t="inlineStr">
        <is>
          <t>1993-07-06</t>
        </is>
      </c>
      <c r="Y893" t="n">
        <v>38</v>
      </c>
      <c r="Z893" t="n">
        <v>32</v>
      </c>
      <c r="AA893" t="n">
        <v>34</v>
      </c>
      <c r="AB893" t="n">
        <v>1</v>
      </c>
      <c r="AC893" t="n">
        <v>1</v>
      </c>
      <c r="AD893" t="n">
        <v>0</v>
      </c>
      <c r="AE893" t="n">
        <v>0</v>
      </c>
      <c r="AF893" t="n">
        <v>0</v>
      </c>
      <c r="AG893" t="n">
        <v>0</v>
      </c>
      <c r="AH893" t="n">
        <v>0</v>
      </c>
      <c r="AI893" t="n">
        <v>0</v>
      </c>
      <c r="AJ893" t="n">
        <v>0</v>
      </c>
      <c r="AK893" t="n">
        <v>0</v>
      </c>
      <c r="AL893" t="n">
        <v>0</v>
      </c>
      <c r="AM893" t="n">
        <v>0</v>
      </c>
      <c r="AN893" t="n">
        <v>0</v>
      </c>
      <c r="AO893" t="n">
        <v>0</v>
      </c>
      <c r="AP893" t="inlineStr">
        <is>
          <t>No</t>
        </is>
      </c>
      <c r="AQ893" t="inlineStr">
        <is>
          <t>Yes</t>
        </is>
      </c>
      <c r="AR893">
        <f>HYPERLINK("http://catalog.hathitrust.org/Record/002497897","HathiTrust Record")</f>
        <v/>
      </c>
      <c r="AS893">
        <f>HYPERLINK("https://creighton-primo.hosted.exlibrisgroup.com/primo-explore/search?tab=default_tab&amp;search_scope=EVERYTHING&amp;vid=01CRU&amp;lang=en_US&amp;offset=0&amp;query=any,contains,991001944339702656","Catalog Record")</f>
        <v/>
      </c>
      <c r="AT893">
        <f>HYPERLINK("http://www.worldcat.org/oclc/24551066","WorldCat Record")</f>
        <v/>
      </c>
      <c r="AU893" t="inlineStr">
        <is>
          <t>422898988:eng</t>
        </is>
      </c>
      <c r="AV893" t="inlineStr">
        <is>
          <t>24551066</t>
        </is>
      </c>
      <c r="AW893" t="inlineStr">
        <is>
          <t>991001944339702656</t>
        </is>
      </c>
      <c r="AX893" t="inlineStr">
        <is>
          <t>991001944339702656</t>
        </is>
      </c>
      <c r="AY893" t="inlineStr">
        <is>
          <t>2260270740002656</t>
        </is>
      </c>
      <c r="AZ893" t="inlineStr">
        <is>
          <t>BOOK</t>
        </is>
      </c>
      <c r="BB893" t="inlineStr">
        <is>
          <t>9780962459511</t>
        </is>
      </c>
      <c r="BC893" t="inlineStr">
        <is>
          <t>32285001701548</t>
        </is>
      </c>
      <c r="BD893" t="inlineStr">
        <is>
          <t>893621740</t>
        </is>
      </c>
    </row>
    <row r="894">
      <c r="A894" t="inlineStr">
        <is>
          <t>No</t>
        </is>
      </c>
      <c r="B894" t="inlineStr">
        <is>
          <t>DS35.74.U6 L48 2005</t>
        </is>
      </c>
      <c r="C894" t="inlineStr">
        <is>
          <t>0                      DS 0035740U  6                  L  48          2005</t>
        </is>
      </c>
      <c r="D894" t="inlineStr">
        <is>
          <t>Why they don't hate us : lifting the veil on the axis of evil / Mark LeVine.</t>
        </is>
      </c>
      <c r="F894" t="inlineStr">
        <is>
          <t>No</t>
        </is>
      </c>
      <c r="G894" t="inlineStr">
        <is>
          <t>1</t>
        </is>
      </c>
      <c r="H894" t="inlineStr">
        <is>
          <t>No</t>
        </is>
      </c>
      <c r="I894" t="inlineStr">
        <is>
          <t>No</t>
        </is>
      </c>
      <c r="J894" t="inlineStr">
        <is>
          <t>0</t>
        </is>
      </c>
      <c r="K894" t="inlineStr">
        <is>
          <t>LeVine, Mark, 1966-</t>
        </is>
      </c>
      <c r="L894" t="inlineStr">
        <is>
          <t>Oxford : Oneworld, c2005.</t>
        </is>
      </c>
      <c r="M894" t="inlineStr">
        <is>
          <t>2005</t>
        </is>
      </c>
      <c r="O894" t="inlineStr">
        <is>
          <t>eng</t>
        </is>
      </c>
      <c r="P894" t="inlineStr">
        <is>
          <t>enk</t>
        </is>
      </c>
      <c r="R894" t="inlineStr">
        <is>
          <t xml:space="preserve">DS </t>
        </is>
      </c>
      <c r="S894" t="n">
        <v>1</v>
      </c>
      <c r="T894" t="n">
        <v>1</v>
      </c>
      <c r="U894" t="inlineStr">
        <is>
          <t>2007-11-01</t>
        </is>
      </c>
      <c r="V894" t="inlineStr">
        <is>
          <t>2007-11-01</t>
        </is>
      </c>
      <c r="W894" t="inlineStr">
        <is>
          <t>2007-11-01</t>
        </is>
      </c>
      <c r="X894" t="inlineStr">
        <is>
          <t>2007-11-01</t>
        </is>
      </c>
      <c r="Y894" t="n">
        <v>440</v>
      </c>
      <c r="Z894" t="n">
        <v>353</v>
      </c>
      <c r="AA894" t="n">
        <v>381</v>
      </c>
      <c r="AB894" t="n">
        <v>2</v>
      </c>
      <c r="AC894" t="n">
        <v>2</v>
      </c>
      <c r="AD894" t="n">
        <v>15</v>
      </c>
      <c r="AE894" t="n">
        <v>16</v>
      </c>
      <c r="AF894" t="n">
        <v>5</v>
      </c>
      <c r="AG894" t="n">
        <v>6</v>
      </c>
      <c r="AH894" t="n">
        <v>6</v>
      </c>
      <c r="AI894" t="n">
        <v>7</v>
      </c>
      <c r="AJ894" t="n">
        <v>8</v>
      </c>
      <c r="AK894" t="n">
        <v>8</v>
      </c>
      <c r="AL894" t="n">
        <v>1</v>
      </c>
      <c r="AM894" t="n">
        <v>1</v>
      </c>
      <c r="AN894" t="n">
        <v>0</v>
      </c>
      <c r="AO894" t="n">
        <v>0</v>
      </c>
      <c r="AP894" t="inlineStr">
        <is>
          <t>No</t>
        </is>
      </c>
      <c r="AQ894" t="inlineStr">
        <is>
          <t>No</t>
        </is>
      </c>
      <c r="AS894">
        <f>HYPERLINK("https://creighton-primo.hosted.exlibrisgroup.com/primo-explore/search?tab=default_tab&amp;search_scope=EVERYTHING&amp;vid=01CRU&amp;lang=en_US&amp;offset=0&amp;query=any,contains,991005139079702656","Catalog Record")</f>
        <v/>
      </c>
      <c r="AT894">
        <f>HYPERLINK("http://www.worldcat.org/oclc/59878541","WorldCat Record")</f>
        <v/>
      </c>
      <c r="AU894" t="inlineStr">
        <is>
          <t>803321194:eng</t>
        </is>
      </c>
      <c r="AV894" t="inlineStr">
        <is>
          <t>59878541</t>
        </is>
      </c>
      <c r="AW894" t="inlineStr">
        <is>
          <t>991005139079702656</t>
        </is>
      </c>
      <c r="AX894" t="inlineStr">
        <is>
          <t>991005139079702656</t>
        </is>
      </c>
      <c r="AY894" t="inlineStr">
        <is>
          <t>2263023750002656</t>
        </is>
      </c>
      <c r="AZ894" t="inlineStr">
        <is>
          <t>BOOK</t>
        </is>
      </c>
      <c r="BB894" t="inlineStr">
        <is>
          <t>9781851683659</t>
        </is>
      </c>
      <c r="BC894" t="inlineStr">
        <is>
          <t>32285005364285</t>
        </is>
      </c>
      <c r="BD894" t="inlineStr">
        <is>
          <t>893600685</t>
        </is>
      </c>
    </row>
    <row r="895">
      <c r="A895" t="inlineStr">
        <is>
          <t>No</t>
        </is>
      </c>
      <c r="B895" t="inlineStr">
        <is>
          <t>DS351.5 .D87</t>
        </is>
      </c>
      <c r="C895" t="inlineStr">
        <is>
          <t>0                      DS 0351500D  87</t>
        </is>
      </c>
      <c r="D895" t="inlineStr">
        <is>
          <t>Afghanistan in the 1970s / edited by Louis Dupree [and] Linette Albert. Foreword by Phillips Talbot.</t>
        </is>
      </c>
      <c r="F895" t="inlineStr">
        <is>
          <t>No</t>
        </is>
      </c>
      <c r="G895" t="inlineStr">
        <is>
          <t>1</t>
        </is>
      </c>
      <c r="H895" t="inlineStr">
        <is>
          <t>No</t>
        </is>
      </c>
      <c r="I895" t="inlineStr">
        <is>
          <t>No</t>
        </is>
      </c>
      <c r="J895" t="inlineStr">
        <is>
          <t>0</t>
        </is>
      </c>
      <c r="K895" t="inlineStr">
        <is>
          <t>Dupree, Louis, 1925-1989.</t>
        </is>
      </c>
      <c r="L895" t="inlineStr">
        <is>
          <t>New York : Praeger, [1974]</t>
        </is>
      </c>
      <c r="M895" t="inlineStr">
        <is>
          <t>1974</t>
        </is>
      </c>
      <c r="O895" t="inlineStr">
        <is>
          <t>eng</t>
        </is>
      </c>
      <c r="P895" t="inlineStr">
        <is>
          <t>nyu</t>
        </is>
      </c>
      <c r="Q895" t="inlineStr">
        <is>
          <t>Praeger special studies in international economics and development</t>
        </is>
      </c>
      <c r="R895" t="inlineStr">
        <is>
          <t xml:space="preserve">DS </t>
        </is>
      </c>
      <c r="S895" t="n">
        <v>2</v>
      </c>
      <c r="T895" t="n">
        <v>2</v>
      </c>
      <c r="U895" t="inlineStr">
        <is>
          <t>2006-04-04</t>
        </is>
      </c>
      <c r="V895" t="inlineStr">
        <is>
          <t>2006-04-04</t>
        </is>
      </c>
      <c r="W895" t="inlineStr">
        <is>
          <t>1992-03-25</t>
        </is>
      </c>
      <c r="X895" t="inlineStr">
        <is>
          <t>1992-03-25</t>
        </is>
      </c>
      <c r="Y895" t="n">
        <v>331</v>
      </c>
      <c r="Z895" t="n">
        <v>258</v>
      </c>
      <c r="AA895" t="n">
        <v>260</v>
      </c>
      <c r="AB895" t="n">
        <v>4</v>
      </c>
      <c r="AC895" t="n">
        <v>4</v>
      </c>
      <c r="AD895" t="n">
        <v>10</v>
      </c>
      <c r="AE895" t="n">
        <v>10</v>
      </c>
      <c r="AF895" t="n">
        <v>3</v>
      </c>
      <c r="AG895" t="n">
        <v>3</v>
      </c>
      <c r="AH895" t="n">
        <v>3</v>
      </c>
      <c r="AI895" t="n">
        <v>3</v>
      </c>
      <c r="AJ895" t="n">
        <v>3</v>
      </c>
      <c r="AK895" t="n">
        <v>3</v>
      </c>
      <c r="AL895" t="n">
        <v>2</v>
      </c>
      <c r="AM895" t="n">
        <v>2</v>
      </c>
      <c r="AN895" t="n">
        <v>0</v>
      </c>
      <c r="AO895" t="n">
        <v>0</v>
      </c>
      <c r="AP895" t="inlineStr">
        <is>
          <t>No</t>
        </is>
      </c>
      <c r="AQ895" t="inlineStr">
        <is>
          <t>Yes</t>
        </is>
      </c>
      <c r="AR895">
        <f>HYPERLINK("http://catalog.hathitrust.org/Record/001249095","HathiTrust Record")</f>
        <v/>
      </c>
      <c r="AS895">
        <f>HYPERLINK("https://creighton-primo.hosted.exlibrisgroup.com/primo-explore/search?tab=default_tab&amp;search_scope=EVERYTHING&amp;vid=01CRU&amp;lang=en_US&amp;offset=0&amp;query=any,contains,991003377899702656","Catalog Record")</f>
        <v/>
      </c>
      <c r="AT895">
        <f>HYPERLINK("http://www.worldcat.org/oclc/914551","WorldCat Record")</f>
        <v/>
      </c>
      <c r="AU895" t="inlineStr">
        <is>
          <t>2863594391:eng</t>
        </is>
      </c>
      <c r="AV895" t="inlineStr">
        <is>
          <t>914551</t>
        </is>
      </c>
      <c r="AW895" t="inlineStr">
        <is>
          <t>991003377899702656</t>
        </is>
      </c>
      <c r="AX895" t="inlineStr">
        <is>
          <t>991003377899702656</t>
        </is>
      </c>
      <c r="AY895" t="inlineStr">
        <is>
          <t>2262718680002656</t>
        </is>
      </c>
      <c r="AZ895" t="inlineStr">
        <is>
          <t>BOOK</t>
        </is>
      </c>
      <c r="BB895" t="inlineStr">
        <is>
          <t>9780275287450</t>
        </is>
      </c>
      <c r="BC895" t="inlineStr">
        <is>
          <t>32285001028595</t>
        </is>
      </c>
      <c r="BD895" t="inlineStr">
        <is>
          <t>893228013</t>
        </is>
      </c>
    </row>
    <row r="896">
      <c r="A896" t="inlineStr">
        <is>
          <t>No</t>
        </is>
      </c>
      <c r="B896" t="inlineStr">
        <is>
          <t>DS352 .E45 2001</t>
        </is>
      </c>
      <c r="C896" t="inlineStr">
        <is>
          <t>0                      DS 0352000E  45          2001</t>
        </is>
      </c>
      <c r="D896" t="inlineStr">
        <is>
          <t>An unexpected light : travels in Afghanistan / Jason Elliot.</t>
        </is>
      </c>
      <c r="F896" t="inlineStr">
        <is>
          <t>No</t>
        </is>
      </c>
      <c r="G896" t="inlineStr">
        <is>
          <t>1</t>
        </is>
      </c>
      <c r="H896" t="inlineStr">
        <is>
          <t>No</t>
        </is>
      </c>
      <c r="I896" t="inlineStr">
        <is>
          <t>No</t>
        </is>
      </c>
      <c r="J896" t="inlineStr">
        <is>
          <t>0</t>
        </is>
      </c>
      <c r="K896" t="inlineStr">
        <is>
          <t>Elliot, Jason, 1965-</t>
        </is>
      </c>
      <c r="L896" t="inlineStr">
        <is>
          <t>New York, N.Y. : Picador USA, c1999, 2001.</t>
        </is>
      </c>
      <c r="M896" t="inlineStr">
        <is>
          <t>1999</t>
        </is>
      </c>
      <c r="N896" t="inlineStr">
        <is>
          <t>1st Picador USA ed.</t>
        </is>
      </c>
      <c r="O896" t="inlineStr">
        <is>
          <t>eng</t>
        </is>
      </c>
      <c r="P896" t="inlineStr">
        <is>
          <t>nyu</t>
        </is>
      </c>
      <c r="R896" t="inlineStr">
        <is>
          <t xml:space="preserve">DS </t>
        </is>
      </c>
      <c r="S896" t="n">
        <v>3</v>
      </c>
      <c r="T896" t="n">
        <v>3</v>
      </c>
      <c r="U896" t="inlineStr">
        <is>
          <t>2001-09-11</t>
        </is>
      </c>
      <c r="V896" t="inlineStr">
        <is>
          <t>2001-09-11</t>
        </is>
      </c>
      <c r="W896" t="inlineStr">
        <is>
          <t>2001-01-03</t>
        </is>
      </c>
      <c r="X896" t="inlineStr">
        <is>
          <t>2001-01-03</t>
        </is>
      </c>
      <c r="Y896" t="n">
        <v>617</v>
      </c>
      <c r="Z896" t="n">
        <v>601</v>
      </c>
      <c r="AA896" t="n">
        <v>1308</v>
      </c>
      <c r="AB896" t="n">
        <v>6</v>
      </c>
      <c r="AC896" t="n">
        <v>13</v>
      </c>
      <c r="AD896" t="n">
        <v>13</v>
      </c>
      <c r="AE896" t="n">
        <v>27</v>
      </c>
      <c r="AF896" t="n">
        <v>4</v>
      </c>
      <c r="AG896" t="n">
        <v>11</v>
      </c>
      <c r="AH896" t="n">
        <v>2</v>
      </c>
      <c r="AI896" t="n">
        <v>4</v>
      </c>
      <c r="AJ896" t="n">
        <v>6</v>
      </c>
      <c r="AK896" t="n">
        <v>12</v>
      </c>
      <c r="AL896" t="n">
        <v>2</v>
      </c>
      <c r="AM896" t="n">
        <v>5</v>
      </c>
      <c r="AN896" t="n">
        <v>0</v>
      </c>
      <c r="AO896" t="n">
        <v>0</v>
      </c>
      <c r="AP896" t="inlineStr">
        <is>
          <t>No</t>
        </is>
      </c>
      <c r="AQ896" t="inlineStr">
        <is>
          <t>No</t>
        </is>
      </c>
      <c r="AS896">
        <f>HYPERLINK("https://creighton-primo.hosted.exlibrisgroup.com/primo-explore/search?tab=default_tab&amp;search_scope=EVERYTHING&amp;vid=01CRU&amp;lang=en_US&amp;offset=0&amp;query=any,contains,991003452449702656","Catalog Record")</f>
        <v/>
      </c>
      <c r="AT896">
        <f>HYPERLINK("http://www.worldcat.org/oclc/45452152","WorldCat Record")</f>
        <v/>
      </c>
      <c r="AU896" t="inlineStr">
        <is>
          <t>897523:eng</t>
        </is>
      </c>
      <c r="AV896" t="inlineStr">
        <is>
          <t>45452152</t>
        </is>
      </c>
      <c r="AW896" t="inlineStr">
        <is>
          <t>991003452449702656</t>
        </is>
      </c>
      <c r="AX896" t="inlineStr">
        <is>
          <t>991003452449702656</t>
        </is>
      </c>
      <c r="AY896" t="inlineStr">
        <is>
          <t>2259349400002656</t>
        </is>
      </c>
      <c r="AZ896" t="inlineStr">
        <is>
          <t>BOOK</t>
        </is>
      </c>
      <c r="BB896" t="inlineStr">
        <is>
          <t>9780312274597</t>
        </is>
      </c>
      <c r="BC896" t="inlineStr">
        <is>
          <t>32285004278957</t>
        </is>
      </c>
      <c r="BD896" t="inlineStr">
        <is>
          <t>893705231</t>
        </is>
      </c>
    </row>
    <row r="897">
      <c r="A897" t="inlineStr">
        <is>
          <t>No</t>
        </is>
      </c>
      <c r="B897" t="inlineStr">
        <is>
          <t>DS352 .L36 2002</t>
        </is>
      </c>
      <c r="C897" t="inlineStr">
        <is>
          <t>0                      DS 0352000L  36          2002</t>
        </is>
      </c>
      <c r="D897" t="inlineStr">
        <is>
          <t>The sewing circles of Herat : a personal voyage through Afghanistan / Christina Lamb.</t>
        </is>
      </c>
      <c r="F897" t="inlineStr">
        <is>
          <t>No</t>
        </is>
      </c>
      <c r="G897" t="inlineStr">
        <is>
          <t>1</t>
        </is>
      </c>
      <c r="H897" t="inlineStr">
        <is>
          <t>No</t>
        </is>
      </c>
      <c r="I897" t="inlineStr">
        <is>
          <t>No</t>
        </is>
      </c>
      <c r="J897" t="inlineStr">
        <is>
          <t>0</t>
        </is>
      </c>
      <c r="K897" t="inlineStr">
        <is>
          <t>Lamb, Christina.</t>
        </is>
      </c>
      <c r="L897" t="inlineStr">
        <is>
          <t>New York : HarperCollins, 2002.</t>
        </is>
      </c>
      <c r="M897" t="inlineStr">
        <is>
          <t>2002</t>
        </is>
      </c>
      <c r="N897" t="inlineStr">
        <is>
          <t>1st American ed.</t>
        </is>
      </c>
      <c r="O897" t="inlineStr">
        <is>
          <t>eng</t>
        </is>
      </c>
      <c r="P897" t="inlineStr">
        <is>
          <t>nyu</t>
        </is>
      </c>
      <c r="R897" t="inlineStr">
        <is>
          <t xml:space="preserve">DS </t>
        </is>
      </c>
      <c r="S897" t="n">
        <v>2</v>
      </c>
      <c r="T897" t="n">
        <v>2</v>
      </c>
      <c r="U897" t="inlineStr">
        <is>
          <t>2003-04-10</t>
        </is>
      </c>
      <c r="V897" t="inlineStr">
        <is>
          <t>2003-04-10</t>
        </is>
      </c>
      <c r="W897" t="inlineStr">
        <is>
          <t>2003-02-19</t>
        </is>
      </c>
      <c r="X897" t="inlineStr">
        <is>
          <t>2003-02-19</t>
        </is>
      </c>
      <c r="Y897" t="n">
        <v>582</v>
      </c>
      <c r="Z897" t="n">
        <v>551</v>
      </c>
      <c r="AA897" t="n">
        <v>705</v>
      </c>
      <c r="AB897" t="n">
        <v>3</v>
      </c>
      <c r="AC897" t="n">
        <v>3</v>
      </c>
      <c r="AD897" t="n">
        <v>12</v>
      </c>
      <c r="AE897" t="n">
        <v>16</v>
      </c>
      <c r="AF897" t="n">
        <v>4</v>
      </c>
      <c r="AG897" t="n">
        <v>7</v>
      </c>
      <c r="AH897" t="n">
        <v>4</v>
      </c>
      <c r="AI897" t="n">
        <v>4</v>
      </c>
      <c r="AJ897" t="n">
        <v>5</v>
      </c>
      <c r="AK897" t="n">
        <v>8</v>
      </c>
      <c r="AL897" t="n">
        <v>2</v>
      </c>
      <c r="AM897" t="n">
        <v>2</v>
      </c>
      <c r="AN897" t="n">
        <v>0</v>
      </c>
      <c r="AO897" t="n">
        <v>0</v>
      </c>
      <c r="AP897" t="inlineStr">
        <is>
          <t>No</t>
        </is>
      </c>
      <c r="AQ897" t="inlineStr">
        <is>
          <t>No</t>
        </is>
      </c>
      <c r="AS897">
        <f>HYPERLINK("https://creighton-primo.hosted.exlibrisgroup.com/primo-explore/search?tab=default_tab&amp;search_scope=EVERYTHING&amp;vid=01CRU&amp;lang=en_US&amp;offset=0&amp;query=any,contains,991003973999702656","Catalog Record")</f>
        <v/>
      </c>
      <c r="AT897">
        <f>HYPERLINK("http://www.worldcat.org/oclc/51179948","WorldCat Record")</f>
        <v/>
      </c>
      <c r="AU897" t="inlineStr">
        <is>
          <t>3373578937:eng</t>
        </is>
      </c>
      <c r="AV897" t="inlineStr">
        <is>
          <t>51179948</t>
        </is>
      </c>
      <c r="AW897" t="inlineStr">
        <is>
          <t>991003973999702656</t>
        </is>
      </c>
      <c r="AX897" t="inlineStr">
        <is>
          <t>991003973999702656</t>
        </is>
      </c>
      <c r="AY897" t="inlineStr">
        <is>
          <t>2268167420002656</t>
        </is>
      </c>
      <c r="AZ897" t="inlineStr">
        <is>
          <t>BOOK</t>
        </is>
      </c>
      <c r="BB897" t="inlineStr">
        <is>
          <t>9780060505264</t>
        </is>
      </c>
      <c r="BC897" t="inlineStr">
        <is>
          <t>32285004699616</t>
        </is>
      </c>
      <c r="BD897" t="inlineStr">
        <is>
          <t>893259153</t>
        </is>
      </c>
    </row>
    <row r="898">
      <c r="A898" t="inlineStr">
        <is>
          <t>No</t>
        </is>
      </c>
      <c r="B898" t="inlineStr">
        <is>
          <t>DS352 .S74 2006</t>
        </is>
      </c>
      <c r="C898" t="inlineStr">
        <is>
          <t>0                      DS 0352000S  74          2006</t>
        </is>
      </c>
      <c r="D898" t="inlineStr">
        <is>
          <t>The places in between / Rory Stewart.</t>
        </is>
      </c>
      <c r="F898" t="inlineStr">
        <is>
          <t>No</t>
        </is>
      </c>
      <c r="G898" t="inlineStr">
        <is>
          <t>1</t>
        </is>
      </c>
      <c r="H898" t="inlineStr">
        <is>
          <t>No</t>
        </is>
      </c>
      <c r="I898" t="inlineStr">
        <is>
          <t>No</t>
        </is>
      </c>
      <c r="J898" t="inlineStr">
        <is>
          <t>0</t>
        </is>
      </c>
      <c r="K898" t="inlineStr">
        <is>
          <t>Stewart, Rory.</t>
        </is>
      </c>
      <c r="L898" t="inlineStr">
        <is>
          <t>Orlando : Harcourt, Inc., c2006.</t>
        </is>
      </c>
      <c r="M898" t="inlineStr">
        <is>
          <t>2006</t>
        </is>
      </c>
      <c r="N898" t="inlineStr">
        <is>
          <t>1st U.S. ed.</t>
        </is>
      </c>
      <c r="O898" t="inlineStr">
        <is>
          <t>eng</t>
        </is>
      </c>
      <c r="P898" t="inlineStr">
        <is>
          <t>flu</t>
        </is>
      </c>
      <c r="R898" t="inlineStr">
        <is>
          <t xml:space="preserve">DS </t>
        </is>
      </c>
      <c r="S898" t="n">
        <v>7</v>
      </c>
      <c r="T898" t="n">
        <v>7</v>
      </c>
      <c r="U898" t="inlineStr">
        <is>
          <t>2010-01-19</t>
        </is>
      </c>
      <c r="V898" t="inlineStr">
        <is>
          <t>2010-01-19</t>
        </is>
      </c>
      <c r="W898" t="inlineStr">
        <is>
          <t>2006-07-13</t>
        </is>
      </c>
      <c r="X898" t="inlineStr">
        <is>
          <t>2006-07-13</t>
        </is>
      </c>
      <c r="Y898" t="n">
        <v>1729</v>
      </c>
      <c r="Z898" t="n">
        <v>1649</v>
      </c>
      <c r="AA898" t="n">
        <v>1736</v>
      </c>
      <c r="AB898" t="n">
        <v>19</v>
      </c>
      <c r="AC898" t="n">
        <v>19</v>
      </c>
      <c r="AD898" t="n">
        <v>31</v>
      </c>
      <c r="AE898" t="n">
        <v>32</v>
      </c>
      <c r="AF898" t="n">
        <v>12</v>
      </c>
      <c r="AG898" t="n">
        <v>13</v>
      </c>
      <c r="AH898" t="n">
        <v>5</v>
      </c>
      <c r="AI898" t="n">
        <v>6</v>
      </c>
      <c r="AJ898" t="n">
        <v>12</v>
      </c>
      <c r="AK898" t="n">
        <v>12</v>
      </c>
      <c r="AL898" t="n">
        <v>7</v>
      </c>
      <c r="AM898" t="n">
        <v>7</v>
      </c>
      <c r="AN898" t="n">
        <v>0</v>
      </c>
      <c r="AO898" t="n">
        <v>0</v>
      </c>
      <c r="AP898" t="inlineStr">
        <is>
          <t>No</t>
        </is>
      </c>
      <c r="AQ898" t="inlineStr">
        <is>
          <t>No</t>
        </is>
      </c>
      <c r="AS898">
        <f>HYPERLINK("https://creighton-primo.hosted.exlibrisgroup.com/primo-explore/search?tab=default_tab&amp;search_scope=EVERYTHING&amp;vid=01CRU&amp;lang=en_US&amp;offset=0&amp;query=any,contains,991004841979702656","Catalog Record")</f>
        <v/>
      </c>
      <c r="AT898">
        <f>HYPERLINK("http://www.worldcat.org/oclc/62282105","WorldCat Record")</f>
        <v/>
      </c>
      <c r="AU898" t="inlineStr">
        <is>
          <t>15777626:eng</t>
        </is>
      </c>
      <c r="AV898" t="inlineStr">
        <is>
          <t>62282105</t>
        </is>
      </c>
      <c r="AW898" t="inlineStr">
        <is>
          <t>991004841979702656</t>
        </is>
      </c>
      <c r="AX898" t="inlineStr">
        <is>
          <t>991004841979702656</t>
        </is>
      </c>
      <c r="AY898" t="inlineStr">
        <is>
          <t>2261976820002656</t>
        </is>
      </c>
      <c r="AZ898" t="inlineStr">
        <is>
          <t>BOOK</t>
        </is>
      </c>
      <c r="BB898" t="inlineStr">
        <is>
          <t>9780156031561</t>
        </is>
      </c>
      <c r="BC898" t="inlineStr">
        <is>
          <t>32285005194724</t>
        </is>
      </c>
      <c r="BD898" t="inlineStr">
        <is>
          <t>893782716</t>
        </is>
      </c>
    </row>
    <row r="899">
      <c r="A899" t="inlineStr">
        <is>
          <t>No</t>
        </is>
      </c>
      <c r="B899" t="inlineStr">
        <is>
          <t>DS352 .T6713 2004</t>
        </is>
      </c>
      <c r="C899" t="inlineStr">
        <is>
          <t>0                      DS 0352000T  6713        2004</t>
        </is>
      </c>
      <c r="D899" t="inlineStr">
        <is>
          <t>The silenced cry : one woman's diary of a journey to Afghanistan / Ana Tortajada ; translated by Ezra E.Fitz.</t>
        </is>
      </c>
      <c r="F899" t="inlineStr">
        <is>
          <t>No</t>
        </is>
      </c>
      <c r="G899" t="inlineStr">
        <is>
          <t>1</t>
        </is>
      </c>
      <c r="H899" t="inlineStr">
        <is>
          <t>No</t>
        </is>
      </c>
      <c r="I899" t="inlineStr">
        <is>
          <t>No</t>
        </is>
      </c>
      <c r="J899" t="inlineStr">
        <is>
          <t>0</t>
        </is>
      </c>
      <c r="K899" t="inlineStr">
        <is>
          <t>Tortajada, Anna, 1957-</t>
        </is>
      </c>
      <c r="L899" t="inlineStr">
        <is>
          <t>New York : Thomas Dunne Books/St. Martin's Press, 2004.</t>
        </is>
      </c>
      <c r="M899" t="inlineStr">
        <is>
          <t>2004</t>
        </is>
      </c>
      <c r="N899" t="inlineStr">
        <is>
          <t>1st U.S. ed.</t>
        </is>
      </c>
      <c r="O899" t="inlineStr">
        <is>
          <t>eng</t>
        </is>
      </c>
      <c r="P899" t="inlineStr">
        <is>
          <t>nyu</t>
        </is>
      </c>
      <c r="R899" t="inlineStr">
        <is>
          <t xml:space="preserve">DS </t>
        </is>
      </c>
      <c r="S899" t="n">
        <v>3</v>
      </c>
      <c r="T899" t="n">
        <v>3</v>
      </c>
      <c r="U899" t="inlineStr">
        <is>
          <t>2007-11-29</t>
        </is>
      </c>
      <c r="V899" t="inlineStr">
        <is>
          <t>2007-11-29</t>
        </is>
      </c>
      <c r="W899" t="inlineStr">
        <is>
          <t>2004-08-26</t>
        </is>
      </c>
      <c r="X899" t="inlineStr">
        <is>
          <t>2004-08-26</t>
        </is>
      </c>
      <c r="Y899" t="n">
        <v>602</v>
      </c>
      <c r="Z899" t="n">
        <v>558</v>
      </c>
      <c r="AA899" t="n">
        <v>567</v>
      </c>
      <c r="AB899" t="n">
        <v>4</v>
      </c>
      <c r="AC899" t="n">
        <v>4</v>
      </c>
      <c r="AD899" t="n">
        <v>9</v>
      </c>
      <c r="AE899" t="n">
        <v>9</v>
      </c>
      <c r="AF899" t="n">
        <v>1</v>
      </c>
      <c r="AG899" t="n">
        <v>1</v>
      </c>
      <c r="AH899" t="n">
        <v>4</v>
      </c>
      <c r="AI899" t="n">
        <v>4</v>
      </c>
      <c r="AJ899" t="n">
        <v>4</v>
      </c>
      <c r="AK899" t="n">
        <v>4</v>
      </c>
      <c r="AL899" t="n">
        <v>2</v>
      </c>
      <c r="AM899" t="n">
        <v>2</v>
      </c>
      <c r="AN899" t="n">
        <v>0</v>
      </c>
      <c r="AO899" t="n">
        <v>0</v>
      </c>
      <c r="AP899" t="inlineStr">
        <is>
          <t>No</t>
        </is>
      </c>
      <c r="AQ899" t="inlineStr">
        <is>
          <t>No</t>
        </is>
      </c>
      <c r="AS899">
        <f>HYPERLINK("https://creighton-primo.hosted.exlibrisgroup.com/primo-explore/search?tab=default_tab&amp;search_scope=EVERYTHING&amp;vid=01CRU&amp;lang=en_US&amp;offset=0&amp;query=any,contains,991004318789702656","Catalog Record")</f>
        <v/>
      </c>
      <c r="AT899">
        <f>HYPERLINK("http://www.worldcat.org/oclc/54035011","WorldCat Record")</f>
        <v/>
      </c>
      <c r="AU899" t="inlineStr">
        <is>
          <t>13038158:eng</t>
        </is>
      </c>
      <c r="AV899" t="inlineStr">
        <is>
          <t>54035011</t>
        </is>
      </c>
      <c r="AW899" t="inlineStr">
        <is>
          <t>991004318789702656</t>
        </is>
      </c>
      <c r="AX899" t="inlineStr">
        <is>
          <t>991004318789702656</t>
        </is>
      </c>
      <c r="AY899" t="inlineStr">
        <is>
          <t>2258094060002656</t>
        </is>
      </c>
      <c r="AZ899" t="inlineStr">
        <is>
          <t>BOOK</t>
        </is>
      </c>
      <c r="BB899" t="inlineStr">
        <is>
          <t>9780312303518</t>
        </is>
      </c>
      <c r="BC899" t="inlineStr">
        <is>
          <t>32285004983382</t>
        </is>
      </c>
      <c r="BD899" t="inlineStr">
        <is>
          <t>893331440</t>
        </is>
      </c>
    </row>
    <row r="900">
      <c r="A900" t="inlineStr">
        <is>
          <t>No</t>
        </is>
      </c>
      <c r="B900" t="inlineStr">
        <is>
          <t>DS352 .W3</t>
        </is>
      </c>
      <c r="C900" t="inlineStr">
        <is>
          <t>0                      DS 0352000W  3</t>
        </is>
      </c>
      <c r="D900" t="inlineStr">
        <is>
          <t>Afghanistan : land in transition / by Mary Bradley Watkins ; map by Dorothy deFontaine.</t>
        </is>
      </c>
      <c r="F900" t="inlineStr">
        <is>
          <t>No</t>
        </is>
      </c>
      <c r="G900" t="inlineStr">
        <is>
          <t>1</t>
        </is>
      </c>
      <c r="H900" t="inlineStr">
        <is>
          <t>No</t>
        </is>
      </c>
      <c r="I900" t="inlineStr">
        <is>
          <t>No</t>
        </is>
      </c>
      <c r="J900" t="inlineStr">
        <is>
          <t>0</t>
        </is>
      </c>
      <c r="K900" t="inlineStr">
        <is>
          <t>Watkins, Mary Bradley.</t>
        </is>
      </c>
      <c r="L900" t="inlineStr">
        <is>
          <t>Princeton : Van Nostrand, c1963.</t>
        </is>
      </c>
      <c r="M900" t="inlineStr">
        <is>
          <t>1963</t>
        </is>
      </c>
      <c r="O900" t="inlineStr">
        <is>
          <t>eng</t>
        </is>
      </c>
      <c r="P900" t="inlineStr">
        <is>
          <t>nju</t>
        </is>
      </c>
      <c r="Q900" t="inlineStr">
        <is>
          <t>The Asia Library.</t>
        </is>
      </c>
      <c r="R900" t="inlineStr">
        <is>
          <t xml:space="preserve">DS </t>
        </is>
      </c>
      <c r="S900" t="n">
        <v>2</v>
      </c>
      <c r="T900" t="n">
        <v>2</v>
      </c>
      <c r="U900" t="inlineStr">
        <is>
          <t>2007-10-07</t>
        </is>
      </c>
      <c r="V900" t="inlineStr">
        <is>
          <t>2007-10-07</t>
        </is>
      </c>
      <c r="W900" t="inlineStr">
        <is>
          <t>1997-03-06</t>
        </is>
      </c>
      <c r="X900" t="inlineStr">
        <is>
          <t>1997-03-06</t>
        </is>
      </c>
      <c r="Y900" t="n">
        <v>588</v>
      </c>
      <c r="Z900" t="n">
        <v>492</v>
      </c>
      <c r="AA900" t="n">
        <v>501</v>
      </c>
      <c r="AB900" t="n">
        <v>3</v>
      </c>
      <c r="AC900" t="n">
        <v>3</v>
      </c>
      <c r="AD900" t="n">
        <v>14</v>
      </c>
      <c r="AE900" t="n">
        <v>14</v>
      </c>
      <c r="AF900" t="n">
        <v>7</v>
      </c>
      <c r="AG900" t="n">
        <v>7</v>
      </c>
      <c r="AH900" t="n">
        <v>2</v>
      </c>
      <c r="AI900" t="n">
        <v>2</v>
      </c>
      <c r="AJ900" t="n">
        <v>6</v>
      </c>
      <c r="AK900" t="n">
        <v>6</v>
      </c>
      <c r="AL900" t="n">
        <v>2</v>
      </c>
      <c r="AM900" t="n">
        <v>2</v>
      </c>
      <c r="AN900" t="n">
        <v>0</v>
      </c>
      <c r="AO900" t="n">
        <v>0</v>
      </c>
      <c r="AP900" t="inlineStr">
        <is>
          <t>Yes</t>
        </is>
      </c>
      <c r="AQ900" t="inlineStr">
        <is>
          <t>No</t>
        </is>
      </c>
      <c r="AR900">
        <f>HYPERLINK("http://catalog.hathitrust.org/Record/001249126","HathiTrust Record")</f>
        <v/>
      </c>
      <c r="AS900">
        <f>HYPERLINK("https://creighton-primo.hosted.exlibrisgroup.com/primo-explore/search?tab=default_tab&amp;search_scope=EVERYTHING&amp;vid=01CRU&amp;lang=en_US&amp;offset=0&amp;query=any,contains,991000895089702656","Catalog Record")</f>
        <v/>
      </c>
      <c r="AT900">
        <f>HYPERLINK("http://www.worldcat.org/oclc/1019263516","WorldCat Record")</f>
        <v/>
      </c>
      <c r="AU900" t="inlineStr">
        <is>
          <t>836661906:eng</t>
        </is>
      </c>
      <c r="AV900" t="inlineStr">
        <is>
          <t>1019263516</t>
        </is>
      </c>
      <c r="AW900" t="inlineStr">
        <is>
          <t>991000895089702656</t>
        </is>
      </c>
      <c r="AX900" t="inlineStr">
        <is>
          <t>991000895089702656</t>
        </is>
      </c>
      <c r="AY900" t="inlineStr">
        <is>
          <t>2264245630002656</t>
        </is>
      </c>
      <c r="AZ900" t="inlineStr">
        <is>
          <t>BOOK</t>
        </is>
      </c>
      <c r="BC900" t="inlineStr">
        <is>
          <t>32285002455755</t>
        </is>
      </c>
      <c r="BD900" t="inlineStr">
        <is>
          <t>893327687</t>
        </is>
      </c>
    </row>
    <row r="901">
      <c r="A901" t="inlineStr">
        <is>
          <t>No</t>
        </is>
      </c>
      <c r="B901" t="inlineStr">
        <is>
          <t>DS354.6.A7 B37 1981</t>
        </is>
      </c>
      <c r="C901" t="inlineStr">
        <is>
          <t>0                      DS 0354600A  7                  B  37          1981</t>
        </is>
      </c>
      <c r="D901" t="inlineStr">
        <is>
          <t>The central Asian Arabs of Afghanistan : pastoral nomadism in transition / by Thomas J. Barfield.</t>
        </is>
      </c>
      <c r="F901" t="inlineStr">
        <is>
          <t>No</t>
        </is>
      </c>
      <c r="G901" t="inlineStr">
        <is>
          <t>1</t>
        </is>
      </c>
      <c r="H901" t="inlineStr">
        <is>
          <t>No</t>
        </is>
      </c>
      <c r="I901" t="inlineStr">
        <is>
          <t>No</t>
        </is>
      </c>
      <c r="J901" t="inlineStr">
        <is>
          <t>0</t>
        </is>
      </c>
      <c r="K901" t="inlineStr">
        <is>
          <t>Barfield, Thomas J. (Thomas Jefferson), 1950-</t>
        </is>
      </c>
      <c r="L901" t="inlineStr">
        <is>
          <t>Austin : University of Texas Press, c1981.</t>
        </is>
      </c>
      <c r="M901" t="inlineStr">
        <is>
          <t>1981</t>
        </is>
      </c>
      <c r="O901" t="inlineStr">
        <is>
          <t>eng</t>
        </is>
      </c>
      <c r="P901" t="inlineStr">
        <is>
          <t>txu</t>
        </is>
      </c>
      <c r="R901" t="inlineStr">
        <is>
          <t xml:space="preserve">DS </t>
        </is>
      </c>
      <c r="S901" t="n">
        <v>10</v>
      </c>
      <c r="T901" t="n">
        <v>10</v>
      </c>
      <c r="U901" t="inlineStr">
        <is>
          <t>2001-12-12</t>
        </is>
      </c>
      <c r="V901" t="inlineStr">
        <is>
          <t>2001-12-12</t>
        </is>
      </c>
      <c r="W901" t="inlineStr">
        <is>
          <t>1990-10-08</t>
        </is>
      </c>
      <c r="X901" t="inlineStr">
        <is>
          <t>1990-10-08</t>
        </is>
      </c>
      <c r="Y901" t="n">
        <v>419</v>
      </c>
      <c r="Z901" t="n">
        <v>346</v>
      </c>
      <c r="AA901" t="n">
        <v>348</v>
      </c>
      <c r="AB901" t="n">
        <v>3</v>
      </c>
      <c r="AC901" t="n">
        <v>3</v>
      </c>
      <c r="AD901" t="n">
        <v>11</v>
      </c>
      <c r="AE901" t="n">
        <v>11</v>
      </c>
      <c r="AF901" t="n">
        <v>1</v>
      </c>
      <c r="AG901" t="n">
        <v>1</v>
      </c>
      <c r="AH901" t="n">
        <v>5</v>
      </c>
      <c r="AI901" t="n">
        <v>5</v>
      </c>
      <c r="AJ901" t="n">
        <v>6</v>
      </c>
      <c r="AK901" t="n">
        <v>6</v>
      </c>
      <c r="AL901" t="n">
        <v>2</v>
      </c>
      <c r="AM901" t="n">
        <v>2</v>
      </c>
      <c r="AN901" t="n">
        <v>0</v>
      </c>
      <c r="AO901" t="n">
        <v>0</v>
      </c>
      <c r="AP901" t="inlineStr">
        <is>
          <t>No</t>
        </is>
      </c>
      <c r="AQ901" t="inlineStr">
        <is>
          <t>Yes</t>
        </is>
      </c>
      <c r="AR901">
        <f>HYPERLINK("http://catalog.hathitrust.org/Record/000141129","HathiTrust Record")</f>
        <v/>
      </c>
      <c r="AS901">
        <f>HYPERLINK("https://creighton-primo.hosted.exlibrisgroup.com/primo-explore/search?tab=default_tab&amp;search_scope=EVERYTHING&amp;vid=01CRU&amp;lang=en_US&amp;offset=0&amp;query=any,contains,991005139629702656","Catalog Record")</f>
        <v/>
      </c>
      <c r="AT901">
        <f>HYPERLINK("http://www.worldcat.org/oclc/7597447","WorldCat Record")</f>
        <v/>
      </c>
      <c r="AU901" t="inlineStr">
        <is>
          <t>571760:eng</t>
        </is>
      </c>
      <c r="AV901" t="inlineStr">
        <is>
          <t>7597447</t>
        </is>
      </c>
      <c r="AW901" t="inlineStr">
        <is>
          <t>991005139629702656</t>
        </is>
      </c>
      <c r="AX901" t="inlineStr">
        <is>
          <t>991005139629702656</t>
        </is>
      </c>
      <c r="AY901" t="inlineStr">
        <is>
          <t>2254813660002656</t>
        </is>
      </c>
      <c r="AZ901" t="inlineStr">
        <is>
          <t>BOOK</t>
        </is>
      </c>
      <c r="BB901" t="inlineStr">
        <is>
          <t>9780292710665</t>
        </is>
      </c>
      <c r="BC901" t="inlineStr">
        <is>
          <t>32285000336056</t>
        </is>
      </c>
      <c r="BD901" t="inlineStr">
        <is>
          <t>893625508</t>
        </is>
      </c>
    </row>
    <row r="902">
      <c r="A902" t="inlineStr">
        <is>
          <t>No</t>
        </is>
      </c>
      <c r="B902" t="inlineStr">
        <is>
          <t>DS356 .A356 2001</t>
        </is>
      </c>
      <c r="C902" t="inlineStr">
        <is>
          <t>0                      DS 0356000A  356         2001</t>
        </is>
      </c>
      <c r="D902" t="inlineStr">
        <is>
          <t>Afghanistan : history, issues, bibliography / Cary Gladstone, editor.</t>
        </is>
      </c>
      <c r="F902" t="inlineStr">
        <is>
          <t>No</t>
        </is>
      </c>
      <c r="G902" t="inlineStr">
        <is>
          <t>1</t>
        </is>
      </c>
      <c r="H902" t="inlineStr">
        <is>
          <t>No</t>
        </is>
      </c>
      <c r="I902" t="inlineStr">
        <is>
          <t>No</t>
        </is>
      </c>
      <c r="J902" t="inlineStr">
        <is>
          <t>0</t>
        </is>
      </c>
      <c r="L902" t="inlineStr">
        <is>
          <t>Huntington, N.Y. : Novinka Books, c2001.</t>
        </is>
      </c>
      <c r="M902" t="inlineStr">
        <is>
          <t>2001</t>
        </is>
      </c>
      <c r="O902" t="inlineStr">
        <is>
          <t>eng</t>
        </is>
      </c>
      <c r="P902" t="inlineStr">
        <is>
          <t>nyu</t>
        </is>
      </c>
      <c r="R902" t="inlineStr">
        <is>
          <t xml:space="preserve">DS </t>
        </is>
      </c>
      <c r="S902" t="n">
        <v>5</v>
      </c>
      <c r="T902" t="n">
        <v>5</v>
      </c>
      <c r="U902" t="inlineStr">
        <is>
          <t>2007-10-06</t>
        </is>
      </c>
      <c r="V902" t="inlineStr">
        <is>
          <t>2007-10-06</t>
        </is>
      </c>
      <c r="W902" t="inlineStr">
        <is>
          <t>2002-04-22</t>
        </is>
      </c>
      <c r="X902" t="inlineStr">
        <is>
          <t>2002-04-22</t>
        </is>
      </c>
      <c r="Y902" t="n">
        <v>168</v>
      </c>
      <c r="Z902" t="n">
        <v>145</v>
      </c>
      <c r="AA902" t="n">
        <v>154</v>
      </c>
      <c r="AB902" t="n">
        <v>2</v>
      </c>
      <c r="AC902" t="n">
        <v>2</v>
      </c>
      <c r="AD902" t="n">
        <v>7</v>
      </c>
      <c r="AE902" t="n">
        <v>7</v>
      </c>
      <c r="AF902" t="n">
        <v>1</v>
      </c>
      <c r="AG902" t="n">
        <v>1</v>
      </c>
      <c r="AH902" t="n">
        <v>3</v>
      </c>
      <c r="AI902" t="n">
        <v>3</v>
      </c>
      <c r="AJ902" t="n">
        <v>4</v>
      </c>
      <c r="AK902" t="n">
        <v>4</v>
      </c>
      <c r="AL902" t="n">
        <v>1</v>
      </c>
      <c r="AM902" t="n">
        <v>1</v>
      </c>
      <c r="AN902" t="n">
        <v>0</v>
      </c>
      <c r="AO902" t="n">
        <v>0</v>
      </c>
      <c r="AP902" t="inlineStr">
        <is>
          <t>No</t>
        </is>
      </c>
      <c r="AQ902" t="inlineStr">
        <is>
          <t>No</t>
        </is>
      </c>
      <c r="AS902">
        <f>HYPERLINK("https://creighton-primo.hosted.exlibrisgroup.com/primo-explore/search?tab=default_tab&amp;search_scope=EVERYTHING&amp;vid=01CRU&amp;lang=en_US&amp;offset=0&amp;query=any,contains,991003721849702656","Catalog Record")</f>
        <v/>
      </c>
      <c r="AT902">
        <f>HYPERLINK("http://www.worldcat.org/oclc/48223135","WorldCat Record")</f>
        <v/>
      </c>
      <c r="AU902" t="inlineStr">
        <is>
          <t>56746401:eng</t>
        </is>
      </c>
      <c r="AV902" t="inlineStr">
        <is>
          <t>48223135</t>
        </is>
      </c>
      <c r="AW902" t="inlineStr">
        <is>
          <t>991003721849702656</t>
        </is>
      </c>
      <c r="AX902" t="inlineStr">
        <is>
          <t>991003721849702656</t>
        </is>
      </c>
      <c r="AY902" t="inlineStr">
        <is>
          <t>2255458980002656</t>
        </is>
      </c>
      <c r="AZ902" t="inlineStr">
        <is>
          <t>BOOK</t>
        </is>
      </c>
      <c r="BB902" t="inlineStr">
        <is>
          <t>9781590331057</t>
        </is>
      </c>
      <c r="BC902" t="inlineStr">
        <is>
          <t>32285004478599</t>
        </is>
      </c>
      <c r="BD902" t="inlineStr">
        <is>
          <t>893410598</t>
        </is>
      </c>
    </row>
    <row r="903">
      <c r="A903" t="inlineStr">
        <is>
          <t>No</t>
        </is>
      </c>
      <c r="B903" t="inlineStr">
        <is>
          <t>DS356 .F57</t>
        </is>
      </c>
      <c r="C903" t="inlineStr">
        <is>
          <t>0                      DS 0356000F  57</t>
        </is>
      </c>
      <c r="D903" t="inlineStr">
        <is>
          <t>Afghanistan, highway of conquest.</t>
        </is>
      </c>
      <c r="F903" t="inlineStr">
        <is>
          <t>No</t>
        </is>
      </c>
      <c r="G903" t="inlineStr">
        <is>
          <t>1</t>
        </is>
      </c>
      <c r="H903" t="inlineStr">
        <is>
          <t>No</t>
        </is>
      </c>
      <c r="I903" t="inlineStr">
        <is>
          <t>No</t>
        </is>
      </c>
      <c r="J903" t="inlineStr">
        <is>
          <t>0</t>
        </is>
      </c>
      <c r="K903" t="inlineStr">
        <is>
          <t>Fletcher, Arnold.</t>
        </is>
      </c>
      <c r="L903" t="inlineStr">
        <is>
          <t>Ithaca, N.Y., Cornell University Press [1965]</t>
        </is>
      </c>
      <c r="M903" t="inlineStr">
        <is>
          <t>1965</t>
        </is>
      </c>
      <c r="O903" t="inlineStr">
        <is>
          <t>eng</t>
        </is>
      </c>
      <c r="P903" t="inlineStr">
        <is>
          <t>nyu</t>
        </is>
      </c>
      <c r="R903" t="inlineStr">
        <is>
          <t xml:space="preserve">DS </t>
        </is>
      </c>
      <c r="S903" t="n">
        <v>6</v>
      </c>
      <c r="T903" t="n">
        <v>6</v>
      </c>
      <c r="U903" t="inlineStr">
        <is>
          <t>2007-02-11</t>
        </is>
      </c>
      <c r="V903" t="inlineStr">
        <is>
          <t>2007-02-11</t>
        </is>
      </c>
      <c r="W903" t="inlineStr">
        <is>
          <t>1997-03-06</t>
        </is>
      </c>
      <c r="X903" t="inlineStr">
        <is>
          <t>1997-03-06</t>
        </is>
      </c>
      <c r="Y903" t="n">
        <v>685</v>
      </c>
      <c r="Z903" t="n">
        <v>600</v>
      </c>
      <c r="AA903" t="n">
        <v>644</v>
      </c>
      <c r="AB903" t="n">
        <v>6</v>
      </c>
      <c r="AC903" t="n">
        <v>6</v>
      </c>
      <c r="AD903" t="n">
        <v>24</v>
      </c>
      <c r="AE903" t="n">
        <v>25</v>
      </c>
      <c r="AF903" t="n">
        <v>4</v>
      </c>
      <c r="AG903" t="n">
        <v>5</v>
      </c>
      <c r="AH903" t="n">
        <v>8</v>
      </c>
      <c r="AI903" t="n">
        <v>8</v>
      </c>
      <c r="AJ903" t="n">
        <v>13</v>
      </c>
      <c r="AK903" t="n">
        <v>13</v>
      </c>
      <c r="AL903" t="n">
        <v>5</v>
      </c>
      <c r="AM903" t="n">
        <v>5</v>
      </c>
      <c r="AN903" t="n">
        <v>0</v>
      </c>
      <c r="AO903" t="n">
        <v>0</v>
      </c>
      <c r="AP903" t="inlineStr">
        <is>
          <t>No</t>
        </is>
      </c>
      <c r="AQ903" t="inlineStr">
        <is>
          <t>Yes</t>
        </is>
      </c>
      <c r="AR903">
        <f>HYPERLINK("http://catalog.hathitrust.org/Record/001866785","HathiTrust Record")</f>
        <v/>
      </c>
      <c r="AS903">
        <f>HYPERLINK("https://creighton-primo.hosted.exlibrisgroup.com/primo-explore/search?tab=default_tab&amp;search_scope=EVERYTHING&amp;vid=01CRU&amp;lang=en_US&amp;offset=0&amp;query=any,contains,991002709929702656","Catalog Record")</f>
        <v/>
      </c>
      <c r="AT903">
        <f>HYPERLINK("http://www.worldcat.org/oclc/408840","WorldCat Record")</f>
        <v/>
      </c>
      <c r="AU903" t="inlineStr">
        <is>
          <t>230810541:eng</t>
        </is>
      </c>
      <c r="AV903" t="inlineStr">
        <is>
          <t>408840</t>
        </is>
      </c>
      <c r="AW903" t="inlineStr">
        <is>
          <t>991002709929702656</t>
        </is>
      </c>
      <c r="AX903" t="inlineStr">
        <is>
          <t>991002709929702656</t>
        </is>
      </c>
      <c r="AY903" t="inlineStr">
        <is>
          <t>2264273870002656</t>
        </is>
      </c>
      <c r="AZ903" t="inlineStr">
        <is>
          <t>BOOK</t>
        </is>
      </c>
      <c r="BC903" t="inlineStr">
        <is>
          <t>32285002455771</t>
        </is>
      </c>
      <c r="BD903" t="inlineStr">
        <is>
          <t>893239401</t>
        </is>
      </c>
    </row>
    <row r="904">
      <c r="A904" t="inlineStr">
        <is>
          <t>No</t>
        </is>
      </c>
      <c r="B904" t="inlineStr">
        <is>
          <t>DS356 .W55 1962</t>
        </is>
      </c>
      <c r="C904" t="inlineStr">
        <is>
          <t>0                      DS 0356000W  55          1962</t>
        </is>
      </c>
      <c r="D904" t="inlineStr">
        <is>
          <t>Afghanistan: its people, its society, its culture. In collaboration with Elizabeth E. Bacon [and others]</t>
        </is>
      </c>
      <c r="F904" t="inlineStr">
        <is>
          <t>No</t>
        </is>
      </c>
      <c r="G904" t="inlineStr">
        <is>
          <t>1</t>
        </is>
      </c>
      <c r="H904" t="inlineStr">
        <is>
          <t>No</t>
        </is>
      </c>
      <c r="I904" t="inlineStr">
        <is>
          <t>No</t>
        </is>
      </c>
      <c r="J904" t="inlineStr">
        <is>
          <t>0</t>
        </is>
      </c>
      <c r="K904" t="inlineStr">
        <is>
          <t>Wilber, Donald Newton.</t>
        </is>
      </c>
      <c r="L904" t="inlineStr">
        <is>
          <t>New Haven, HRAF Press [1962]</t>
        </is>
      </c>
      <c r="M904" t="inlineStr">
        <is>
          <t>1962</t>
        </is>
      </c>
      <c r="O904" t="inlineStr">
        <is>
          <t>eng</t>
        </is>
      </c>
      <c r="P904" t="inlineStr">
        <is>
          <t>ctu</t>
        </is>
      </c>
      <c r="Q904" t="inlineStr">
        <is>
          <t>Survey of world cultures ; 11</t>
        </is>
      </c>
      <c r="R904" t="inlineStr">
        <is>
          <t xml:space="preserve">DS </t>
        </is>
      </c>
      <c r="S904" t="n">
        <v>7</v>
      </c>
      <c r="T904" t="n">
        <v>7</v>
      </c>
      <c r="U904" t="inlineStr">
        <is>
          <t>2007-10-04</t>
        </is>
      </c>
      <c r="V904" t="inlineStr">
        <is>
          <t>2007-10-04</t>
        </is>
      </c>
      <c r="W904" t="inlineStr">
        <is>
          <t>1997-03-06</t>
        </is>
      </c>
      <c r="X904" t="inlineStr">
        <is>
          <t>1997-03-06</t>
        </is>
      </c>
      <c r="Y904" t="n">
        <v>706</v>
      </c>
      <c r="Z904" t="n">
        <v>613</v>
      </c>
      <c r="AA904" t="n">
        <v>626</v>
      </c>
      <c r="AB904" t="n">
        <v>5</v>
      </c>
      <c r="AC904" t="n">
        <v>5</v>
      </c>
      <c r="AD904" t="n">
        <v>23</v>
      </c>
      <c r="AE904" t="n">
        <v>23</v>
      </c>
      <c r="AF904" t="n">
        <v>9</v>
      </c>
      <c r="AG904" t="n">
        <v>9</v>
      </c>
      <c r="AH904" t="n">
        <v>3</v>
      </c>
      <c r="AI904" t="n">
        <v>3</v>
      </c>
      <c r="AJ904" t="n">
        <v>11</v>
      </c>
      <c r="AK904" t="n">
        <v>11</v>
      </c>
      <c r="AL904" t="n">
        <v>4</v>
      </c>
      <c r="AM904" t="n">
        <v>4</v>
      </c>
      <c r="AN904" t="n">
        <v>0</v>
      </c>
      <c r="AO904" t="n">
        <v>0</v>
      </c>
      <c r="AP904" t="inlineStr">
        <is>
          <t>Yes</t>
        </is>
      </c>
      <c r="AQ904" t="inlineStr">
        <is>
          <t>Yes</t>
        </is>
      </c>
      <c r="AR904">
        <f>HYPERLINK("http://catalog.hathitrust.org/Record/001249146","HathiTrust Record")</f>
        <v/>
      </c>
      <c r="AS904">
        <f>HYPERLINK("https://creighton-primo.hosted.exlibrisgroup.com/primo-explore/search?tab=default_tab&amp;search_scope=EVERYTHING&amp;vid=01CRU&amp;lang=en_US&amp;offset=0&amp;query=any,contains,991002714789702656","Catalog Record")</f>
        <v/>
      </c>
      <c r="AT904">
        <f>HYPERLINK("http://www.worldcat.org/oclc/410960","WorldCat Record")</f>
        <v/>
      </c>
      <c r="AU904" t="inlineStr">
        <is>
          <t>1455964:eng</t>
        </is>
      </c>
      <c r="AV904" t="inlineStr">
        <is>
          <t>410960</t>
        </is>
      </c>
      <c r="AW904" t="inlineStr">
        <is>
          <t>991002714789702656</t>
        </is>
      </c>
      <c r="AX904" t="inlineStr">
        <is>
          <t>991002714789702656</t>
        </is>
      </c>
      <c r="AY904" t="inlineStr">
        <is>
          <t>2262563700002656</t>
        </is>
      </c>
      <c r="AZ904" t="inlineStr">
        <is>
          <t>BOOK</t>
        </is>
      </c>
      <c r="BC904" t="inlineStr">
        <is>
          <t>32285002455797</t>
        </is>
      </c>
      <c r="BD904" t="inlineStr">
        <is>
          <t>893780125</t>
        </is>
      </c>
    </row>
    <row r="905">
      <c r="A905" t="inlineStr">
        <is>
          <t>No</t>
        </is>
      </c>
      <c r="B905" t="inlineStr">
        <is>
          <t>DS36.2 .H35</t>
        </is>
      </c>
      <c r="C905" t="inlineStr">
        <is>
          <t>0                      DS 0036200H  35</t>
        </is>
      </c>
      <c r="D905" t="inlineStr">
        <is>
          <t>The League of Arab States and regional disputes : a study of Middle East conflicts / by Hussein A. Hassouna.</t>
        </is>
      </c>
      <c r="F905" t="inlineStr">
        <is>
          <t>No</t>
        </is>
      </c>
      <c r="G905" t="inlineStr">
        <is>
          <t>1</t>
        </is>
      </c>
      <c r="H905" t="inlineStr">
        <is>
          <t>No</t>
        </is>
      </c>
      <c r="I905" t="inlineStr">
        <is>
          <t>No</t>
        </is>
      </c>
      <c r="J905" t="inlineStr">
        <is>
          <t>0</t>
        </is>
      </c>
      <c r="K905" t="inlineStr">
        <is>
          <t>Hassouna, Hussein A., 1937-</t>
        </is>
      </c>
      <c r="L905" t="inlineStr">
        <is>
          <t>Dobbs Ferry, N.Y. : Oceana Publications, 1975.</t>
        </is>
      </c>
      <c r="M905" t="inlineStr">
        <is>
          <t>1975</t>
        </is>
      </c>
      <c r="O905" t="inlineStr">
        <is>
          <t>eng</t>
        </is>
      </c>
      <c r="P905" t="inlineStr">
        <is>
          <t>nyu</t>
        </is>
      </c>
      <c r="R905" t="inlineStr">
        <is>
          <t xml:space="preserve">DS </t>
        </is>
      </c>
      <c r="S905" t="n">
        <v>3</v>
      </c>
      <c r="T905" t="n">
        <v>3</v>
      </c>
      <c r="U905" t="inlineStr">
        <is>
          <t>2006-11-10</t>
        </is>
      </c>
      <c r="V905" t="inlineStr">
        <is>
          <t>2006-11-10</t>
        </is>
      </c>
      <c r="W905" t="inlineStr">
        <is>
          <t>1997-02-20</t>
        </is>
      </c>
      <c r="X905" t="inlineStr">
        <is>
          <t>1997-02-20</t>
        </is>
      </c>
      <c r="Y905" t="n">
        <v>432</v>
      </c>
      <c r="Z905" t="n">
        <v>324</v>
      </c>
      <c r="AA905" t="n">
        <v>331</v>
      </c>
      <c r="AB905" t="n">
        <v>3</v>
      </c>
      <c r="AC905" t="n">
        <v>3</v>
      </c>
      <c r="AD905" t="n">
        <v>16</v>
      </c>
      <c r="AE905" t="n">
        <v>16</v>
      </c>
      <c r="AF905" t="n">
        <v>2</v>
      </c>
      <c r="AG905" t="n">
        <v>2</v>
      </c>
      <c r="AH905" t="n">
        <v>4</v>
      </c>
      <c r="AI905" t="n">
        <v>4</v>
      </c>
      <c r="AJ905" t="n">
        <v>4</v>
      </c>
      <c r="AK905" t="n">
        <v>4</v>
      </c>
      <c r="AL905" t="n">
        <v>2</v>
      </c>
      <c r="AM905" t="n">
        <v>2</v>
      </c>
      <c r="AN905" t="n">
        <v>6</v>
      </c>
      <c r="AO905" t="n">
        <v>6</v>
      </c>
      <c r="AP905" t="inlineStr">
        <is>
          <t>No</t>
        </is>
      </c>
      <c r="AQ905" t="inlineStr">
        <is>
          <t>Yes</t>
        </is>
      </c>
      <c r="AR905">
        <f>HYPERLINK("http://catalog.hathitrust.org/Record/000040617","HathiTrust Record")</f>
        <v/>
      </c>
      <c r="AS905">
        <f>HYPERLINK("https://creighton-primo.hosted.exlibrisgroup.com/primo-explore/search?tab=default_tab&amp;search_scope=EVERYTHING&amp;vid=01CRU&amp;lang=en_US&amp;offset=0&amp;query=any,contains,991003885479702656","Catalog Record")</f>
        <v/>
      </c>
      <c r="AT905">
        <f>HYPERLINK("http://www.worldcat.org/oclc/1735429","WorldCat Record")</f>
        <v/>
      </c>
      <c r="AU905" t="inlineStr">
        <is>
          <t>150518624:eng</t>
        </is>
      </c>
      <c r="AV905" t="inlineStr">
        <is>
          <t>1735429</t>
        </is>
      </c>
      <c r="AW905" t="inlineStr">
        <is>
          <t>991003885479702656</t>
        </is>
      </c>
      <c r="AX905" t="inlineStr">
        <is>
          <t>991003885479702656</t>
        </is>
      </c>
      <c r="AY905" t="inlineStr">
        <is>
          <t>2256267920002656</t>
        </is>
      </c>
      <c r="AZ905" t="inlineStr">
        <is>
          <t>BOOK</t>
        </is>
      </c>
      <c r="BB905" t="inlineStr">
        <is>
          <t>9780379002904</t>
        </is>
      </c>
      <c r="BC905" t="inlineStr">
        <is>
          <t>32285002467354</t>
        </is>
      </c>
      <c r="BD905" t="inlineStr">
        <is>
          <t>893234750</t>
        </is>
      </c>
    </row>
    <row r="906">
      <c r="A906" t="inlineStr">
        <is>
          <t>No</t>
        </is>
      </c>
      <c r="B906" t="inlineStr">
        <is>
          <t>DS36.2 .M3</t>
        </is>
      </c>
      <c r="C906" t="inlineStr">
        <is>
          <t>0                      DS 0036200M  3</t>
        </is>
      </c>
      <c r="D906" t="inlineStr">
        <is>
          <t>The League of Arab States; a study in the dynamics of regional organization, by Robert W. Macdonald.</t>
        </is>
      </c>
      <c r="F906" t="inlineStr">
        <is>
          <t>No</t>
        </is>
      </c>
      <c r="G906" t="inlineStr">
        <is>
          <t>1</t>
        </is>
      </c>
      <c r="H906" t="inlineStr">
        <is>
          <t>No</t>
        </is>
      </c>
      <c r="I906" t="inlineStr">
        <is>
          <t>No</t>
        </is>
      </c>
      <c r="J906" t="inlineStr">
        <is>
          <t>0</t>
        </is>
      </c>
      <c r="K906" t="inlineStr">
        <is>
          <t>MacDonald, Robert W.</t>
        </is>
      </c>
      <c r="L906" t="inlineStr">
        <is>
          <t>Princeton, N.J., Princeton University Press, 1965.</t>
        </is>
      </c>
      <c r="M906" t="inlineStr">
        <is>
          <t>1965</t>
        </is>
      </c>
      <c r="O906" t="inlineStr">
        <is>
          <t>eng</t>
        </is>
      </c>
      <c r="P906" t="inlineStr">
        <is>
          <t>nju</t>
        </is>
      </c>
      <c r="R906" t="inlineStr">
        <is>
          <t xml:space="preserve">DS </t>
        </is>
      </c>
      <c r="S906" t="n">
        <v>2</v>
      </c>
      <c r="T906" t="n">
        <v>2</v>
      </c>
      <c r="U906" t="inlineStr">
        <is>
          <t>2006-11-10</t>
        </is>
      </c>
      <c r="V906" t="inlineStr">
        <is>
          <t>2006-11-10</t>
        </is>
      </c>
      <c r="W906" t="inlineStr">
        <is>
          <t>1997-02-20</t>
        </is>
      </c>
      <c r="X906" t="inlineStr">
        <is>
          <t>1997-02-20</t>
        </is>
      </c>
      <c r="Y906" t="n">
        <v>895</v>
      </c>
      <c r="Z906" t="n">
        <v>729</v>
      </c>
      <c r="AA906" t="n">
        <v>876</v>
      </c>
      <c r="AB906" t="n">
        <v>4</v>
      </c>
      <c r="AC906" t="n">
        <v>4</v>
      </c>
      <c r="AD906" t="n">
        <v>32</v>
      </c>
      <c r="AE906" t="n">
        <v>38</v>
      </c>
      <c r="AF906" t="n">
        <v>11</v>
      </c>
      <c r="AG906" t="n">
        <v>17</v>
      </c>
      <c r="AH906" t="n">
        <v>6</v>
      </c>
      <c r="AI906" t="n">
        <v>7</v>
      </c>
      <c r="AJ906" t="n">
        <v>16</v>
      </c>
      <c r="AK906" t="n">
        <v>17</v>
      </c>
      <c r="AL906" t="n">
        <v>3</v>
      </c>
      <c r="AM906" t="n">
        <v>3</v>
      </c>
      <c r="AN906" t="n">
        <v>4</v>
      </c>
      <c r="AO906" t="n">
        <v>4</v>
      </c>
      <c r="AP906" t="inlineStr">
        <is>
          <t>No</t>
        </is>
      </c>
      <c r="AQ906" t="inlineStr">
        <is>
          <t>No</t>
        </is>
      </c>
      <c r="AS906">
        <f>HYPERLINK("https://creighton-primo.hosted.exlibrisgroup.com/primo-explore/search?tab=default_tab&amp;search_scope=EVERYTHING&amp;vid=01CRU&amp;lang=en_US&amp;offset=0&amp;query=any,contains,991002679719702656","Catalog Record")</f>
        <v/>
      </c>
      <c r="AT906">
        <f>HYPERLINK("http://www.worldcat.org/oclc/398083","WorldCat Record")</f>
        <v/>
      </c>
      <c r="AU906" t="inlineStr">
        <is>
          <t>500391744:eng</t>
        </is>
      </c>
      <c r="AV906" t="inlineStr">
        <is>
          <t>398083</t>
        </is>
      </c>
      <c r="AW906" t="inlineStr">
        <is>
          <t>991002679719702656</t>
        </is>
      </c>
      <c r="AX906" t="inlineStr">
        <is>
          <t>991002679719702656</t>
        </is>
      </c>
      <c r="AY906" t="inlineStr">
        <is>
          <t>2257273210002656</t>
        </is>
      </c>
      <c r="AZ906" t="inlineStr">
        <is>
          <t>BOOK</t>
        </is>
      </c>
      <c r="BC906" t="inlineStr">
        <is>
          <t>32285002467388</t>
        </is>
      </c>
      <c r="BD906" t="inlineStr">
        <is>
          <t>893716779</t>
        </is>
      </c>
    </row>
    <row r="907">
      <c r="A907" t="inlineStr">
        <is>
          <t>No</t>
        </is>
      </c>
      <c r="B907" t="inlineStr">
        <is>
          <t>DS36.7 .F47 1997</t>
        </is>
      </c>
      <c r="C907" t="inlineStr">
        <is>
          <t>0                      DS 0036700F  47          1997</t>
        </is>
      </c>
      <c r="D907" t="inlineStr">
        <is>
          <t>The Arab world : forty years of change / Elizabeth Warnock Fernea &amp; Robert A. Fernea ; photographs by Thomas Hartwell.</t>
        </is>
      </c>
      <c r="F907" t="inlineStr">
        <is>
          <t>No</t>
        </is>
      </c>
      <c r="G907" t="inlineStr">
        <is>
          <t>1</t>
        </is>
      </c>
      <c r="H907" t="inlineStr">
        <is>
          <t>No</t>
        </is>
      </c>
      <c r="I907" t="inlineStr">
        <is>
          <t>No</t>
        </is>
      </c>
      <c r="J907" t="inlineStr">
        <is>
          <t>0</t>
        </is>
      </c>
      <c r="K907" t="inlineStr">
        <is>
          <t>Fernea, Elizabeth Warnock, 1927-2008.</t>
        </is>
      </c>
      <c r="L907" t="inlineStr">
        <is>
          <t>New York : Anchor Books/Doubleday, 1997.</t>
        </is>
      </c>
      <c r="M907" t="inlineStr">
        <is>
          <t>1997</t>
        </is>
      </c>
      <c r="N907" t="inlineStr">
        <is>
          <t>Updated &amp; expanded.</t>
        </is>
      </c>
      <c r="O907" t="inlineStr">
        <is>
          <t>eng</t>
        </is>
      </c>
      <c r="P907" t="inlineStr">
        <is>
          <t>nyu</t>
        </is>
      </c>
      <c r="R907" t="inlineStr">
        <is>
          <t xml:space="preserve">DS </t>
        </is>
      </c>
      <c r="S907" t="n">
        <v>10</v>
      </c>
      <c r="T907" t="n">
        <v>10</v>
      </c>
      <c r="U907" t="inlineStr">
        <is>
          <t>2002-04-02</t>
        </is>
      </c>
      <c r="V907" t="inlineStr">
        <is>
          <t>2002-04-02</t>
        </is>
      </c>
      <c r="W907" t="inlineStr">
        <is>
          <t>1997-11-03</t>
        </is>
      </c>
      <c r="X907" t="inlineStr">
        <is>
          <t>1997-11-03</t>
        </is>
      </c>
      <c r="Y907" t="n">
        <v>643</v>
      </c>
      <c r="Z907" t="n">
        <v>579</v>
      </c>
      <c r="AA907" t="n">
        <v>611</v>
      </c>
      <c r="AB907" t="n">
        <v>4</v>
      </c>
      <c r="AC907" t="n">
        <v>4</v>
      </c>
      <c r="AD907" t="n">
        <v>19</v>
      </c>
      <c r="AE907" t="n">
        <v>20</v>
      </c>
      <c r="AF907" t="n">
        <v>9</v>
      </c>
      <c r="AG907" t="n">
        <v>9</v>
      </c>
      <c r="AH907" t="n">
        <v>4</v>
      </c>
      <c r="AI907" t="n">
        <v>5</v>
      </c>
      <c r="AJ907" t="n">
        <v>9</v>
      </c>
      <c r="AK907" t="n">
        <v>10</v>
      </c>
      <c r="AL907" t="n">
        <v>2</v>
      </c>
      <c r="AM907" t="n">
        <v>2</v>
      </c>
      <c r="AN907" t="n">
        <v>0</v>
      </c>
      <c r="AO907" t="n">
        <v>0</v>
      </c>
      <c r="AP907" t="inlineStr">
        <is>
          <t>No</t>
        </is>
      </c>
      <c r="AQ907" t="inlineStr">
        <is>
          <t>Yes</t>
        </is>
      </c>
      <c r="AR907">
        <f>HYPERLINK("http://catalog.hathitrust.org/Record/003942261","HathiTrust Record")</f>
        <v/>
      </c>
      <c r="AS907">
        <f>HYPERLINK("https://creighton-primo.hosted.exlibrisgroup.com/primo-explore/search?tab=default_tab&amp;search_scope=EVERYTHING&amp;vid=01CRU&amp;lang=en_US&amp;offset=0&amp;query=any,contains,991002738879702656","Catalog Record")</f>
        <v/>
      </c>
      <c r="AT907">
        <f>HYPERLINK("http://www.worldcat.org/oclc/35969202","WorldCat Record")</f>
        <v/>
      </c>
      <c r="AU907" t="inlineStr">
        <is>
          <t>196793171:eng</t>
        </is>
      </c>
      <c r="AV907" t="inlineStr">
        <is>
          <t>35969202</t>
        </is>
      </c>
      <c r="AW907" t="inlineStr">
        <is>
          <t>991002738879702656</t>
        </is>
      </c>
      <c r="AX907" t="inlineStr">
        <is>
          <t>991002738879702656</t>
        </is>
      </c>
      <c r="AY907" t="inlineStr">
        <is>
          <t>2256618030002656</t>
        </is>
      </c>
      <c r="AZ907" t="inlineStr">
        <is>
          <t>BOOK</t>
        </is>
      </c>
      <c r="BB907" t="inlineStr">
        <is>
          <t>9780385485203</t>
        </is>
      </c>
      <c r="BC907" t="inlineStr">
        <is>
          <t>32285003259438</t>
        </is>
      </c>
      <c r="BD907" t="inlineStr">
        <is>
          <t>893317196</t>
        </is>
      </c>
    </row>
    <row r="908">
      <c r="A908" t="inlineStr">
        <is>
          <t>No</t>
        </is>
      </c>
      <c r="B908" t="inlineStr">
        <is>
          <t>DS36.7 .L35 1987</t>
        </is>
      </c>
      <c r="C908" t="inlineStr">
        <is>
          <t>0                      DS 0036700L  35          1987</t>
        </is>
      </c>
      <c r="D908" t="inlineStr">
        <is>
          <t>The Arabs : journeys beyond the mirage / David Lamb.</t>
        </is>
      </c>
      <c r="F908" t="inlineStr">
        <is>
          <t>No</t>
        </is>
      </c>
      <c r="G908" t="inlineStr">
        <is>
          <t>1</t>
        </is>
      </c>
      <c r="H908" t="inlineStr">
        <is>
          <t>No</t>
        </is>
      </c>
      <c r="I908" t="inlineStr">
        <is>
          <t>No</t>
        </is>
      </c>
      <c r="J908" t="inlineStr">
        <is>
          <t>0</t>
        </is>
      </c>
      <c r="K908" t="inlineStr">
        <is>
          <t>Lamb, David.</t>
        </is>
      </c>
      <c r="L908" t="inlineStr">
        <is>
          <t>New York : Random House, c1987.</t>
        </is>
      </c>
      <c r="M908" t="inlineStr">
        <is>
          <t>1987</t>
        </is>
      </c>
      <c r="N908" t="inlineStr">
        <is>
          <t>1st ed.</t>
        </is>
      </c>
      <c r="O908" t="inlineStr">
        <is>
          <t>eng</t>
        </is>
      </c>
      <c r="P908" t="inlineStr">
        <is>
          <t>nyu</t>
        </is>
      </c>
      <c r="R908" t="inlineStr">
        <is>
          <t xml:space="preserve">DS </t>
        </is>
      </c>
      <c r="S908" t="n">
        <v>3</v>
      </c>
      <c r="T908" t="n">
        <v>3</v>
      </c>
      <c r="U908" t="inlineStr">
        <is>
          <t>1999-04-01</t>
        </is>
      </c>
      <c r="V908" t="inlineStr">
        <is>
          <t>1999-04-01</t>
        </is>
      </c>
      <c r="W908" t="inlineStr">
        <is>
          <t>1990-04-06</t>
        </is>
      </c>
      <c r="X908" t="inlineStr">
        <is>
          <t>1990-04-06</t>
        </is>
      </c>
      <c r="Y908" t="n">
        <v>1196</v>
      </c>
      <c r="Z908" t="n">
        <v>1122</v>
      </c>
      <c r="AA908" t="n">
        <v>1565</v>
      </c>
      <c r="AB908" t="n">
        <v>5</v>
      </c>
      <c r="AC908" t="n">
        <v>10</v>
      </c>
      <c r="AD908" t="n">
        <v>20</v>
      </c>
      <c r="AE908" t="n">
        <v>35</v>
      </c>
      <c r="AF908" t="n">
        <v>8</v>
      </c>
      <c r="AG908" t="n">
        <v>16</v>
      </c>
      <c r="AH908" t="n">
        <v>5</v>
      </c>
      <c r="AI908" t="n">
        <v>5</v>
      </c>
      <c r="AJ908" t="n">
        <v>12</v>
      </c>
      <c r="AK908" t="n">
        <v>16</v>
      </c>
      <c r="AL908" t="n">
        <v>1</v>
      </c>
      <c r="AM908" t="n">
        <v>5</v>
      </c>
      <c r="AN908" t="n">
        <v>0</v>
      </c>
      <c r="AO908" t="n">
        <v>0</v>
      </c>
      <c r="AP908" t="inlineStr">
        <is>
          <t>No</t>
        </is>
      </c>
      <c r="AQ908" t="inlineStr">
        <is>
          <t>Yes</t>
        </is>
      </c>
      <c r="AR908">
        <f>HYPERLINK("http://catalog.hathitrust.org/Record/000811830","HathiTrust Record")</f>
        <v/>
      </c>
      <c r="AS908">
        <f>HYPERLINK("https://creighton-primo.hosted.exlibrisgroup.com/primo-explore/search?tab=default_tab&amp;search_scope=EVERYTHING&amp;vid=01CRU&amp;lang=en_US&amp;offset=0&amp;query=any,contains,991000848889702656","Catalog Record")</f>
        <v/>
      </c>
      <c r="AT908">
        <f>HYPERLINK("http://www.worldcat.org/oclc/13580998","WorldCat Record")</f>
        <v/>
      </c>
      <c r="AU908" t="inlineStr">
        <is>
          <t>7493666:eng</t>
        </is>
      </c>
      <c r="AV908" t="inlineStr">
        <is>
          <t>13580998</t>
        </is>
      </c>
      <c r="AW908" t="inlineStr">
        <is>
          <t>991000848889702656</t>
        </is>
      </c>
      <c r="AX908" t="inlineStr">
        <is>
          <t>991000848889702656</t>
        </is>
      </c>
      <c r="AY908" t="inlineStr">
        <is>
          <t>2257697110002656</t>
        </is>
      </c>
      <c r="AZ908" t="inlineStr">
        <is>
          <t>BOOK</t>
        </is>
      </c>
      <c r="BB908" t="inlineStr">
        <is>
          <t>9780394544335</t>
        </is>
      </c>
      <c r="BC908" t="inlineStr">
        <is>
          <t>32285000111616</t>
        </is>
      </c>
      <c r="BD908" t="inlineStr">
        <is>
          <t>893528441</t>
        </is>
      </c>
    </row>
    <row r="909">
      <c r="A909" t="inlineStr">
        <is>
          <t>No</t>
        </is>
      </c>
      <c r="B909" t="inlineStr">
        <is>
          <t>DS36.77 .N93 2006</t>
        </is>
      </c>
      <c r="C909" t="inlineStr">
        <is>
          <t>0                      DS 0036770N  93          2006</t>
        </is>
      </c>
      <c r="D909" t="inlineStr">
        <is>
          <t>Understanding Arabs : a guide for modern times / Margaret K. Nydell.</t>
        </is>
      </c>
      <c r="F909" t="inlineStr">
        <is>
          <t>No</t>
        </is>
      </c>
      <c r="G909" t="inlineStr">
        <is>
          <t>1</t>
        </is>
      </c>
      <c r="H909" t="inlineStr">
        <is>
          <t>No</t>
        </is>
      </c>
      <c r="I909" t="inlineStr">
        <is>
          <t>No</t>
        </is>
      </c>
      <c r="J909" t="inlineStr">
        <is>
          <t>0</t>
        </is>
      </c>
      <c r="K909" t="inlineStr">
        <is>
          <t>Nydell, Margaret K. (Margaret Kleffner)</t>
        </is>
      </c>
      <c r="L909" t="inlineStr">
        <is>
          <t>Yarmouth, ME : Intercultural Press, 2006.</t>
        </is>
      </c>
      <c r="M909" t="inlineStr">
        <is>
          <t>2006</t>
        </is>
      </c>
      <c r="N909" t="inlineStr">
        <is>
          <t>4th ed.</t>
        </is>
      </c>
      <c r="O909" t="inlineStr">
        <is>
          <t>eng</t>
        </is>
      </c>
      <c r="P909" t="inlineStr">
        <is>
          <t>meu</t>
        </is>
      </c>
      <c r="R909" t="inlineStr">
        <is>
          <t xml:space="preserve">DS </t>
        </is>
      </c>
      <c r="S909" t="n">
        <v>7</v>
      </c>
      <c r="T909" t="n">
        <v>7</v>
      </c>
      <c r="U909" t="inlineStr">
        <is>
          <t>2010-10-24</t>
        </is>
      </c>
      <c r="V909" t="inlineStr">
        <is>
          <t>2010-10-24</t>
        </is>
      </c>
      <c r="W909" t="inlineStr">
        <is>
          <t>2006-08-02</t>
        </is>
      </c>
      <c r="X909" t="inlineStr">
        <is>
          <t>2006-08-02</t>
        </is>
      </c>
      <c r="Y909" t="n">
        <v>369</v>
      </c>
      <c r="Z909" t="n">
        <v>316</v>
      </c>
      <c r="AA909" t="n">
        <v>840</v>
      </c>
      <c r="AB909" t="n">
        <v>3</v>
      </c>
      <c r="AC909" t="n">
        <v>5</v>
      </c>
      <c r="AD909" t="n">
        <v>9</v>
      </c>
      <c r="AE909" t="n">
        <v>14</v>
      </c>
      <c r="AF909" t="n">
        <v>3</v>
      </c>
      <c r="AG909" t="n">
        <v>5</v>
      </c>
      <c r="AH909" t="n">
        <v>2</v>
      </c>
      <c r="AI909" t="n">
        <v>3</v>
      </c>
      <c r="AJ909" t="n">
        <v>3</v>
      </c>
      <c r="AK909" t="n">
        <v>5</v>
      </c>
      <c r="AL909" t="n">
        <v>2</v>
      </c>
      <c r="AM909" t="n">
        <v>4</v>
      </c>
      <c r="AN909" t="n">
        <v>0</v>
      </c>
      <c r="AO909" t="n">
        <v>0</v>
      </c>
      <c r="AP909" t="inlineStr">
        <is>
          <t>No</t>
        </is>
      </c>
      <c r="AQ909" t="inlineStr">
        <is>
          <t>No</t>
        </is>
      </c>
      <c r="AS909">
        <f>HYPERLINK("https://creighton-primo.hosted.exlibrisgroup.com/primo-explore/search?tab=default_tab&amp;search_scope=EVERYTHING&amp;vid=01CRU&amp;lang=en_US&amp;offset=0&amp;query=any,contains,991004844189702656","Catalog Record")</f>
        <v/>
      </c>
      <c r="AT909">
        <f>HYPERLINK("http://www.worldcat.org/oclc/60824215","WorldCat Record")</f>
        <v/>
      </c>
      <c r="AU909" t="inlineStr">
        <is>
          <t>3835675252:eng</t>
        </is>
      </c>
      <c r="AV909" t="inlineStr">
        <is>
          <t>60824215</t>
        </is>
      </c>
      <c r="AW909" t="inlineStr">
        <is>
          <t>991004844189702656</t>
        </is>
      </c>
      <c r="AX909" t="inlineStr">
        <is>
          <t>991004844189702656</t>
        </is>
      </c>
      <c r="AY909" t="inlineStr">
        <is>
          <t>2270637020002656</t>
        </is>
      </c>
      <c r="AZ909" t="inlineStr">
        <is>
          <t>BOOK</t>
        </is>
      </c>
      <c r="BB909" t="inlineStr">
        <is>
          <t>9781931930253</t>
        </is>
      </c>
      <c r="BC909" t="inlineStr">
        <is>
          <t>32285005199533</t>
        </is>
      </c>
      <c r="BD909" t="inlineStr">
        <is>
          <t>893344328</t>
        </is>
      </c>
    </row>
    <row r="910">
      <c r="A910" t="inlineStr">
        <is>
          <t>No</t>
        </is>
      </c>
      <c r="B910" t="inlineStr">
        <is>
          <t>DS36.77 .P79 1989</t>
        </is>
      </c>
      <c r="C910" t="inlineStr">
        <is>
          <t>0                      DS 0036770P  79          1989</t>
        </is>
      </c>
      <c r="D910" t="inlineStr">
        <is>
          <t>The closed circle : an interpretation of the Arabs / David Pryce-Jones.</t>
        </is>
      </c>
      <c r="F910" t="inlineStr">
        <is>
          <t>No</t>
        </is>
      </c>
      <c r="G910" t="inlineStr">
        <is>
          <t>1</t>
        </is>
      </c>
      <c r="H910" t="inlineStr">
        <is>
          <t>No</t>
        </is>
      </c>
      <c r="I910" t="inlineStr">
        <is>
          <t>No</t>
        </is>
      </c>
      <c r="J910" t="inlineStr">
        <is>
          <t>0</t>
        </is>
      </c>
      <c r="K910" t="inlineStr">
        <is>
          <t>Pryce-Jones, David, 1936-</t>
        </is>
      </c>
      <c r="L910" t="inlineStr">
        <is>
          <t>New York : Harper &amp; Row, c1989.</t>
        </is>
      </c>
      <c r="M910" t="inlineStr">
        <is>
          <t>1989</t>
        </is>
      </c>
      <c r="N910" t="inlineStr">
        <is>
          <t>1st ed.</t>
        </is>
      </c>
      <c r="O910" t="inlineStr">
        <is>
          <t>eng</t>
        </is>
      </c>
      <c r="P910" t="inlineStr">
        <is>
          <t>nyu</t>
        </is>
      </c>
      <c r="R910" t="inlineStr">
        <is>
          <t xml:space="preserve">DS </t>
        </is>
      </c>
      <c r="S910" t="n">
        <v>5</v>
      </c>
      <c r="T910" t="n">
        <v>5</v>
      </c>
      <c r="U910" t="inlineStr">
        <is>
          <t>2004-12-08</t>
        </is>
      </c>
      <c r="V910" t="inlineStr">
        <is>
          <t>2004-12-08</t>
        </is>
      </c>
      <c r="W910" t="inlineStr">
        <is>
          <t>1990-12-28</t>
        </is>
      </c>
      <c r="X910" t="inlineStr">
        <is>
          <t>1990-12-28</t>
        </is>
      </c>
      <c r="Y910" t="n">
        <v>769</v>
      </c>
      <c r="Z910" t="n">
        <v>699</v>
      </c>
      <c r="AA910" t="n">
        <v>1112</v>
      </c>
      <c r="AB910" t="n">
        <v>4</v>
      </c>
      <c r="AC910" t="n">
        <v>6</v>
      </c>
      <c r="AD910" t="n">
        <v>22</v>
      </c>
      <c r="AE910" t="n">
        <v>34</v>
      </c>
      <c r="AF910" t="n">
        <v>9</v>
      </c>
      <c r="AG910" t="n">
        <v>16</v>
      </c>
      <c r="AH910" t="n">
        <v>7</v>
      </c>
      <c r="AI910" t="n">
        <v>8</v>
      </c>
      <c r="AJ910" t="n">
        <v>11</v>
      </c>
      <c r="AK910" t="n">
        <v>14</v>
      </c>
      <c r="AL910" t="n">
        <v>2</v>
      </c>
      <c r="AM910" t="n">
        <v>4</v>
      </c>
      <c r="AN910" t="n">
        <v>0</v>
      </c>
      <c r="AO910" t="n">
        <v>0</v>
      </c>
      <c r="AP910" t="inlineStr">
        <is>
          <t>No</t>
        </is>
      </c>
      <c r="AQ910" t="inlineStr">
        <is>
          <t>No</t>
        </is>
      </c>
      <c r="AS910">
        <f>HYPERLINK("https://creighton-primo.hosted.exlibrisgroup.com/primo-explore/search?tab=default_tab&amp;search_scope=EVERYTHING&amp;vid=01CRU&amp;lang=en_US&amp;offset=0&amp;query=any,contains,991001347669702656","Catalog Record")</f>
        <v/>
      </c>
      <c r="AT910">
        <f>HYPERLINK("http://www.worldcat.org/oclc/18415898","WorldCat Record")</f>
        <v/>
      </c>
      <c r="AU910" t="inlineStr">
        <is>
          <t>1050864:eng</t>
        </is>
      </c>
      <c r="AV910" t="inlineStr">
        <is>
          <t>18415898</t>
        </is>
      </c>
      <c r="AW910" t="inlineStr">
        <is>
          <t>991001347669702656</t>
        </is>
      </c>
      <c r="AX910" t="inlineStr">
        <is>
          <t>991001347669702656</t>
        </is>
      </c>
      <c r="AY910" t="inlineStr">
        <is>
          <t>2258757760002656</t>
        </is>
      </c>
      <c r="AZ910" t="inlineStr">
        <is>
          <t>BOOK</t>
        </is>
      </c>
      <c r="BB910" t="inlineStr">
        <is>
          <t>9780060160470</t>
        </is>
      </c>
      <c r="BC910" t="inlineStr">
        <is>
          <t>32285000405620</t>
        </is>
      </c>
      <c r="BD910" t="inlineStr">
        <is>
          <t>893509562</t>
        </is>
      </c>
    </row>
    <row r="911">
      <c r="A911" t="inlineStr">
        <is>
          <t>No</t>
        </is>
      </c>
      <c r="B911" t="inlineStr">
        <is>
          <t>DS36.8 .B4413</t>
        </is>
      </c>
      <c r="C911" t="inlineStr">
        <is>
          <t>0                      DS 0036800B  4413</t>
        </is>
      </c>
      <c r="D911" t="inlineStr">
        <is>
          <t>Cultural expression in Arab society today = Langages arabes du présent / by Jacques Berque ; translated by Robert W. Stookey ; poetry translated by Basima Bezirgan &amp; Elizabeth Fernea.</t>
        </is>
      </c>
      <c r="F911" t="inlineStr">
        <is>
          <t>No</t>
        </is>
      </c>
      <c r="G911" t="inlineStr">
        <is>
          <t>1</t>
        </is>
      </c>
      <c r="H911" t="inlineStr">
        <is>
          <t>No</t>
        </is>
      </c>
      <c r="I911" t="inlineStr">
        <is>
          <t>No</t>
        </is>
      </c>
      <c r="J911" t="inlineStr">
        <is>
          <t>0</t>
        </is>
      </c>
      <c r="K911" t="inlineStr">
        <is>
          <t>Berque, Jacques.</t>
        </is>
      </c>
      <c r="L911" t="inlineStr">
        <is>
          <t>Austin : University of Texas Press, c1978.</t>
        </is>
      </c>
      <c r="M911" t="inlineStr">
        <is>
          <t>1978</t>
        </is>
      </c>
      <c r="O911" t="inlineStr">
        <is>
          <t>eng</t>
        </is>
      </c>
      <c r="P911" t="inlineStr">
        <is>
          <t>txu</t>
        </is>
      </c>
      <c r="Q911" t="inlineStr">
        <is>
          <t>Modern Middle East series ; no. 3</t>
        </is>
      </c>
      <c r="R911" t="inlineStr">
        <is>
          <t xml:space="preserve">DS </t>
        </is>
      </c>
      <c r="S911" t="n">
        <v>6</v>
      </c>
      <c r="T911" t="n">
        <v>6</v>
      </c>
      <c r="U911" t="inlineStr">
        <is>
          <t>2009-08-26</t>
        </is>
      </c>
      <c r="V911" t="inlineStr">
        <is>
          <t>2009-08-26</t>
        </is>
      </c>
      <c r="W911" t="inlineStr">
        <is>
          <t>1993-02-05</t>
        </is>
      </c>
      <c r="X911" t="inlineStr">
        <is>
          <t>1993-02-05</t>
        </is>
      </c>
      <c r="Y911" t="n">
        <v>468</v>
      </c>
      <c r="Z911" t="n">
        <v>382</v>
      </c>
      <c r="AA911" t="n">
        <v>389</v>
      </c>
      <c r="AB911" t="n">
        <v>4</v>
      </c>
      <c r="AC911" t="n">
        <v>4</v>
      </c>
      <c r="AD911" t="n">
        <v>15</v>
      </c>
      <c r="AE911" t="n">
        <v>15</v>
      </c>
      <c r="AF911" t="n">
        <v>3</v>
      </c>
      <c r="AG911" t="n">
        <v>3</v>
      </c>
      <c r="AH911" t="n">
        <v>3</v>
      </c>
      <c r="AI911" t="n">
        <v>3</v>
      </c>
      <c r="AJ911" t="n">
        <v>7</v>
      </c>
      <c r="AK911" t="n">
        <v>7</v>
      </c>
      <c r="AL911" t="n">
        <v>3</v>
      </c>
      <c r="AM911" t="n">
        <v>3</v>
      </c>
      <c r="AN911" t="n">
        <v>0</v>
      </c>
      <c r="AO911" t="n">
        <v>0</v>
      </c>
      <c r="AP911" t="inlineStr">
        <is>
          <t>No</t>
        </is>
      </c>
      <c r="AQ911" t="inlineStr">
        <is>
          <t>Yes</t>
        </is>
      </c>
      <c r="AR911">
        <f>HYPERLINK("http://catalog.hathitrust.org/Record/000751360","HathiTrust Record")</f>
        <v/>
      </c>
      <c r="AS911">
        <f>HYPERLINK("https://creighton-primo.hosted.exlibrisgroup.com/primo-explore/search?tab=default_tab&amp;search_scope=EVERYTHING&amp;vid=01CRU&amp;lang=en_US&amp;offset=0&amp;query=any,contains,991004425799702656","Catalog Record")</f>
        <v/>
      </c>
      <c r="AT911">
        <f>HYPERLINK("http://www.worldcat.org/oclc/3397275","WorldCat Record")</f>
        <v/>
      </c>
      <c r="AU911" t="inlineStr">
        <is>
          <t>432839:eng</t>
        </is>
      </c>
      <c r="AV911" t="inlineStr">
        <is>
          <t>3397275</t>
        </is>
      </c>
      <c r="AW911" t="inlineStr">
        <is>
          <t>991004425799702656</t>
        </is>
      </c>
      <c r="AX911" t="inlineStr">
        <is>
          <t>991004425799702656</t>
        </is>
      </c>
      <c r="AY911" t="inlineStr">
        <is>
          <t>2267154290002656</t>
        </is>
      </c>
      <c r="AZ911" t="inlineStr">
        <is>
          <t>BOOK</t>
        </is>
      </c>
      <c r="BB911" t="inlineStr">
        <is>
          <t>9780292703308</t>
        </is>
      </c>
      <c r="BC911" t="inlineStr">
        <is>
          <t>32285001484236</t>
        </is>
      </c>
      <c r="BD911" t="inlineStr">
        <is>
          <t>893513228</t>
        </is>
      </c>
    </row>
    <row r="912">
      <c r="A912" t="inlineStr">
        <is>
          <t>No</t>
        </is>
      </c>
      <c r="B912" t="inlineStr">
        <is>
          <t>DS36.82.G7 R6713</t>
        </is>
      </c>
      <c r="C912" t="inlineStr">
        <is>
          <t>0                      DS 0036820G  7                  R  6713</t>
        </is>
      </c>
      <c r="D912" t="inlineStr">
        <is>
          <t>The classical heritage in Islam / [edited] by Franz Rosenthal ; translated from the German by Emile and Jenny Marmorstein.</t>
        </is>
      </c>
      <c r="F912" t="inlineStr">
        <is>
          <t>No</t>
        </is>
      </c>
      <c r="G912" t="inlineStr">
        <is>
          <t>1</t>
        </is>
      </c>
      <c r="H912" t="inlineStr">
        <is>
          <t>No</t>
        </is>
      </c>
      <c r="I912" t="inlineStr">
        <is>
          <t>No</t>
        </is>
      </c>
      <c r="J912" t="inlineStr">
        <is>
          <t>0</t>
        </is>
      </c>
      <c r="K912" t="inlineStr">
        <is>
          <t>Rosenthal, Franz, 1914-2003.</t>
        </is>
      </c>
      <c r="L912" t="inlineStr">
        <is>
          <t>Berkeley : University of California Press, [1975]</t>
        </is>
      </c>
      <c r="M912" t="inlineStr">
        <is>
          <t>1975</t>
        </is>
      </c>
      <c r="O912" t="inlineStr">
        <is>
          <t>eng</t>
        </is>
      </c>
      <c r="P912" t="inlineStr">
        <is>
          <t>cau</t>
        </is>
      </c>
      <c r="Q912" t="inlineStr">
        <is>
          <t>The Islamic world series</t>
        </is>
      </c>
      <c r="R912" t="inlineStr">
        <is>
          <t xml:space="preserve">DS </t>
        </is>
      </c>
      <c r="S912" t="n">
        <v>3</v>
      </c>
      <c r="T912" t="n">
        <v>3</v>
      </c>
      <c r="U912" t="inlineStr">
        <is>
          <t>2001-04-27</t>
        </is>
      </c>
      <c r="V912" t="inlineStr">
        <is>
          <t>2001-04-27</t>
        </is>
      </c>
      <c r="W912" t="inlineStr">
        <is>
          <t>1997-02-20</t>
        </is>
      </c>
      <c r="X912" t="inlineStr">
        <is>
          <t>1997-02-20</t>
        </is>
      </c>
      <c r="Y912" t="n">
        <v>461</v>
      </c>
      <c r="Z912" t="n">
        <v>407</v>
      </c>
      <c r="AA912" t="n">
        <v>543</v>
      </c>
      <c r="AB912" t="n">
        <v>2</v>
      </c>
      <c r="AC912" t="n">
        <v>3</v>
      </c>
      <c r="AD912" t="n">
        <v>20</v>
      </c>
      <c r="AE912" t="n">
        <v>27</v>
      </c>
      <c r="AF912" t="n">
        <v>7</v>
      </c>
      <c r="AG912" t="n">
        <v>12</v>
      </c>
      <c r="AH912" t="n">
        <v>6</v>
      </c>
      <c r="AI912" t="n">
        <v>6</v>
      </c>
      <c r="AJ912" t="n">
        <v>12</v>
      </c>
      <c r="AK912" t="n">
        <v>15</v>
      </c>
      <c r="AL912" t="n">
        <v>1</v>
      </c>
      <c r="AM912" t="n">
        <v>2</v>
      </c>
      <c r="AN912" t="n">
        <v>0</v>
      </c>
      <c r="AO912" t="n">
        <v>0</v>
      </c>
      <c r="AP912" t="inlineStr">
        <is>
          <t>No</t>
        </is>
      </c>
      <c r="AQ912" t="inlineStr">
        <is>
          <t>No</t>
        </is>
      </c>
      <c r="AS912">
        <f>HYPERLINK("https://creighton-primo.hosted.exlibrisgroup.com/primo-explore/search?tab=default_tab&amp;search_scope=EVERYTHING&amp;vid=01CRU&amp;lang=en_US&amp;offset=0&amp;query=any,contains,991003768689702656","Catalog Record")</f>
        <v/>
      </c>
      <c r="AT912">
        <f>HYPERLINK("http://www.worldcat.org/oclc/1464913","WorldCat Record")</f>
        <v/>
      </c>
      <c r="AU912" t="inlineStr">
        <is>
          <t>116831746:eng</t>
        </is>
      </c>
      <c r="AV912" t="inlineStr">
        <is>
          <t>1464913</t>
        </is>
      </c>
      <c r="AW912" t="inlineStr">
        <is>
          <t>991003768689702656</t>
        </is>
      </c>
      <c r="AX912" t="inlineStr">
        <is>
          <t>991003768689702656</t>
        </is>
      </c>
      <c r="AY912" t="inlineStr">
        <is>
          <t>2259595540002656</t>
        </is>
      </c>
      <c r="AZ912" t="inlineStr">
        <is>
          <t>BOOK</t>
        </is>
      </c>
      <c r="BB912" t="inlineStr">
        <is>
          <t>9780520019973</t>
        </is>
      </c>
      <c r="BC912" t="inlineStr">
        <is>
          <t>32285002467420</t>
        </is>
      </c>
      <c r="BD912" t="inlineStr">
        <is>
          <t>893252762</t>
        </is>
      </c>
    </row>
    <row r="913">
      <c r="A913" t="inlineStr">
        <is>
          <t>No</t>
        </is>
      </c>
      <c r="B913" t="inlineStr">
        <is>
          <t>DS36.85 .A39 1986</t>
        </is>
      </c>
      <c r="C913" t="inlineStr">
        <is>
          <t>0                      DS 0036850A  39          1986</t>
        </is>
      </c>
      <c r="D913" t="inlineStr">
        <is>
          <t>The cultural atlas of Islam / Ismaʼil R. al Fārūqī and Lois Lamyāʼ al Fārūqī.</t>
        </is>
      </c>
      <c r="F913" t="inlineStr">
        <is>
          <t>No</t>
        </is>
      </c>
      <c r="G913" t="inlineStr">
        <is>
          <t>1</t>
        </is>
      </c>
      <c r="H913" t="inlineStr">
        <is>
          <t>No</t>
        </is>
      </c>
      <c r="I913" t="inlineStr">
        <is>
          <t>No</t>
        </is>
      </c>
      <c r="J913" t="inlineStr">
        <is>
          <t>0</t>
        </is>
      </c>
      <c r="K913" t="inlineStr">
        <is>
          <t>Al-Faruqi, Ismaʼil R., 1921-1986.</t>
        </is>
      </c>
      <c r="L913" t="inlineStr">
        <is>
          <t>New York : Macmillan, c1986.</t>
        </is>
      </c>
      <c r="M913" t="inlineStr">
        <is>
          <t>1986</t>
        </is>
      </c>
      <c r="O913" t="inlineStr">
        <is>
          <t>eng</t>
        </is>
      </c>
      <c r="P913" t="inlineStr">
        <is>
          <t>nyu</t>
        </is>
      </c>
      <c r="R913" t="inlineStr">
        <is>
          <t xml:space="preserve">DS </t>
        </is>
      </c>
      <c r="S913" t="n">
        <v>13</v>
      </c>
      <c r="T913" t="n">
        <v>13</v>
      </c>
      <c r="U913" t="inlineStr">
        <is>
          <t>1999-11-01</t>
        </is>
      </c>
      <c r="V913" t="inlineStr">
        <is>
          <t>1999-11-01</t>
        </is>
      </c>
      <c r="W913" t="inlineStr">
        <is>
          <t>1990-08-16</t>
        </is>
      </c>
      <c r="X913" t="inlineStr">
        <is>
          <t>1990-08-16</t>
        </is>
      </c>
      <c r="Y913" t="n">
        <v>1167</v>
      </c>
      <c r="Z913" t="n">
        <v>1008</v>
      </c>
      <c r="AA913" t="n">
        <v>1016</v>
      </c>
      <c r="AB913" t="n">
        <v>6</v>
      </c>
      <c r="AC913" t="n">
        <v>6</v>
      </c>
      <c r="AD913" t="n">
        <v>36</v>
      </c>
      <c r="AE913" t="n">
        <v>36</v>
      </c>
      <c r="AF913" t="n">
        <v>14</v>
      </c>
      <c r="AG913" t="n">
        <v>14</v>
      </c>
      <c r="AH913" t="n">
        <v>8</v>
      </c>
      <c r="AI913" t="n">
        <v>8</v>
      </c>
      <c r="AJ913" t="n">
        <v>19</v>
      </c>
      <c r="AK913" t="n">
        <v>19</v>
      </c>
      <c r="AL913" t="n">
        <v>4</v>
      </c>
      <c r="AM913" t="n">
        <v>4</v>
      </c>
      <c r="AN913" t="n">
        <v>0</v>
      </c>
      <c r="AO913" t="n">
        <v>0</v>
      </c>
      <c r="AP913" t="inlineStr">
        <is>
          <t>No</t>
        </is>
      </c>
      <c r="AQ913" t="inlineStr">
        <is>
          <t>No</t>
        </is>
      </c>
      <c r="AS913">
        <f>HYPERLINK("https://creighton-primo.hosted.exlibrisgroup.com/primo-explore/search?tab=default_tab&amp;search_scope=EVERYTHING&amp;vid=01CRU&amp;lang=en_US&amp;offset=0&amp;query=any,contains,991000745649702656","Catalog Record")</f>
        <v/>
      </c>
      <c r="AT913">
        <f>HYPERLINK("http://www.worldcat.org/oclc/12839975","WorldCat Record")</f>
        <v/>
      </c>
      <c r="AU913" t="inlineStr">
        <is>
          <t>49032323:eng</t>
        </is>
      </c>
      <c r="AV913" t="inlineStr">
        <is>
          <t>12839975</t>
        </is>
      </c>
      <c r="AW913" t="inlineStr">
        <is>
          <t>991000745649702656</t>
        </is>
      </c>
      <c r="AX913" t="inlineStr">
        <is>
          <t>991000745649702656</t>
        </is>
      </c>
      <c r="AY913" t="inlineStr">
        <is>
          <t>2269598960002656</t>
        </is>
      </c>
      <c r="AZ913" t="inlineStr">
        <is>
          <t>BOOK</t>
        </is>
      </c>
      <c r="BB913" t="inlineStr">
        <is>
          <t>9780029101902</t>
        </is>
      </c>
      <c r="BC913" t="inlineStr">
        <is>
          <t>32285000274240</t>
        </is>
      </c>
      <c r="BD913" t="inlineStr">
        <is>
          <t>893528361</t>
        </is>
      </c>
    </row>
    <row r="914">
      <c r="A914" t="inlineStr">
        <is>
          <t>No</t>
        </is>
      </c>
      <c r="B914" t="inlineStr">
        <is>
          <t>DS36.85 .B67 1982</t>
        </is>
      </c>
      <c r="C914" t="inlineStr">
        <is>
          <t>0                      DS 0036850B  67          1982</t>
        </is>
      </c>
      <c r="D914" t="inlineStr">
        <is>
          <t>Medieval Arabic culture and administration / C.E. Bosworth.</t>
        </is>
      </c>
      <c r="F914" t="inlineStr">
        <is>
          <t>No</t>
        </is>
      </c>
      <c r="G914" t="inlineStr">
        <is>
          <t>1</t>
        </is>
      </c>
      <c r="H914" t="inlineStr">
        <is>
          <t>No</t>
        </is>
      </c>
      <c r="I914" t="inlineStr">
        <is>
          <t>No</t>
        </is>
      </c>
      <c r="J914" t="inlineStr">
        <is>
          <t>0</t>
        </is>
      </c>
      <c r="K914" t="inlineStr">
        <is>
          <t>Bosworth, Clifford Edmund.</t>
        </is>
      </c>
      <c r="L914" t="inlineStr">
        <is>
          <t>London : Variorum Reprints, 1982.</t>
        </is>
      </c>
      <c r="M914" t="inlineStr">
        <is>
          <t>1982</t>
        </is>
      </c>
      <c r="O914" t="inlineStr">
        <is>
          <t>eng</t>
        </is>
      </c>
      <c r="P914" t="inlineStr">
        <is>
          <t>enk</t>
        </is>
      </c>
      <c r="Q914" t="inlineStr">
        <is>
          <t>Variorum reprint ; CS165</t>
        </is>
      </c>
      <c r="R914" t="inlineStr">
        <is>
          <t xml:space="preserve">DS </t>
        </is>
      </c>
      <c r="S914" t="n">
        <v>6</v>
      </c>
      <c r="T914" t="n">
        <v>6</v>
      </c>
      <c r="U914" t="inlineStr">
        <is>
          <t>1996-10-28</t>
        </is>
      </c>
      <c r="V914" t="inlineStr">
        <is>
          <t>1996-10-28</t>
        </is>
      </c>
      <c r="W914" t="inlineStr">
        <is>
          <t>1990-09-13</t>
        </is>
      </c>
      <c r="X914" t="inlineStr">
        <is>
          <t>1990-09-13</t>
        </is>
      </c>
      <c r="Y914" t="n">
        <v>100</v>
      </c>
      <c r="Z914" t="n">
        <v>76</v>
      </c>
      <c r="AA914" t="n">
        <v>94</v>
      </c>
      <c r="AB914" t="n">
        <v>1</v>
      </c>
      <c r="AC914" t="n">
        <v>1</v>
      </c>
      <c r="AD914" t="n">
        <v>2</v>
      </c>
      <c r="AE914" t="n">
        <v>3</v>
      </c>
      <c r="AF914" t="n">
        <v>0</v>
      </c>
      <c r="AG914" t="n">
        <v>0</v>
      </c>
      <c r="AH914" t="n">
        <v>2</v>
      </c>
      <c r="AI914" t="n">
        <v>2</v>
      </c>
      <c r="AJ914" t="n">
        <v>2</v>
      </c>
      <c r="AK914" t="n">
        <v>3</v>
      </c>
      <c r="AL914" t="n">
        <v>0</v>
      </c>
      <c r="AM914" t="n">
        <v>0</v>
      </c>
      <c r="AN914" t="n">
        <v>0</v>
      </c>
      <c r="AO914" t="n">
        <v>0</v>
      </c>
      <c r="AP914" t="inlineStr">
        <is>
          <t>No</t>
        </is>
      </c>
      <c r="AQ914" t="inlineStr">
        <is>
          <t>Yes</t>
        </is>
      </c>
      <c r="AR914">
        <f>HYPERLINK("http://catalog.hathitrust.org/Record/000846729","HathiTrust Record")</f>
        <v/>
      </c>
      <c r="AS914">
        <f>HYPERLINK("https://creighton-primo.hosted.exlibrisgroup.com/primo-explore/search?tab=default_tab&amp;search_scope=EVERYTHING&amp;vid=01CRU&amp;lang=en_US&amp;offset=0&amp;query=any,contains,991000291029702656","Catalog Record")</f>
        <v/>
      </c>
      <c r="AT914">
        <f>HYPERLINK("http://www.worldcat.org/oclc/9969325","WorldCat Record")</f>
        <v/>
      </c>
      <c r="AU914" t="inlineStr">
        <is>
          <t>43104603:eng</t>
        </is>
      </c>
      <c r="AV914" t="inlineStr">
        <is>
          <t>9969325</t>
        </is>
      </c>
      <c r="AW914" t="inlineStr">
        <is>
          <t>991000291029702656</t>
        </is>
      </c>
      <c r="AX914" t="inlineStr">
        <is>
          <t>991000291029702656</t>
        </is>
      </c>
      <c r="AY914" t="inlineStr">
        <is>
          <t>2265656400002656</t>
        </is>
      </c>
      <c r="AZ914" t="inlineStr">
        <is>
          <t>BOOK</t>
        </is>
      </c>
      <c r="BB914" t="inlineStr">
        <is>
          <t>9780860781134</t>
        </is>
      </c>
      <c r="BC914" t="inlineStr">
        <is>
          <t>32285000291343</t>
        </is>
      </c>
      <c r="BD914" t="inlineStr">
        <is>
          <t>893508670</t>
        </is>
      </c>
    </row>
    <row r="915">
      <c r="A915" t="inlineStr">
        <is>
          <t>No</t>
        </is>
      </c>
      <c r="B915" t="inlineStr">
        <is>
          <t>DS36.85 .I75 1976</t>
        </is>
      </c>
      <c r="C915" t="inlineStr">
        <is>
          <t>0                      DS 0036850I  75          1976</t>
        </is>
      </c>
      <c r="D915" t="inlineStr">
        <is>
          <t>Islam and the Arab world : faith, people, culture / texts by Bernard Lewis ... [et al.] ; edited by Bernard Lewis.</t>
        </is>
      </c>
      <c r="F915" t="inlineStr">
        <is>
          <t>No</t>
        </is>
      </c>
      <c r="G915" t="inlineStr">
        <is>
          <t>1</t>
        </is>
      </c>
      <c r="H915" t="inlineStr">
        <is>
          <t>No</t>
        </is>
      </c>
      <c r="I915" t="inlineStr">
        <is>
          <t>No</t>
        </is>
      </c>
      <c r="J915" t="inlineStr">
        <is>
          <t>0</t>
        </is>
      </c>
      <c r="L915" t="inlineStr">
        <is>
          <t>New York : Knopf : distributed by Random House, c1976.</t>
        </is>
      </c>
      <c r="M915" t="inlineStr">
        <is>
          <t>1976</t>
        </is>
      </c>
      <c r="N915" t="inlineStr">
        <is>
          <t>1st American ed.</t>
        </is>
      </c>
      <c r="O915" t="inlineStr">
        <is>
          <t>eng</t>
        </is>
      </c>
      <c r="P915" t="inlineStr">
        <is>
          <t>nyu</t>
        </is>
      </c>
      <c r="R915" t="inlineStr">
        <is>
          <t xml:space="preserve">DS </t>
        </is>
      </c>
      <c r="S915" t="n">
        <v>4</v>
      </c>
      <c r="T915" t="n">
        <v>4</v>
      </c>
      <c r="U915" t="inlineStr">
        <is>
          <t>1999-04-01</t>
        </is>
      </c>
      <c r="V915" t="inlineStr">
        <is>
          <t>1999-04-01</t>
        </is>
      </c>
      <c r="W915" t="inlineStr">
        <is>
          <t>1997-02-21</t>
        </is>
      </c>
      <c r="X915" t="inlineStr">
        <is>
          <t>1997-02-21</t>
        </is>
      </c>
      <c r="Y915" t="n">
        <v>1368</v>
      </c>
      <c r="Z915" t="n">
        <v>1286</v>
      </c>
      <c r="AA915" t="n">
        <v>1305</v>
      </c>
      <c r="AB915" t="n">
        <v>11</v>
      </c>
      <c r="AC915" t="n">
        <v>11</v>
      </c>
      <c r="AD915" t="n">
        <v>44</v>
      </c>
      <c r="AE915" t="n">
        <v>44</v>
      </c>
      <c r="AF915" t="n">
        <v>21</v>
      </c>
      <c r="AG915" t="n">
        <v>21</v>
      </c>
      <c r="AH915" t="n">
        <v>9</v>
      </c>
      <c r="AI915" t="n">
        <v>9</v>
      </c>
      <c r="AJ915" t="n">
        <v>17</v>
      </c>
      <c r="AK915" t="n">
        <v>17</v>
      </c>
      <c r="AL915" t="n">
        <v>7</v>
      </c>
      <c r="AM915" t="n">
        <v>7</v>
      </c>
      <c r="AN915" t="n">
        <v>0</v>
      </c>
      <c r="AO915" t="n">
        <v>0</v>
      </c>
      <c r="AP915" t="inlineStr">
        <is>
          <t>No</t>
        </is>
      </c>
      <c r="AQ915" t="inlineStr">
        <is>
          <t>No</t>
        </is>
      </c>
      <c r="AS915">
        <f>HYPERLINK("https://creighton-primo.hosted.exlibrisgroup.com/primo-explore/search?tab=default_tab&amp;search_scope=EVERYTHING&amp;vid=01CRU&amp;lang=en_US&amp;offset=0&amp;query=any,contains,991004088079702656","Catalog Record")</f>
        <v/>
      </c>
      <c r="AT915">
        <f>HYPERLINK("http://www.worldcat.org/oclc/2337006","WorldCat Record")</f>
        <v/>
      </c>
      <c r="AU915" t="inlineStr">
        <is>
          <t>480563521:eng</t>
        </is>
      </c>
      <c r="AV915" t="inlineStr">
        <is>
          <t>2337006</t>
        </is>
      </c>
      <c r="AW915" t="inlineStr">
        <is>
          <t>991004088079702656</t>
        </is>
      </c>
      <c r="AX915" t="inlineStr">
        <is>
          <t>991004088079702656</t>
        </is>
      </c>
      <c r="AY915" t="inlineStr">
        <is>
          <t>2260553800002656</t>
        </is>
      </c>
      <c r="AZ915" t="inlineStr">
        <is>
          <t>BOOK</t>
        </is>
      </c>
      <c r="BC915" t="inlineStr">
        <is>
          <t>32285002467446</t>
        </is>
      </c>
      <c r="BD915" t="inlineStr">
        <is>
          <t>893693495</t>
        </is>
      </c>
    </row>
    <row r="916">
      <c r="A916" t="inlineStr">
        <is>
          <t>No</t>
        </is>
      </c>
      <c r="B916" t="inlineStr">
        <is>
          <t>DS36.85 .I8 no. 2, 1971</t>
        </is>
      </c>
      <c r="C916" t="inlineStr">
        <is>
          <t>0                      DS 0036850I  8                                                       no. 2, 1971</t>
        </is>
      </c>
      <c r="D916" t="inlineStr">
        <is>
          <t>A history of Islamic law / N. J. Coulson.</t>
        </is>
      </c>
      <c r="E916" t="inlineStr">
        <is>
          <t>no. 2, 1971*</t>
        </is>
      </c>
      <c r="F916" t="inlineStr">
        <is>
          <t>No</t>
        </is>
      </c>
      <c r="G916" t="inlineStr">
        <is>
          <t>1</t>
        </is>
      </c>
      <c r="H916" t="inlineStr">
        <is>
          <t>No</t>
        </is>
      </c>
      <c r="I916" t="inlineStr">
        <is>
          <t>Yes</t>
        </is>
      </c>
      <c r="J916" t="inlineStr">
        <is>
          <t>0</t>
        </is>
      </c>
      <c r="K916" t="inlineStr">
        <is>
          <t>Coulson, Noel J. (Noel James)</t>
        </is>
      </c>
      <c r="L916" t="inlineStr">
        <is>
          <t>Edinburgh : University Press, c1964, 1971 printing.</t>
        </is>
      </c>
      <c r="M916" t="inlineStr">
        <is>
          <t>1964</t>
        </is>
      </c>
      <c r="O916" t="inlineStr">
        <is>
          <t>eng</t>
        </is>
      </c>
      <c r="P916" t="inlineStr">
        <is>
          <t>stk</t>
        </is>
      </c>
      <c r="Q916" t="inlineStr">
        <is>
          <t>Islamic surveys ; 2</t>
        </is>
      </c>
      <c r="R916" t="inlineStr">
        <is>
          <t xml:space="preserve">DS </t>
        </is>
      </c>
      <c r="S916" t="n">
        <v>20</v>
      </c>
      <c r="T916" t="n">
        <v>20</v>
      </c>
      <c r="U916" t="inlineStr">
        <is>
          <t>1996-04-11</t>
        </is>
      </c>
      <c r="V916" t="inlineStr">
        <is>
          <t>1996-04-11</t>
        </is>
      </c>
      <c r="W916" t="inlineStr">
        <is>
          <t>1991-12-23</t>
        </is>
      </c>
      <c r="X916" t="inlineStr">
        <is>
          <t>1991-12-23</t>
        </is>
      </c>
      <c r="Y916" t="n">
        <v>707</v>
      </c>
      <c r="Z916" t="n">
        <v>516</v>
      </c>
      <c r="AA916" t="n">
        <v>862</v>
      </c>
      <c r="AB916" t="n">
        <v>3</v>
      </c>
      <c r="AC916" t="n">
        <v>4</v>
      </c>
      <c r="AD916" t="n">
        <v>41</v>
      </c>
      <c r="AE916" t="n">
        <v>53</v>
      </c>
      <c r="AF916" t="n">
        <v>9</v>
      </c>
      <c r="AG916" t="n">
        <v>15</v>
      </c>
      <c r="AH916" t="n">
        <v>7</v>
      </c>
      <c r="AI916" t="n">
        <v>10</v>
      </c>
      <c r="AJ916" t="n">
        <v>17</v>
      </c>
      <c r="AK916" t="n">
        <v>22</v>
      </c>
      <c r="AL916" t="n">
        <v>2</v>
      </c>
      <c r="AM916" t="n">
        <v>2</v>
      </c>
      <c r="AN916" t="n">
        <v>15</v>
      </c>
      <c r="AO916" t="n">
        <v>16</v>
      </c>
      <c r="AP916" t="inlineStr">
        <is>
          <t>No</t>
        </is>
      </c>
      <c r="AQ916" t="inlineStr">
        <is>
          <t>Yes</t>
        </is>
      </c>
      <c r="AR916">
        <f>HYPERLINK("http://catalog.hathitrust.org/Record/007125634","HathiTrust Record")</f>
        <v/>
      </c>
      <c r="AS916">
        <f>HYPERLINK("https://creighton-primo.hosted.exlibrisgroup.com/primo-explore/search?tab=default_tab&amp;search_scope=EVERYTHING&amp;vid=01CRU&amp;lang=en_US&amp;offset=0&amp;query=any,contains,991004185419702656","Catalog Record")</f>
        <v/>
      </c>
      <c r="AT916">
        <f>HYPERLINK("http://www.worldcat.org/oclc/2614779","WorldCat Record")</f>
        <v/>
      </c>
      <c r="AU916" t="inlineStr">
        <is>
          <t>9176884364:eng</t>
        </is>
      </c>
      <c r="AV916" t="inlineStr">
        <is>
          <t>2614779</t>
        </is>
      </c>
      <c r="AW916" t="inlineStr">
        <is>
          <t>991004185419702656</t>
        </is>
      </c>
      <c r="AX916" t="inlineStr">
        <is>
          <t>991004185419702656</t>
        </is>
      </c>
      <c r="AY916" t="inlineStr">
        <is>
          <t>2265646030002656</t>
        </is>
      </c>
      <c r="AZ916" t="inlineStr">
        <is>
          <t>BOOK</t>
        </is>
      </c>
      <c r="BB916" t="inlineStr">
        <is>
          <t>9780852241110</t>
        </is>
      </c>
      <c r="BC916" t="inlineStr">
        <is>
          <t>32285000896422</t>
        </is>
      </c>
      <c r="BD916" t="inlineStr">
        <is>
          <t>893788381</t>
        </is>
      </c>
    </row>
    <row r="917">
      <c r="A917" t="inlineStr">
        <is>
          <t>No</t>
        </is>
      </c>
      <c r="B917" t="inlineStr">
        <is>
          <t>DS36.85 .W365 1998</t>
        </is>
      </c>
      <c r="C917" t="inlineStr">
        <is>
          <t>0                      DS 0036850W  365         1998</t>
        </is>
      </c>
      <c r="D917" t="inlineStr">
        <is>
          <t>Islamic political thought / W. Montgomery Watt.</t>
        </is>
      </c>
      <c r="F917" t="inlineStr">
        <is>
          <t>No</t>
        </is>
      </c>
      <c r="G917" t="inlineStr">
        <is>
          <t>1</t>
        </is>
      </c>
      <c r="H917" t="inlineStr">
        <is>
          <t>No</t>
        </is>
      </c>
      <c r="I917" t="inlineStr">
        <is>
          <t>Yes</t>
        </is>
      </c>
      <c r="J917" t="inlineStr">
        <is>
          <t>0</t>
        </is>
      </c>
      <c r="K917" t="inlineStr">
        <is>
          <t>Watt, W. Montgomery (William Montgomery)</t>
        </is>
      </c>
      <c r="L917" t="inlineStr">
        <is>
          <t>Edinburgh : Edinburgh University Press, 1998.</t>
        </is>
      </c>
      <c r="M917" t="inlineStr">
        <is>
          <t>1998</t>
        </is>
      </c>
      <c r="O917" t="inlineStr">
        <is>
          <t>eng</t>
        </is>
      </c>
      <c r="P917" t="inlineStr">
        <is>
          <t>stk</t>
        </is>
      </c>
      <c r="Q917" t="inlineStr">
        <is>
          <t>Islamic surveys ; 6</t>
        </is>
      </c>
      <c r="R917" t="inlineStr">
        <is>
          <t xml:space="preserve">DS </t>
        </is>
      </c>
      <c r="S917" t="n">
        <v>3</v>
      </c>
      <c r="T917" t="n">
        <v>3</v>
      </c>
      <c r="U917" t="inlineStr">
        <is>
          <t>2002-04-02</t>
        </is>
      </c>
      <c r="V917" t="inlineStr">
        <is>
          <t>2002-04-02</t>
        </is>
      </c>
      <c r="W917" t="inlineStr">
        <is>
          <t>2000-01-19</t>
        </is>
      </c>
      <c r="X917" t="inlineStr">
        <is>
          <t>2000-01-19</t>
        </is>
      </c>
      <c r="Y917" t="n">
        <v>73</v>
      </c>
      <c r="Z917" t="n">
        <v>46</v>
      </c>
      <c r="AA917" t="n">
        <v>776</v>
      </c>
      <c r="AB917" t="n">
        <v>1</v>
      </c>
      <c r="AC917" t="n">
        <v>5</v>
      </c>
      <c r="AD917" t="n">
        <v>2</v>
      </c>
      <c r="AE917" t="n">
        <v>44</v>
      </c>
      <c r="AF917" t="n">
        <v>2</v>
      </c>
      <c r="AG917" t="n">
        <v>22</v>
      </c>
      <c r="AH917" t="n">
        <v>1</v>
      </c>
      <c r="AI917" t="n">
        <v>10</v>
      </c>
      <c r="AJ917" t="n">
        <v>0</v>
      </c>
      <c r="AK917" t="n">
        <v>20</v>
      </c>
      <c r="AL917" t="n">
        <v>0</v>
      </c>
      <c r="AM917" t="n">
        <v>3</v>
      </c>
      <c r="AN917" t="n">
        <v>0</v>
      </c>
      <c r="AO917" t="n">
        <v>1</v>
      </c>
      <c r="AP917" t="inlineStr">
        <is>
          <t>No</t>
        </is>
      </c>
      <c r="AQ917" t="inlineStr">
        <is>
          <t>No</t>
        </is>
      </c>
      <c r="AS917">
        <f>HYPERLINK("https://creighton-primo.hosted.exlibrisgroup.com/primo-explore/search?tab=default_tab&amp;search_scope=EVERYTHING&amp;vid=01CRU&amp;lang=en_US&amp;offset=0&amp;query=any,contains,991003050849702656","Catalog Record")</f>
        <v/>
      </c>
      <c r="AT917">
        <f>HYPERLINK("http://www.worldcat.org/oclc/42969099","WorldCat Record")</f>
        <v/>
      </c>
      <c r="AU917" t="inlineStr">
        <is>
          <t>19625996:eng</t>
        </is>
      </c>
      <c r="AV917" t="inlineStr">
        <is>
          <t>42969099</t>
        </is>
      </c>
      <c r="AW917" t="inlineStr">
        <is>
          <t>991003050849702656</t>
        </is>
      </c>
      <c r="AX917" t="inlineStr">
        <is>
          <t>991003050849702656</t>
        </is>
      </c>
      <c r="AY917" t="inlineStr">
        <is>
          <t>2266506890002656</t>
        </is>
      </c>
      <c r="AZ917" t="inlineStr">
        <is>
          <t>BOOK</t>
        </is>
      </c>
      <c r="BB917" t="inlineStr">
        <is>
          <t>9780748610983</t>
        </is>
      </c>
      <c r="BC917" t="inlineStr">
        <is>
          <t>32285003643151</t>
        </is>
      </c>
      <c r="BD917" t="inlineStr">
        <is>
          <t>893233779</t>
        </is>
      </c>
    </row>
    <row r="918">
      <c r="A918" t="inlineStr">
        <is>
          <t>No</t>
        </is>
      </c>
      <c r="B918" t="inlineStr">
        <is>
          <t>DS36.855 .A7 1977</t>
        </is>
      </c>
      <c r="C918" t="inlineStr">
        <is>
          <t>0                      DS 0036855A  7           1977</t>
        </is>
      </c>
      <c r="D918" t="inlineStr">
        <is>
          <t>Aspects of Islamic civilization as depicted in the original texts / by A. J. Arberry.</t>
        </is>
      </c>
      <c r="F918" t="inlineStr">
        <is>
          <t>No</t>
        </is>
      </c>
      <c r="G918" t="inlineStr">
        <is>
          <t>1</t>
        </is>
      </c>
      <c r="H918" t="inlineStr">
        <is>
          <t>No</t>
        </is>
      </c>
      <c r="I918" t="inlineStr">
        <is>
          <t>No</t>
        </is>
      </c>
      <c r="J918" t="inlineStr">
        <is>
          <t>0</t>
        </is>
      </c>
      <c r="K918" t="inlineStr">
        <is>
          <t>Arberry, A. J. (Arthur John), 1905-1969.</t>
        </is>
      </c>
      <c r="L918" t="inlineStr">
        <is>
          <t>Westport, Conn. : Greenwood Press, 1977.</t>
        </is>
      </c>
      <c r="M918" t="inlineStr">
        <is>
          <t>1977</t>
        </is>
      </c>
      <c r="O918" t="inlineStr">
        <is>
          <t>eng</t>
        </is>
      </c>
      <c r="P918" t="inlineStr">
        <is>
          <t>ctu</t>
        </is>
      </c>
      <c r="R918" t="inlineStr">
        <is>
          <t xml:space="preserve">DS </t>
        </is>
      </c>
      <c r="S918" t="n">
        <v>2</v>
      </c>
      <c r="T918" t="n">
        <v>2</v>
      </c>
      <c r="U918" t="inlineStr">
        <is>
          <t>1997-11-19</t>
        </is>
      </c>
      <c r="V918" t="inlineStr">
        <is>
          <t>1997-11-19</t>
        </is>
      </c>
      <c r="W918" t="inlineStr">
        <is>
          <t>1992-08-13</t>
        </is>
      </c>
      <c r="X918" t="inlineStr">
        <is>
          <t>1992-08-13</t>
        </is>
      </c>
      <c r="Y918" t="n">
        <v>100</v>
      </c>
      <c r="Z918" t="n">
        <v>87</v>
      </c>
      <c r="AA918" t="n">
        <v>971</v>
      </c>
      <c r="AB918" t="n">
        <v>1</v>
      </c>
      <c r="AC918" t="n">
        <v>6</v>
      </c>
      <c r="AD918" t="n">
        <v>3</v>
      </c>
      <c r="AE918" t="n">
        <v>39</v>
      </c>
      <c r="AF918" t="n">
        <v>0</v>
      </c>
      <c r="AG918" t="n">
        <v>15</v>
      </c>
      <c r="AH918" t="n">
        <v>2</v>
      </c>
      <c r="AI918" t="n">
        <v>7</v>
      </c>
      <c r="AJ918" t="n">
        <v>3</v>
      </c>
      <c r="AK918" t="n">
        <v>21</v>
      </c>
      <c r="AL918" t="n">
        <v>0</v>
      </c>
      <c r="AM918" t="n">
        <v>5</v>
      </c>
      <c r="AN918" t="n">
        <v>0</v>
      </c>
      <c r="AO918" t="n">
        <v>0</v>
      </c>
      <c r="AP918" t="inlineStr">
        <is>
          <t>No</t>
        </is>
      </c>
      <c r="AQ918" t="inlineStr">
        <is>
          <t>Yes</t>
        </is>
      </c>
      <c r="AR918">
        <f>HYPERLINK("http://catalog.hathitrust.org/Record/102216260","HathiTrust Record")</f>
        <v/>
      </c>
      <c r="AS918">
        <f>HYPERLINK("https://creighton-primo.hosted.exlibrisgroup.com/primo-explore/search?tab=default_tab&amp;search_scope=EVERYTHING&amp;vid=01CRU&amp;lang=en_US&amp;offset=0&amp;query=any,contains,991004248069702656","Catalog Record")</f>
        <v/>
      </c>
      <c r="AT918">
        <f>HYPERLINK("http://www.worldcat.org/oclc/2799139","WorldCat Record")</f>
        <v/>
      </c>
      <c r="AU918" t="inlineStr">
        <is>
          <t>490637:eng</t>
        </is>
      </c>
      <c r="AV918" t="inlineStr">
        <is>
          <t>2799139</t>
        </is>
      </c>
      <c r="AW918" t="inlineStr">
        <is>
          <t>991004248069702656</t>
        </is>
      </c>
      <c r="AX918" t="inlineStr">
        <is>
          <t>991004248069702656</t>
        </is>
      </c>
      <c r="AY918" t="inlineStr">
        <is>
          <t>2271387740002656</t>
        </is>
      </c>
      <c r="AZ918" t="inlineStr">
        <is>
          <t>BOOK</t>
        </is>
      </c>
      <c r="BB918" t="inlineStr">
        <is>
          <t>9780837194943</t>
        </is>
      </c>
      <c r="BC918" t="inlineStr">
        <is>
          <t>32285001244077</t>
        </is>
      </c>
      <c r="BD918" t="inlineStr">
        <is>
          <t>893513006</t>
        </is>
      </c>
    </row>
    <row r="919">
      <c r="A919" t="inlineStr">
        <is>
          <t>No</t>
        </is>
      </c>
      <c r="B919" t="inlineStr">
        <is>
          <t>DS36.855 .I77 1987</t>
        </is>
      </c>
      <c r="C919" t="inlineStr">
        <is>
          <t>0                      DS 0036855I  77          1987</t>
        </is>
      </c>
      <c r="D919" t="inlineStr">
        <is>
          <t>Islam : from the Prophet Muhammad to the capture of Constantinople / edited and translated by Bernard Lewis.</t>
        </is>
      </c>
      <c r="E919" t="inlineStr">
        <is>
          <t>V.2</t>
        </is>
      </c>
      <c r="F919" t="inlineStr">
        <is>
          <t>Yes</t>
        </is>
      </c>
      <c r="G919" t="inlineStr">
        <is>
          <t>1</t>
        </is>
      </c>
      <c r="H919" t="inlineStr">
        <is>
          <t>No</t>
        </is>
      </c>
      <c r="I919" t="inlineStr">
        <is>
          <t>No</t>
        </is>
      </c>
      <c r="J919" t="inlineStr">
        <is>
          <t>0</t>
        </is>
      </c>
      <c r="L919" t="inlineStr">
        <is>
          <t>New York : Oxford University Press, 1987.</t>
        </is>
      </c>
      <c r="M919" t="inlineStr">
        <is>
          <t>1987</t>
        </is>
      </c>
      <c r="O919" t="inlineStr">
        <is>
          <t>eng</t>
        </is>
      </c>
      <c r="P919" t="inlineStr">
        <is>
          <t>nyu</t>
        </is>
      </c>
      <c r="R919" t="inlineStr">
        <is>
          <t xml:space="preserve">DS </t>
        </is>
      </c>
      <c r="S919" t="n">
        <v>3</v>
      </c>
      <c r="T919" t="n">
        <v>5</v>
      </c>
      <c r="U919" t="inlineStr">
        <is>
          <t>1997-11-19</t>
        </is>
      </c>
      <c r="V919" t="inlineStr">
        <is>
          <t>1997-11-19</t>
        </is>
      </c>
      <c r="W919" t="inlineStr">
        <is>
          <t>1996-04-17</t>
        </is>
      </c>
      <c r="X919" t="inlineStr">
        <is>
          <t>1996-04-17</t>
        </is>
      </c>
      <c r="Y919" t="n">
        <v>442</v>
      </c>
      <c r="Z919" t="n">
        <v>378</v>
      </c>
      <c r="AA919" t="n">
        <v>911</v>
      </c>
      <c r="AB919" t="n">
        <v>3</v>
      </c>
      <c r="AC919" t="n">
        <v>6</v>
      </c>
      <c r="AD919" t="n">
        <v>22</v>
      </c>
      <c r="AE919" t="n">
        <v>40</v>
      </c>
      <c r="AF919" t="n">
        <v>10</v>
      </c>
      <c r="AG919" t="n">
        <v>18</v>
      </c>
      <c r="AH919" t="n">
        <v>3</v>
      </c>
      <c r="AI919" t="n">
        <v>10</v>
      </c>
      <c r="AJ919" t="n">
        <v>14</v>
      </c>
      <c r="AK919" t="n">
        <v>22</v>
      </c>
      <c r="AL919" t="n">
        <v>2</v>
      </c>
      <c r="AM919" t="n">
        <v>3</v>
      </c>
      <c r="AN919" t="n">
        <v>0</v>
      </c>
      <c r="AO919" t="n">
        <v>0</v>
      </c>
      <c r="AP919" t="inlineStr">
        <is>
          <t>No</t>
        </is>
      </c>
      <c r="AQ919" t="inlineStr">
        <is>
          <t>No</t>
        </is>
      </c>
      <c r="AS919">
        <f>HYPERLINK("https://creighton-primo.hosted.exlibrisgroup.com/primo-explore/search?tab=default_tab&amp;search_scope=EVERYTHING&amp;vid=01CRU&amp;lang=en_US&amp;offset=0&amp;query=any,contains,991000967829702656","Catalog Record")</f>
        <v/>
      </c>
      <c r="AT919">
        <f>HYPERLINK("http://www.worldcat.org/oclc/14931561","WorldCat Record")</f>
        <v/>
      </c>
      <c r="AU919" t="inlineStr">
        <is>
          <t>9375251:eng</t>
        </is>
      </c>
      <c r="AV919" t="inlineStr">
        <is>
          <t>14931561</t>
        </is>
      </c>
      <c r="AW919" t="inlineStr">
        <is>
          <t>991000967829702656</t>
        </is>
      </c>
      <c r="AX919" t="inlineStr">
        <is>
          <t>991000967829702656</t>
        </is>
      </c>
      <c r="AY919" t="inlineStr">
        <is>
          <t>2257178360002656</t>
        </is>
      </c>
      <c r="AZ919" t="inlineStr">
        <is>
          <t>BOOK</t>
        </is>
      </c>
      <c r="BB919" t="inlineStr">
        <is>
          <t>9780195050875</t>
        </is>
      </c>
      <c r="BC919" t="inlineStr">
        <is>
          <t>32285002153822</t>
        </is>
      </c>
      <c r="BD919" t="inlineStr">
        <is>
          <t>893255897</t>
        </is>
      </c>
    </row>
    <row r="920">
      <c r="A920" t="inlineStr">
        <is>
          <t>No</t>
        </is>
      </c>
      <c r="B920" t="inlineStr">
        <is>
          <t>DS36.855 .I77 1987</t>
        </is>
      </c>
      <c r="C920" t="inlineStr">
        <is>
          <t>0                      DS 0036855I  77          1987</t>
        </is>
      </c>
      <c r="D920" t="inlineStr">
        <is>
          <t>Islam : from the Prophet Muhammad to the capture of Constantinople / edited and translated by Bernard Lewis.</t>
        </is>
      </c>
      <c r="E920" t="inlineStr">
        <is>
          <t>V.1</t>
        </is>
      </c>
      <c r="F920" t="inlineStr">
        <is>
          <t>Yes</t>
        </is>
      </c>
      <c r="G920" t="inlineStr">
        <is>
          <t>1</t>
        </is>
      </c>
      <c r="H920" t="inlineStr">
        <is>
          <t>No</t>
        </is>
      </c>
      <c r="I920" t="inlineStr">
        <is>
          <t>No</t>
        </is>
      </c>
      <c r="J920" t="inlineStr">
        <is>
          <t>0</t>
        </is>
      </c>
      <c r="L920" t="inlineStr">
        <is>
          <t>New York : Oxford University Press, 1987.</t>
        </is>
      </c>
      <c r="M920" t="inlineStr">
        <is>
          <t>1987</t>
        </is>
      </c>
      <c r="O920" t="inlineStr">
        <is>
          <t>eng</t>
        </is>
      </c>
      <c r="P920" t="inlineStr">
        <is>
          <t>nyu</t>
        </is>
      </c>
      <c r="R920" t="inlineStr">
        <is>
          <t xml:space="preserve">DS </t>
        </is>
      </c>
      <c r="S920" t="n">
        <v>2</v>
      </c>
      <c r="T920" t="n">
        <v>5</v>
      </c>
      <c r="U920" t="inlineStr">
        <is>
          <t>1997-08-03</t>
        </is>
      </c>
      <c r="V920" t="inlineStr">
        <is>
          <t>1997-11-19</t>
        </is>
      </c>
      <c r="W920" t="inlineStr">
        <is>
          <t>1996-04-17</t>
        </is>
      </c>
      <c r="X920" t="inlineStr">
        <is>
          <t>1996-04-17</t>
        </is>
      </c>
      <c r="Y920" t="n">
        <v>442</v>
      </c>
      <c r="Z920" t="n">
        <v>378</v>
      </c>
      <c r="AA920" t="n">
        <v>911</v>
      </c>
      <c r="AB920" t="n">
        <v>3</v>
      </c>
      <c r="AC920" t="n">
        <v>6</v>
      </c>
      <c r="AD920" t="n">
        <v>22</v>
      </c>
      <c r="AE920" t="n">
        <v>40</v>
      </c>
      <c r="AF920" t="n">
        <v>10</v>
      </c>
      <c r="AG920" t="n">
        <v>18</v>
      </c>
      <c r="AH920" t="n">
        <v>3</v>
      </c>
      <c r="AI920" t="n">
        <v>10</v>
      </c>
      <c r="AJ920" t="n">
        <v>14</v>
      </c>
      <c r="AK920" t="n">
        <v>22</v>
      </c>
      <c r="AL920" t="n">
        <v>2</v>
      </c>
      <c r="AM920" t="n">
        <v>3</v>
      </c>
      <c r="AN920" t="n">
        <v>0</v>
      </c>
      <c r="AO920" t="n">
        <v>0</v>
      </c>
      <c r="AP920" t="inlineStr">
        <is>
          <t>No</t>
        </is>
      </c>
      <c r="AQ920" t="inlineStr">
        <is>
          <t>No</t>
        </is>
      </c>
      <c r="AS920">
        <f>HYPERLINK("https://creighton-primo.hosted.exlibrisgroup.com/primo-explore/search?tab=default_tab&amp;search_scope=EVERYTHING&amp;vid=01CRU&amp;lang=en_US&amp;offset=0&amp;query=any,contains,991000967829702656","Catalog Record")</f>
        <v/>
      </c>
      <c r="AT920">
        <f>HYPERLINK("http://www.worldcat.org/oclc/14931561","WorldCat Record")</f>
        <v/>
      </c>
      <c r="AU920" t="inlineStr">
        <is>
          <t>9375251:eng</t>
        </is>
      </c>
      <c r="AV920" t="inlineStr">
        <is>
          <t>14931561</t>
        </is>
      </c>
      <c r="AW920" t="inlineStr">
        <is>
          <t>991000967829702656</t>
        </is>
      </c>
      <c r="AX920" t="inlineStr">
        <is>
          <t>991000967829702656</t>
        </is>
      </c>
      <c r="AY920" t="inlineStr">
        <is>
          <t>2257178360002656</t>
        </is>
      </c>
      <c r="AZ920" t="inlineStr">
        <is>
          <t>BOOK</t>
        </is>
      </c>
      <c r="BB920" t="inlineStr">
        <is>
          <t>9780195050875</t>
        </is>
      </c>
      <c r="BC920" t="inlineStr">
        <is>
          <t>32285002153814</t>
        </is>
      </c>
      <c r="BD920" t="inlineStr">
        <is>
          <t>893231586</t>
        </is>
      </c>
    </row>
    <row r="921">
      <c r="A921" t="inlineStr">
        <is>
          <t>No</t>
        </is>
      </c>
      <c r="B921" t="inlineStr">
        <is>
          <t>DS36.9.B4 S765 1994</t>
        </is>
      </c>
      <c r="C921" t="inlineStr">
        <is>
          <t>0                      DS 0036900B  4                  S  765         1994</t>
        </is>
      </c>
      <c r="D921" t="inlineStr">
        <is>
          <t>Honor / Frank Henderson Stewart.</t>
        </is>
      </c>
      <c r="F921" t="inlineStr">
        <is>
          <t>No</t>
        </is>
      </c>
      <c r="G921" t="inlineStr">
        <is>
          <t>1</t>
        </is>
      </c>
      <c r="H921" t="inlineStr">
        <is>
          <t>No</t>
        </is>
      </c>
      <c r="I921" t="inlineStr">
        <is>
          <t>No</t>
        </is>
      </c>
      <c r="J921" t="inlineStr">
        <is>
          <t>0</t>
        </is>
      </c>
      <c r="K921" t="inlineStr">
        <is>
          <t>Stewart, Frank Henderson.</t>
        </is>
      </c>
      <c r="L921" t="inlineStr">
        <is>
          <t>Chicago : University of Chicago Press, 1994.</t>
        </is>
      </c>
      <c r="M921" t="inlineStr">
        <is>
          <t>1994</t>
        </is>
      </c>
      <c r="O921" t="inlineStr">
        <is>
          <t>eng</t>
        </is>
      </c>
      <c r="P921" t="inlineStr">
        <is>
          <t>ilu</t>
        </is>
      </c>
      <c r="R921" t="inlineStr">
        <is>
          <t xml:space="preserve">DS </t>
        </is>
      </c>
      <c r="S921" t="n">
        <v>5</v>
      </c>
      <c r="T921" t="n">
        <v>5</v>
      </c>
      <c r="U921" t="inlineStr">
        <is>
          <t>1996-01-10</t>
        </is>
      </c>
      <c r="V921" t="inlineStr">
        <is>
          <t>1996-01-10</t>
        </is>
      </c>
      <c r="W921" t="inlineStr">
        <is>
          <t>1995-04-03</t>
        </is>
      </c>
      <c r="X921" t="inlineStr">
        <is>
          <t>1995-04-03</t>
        </is>
      </c>
      <c r="Y921" t="n">
        <v>387</v>
      </c>
      <c r="Z921" t="n">
        <v>300</v>
      </c>
      <c r="AA921" t="n">
        <v>300</v>
      </c>
      <c r="AB921" t="n">
        <v>3</v>
      </c>
      <c r="AC921" t="n">
        <v>3</v>
      </c>
      <c r="AD921" t="n">
        <v>19</v>
      </c>
      <c r="AE921" t="n">
        <v>19</v>
      </c>
      <c r="AF921" t="n">
        <v>5</v>
      </c>
      <c r="AG921" t="n">
        <v>5</v>
      </c>
      <c r="AH921" t="n">
        <v>3</v>
      </c>
      <c r="AI921" t="n">
        <v>3</v>
      </c>
      <c r="AJ921" t="n">
        <v>12</v>
      </c>
      <c r="AK921" t="n">
        <v>12</v>
      </c>
      <c r="AL921" t="n">
        <v>2</v>
      </c>
      <c r="AM921" t="n">
        <v>2</v>
      </c>
      <c r="AN921" t="n">
        <v>1</v>
      </c>
      <c r="AO921" t="n">
        <v>1</v>
      </c>
      <c r="AP921" t="inlineStr">
        <is>
          <t>No</t>
        </is>
      </c>
      <c r="AQ921" t="inlineStr">
        <is>
          <t>No</t>
        </is>
      </c>
      <c r="AS921">
        <f>HYPERLINK("https://creighton-primo.hosted.exlibrisgroup.com/primo-explore/search?tab=default_tab&amp;search_scope=EVERYTHING&amp;vid=01CRU&amp;lang=en_US&amp;offset=0&amp;query=any,contains,991002343499702656","Catalog Record")</f>
        <v/>
      </c>
      <c r="AT921">
        <f>HYPERLINK("http://www.worldcat.org/oclc/30516636","WorldCat Record")</f>
        <v/>
      </c>
      <c r="AU921" t="inlineStr">
        <is>
          <t>32296833:eng</t>
        </is>
      </c>
      <c r="AV921" t="inlineStr">
        <is>
          <t>30516636</t>
        </is>
      </c>
      <c r="AW921" t="inlineStr">
        <is>
          <t>991002343499702656</t>
        </is>
      </c>
      <c r="AX921" t="inlineStr">
        <is>
          <t>991002343499702656</t>
        </is>
      </c>
      <c r="AY921" t="inlineStr">
        <is>
          <t>2259056470002656</t>
        </is>
      </c>
      <c r="AZ921" t="inlineStr">
        <is>
          <t>BOOK</t>
        </is>
      </c>
      <c r="BB921" t="inlineStr">
        <is>
          <t>9780226774077</t>
        </is>
      </c>
      <c r="BC921" t="inlineStr">
        <is>
          <t>32285002016409</t>
        </is>
      </c>
      <c r="BD921" t="inlineStr">
        <is>
          <t>893716329</t>
        </is>
      </c>
    </row>
    <row r="922">
      <c r="A922" t="inlineStr">
        <is>
          <t>No</t>
        </is>
      </c>
      <c r="B922" t="inlineStr">
        <is>
          <t>DS36.9.D47 B3813 1996</t>
        </is>
      </c>
      <c r="C922" t="inlineStr">
        <is>
          <t>0                      DS 0036900D  47                 B  3813        1996</t>
        </is>
      </c>
      <c r="D922" t="inlineStr">
        <is>
          <t>The decline of Eastern Christianity under Islam : from Jihad to Dhimmitude : seventh-twentieth century / Bat Ye'or ; with a foreword by Jacques Ellul ; translated from the French by Miriam Kochan and David Littman.</t>
        </is>
      </c>
      <c r="F922" t="inlineStr">
        <is>
          <t>No</t>
        </is>
      </c>
      <c r="G922" t="inlineStr">
        <is>
          <t>1</t>
        </is>
      </c>
      <c r="H922" t="inlineStr">
        <is>
          <t>No</t>
        </is>
      </c>
      <c r="I922" t="inlineStr">
        <is>
          <t>No</t>
        </is>
      </c>
      <c r="J922" t="inlineStr">
        <is>
          <t>0</t>
        </is>
      </c>
      <c r="K922" t="inlineStr">
        <is>
          <t>Bat Yeʼor.</t>
        </is>
      </c>
      <c r="L922" t="inlineStr">
        <is>
          <t>Madison, NJ : Fairleigh Dickinson University Press, 1996.</t>
        </is>
      </c>
      <c r="M922" t="inlineStr">
        <is>
          <t>1996</t>
        </is>
      </c>
      <c r="O922" t="inlineStr">
        <is>
          <t>eng</t>
        </is>
      </c>
      <c r="P922" t="inlineStr">
        <is>
          <t>nju</t>
        </is>
      </c>
      <c r="R922" t="inlineStr">
        <is>
          <t xml:space="preserve">DS </t>
        </is>
      </c>
      <c r="S922" t="n">
        <v>10</v>
      </c>
      <c r="T922" t="n">
        <v>10</v>
      </c>
      <c r="U922" t="inlineStr">
        <is>
          <t>2007-10-01</t>
        </is>
      </c>
      <c r="V922" t="inlineStr">
        <is>
          <t>2007-10-01</t>
        </is>
      </c>
      <c r="W922" t="inlineStr">
        <is>
          <t>1997-01-17</t>
        </is>
      </c>
      <c r="X922" t="inlineStr">
        <is>
          <t>1997-01-17</t>
        </is>
      </c>
      <c r="Y922" t="n">
        <v>566</v>
      </c>
      <c r="Z922" t="n">
        <v>456</v>
      </c>
      <c r="AA922" t="n">
        <v>464</v>
      </c>
      <c r="AB922" t="n">
        <v>7</v>
      </c>
      <c r="AC922" t="n">
        <v>7</v>
      </c>
      <c r="AD922" t="n">
        <v>29</v>
      </c>
      <c r="AE922" t="n">
        <v>29</v>
      </c>
      <c r="AF922" t="n">
        <v>10</v>
      </c>
      <c r="AG922" t="n">
        <v>10</v>
      </c>
      <c r="AH922" t="n">
        <v>5</v>
      </c>
      <c r="AI922" t="n">
        <v>5</v>
      </c>
      <c r="AJ922" t="n">
        <v>16</v>
      </c>
      <c r="AK922" t="n">
        <v>16</v>
      </c>
      <c r="AL922" t="n">
        <v>5</v>
      </c>
      <c r="AM922" t="n">
        <v>5</v>
      </c>
      <c r="AN922" t="n">
        <v>0</v>
      </c>
      <c r="AO922" t="n">
        <v>0</v>
      </c>
      <c r="AP922" t="inlineStr">
        <is>
          <t>No</t>
        </is>
      </c>
      <c r="AQ922" t="inlineStr">
        <is>
          <t>Yes</t>
        </is>
      </c>
      <c r="AR922">
        <f>HYPERLINK("http://catalog.hathitrust.org/Record/003091418","HathiTrust Record")</f>
        <v/>
      </c>
      <c r="AS922">
        <f>HYPERLINK("https://creighton-primo.hosted.exlibrisgroup.com/primo-explore/search?tab=default_tab&amp;search_scope=EVERYTHING&amp;vid=01CRU&amp;lang=en_US&amp;offset=0&amp;query=any,contains,991002559749702656","Catalog Record")</f>
        <v/>
      </c>
      <c r="AT922">
        <f>HYPERLINK("http://www.worldcat.org/oclc/33276531","WorldCat Record")</f>
        <v/>
      </c>
      <c r="AU922" t="inlineStr">
        <is>
          <t>34987676:eng</t>
        </is>
      </c>
      <c r="AV922" t="inlineStr">
        <is>
          <t>33276531</t>
        </is>
      </c>
      <c r="AW922" t="inlineStr">
        <is>
          <t>991002559749702656</t>
        </is>
      </c>
      <c r="AX922" t="inlineStr">
        <is>
          <t>991002559749702656</t>
        </is>
      </c>
      <c r="AY922" t="inlineStr">
        <is>
          <t>2257833690002656</t>
        </is>
      </c>
      <c r="AZ922" t="inlineStr">
        <is>
          <t>BOOK</t>
        </is>
      </c>
      <c r="BB922" t="inlineStr">
        <is>
          <t>9780838636787</t>
        </is>
      </c>
      <c r="BC922" t="inlineStr">
        <is>
          <t>32285002408986</t>
        </is>
      </c>
      <c r="BD922" t="inlineStr">
        <is>
          <t>893347633</t>
        </is>
      </c>
    </row>
    <row r="923">
      <c r="A923" t="inlineStr">
        <is>
          <t>No</t>
        </is>
      </c>
      <c r="B923" t="inlineStr">
        <is>
          <t>DS36.9.D47 B395 2002</t>
        </is>
      </c>
      <c r="C923" t="inlineStr">
        <is>
          <t>0                      DS 0036900D  47                 B  395         2002</t>
        </is>
      </c>
      <c r="D923" t="inlineStr">
        <is>
          <t>Islam and Dhimmitude : where civilizations collide / Bat Yeʼor ; translated from the French by Miriam Kochan and David Littman.</t>
        </is>
      </c>
      <c r="F923" t="inlineStr">
        <is>
          <t>No</t>
        </is>
      </c>
      <c r="G923" t="inlineStr">
        <is>
          <t>1</t>
        </is>
      </c>
      <c r="H923" t="inlineStr">
        <is>
          <t>No</t>
        </is>
      </c>
      <c r="I923" t="inlineStr">
        <is>
          <t>No</t>
        </is>
      </c>
      <c r="J923" t="inlineStr">
        <is>
          <t>0</t>
        </is>
      </c>
      <c r="K923" t="inlineStr">
        <is>
          <t>Bat Yeʼor.</t>
        </is>
      </c>
      <c r="L923" t="inlineStr">
        <is>
          <t>Madison [N.J.] : Fairleigh Dickinson University Press ; Cranbury, NJ : Associated University Presses ; Lancaster, UK : Gazelle Book Services, c2002.</t>
        </is>
      </c>
      <c r="M923" t="inlineStr">
        <is>
          <t>2002</t>
        </is>
      </c>
      <c r="O923" t="inlineStr">
        <is>
          <t>eng</t>
        </is>
      </c>
      <c r="P923" t="inlineStr">
        <is>
          <t>nju</t>
        </is>
      </c>
      <c r="R923" t="inlineStr">
        <is>
          <t xml:space="preserve">DS </t>
        </is>
      </c>
      <c r="S923" t="n">
        <v>3</v>
      </c>
      <c r="T923" t="n">
        <v>3</v>
      </c>
      <c r="U923" t="inlineStr">
        <is>
          <t>2006-05-15</t>
        </is>
      </c>
      <c r="V923" t="inlineStr">
        <is>
          <t>2006-05-15</t>
        </is>
      </c>
      <c r="W923" t="inlineStr">
        <is>
          <t>2002-03-20</t>
        </is>
      </c>
      <c r="X923" t="inlineStr">
        <is>
          <t>2002-03-20</t>
        </is>
      </c>
      <c r="Y923" t="n">
        <v>405</v>
      </c>
      <c r="Z923" t="n">
        <v>334</v>
      </c>
      <c r="AA923" t="n">
        <v>338</v>
      </c>
      <c r="AB923" t="n">
        <v>3</v>
      </c>
      <c r="AC923" t="n">
        <v>3</v>
      </c>
      <c r="AD923" t="n">
        <v>20</v>
      </c>
      <c r="AE923" t="n">
        <v>20</v>
      </c>
      <c r="AF923" t="n">
        <v>7</v>
      </c>
      <c r="AG923" t="n">
        <v>7</v>
      </c>
      <c r="AH923" t="n">
        <v>5</v>
      </c>
      <c r="AI923" t="n">
        <v>5</v>
      </c>
      <c r="AJ923" t="n">
        <v>15</v>
      </c>
      <c r="AK923" t="n">
        <v>15</v>
      </c>
      <c r="AL923" t="n">
        <v>1</v>
      </c>
      <c r="AM923" t="n">
        <v>1</v>
      </c>
      <c r="AN923" t="n">
        <v>0</v>
      </c>
      <c r="AO923" t="n">
        <v>0</v>
      </c>
      <c r="AP923" t="inlineStr">
        <is>
          <t>No</t>
        </is>
      </c>
      <c r="AQ923" t="inlineStr">
        <is>
          <t>Yes</t>
        </is>
      </c>
      <c r="AR923">
        <f>HYPERLINK("http://catalog.hathitrust.org/Record/004219851","HathiTrust Record")</f>
        <v/>
      </c>
      <c r="AS923">
        <f>HYPERLINK("https://creighton-primo.hosted.exlibrisgroup.com/primo-explore/search?tab=default_tab&amp;search_scope=EVERYTHING&amp;vid=01CRU&amp;lang=en_US&amp;offset=0&amp;query=any,contains,991003742129702656","Catalog Record")</f>
        <v/>
      </c>
      <c r="AT923">
        <f>HYPERLINK("http://www.worldcat.org/oclc/47054791","WorldCat Record")</f>
        <v/>
      </c>
      <c r="AU923" t="inlineStr">
        <is>
          <t>892563690:eng</t>
        </is>
      </c>
      <c r="AV923" t="inlineStr">
        <is>
          <t>47054791</t>
        </is>
      </c>
      <c r="AW923" t="inlineStr">
        <is>
          <t>991003742129702656</t>
        </is>
      </c>
      <c r="AX923" t="inlineStr">
        <is>
          <t>991003742129702656</t>
        </is>
      </c>
      <c r="AY923" t="inlineStr">
        <is>
          <t>2269159100002656</t>
        </is>
      </c>
      <c r="AZ923" t="inlineStr">
        <is>
          <t>BOOK</t>
        </is>
      </c>
      <c r="BB923" t="inlineStr">
        <is>
          <t>9780838639429</t>
        </is>
      </c>
      <c r="BC923" t="inlineStr">
        <is>
          <t>32285004463278</t>
        </is>
      </c>
      <c r="BD923" t="inlineStr">
        <is>
          <t>893623846</t>
        </is>
      </c>
    </row>
    <row r="924">
      <c r="A924" t="inlineStr">
        <is>
          <t>No</t>
        </is>
      </c>
      <c r="B924" t="inlineStr">
        <is>
          <t>DS36.96 .C73 1983</t>
        </is>
      </c>
      <c r="C924" t="inlineStr">
        <is>
          <t>0                      DS 0036960C  73          1983</t>
        </is>
      </c>
      <c r="D924" t="inlineStr">
        <is>
          <t>Los Arabes en Europa / Gabriele Crespi ; introducción de Francesco Gabrieli.</t>
        </is>
      </c>
      <c r="F924" t="inlineStr">
        <is>
          <t>No</t>
        </is>
      </c>
      <c r="G924" t="inlineStr">
        <is>
          <t>1</t>
        </is>
      </c>
      <c r="H924" t="inlineStr">
        <is>
          <t>No</t>
        </is>
      </c>
      <c r="I924" t="inlineStr">
        <is>
          <t>No</t>
        </is>
      </c>
      <c r="J924" t="inlineStr">
        <is>
          <t>0</t>
        </is>
      </c>
      <c r="K924" t="inlineStr">
        <is>
          <t>Crespi, Gabriele.</t>
        </is>
      </c>
      <c r="L924" t="inlineStr">
        <is>
          <t>Madrid : Ediciones Encuentro, 1983, c1982.</t>
        </is>
      </c>
      <c r="M924" t="inlineStr">
        <is>
          <t>1983</t>
        </is>
      </c>
      <c r="N924" t="inlineStr">
        <is>
          <t>1a ed. española.</t>
        </is>
      </c>
      <c r="O924" t="inlineStr">
        <is>
          <t>spa</t>
        </is>
      </c>
      <c r="P924" t="inlineStr">
        <is>
          <t xml:space="preserve">sp </t>
        </is>
      </c>
      <c r="R924" t="inlineStr">
        <is>
          <t xml:space="preserve">DS </t>
        </is>
      </c>
      <c r="S924" t="n">
        <v>2</v>
      </c>
      <c r="T924" t="n">
        <v>2</v>
      </c>
      <c r="U924" t="inlineStr">
        <is>
          <t>1997-08-03</t>
        </is>
      </c>
      <c r="V924" t="inlineStr">
        <is>
          <t>1997-08-03</t>
        </is>
      </c>
      <c r="W924" t="inlineStr">
        <is>
          <t>1990-09-13</t>
        </is>
      </c>
      <c r="X924" t="inlineStr">
        <is>
          <t>1990-09-13</t>
        </is>
      </c>
      <c r="Y924" t="n">
        <v>7</v>
      </c>
      <c r="Z924" t="n">
        <v>6</v>
      </c>
      <c r="AA924" t="n">
        <v>6</v>
      </c>
      <c r="AB924" t="n">
        <v>1</v>
      </c>
      <c r="AC924" t="n">
        <v>1</v>
      </c>
      <c r="AD924" t="n">
        <v>0</v>
      </c>
      <c r="AE924" t="n">
        <v>0</v>
      </c>
      <c r="AF924" t="n">
        <v>0</v>
      </c>
      <c r="AG924" t="n">
        <v>0</v>
      </c>
      <c r="AH924" t="n">
        <v>0</v>
      </c>
      <c r="AI924" t="n">
        <v>0</v>
      </c>
      <c r="AJ924" t="n">
        <v>0</v>
      </c>
      <c r="AK924" t="n">
        <v>0</v>
      </c>
      <c r="AL924" t="n">
        <v>0</v>
      </c>
      <c r="AM924" t="n">
        <v>0</v>
      </c>
      <c r="AN924" t="n">
        <v>0</v>
      </c>
      <c r="AO924" t="n">
        <v>0</v>
      </c>
      <c r="AP924" t="inlineStr">
        <is>
          <t>No</t>
        </is>
      </c>
      <c r="AQ924" t="inlineStr">
        <is>
          <t>No</t>
        </is>
      </c>
      <c r="AS924">
        <f>HYPERLINK("https://creighton-primo.hosted.exlibrisgroup.com/primo-explore/search?tab=default_tab&amp;search_scope=EVERYTHING&amp;vid=01CRU&amp;lang=en_US&amp;offset=0&amp;query=any,contains,991000735609702656","Catalog Record")</f>
        <v/>
      </c>
      <c r="AT924">
        <f>HYPERLINK("http://www.worldcat.org/oclc/12769130","WorldCat Record")</f>
        <v/>
      </c>
      <c r="AU924" t="inlineStr">
        <is>
          <t>3933264:spa</t>
        </is>
      </c>
      <c r="AV924" t="inlineStr">
        <is>
          <t>12769130</t>
        </is>
      </c>
      <c r="AW924" t="inlineStr">
        <is>
          <t>991000735609702656</t>
        </is>
      </c>
      <c r="AX924" t="inlineStr">
        <is>
          <t>991000735609702656</t>
        </is>
      </c>
      <c r="AY924" t="inlineStr">
        <is>
          <t>2267674570002656</t>
        </is>
      </c>
      <c r="AZ924" t="inlineStr">
        <is>
          <t>BOOK</t>
        </is>
      </c>
      <c r="BB924" t="inlineStr">
        <is>
          <t>9788474900743</t>
        </is>
      </c>
      <c r="BC924" t="inlineStr">
        <is>
          <t>32285000291491</t>
        </is>
      </c>
      <c r="BD924" t="inlineStr">
        <is>
          <t>893595829</t>
        </is>
      </c>
    </row>
    <row r="925">
      <c r="A925" t="inlineStr">
        <is>
          <t>No</t>
        </is>
      </c>
      <c r="B925" t="inlineStr">
        <is>
          <t>DS361 .G75</t>
        </is>
      </c>
      <c r="C925" t="inlineStr">
        <is>
          <t>0                      DS 0361000G  75</t>
        </is>
      </c>
      <c r="D925" t="inlineStr">
        <is>
          <t>Afghanistan : key to a continent / John C. Griffiths.</t>
        </is>
      </c>
      <c r="F925" t="inlineStr">
        <is>
          <t>No</t>
        </is>
      </c>
      <c r="G925" t="inlineStr">
        <is>
          <t>1</t>
        </is>
      </c>
      <c r="H925" t="inlineStr">
        <is>
          <t>No</t>
        </is>
      </c>
      <c r="I925" t="inlineStr">
        <is>
          <t>No</t>
        </is>
      </c>
      <c r="J925" t="inlineStr">
        <is>
          <t>0</t>
        </is>
      </c>
      <c r="K925" t="inlineStr">
        <is>
          <t>Griffiths, John C.</t>
        </is>
      </c>
      <c r="L925" t="inlineStr">
        <is>
          <t>Boulder, Colo. : Westview Press, 1981.</t>
        </is>
      </c>
      <c r="M925" t="inlineStr">
        <is>
          <t>1981</t>
        </is>
      </c>
      <c r="O925" t="inlineStr">
        <is>
          <t>eng</t>
        </is>
      </c>
      <c r="P925" t="inlineStr">
        <is>
          <t>cou</t>
        </is>
      </c>
      <c r="R925" t="inlineStr">
        <is>
          <t xml:space="preserve">DS </t>
        </is>
      </c>
      <c r="S925" t="n">
        <v>9</v>
      </c>
      <c r="T925" t="n">
        <v>9</v>
      </c>
      <c r="U925" t="inlineStr">
        <is>
          <t>2006-10-23</t>
        </is>
      </c>
      <c r="V925" t="inlineStr">
        <is>
          <t>2006-10-23</t>
        </is>
      </c>
      <c r="W925" t="inlineStr">
        <is>
          <t>1990-10-08</t>
        </is>
      </c>
      <c r="X925" t="inlineStr">
        <is>
          <t>1990-10-08</t>
        </is>
      </c>
      <c r="Y925" t="n">
        <v>554</v>
      </c>
      <c r="Z925" t="n">
        <v>500</v>
      </c>
      <c r="AA925" t="n">
        <v>529</v>
      </c>
      <c r="AB925" t="n">
        <v>3</v>
      </c>
      <c r="AC925" t="n">
        <v>3</v>
      </c>
      <c r="AD925" t="n">
        <v>13</v>
      </c>
      <c r="AE925" t="n">
        <v>14</v>
      </c>
      <c r="AF925" t="n">
        <v>4</v>
      </c>
      <c r="AG925" t="n">
        <v>4</v>
      </c>
      <c r="AH925" t="n">
        <v>4</v>
      </c>
      <c r="AI925" t="n">
        <v>4</v>
      </c>
      <c r="AJ925" t="n">
        <v>7</v>
      </c>
      <c r="AK925" t="n">
        <v>8</v>
      </c>
      <c r="AL925" t="n">
        <v>2</v>
      </c>
      <c r="AM925" t="n">
        <v>2</v>
      </c>
      <c r="AN925" t="n">
        <v>0</v>
      </c>
      <c r="AO925" t="n">
        <v>0</v>
      </c>
      <c r="AP925" t="inlineStr">
        <is>
          <t>No</t>
        </is>
      </c>
      <c r="AQ925" t="inlineStr">
        <is>
          <t>Yes</t>
        </is>
      </c>
      <c r="AR925">
        <f>HYPERLINK("http://catalog.hathitrust.org/Record/000761715","HathiTrust Record")</f>
        <v/>
      </c>
      <c r="AS925">
        <f>HYPERLINK("https://creighton-primo.hosted.exlibrisgroup.com/primo-explore/search?tab=default_tab&amp;search_scope=EVERYTHING&amp;vid=01CRU&amp;lang=en_US&amp;offset=0&amp;query=any,contains,991005108099702656","Catalog Record")</f>
        <v/>
      </c>
      <c r="AT925">
        <f>HYPERLINK("http://www.worldcat.org/oclc/7369020","WorldCat Record")</f>
        <v/>
      </c>
      <c r="AU925" t="inlineStr">
        <is>
          <t>3901849462:eng</t>
        </is>
      </c>
      <c r="AV925" t="inlineStr">
        <is>
          <t>7369020</t>
        </is>
      </c>
      <c r="AW925" t="inlineStr">
        <is>
          <t>991005108099702656</t>
        </is>
      </c>
      <c r="AX925" t="inlineStr">
        <is>
          <t>991005108099702656</t>
        </is>
      </c>
      <c r="AY925" t="inlineStr">
        <is>
          <t>2254825370002656</t>
        </is>
      </c>
      <c r="AZ925" t="inlineStr">
        <is>
          <t>BOOK</t>
        </is>
      </c>
      <c r="BB925" t="inlineStr">
        <is>
          <t>9780865310803</t>
        </is>
      </c>
      <c r="BC925" t="inlineStr">
        <is>
          <t>32285000336122</t>
        </is>
      </c>
      <c r="BD925" t="inlineStr">
        <is>
          <t>893350724</t>
        </is>
      </c>
    </row>
    <row r="926">
      <c r="A926" t="inlineStr">
        <is>
          <t>No</t>
        </is>
      </c>
      <c r="B926" t="inlineStr">
        <is>
          <t>DS363 .W35 1990</t>
        </is>
      </c>
      <c r="C926" t="inlineStr">
        <is>
          <t>0                      DS 0363000W  35          1990</t>
        </is>
      </c>
      <c r="D926" t="inlineStr">
        <is>
          <t>Beyond the Khyber Pass : the road to British disaster in the First Afghan War / by John H. Waller.</t>
        </is>
      </c>
      <c r="F926" t="inlineStr">
        <is>
          <t>No</t>
        </is>
      </c>
      <c r="G926" t="inlineStr">
        <is>
          <t>1</t>
        </is>
      </c>
      <c r="H926" t="inlineStr">
        <is>
          <t>No</t>
        </is>
      </c>
      <c r="I926" t="inlineStr">
        <is>
          <t>No</t>
        </is>
      </c>
      <c r="J926" t="inlineStr">
        <is>
          <t>0</t>
        </is>
      </c>
      <c r="K926" t="inlineStr">
        <is>
          <t>Waller, John H.</t>
        </is>
      </c>
      <c r="L926" t="inlineStr">
        <is>
          <t>New York : Random House, 1990.</t>
        </is>
      </c>
      <c r="M926" t="inlineStr">
        <is>
          <t>1990</t>
        </is>
      </c>
      <c r="N926" t="inlineStr">
        <is>
          <t>1st ed.</t>
        </is>
      </c>
      <c r="O926" t="inlineStr">
        <is>
          <t>eng</t>
        </is>
      </c>
      <c r="P926" t="inlineStr">
        <is>
          <t>nyu</t>
        </is>
      </c>
      <c r="R926" t="inlineStr">
        <is>
          <t xml:space="preserve">DS </t>
        </is>
      </c>
      <c r="S926" t="n">
        <v>2</v>
      </c>
      <c r="T926" t="n">
        <v>2</v>
      </c>
      <c r="U926" t="inlineStr">
        <is>
          <t>2009-12-22</t>
        </is>
      </c>
      <c r="V926" t="inlineStr">
        <is>
          <t>2009-12-22</t>
        </is>
      </c>
      <c r="W926" t="inlineStr">
        <is>
          <t>1990-08-06</t>
        </is>
      </c>
      <c r="X926" t="inlineStr">
        <is>
          <t>1990-08-06</t>
        </is>
      </c>
      <c r="Y926" t="n">
        <v>709</v>
      </c>
      <c r="Z926" t="n">
        <v>657</v>
      </c>
      <c r="AA926" t="n">
        <v>695</v>
      </c>
      <c r="AB926" t="n">
        <v>5</v>
      </c>
      <c r="AC926" t="n">
        <v>5</v>
      </c>
      <c r="AD926" t="n">
        <v>17</v>
      </c>
      <c r="AE926" t="n">
        <v>18</v>
      </c>
      <c r="AF926" t="n">
        <v>5</v>
      </c>
      <c r="AG926" t="n">
        <v>6</v>
      </c>
      <c r="AH926" t="n">
        <v>4</v>
      </c>
      <c r="AI926" t="n">
        <v>5</v>
      </c>
      <c r="AJ926" t="n">
        <v>10</v>
      </c>
      <c r="AK926" t="n">
        <v>10</v>
      </c>
      <c r="AL926" t="n">
        <v>3</v>
      </c>
      <c r="AM926" t="n">
        <v>3</v>
      </c>
      <c r="AN926" t="n">
        <v>0</v>
      </c>
      <c r="AO926" t="n">
        <v>0</v>
      </c>
      <c r="AP926" t="inlineStr">
        <is>
          <t>No</t>
        </is>
      </c>
      <c r="AQ926" t="inlineStr">
        <is>
          <t>Yes</t>
        </is>
      </c>
      <c r="AR926">
        <f>HYPERLINK("http://catalog.hathitrust.org/Record/002164929","HathiTrust Record")</f>
        <v/>
      </c>
      <c r="AS926">
        <f>HYPERLINK("https://creighton-primo.hosted.exlibrisgroup.com/primo-explore/search?tab=default_tab&amp;search_scope=EVERYTHING&amp;vid=01CRU&amp;lang=en_US&amp;offset=0&amp;query=any,contains,991001592339702656","Catalog Record")</f>
        <v/>
      </c>
      <c r="AT926">
        <f>HYPERLINK("http://www.worldcat.org/oclc/20593803","WorldCat Record")</f>
        <v/>
      </c>
      <c r="AU926" t="inlineStr">
        <is>
          <t>22710470:eng</t>
        </is>
      </c>
      <c r="AV926" t="inlineStr">
        <is>
          <t>20593803</t>
        </is>
      </c>
      <c r="AW926" t="inlineStr">
        <is>
          <t>991001592339702656</t>
        </is>
      </c>
      <c r="AX926" t="inlineStr">
        <is>
          <t>991001592339702656</t>
        </is>
      </c>
      <c r="AY926" t="inlineStr">
        <is>
          <t>2267065730002656</t>
        </is>
      </c>
      <c r="AZ926" t="inlineStr">
        <is>
          <t>BOOK</t>
        </is>
      </c>
      <c r="BB926" t="inlineStr">
        <is>
          <t>9780394569345</t>
        </is>
      </c>
      <c r="BC926" t="inlineStr">
        <is>
          <t>32285000242296</t>
        </is>
      </c>
      <c r="BD926" t="inlineStr">
        <is>
          <t>893328224</t>
        </is>
      </c>
    </row>
    <row r="927">
      <c r="A927" t="inlineStr">
        <is>
          <t>No</t>
        </is>
      </c>
      <c r="B927" t="inlineStr">
        <is>
          <t>DS365 .K32 1979</t>
        </is>
      </c>
      <c r="C927" t="inlineStr">
        <is>
          <t>0                      DS 0365000K  32          1979</t>
        </is>
      </c>
      <c r="D927" t="inlineStr">
        <is>
          <t>Government and society in Afghanistan / the reign of Amir ʼAbd al-Bahman Khan / by Hasan Kawun Kakar.</t>
        </is>
      </c>
      <c r="F927" t="inlineStr">
        <is>
          <t>No</t>
        </is>
      </c>
      <c r="G927" t="inlineStr">
        <is>
          <t>1</t>
        </is>
      </c>
      <c r="H927" t="inlineStr">
        <is>
          <t>No</t>
        </is>
      </c>
      <c r="I927" t="inlineStr">
        <is>
          <t>No</t>
        </is>
      </c>
      <c r="J927" t="inlineStr">
        <is>
          <t>0</t>
        </is>
      </c>
      <c r="K927" t="inlineStr">
        <is>
          <t>Kakar, M. Hasan.</t>
        </is>
      </c>
      <c r="L927" t="inlineStr">
        <is>
          <t>Austin : University of Texas Press, c1979.</t>
        </is>
      </c>
      <c r="M927" t="inlineStr">
        <is>
          <t>1979</t>
        </is>
      </c>
      <c r="O927" t="inlineStr">
        <is>
          <t>eng</t>
        </is>
      </c>
      <c r="P927" t="inlineStr">
        <is>
          <t>txu</t>
        </is>
      </c>
      <c r="Q927" t="inlineStr">
        <is>
          <t>Modern Middle East series ; no. 5</t>
        </is>
      </c>
      <c r="R927" t="inlineStr">
        <is>
          <t xml:space="preserve">DS </t>
        </is>
      </c>
      <c r="S927" t="n">
        <v>2</v>
      </c>
      <c r="T927" t="n">
        <v>2</v>
      </c>
      <c r="U927" t="inlineStr">
        <is>
          <t>2006-10-02</t>
        </is>
      </c>
      <c r="V927" t="inlineStr">
        <is>
          <t>2006-10-02</t>
        </is>
      </c>
      <c r="W927" t="inlineStr">
        <is>
          <t>1990-10-08</t>
        </is>
      </c>
      <c r="X927" t="inlineStr">
        <is>
          <t>1990-10-08</t>
        </is>
      </c>
      <c r="Y927" t="n">
        <v>400</v>
      </c>
      <c r="Z927" t="n">
        <v>325</v>
      </c>
      <c r="AA927" t="n">
        <v>388</v>
      </c>
      <c r="AB927" t="n">
        <v>2</v>
      </c>
      <c r="AC927" t="n">
        <v>2</v>
      </c>
      <c r="AD927" t="n">
        <v>18</v>
      </c>
      <c r="AE927" t="n">
        <v>22</v>
      </c>
      <c r="AF927" t="n">
        <v>7</v>
      </c>
      <c r="AG927" t="n">
        <v>10</v>
      </c>
      <c r="AH927" t="n">
        <v>8</v>
      </c>
      <c r="AI927" t="n">
        <v>8</v>
      </c>
      <c r="AJ927" t="n">
        <v>9</v>
      </c>
      <c r="AK927" t="n">
        <v>10</v>
      </c>
      <c r="AL927" t="n">
        <v>1</v>
      </c>
      <c r="AM927" t="n">
        <v>1</v>
      </c>
      <c r="AN927" t="n">
        <v>0</v>
      </c>
      <c r="AO927" t="n">
        <v>0</v>
      </c>
      <c r="AP927" t="inlineStr">
        <is>
          <t>No</t>
        </is>
      </c>
      <c r="AQ927" t="inlineStr">
        <is>
          <t>Yes</t>
        </is>
      </c>
      <c r="AR927">
        <f>HYPERLINK("http://catalog.hathitrust.org/Record/000041907","HathiTrust Record")</f>
        <v/>
      </c>
      <c r="AS927">
        <f>HYPERLINK("https://creighton-primo.hosted.exlibrisgroup.com/primo-explore/search?tab=default_tab&amp;search_scope=EVERYTHING&amp;vid=01CRU&amp;lang=en_US&amp;offset=0&amp;query=any,contains,991004678249702656","Catalog Record")</f>
        <v/>
      </c>
      <c r="AT927">
        <f>HYPERLINK("http://www.worldcat.org/oclc/4549633","WorldCat Record")</f>
        <v/>
      </c>
      <c r="AU927" t="inlineStr">
        <is>
          <t>111825499:eng</t>
        </is>
      </c>
      <c r="AV927" t="inlineStr">
        <is>
          <t>4549633</t>
        </is>
      </c>
      <c r="AW927" t="inlineStr">
        <is>
          <t>991004678249702656</t>
        </is>
      </c>
      <c r="AX927" t="inlineStr">
        <is>
          <t>991004678249702656</t>
        </is>
      </c>
      <c r="AY927" t="inlineStr">
        <is>
          <t>2272657960002656</t>
        </is>
      </c>
      <c r="AZ927" t="inlineStr">
        <is>
          <t>BOOK</t>
        </is>
      </c>
      <c r="BB927" t="inlineStr">
        <is>
          <t>9780292727182</t>
        </is>
      </c>
      <c r="BC927" t="inlineStr">
        <is>
          <t>32285000336130</t>
        </is>
      </c>
      <c r="BD927" t="inlineStr">
        <is>
          <t>893600110</t>
        </is>
      </c>
    </row>
    <row r="928">
      <c r="A928" t="inlineStr">
        <is>
          <t>No</t>
        </is>
      </c>
      <c r="B928" t="inlineStr">
        <is>
          <t>DS369.4 .N44</t>
        </is>
      </c>
      <c r="C928" t="inlineStr">
        <is>
          <t>0                      DS 0369400N  44</t>
        </is>
      </c>
      <c r="D928" t="inlineStr">
        <is>
          <t>The politics of Afghanistan [by] Richard S. Newell.</t>
        </is>
      </c>
      <c r="F928" t="inlineStr">
        <is>
          <t>No</t>
        </is>
      </c>
      <c r="G928" t="inlineStr">
        <is>
          <t>1</t>
        </is>
      </c>
      <c r="H928" t="inlineStr">
        <is>
          <t>No</t>
        </is>
      </c>
      <c r="I928" t="inlineStr">
        <is>
          <t>No</t>
        </is>
      </c>
      <c r="J928" t="inlineStr">
        <is>
          <t>0</t>
        </is>
      </c>
      <c r="K928" t="inlineStr">
        <is>
          <t>Newell, Richard S., 1933-</t>
        </is>
      </c>
      <c r="L928" t="inlineStr">
        <is>
          <t>Ithaca [N.Y.] Cornell University Press [1972]</t>
        </is>
      </c>
      <c r="M928" t="inlineStr">
        <is>
          <t>1972</t>
        </is>
      </c>
      <c r="O928" t="inlineStr">
        <is>
          <t>eng</t>
        </is>
      </c>
      <c r="P928" t="inlineStr">
        <is>
          <t>nyu</t>
        </is>
      </c>
      <c r="Q928" t="inlineStr">
        <is>
          <t>South Asian political systems</t>
        </is>
      </c>
      <c r="R928" t="inlineStr">
        <is>
          <t xml:space="preserve">DS </t>
        </is>
      </c>
      <c r="S928" t="n">
        <v>2</v>
      </c>
      <c r="T928" t="n">
        <v>2</v>
      </c>
      <c r="U928" t="inlineStr">
        <is>
          <t>2007-10-07</t>
        </is>
      </c>
      <c r="V928" t="inlineStr">
        <is>
          <t>2007-10-07</t>
        </is>
      </c>
      <c r="W928" t="inlineStr">
        <is>
          <t>1997-03-06</t>
        </is>
      </c>
      <c r="X928" t="inlineStr">
        <is>
          <t>1997-03-06</t>
        </is>
      </c>
      <c r="Y928" t="n">
        <v>640</v>
      </c>
      <c r="Z928" t="n">
        <v>517</v>
      </c>
      <c r="AA928" t="n">
        <v>520</v>
      </c>
      <c r="AB928" t="n">
        <v>3</v>
      </c>
      <c r="AC928" t="n">
        <v>3</v>
      </c>
      <c r="AD928" t="n">
        <v>25</v>
      </c>
      <c r="AE928" t="n">
        <v>25</v>
      </c>
      <c r="AF928" t="n">
        <v>10</v>
      </c>
      <c r="AG928" t="n">
        <v>10</v>
      </c>
      <c r="AH928" t="n">
        <v>7</v>
      </c>
      <c r="AI928" t="n">
        <v>7</v>
      </c>
      <c r="AJ928" t="n">
        <v>11</v>
      </c>
      <c r="AK928" t="n">
        <v>11</v>
      </c>
      <c r="AL928" t="n">
        <v>2</v>
      </c>
      <c r="AM928" t="n">
        <v>2</v>
      </c>
      <c r="AN928" t="n">
        <v>0</v>
      </c>
      <c r="AO928" t="n">
        <v>0</v>
      </c>
      <c r="AP928" t="inlineStr">
        <is>
          <t>No</t>
        </is>
      </c>
      <c r="AQ928" t="inlineStr">
        <is>
          <t>Yes</t>
        </is>
      </c>
      <c r="AR928">
        <f>HYPERLINK("http://catalog.hathitrust.org/Record/001249178","HathiTrust Record")</f>
        <v/>
      </c>
      <c r="AS928">
        <f>HYPERLINK("https://creighton-primo.hosted.exlibrisgroup.com/primo-explore/search?tab=default_tab&amp;search_scope=EVERYTHING&amp;vid=01CRU&amp;lang=en_US&amp;offset=0&amp;query=any,contains,991001230609702656","Catalog Record")</f>
        <v/>
      </c>
      <c r="AT928">
        <f>HYPERLINK("http://www.worldcat.org/oclc/203135","WorldCat Record")</f>
        <v/>
      </c>
      <c r="AU928" t="inlineStr">
        <is>
          <t>450060:eng</t>
        </is>
      </c>
      <c r="AV928" t="inlineStr">
        <is>
          <t>203135</t>
        </is>
      </c>
      <c r="AW928" t="inlineStr">
        <is>
          <t>991001230609702656</t>
        </is>
      </c>
      <c r="AX928" t="inlineStr">
        <is>
          <t>991001230609702656</t>
        </is>
      </c>
      <c r="AY928" t="inlineStr">
        <is>
          <t>2256022420002656</t>
        </is>
      </c>
      <c r="AZ928" t="inlineStr">
        <is>
          <t>BOOK</t>
        </is>
      </c>
      <c r="BB928" t="inlineStr">
        <is>
          <t>9780801406881</t>
        </is>
      </c>
      <c r="BC928" t="inlineStr">
        <is>
          <t>32285002455854</t>
        </is>
      </c>
      <c r="BD928" t="inlineStr">
        <is>
          <t>893803464</t>
        </is>
      </c>
    </row>
    <row r="929">
      <c r="A929" t="inlineStr">
        <is>
          <t>No</t>
        </is>
      </c>
      <c r="B929" t="inlineStr">
        <is>
          <t>DS37 .S57 1985</t>
        </is>
      </c>
      <c r="C929" t="inlineStr">
        <is>
          <t>0                      DS 0037000S  57          1985</t>
        </is>
      </c>
      <c r="D929" t="inlineStr">
        <is>
          <t>Interpretations of Islam : past and present / by Emmanuel Sivan.</t>
        </is>
      </c>
      <c r="F929" t="inlineStr">
        <is>
          <t>No</t>
        </is>
      </c>
      <c r="G929" t="inlineStr">
        <is>
          <t>1</t>
        </is>
      </c>
      <c r="H929" t="inlineStr">
        <is>
          <t>No</t>
        </is>
      </c>
      <c r="I929" t="inlineStr">
        <is>
          <t>No</t>
        </is>
      </c>
      <c r="J929" t="inlineStr">
        <is>
          <t>0</t>
        </is>
      </c>
      <c r="K929" t="inlineStr">
        <is>
          <t>Sivan, Emmanuel.</t>
        </is>
      </c>
      <c r="L929" t="inlineStr">
        <is>
          <t>Princeton, N.J. : Darwin Press, c1985.</t>
        </is>
      </c>
      <c r="M929" t="inlineStr">
        <is>
          <t>1985</t>
        </is>
      </c>
      <c r="O929" t="inlineStr">
        <is>
          <t>eng</t>
        </is>
      </c>
      <c r="P929" t="inlineStr">
        <is>
          <t>nju</t>
        </is>
      </c>
      <c r="R929" t="inlineStr">
        <is>
          <t xml:space="preserve">DS </t>
        </is>
      </c>
      <c r="S929" t="n">
        <v>4</v>
      </c>
      <c r="T929" t="n">
        <v>4</v>
      </c>
      <c r="U929" t="inlineStr">
        <is>
          <t>2001-10-11</t>
        </is>
      </c>
      <c r="V929" t="inlineStr">
        <is>
          <t>2001-10-11</t>
        </is>
      </c>
      <c r="W929" t="inlineStr">
        <is>
          <t>1996-10-01</t>
        </is>
      </c>
      <c r="X929" t="inlineStr">
        <is>
          <t>1996-10-01</t>
        </is>
      </c>
      <c r="Y929" t="n">
        <v>484</v>
      </c>
      <c r="Z929" t="n">
        <v>418</v>
      </c>
      <c r="AA929" t="n">
        <v>420</v>
      </c>
      <c r="AB929" t="n">
        <v>1</v>
      </c>
      <c r="AC929" t="n">
        <v>1</v>
      </c>
      <c r="AD929" t="n">
        <v>18</v>
      </c>
      <c r="AE929" t="n">
        <v>18</v>
      </c>
      <c r="AF929" t="n">
        <v>7</v>
      </c>
      <c r="AG929" t="n">
        <v>7</v>
      </c>
      <c r="AH929" t="n">
        <v>6</v>
      </c>
      <c r="AI929" t="n">
        <v>6</v>
      </c>
      <c r="AJ929" t="n">
        <v>11</v>
      </c>
      <c r="AK929" t="n">
        <v>11</v>
      </c>
      <c r="AL929" t="n">
        <v>0</v>
      </c>
      <c r="AM929" t="n">
        <v>0</v>
      </c>
      <c r="AN929" t="n">
        <v>0</v>
      </c>
      <c r="AO929" t="n">
        <v>0</v>
      </c>
      <c r="AP929" t="inlineStr">
        <is>
          <t>No</t>
        </is>
      </c>
      <c r="AQ929" t="inlineStr">
        <is>
          <t>Yes</t>
        </is>
      </c>
      <c r="AR929">
        <f>HYPERLINK("http://catalog.hathitrust.org/Record/000482628","HathiTrust Record")</f>
        <v/>
      </c>
      <c r="AS929">
        <f>HYPERLINK("https://creighton-primo.hosted.exlibrisgroup.com/primo-explore/search?tab=default_tab&amp;search_scope=EVERYTHING&amp;vid=01CRU&amp;lang=en_US&amp;offset=0&amp;query=any,contains,991000582739702656","Catalog Record")</f>
        <v/>
      </c>
      <c r="AT929">
        <f>HYPERLINK("http://www.worldcat.org/oclc/11754588","WorldCat Record")</f>
        <v/>
      </c>
      <c r="AU929" t="inlineStr">
        <is>
          <t>287695025:eng</t>
        </is>
      </c>
      <c r="AV929" t="inlineStr">
        <is>
          <t>11754588</t>
        </is>
      </c>
      <c r="AW929" t="inlineStr">
        <is>
          <t>991000582739702656</t>
        </is>
      </c>
      <c r="AX929" t="inlineStr">
        <is>
          <t>991000582739702656</t>
        </is>
      </c>
      <c r="AY929" t="inlineStr">
        <is>
          <t>2270167140002656</t>
        </is>
      </c>
      <c r="AZ929" t="inlineStr">
        <is>
          <t>BOOK</t>
        </is>
      </c>
      <c r="BB929" t="inlineStr">
        <is>
          <t>9780878500499</t>
        </is>
      </c>
      <c r="BC929" t="inlineStr">
        <is>
          <t>32285002321627</t>
        </is>
      </c>
      <c r="BD929" t="inlineStr">
        <is>
          <t>893878186</t>
        </is>
      </c>
    </row>
    <row r="930">
      <c r="A930" t="inlineStr">
        <is>
          <t>No</t>
        </is>
      </c>
      <c r="B930" t="inlineStr">
        <is>
          <t>DS37.7 .H58 1970</t>
        </is>
      </c>
      <c r="C930" t="inlineStr">
        <is>
          <t>0                      DS 0037700H  58          1970</t>
        </is>
      </c>
      <c r="D930" t="inlineStr">
        <is>
          <t>History of the Arabs, from the earliest times to the present / [by] Philip K. Hitti.</t>
        </is>
      </c>
      <c r="F930" t="inlineStr">
        <is>
          <t>No</t>
        </is>
      </c>
      <c r="G930" t="inlineStr">
        <is>
          <t>1</t>
        </is>
      </c>
      <c r="H930" t="inlineStr">
        <is>
          <t>No</t>
        </is>
      </c>
      <c r="I930" t="inlineStr">
        <is>
          <t>No</t>
        </is>
      </c>
      <c r="J930" t="inlineStr">
        <is>
          <t>0</t>
        </is>
      </c>
      <c r="K930" t="inlineStr">
        <is>
          <t>Hitti, Philip K. (Philip Khuri), 1886-1978.</t>
        </is>
      </c>
      <c r="L930" t="inlineStr">
        <is>
          <t>London : Macmillan ; New York : St Martin's Press, c1970, 1980 printing.</t>
        </is>
      </c>
      <c r="M930" t="inlineStr">
        <is>
          <t>1970</t>
        </is>
      </c>
      <c r="N930" t="inlineStr">
        <is>
          <t>10th ed.</t>
        </is>
      </c>
      <c r="O930" t="inlineStr">
        <is>
          <t>eng</t>
        </is>
      </c>
      <c r="P930" t="inlineStr">
        <is>
          <t>enk</t>
        </is>
      </c>
      <c r="R930" t="inlineStr">
        <is>
          <t xml:space="preserve">DS </t>
        </is>
      </c>
      <c r="S930" t="n">
        <v>7</v>
      </c>
      <c r="T930" t="n">
        <v>7</v>
      </c>
      <c r="U930" t="inlineStr">
        <is>
          <t>2010-03-25</t>
        </is>
      </c>
      <c r="V930" t="inlineStr">
        <is>
          <t>2010-03-25</t>
        </is>
      </c>
      <c r="W930" t="inlineStr">
        <is>
          <t>1990-09-13</t>
        </is>
      </c>
      <c r="X930" t="inlineStr">
        <is>
          <t>1990-09-13</t>
        </is>
      </c>
      <c r="Y930" t="n">
        <v>901</v>
      </c>
      <c r="Z930" t="n">
        <v>701</v>
      </c>
      <c r="AA930" t="n">
        <v>1364</v>
      </c>
      <c r="AB930" t="n">
        <v>5</v>
      </c>
      <c r="AC930" t="n">
        <v>12</v>
      </c>
      <c r="AD930" t="n">
        <v>19</v>
      </c>
      <c r="AE930" t="n">
        <v>51</v>
      </c>
      <c r="AF930" t="n">
        <v>6</v>
      </c>
      <c r="AG930" t="n">
        <v>22</v>
      </c>
      <c r="AH930" t="n">
        <v>4</v>
      </c>
      <c r="AI930" t="n">
        <v>9</v>
      </c>
      <c r="AJ930" t="n">
        <v>10</v>
      </c>
      <c r="AK930" t="n">
        <v>23</v>
      </c>
      <c r="AL930" t="n">
        <v>4</v>
      </c>
      <c r="AM930" t="n">
        <v>10</v>
      </c>
      <c r="AN930" t="n">
        <v>0</v>
      </c>
      <c r="AO930" t="n">
        <v>0</v>
      </c>
      <c r="AP930" t="inlineStr">
        <is>
          <t>No</t>
        </is>
      </c>
      <c r="AQ930" t="inlineStr">
        <is>
          <t>Yes</t>
        </is>
      </c>
      <c r="AR930">
        <f>HYPERLINK("http://catalog.hathitrust.org/Record/001240404","HathiTrust Record")</f>
        <v/>
      </c>
      <c r="AS930">
        <f>HYPERLINK("https://creighton-primo.hosted.exlibrisgroup.com/primo-explore/search?tab=default_tab&amp;search_scope=EVERYTHING&amp;vid=01CRU&amp;lang=en_US&amp;offset=0&amp;query=any,contains,991000567499702656","Catalog Record")</f>
        <v/>
      </c>
      <c r="AT930">
        <f>HYPERLINK("http://www.worldcat.org/oclc/94509","WorldCat Record")</f>
        <v/>
      </c>
      <c r="AU930" t="inlineStr">
        <is>
          <t>4917818526:eng</t>
        </is>
      </c>
      <c r="AV930" t="inlineStr">
        <is>
          <t>94509</t>
        </is>
      </c>
      <c r="AW930" t="inlineStr">
        <is>
          <t>991000567499702656</t>
        </is>
      </c>
      <c r="AX930" t="inlineStr">
        <is>
          <t>991000567499702656</t>
        </is>
      </c>
      <c r="AY930" t="inlineStr">
        <is>
          <t>2266058420002656</t>
        </is>
      </c>
      <c r="AZ930" t="inlineStr">
        <is>
          <t>BOOK</t>
        </is>
      </c>
      <c r="BC930" t="inlineStr">
        <is>
          <t>32285000291517</t>
        </is>
      </c>
      <c r="BD930" t="inlineStr">
        <is>
          <t>893225118</t>
        </is>
      </c>
    </row>
    <row r="931">
      <c r="A931" t="inlineStr">
        <is>
          <t>No</t>
        </is>
      </c>
      <c r="B931" t="inlineStr">
        <is>
          <t>DS37.7 .M33 1976</t>
        </is>
      </c>
      <c r="C931" t="inlineStr">
        <is>
          <t>0                      DS 0037700M  33          1976</t>
        </is>
      </c>
      <c r="D931" t="inlineStr">
        <is>
          <t>The Arab world : a comprehensive history / Peter Mansfield.</t>
        </is>
      </c>
      <c r="F931" t="inlineStr">
        <is>
          <t>No</t>
        </is>
      </c>
      <c r="G931" t="inlineStr">
        <is>
          <t>1</t>
        </is>
      </c>
      <c r="H931" t="inlineStr">
        <is>
          <t>No</t>
        </is>
      </c>
      <c r="I931" t="inlineStr">
        <is>
          <t>No</t>
        </is>
      </c>
      <c r="J931" t="inlineStr">
        <is>
          <t>0</t>
        </is>
      </c>
      <c r="K931" t="inlineStr">
        <is>
          <t>Mansfield, Peter, 1928-</t>
        </is>
      </c>
      <c r="L931" t="inlineStr">
        <is>
          <t>New York : Crowell, c1976.</t>
        </is>
      </c>
      <c r="M931" t="inlineStr">
        <is>
          <t>1976</t>
        </is>
      </c>
      <c r="O931" t="inlineStr">
        <is>
          <t>eng</t>
        </is>
      </c>
      <c r="P931" t="inlineStr">
        <is>
          <t>nyu</t>
        </is>
      </c>
      <c r="R931" t="inlineStr">
        <is>
          <t xml:space="preserve">DS </t>
        </is>
      </c>
      <c r="S931" t="n">
        <v>1</v>
      </c>
      <c r="T931" t="n">
        <v>1</v>
      </c>
      <c r="U931" t="inlineStr">
        <is>
          <t>2003-11-10</t>
        </is>
      </c>
      <c r="V931" t="inlineStr">
        <is>
          <t>2003-11-10</t>
        </is>
      </c>
      <c r="W931" t="inlineStr">
        <is>
          <t>1997-02-20</t>
        </is>
      </c>
      <c r="X931" t="inlineStr">
        <is>
          <t>1997-02-20</t>
        </is>
      </c>
      <c r="Y931" t="n">
        <v>895</v>
      </c>
      <c r="Z931" t="n">
        <v>832</v>
      </c>
      <c r="AA931" t="n">
        <v>839</v>
      </c>
      <c r="AB931" t="n">
        <v>7</v>
      </c>
      <c r="AC931" t="n">
        <v>7</v>
      </c>
      <c r="AD931" t="n">
        <v>29</v>
      </c>
      <c r="AE931" t="n">
        <v>29</v>
      </c>
      <c r="AF931" t="n">
        <v>14</v>
      </c>
      <c r="AG931" t="n">
        <v>14</v>
      </c>
      <c r="AH931" t="n">
        <v>7</v>
      </c>
      <c r="AI931" t="n">
        <v>7</v>
      </c>
      <c r="AJ931" t="n">
        <v>11</v>
      </c>
      <c r="AK931" t="n">
        <v>11</v>
      </c>
      <c r="AL931" t="n">
        <v>4</v>
      </c>
      <c r="AM931" t="n">
        <v>4</v>
      </c>
      <c r="AN931" t="n">
        <v>1</v>
      </c>
      <c r="AO931" t="n">
        <v>1</v>
      </c>
      <c r="AP931" t="inlineStr">
        <is>
          <t>No</t>
        </is>
      </c>
      <c r="AQ931" t="inlineStr">
        <is>
          <t>Yes</t>
        </is>
      </c>
      <c r="AR931">
        <f>HYPERLINK("http://catalog.hathitrust.org/Record/000083016","HathiTrust Record")</f>
        <v/>
      </c>
      <c r="AS931">
        <f>HYPERLINK("https://creighton-primo.hosted.exlibrisgroup.com/primo-explore/search?tab=default_tab&amp;search_scope=EVERYTHING&amp;vid=01CRU&amp;lang=en_US&amp;offset=0&amp;query=any,contains,991004145319702656","Catalog Record")</f>
        <v/>
      </c>
      <c r="AT931">
        <f>HYPERLINK("http://www.worldcat.org/oclc/2508267","WorldCat Record")</f>
        <v/>
      </c>
      <c r="AU931" t="inlineStr">
        <is>
          <t>3943777225:eng</t>
        </is>
      </c>
      <c r="AV931" t="inlineStr">
        <is>
          <t>2508267</t>
        </is>
      </c>
      <c r="AW931" t="inlineStr">
        <is>
          <t>991004145319702656</t>
        </is>
      </c>
      <c r="AX931" t="inlineStr">
        <is>
          <t>991004145319702656</t>
        </is>
      </c>
      <c r="AY931" t="inlineStr">
        <is>
          <t>2255035800002656</t>
        </is>
      </c>
      <c r="AZ931" t="inlineStr">
        <is>
          <t>BOOK</t>
        </is>
      </c>
      <c r="BB931" t="inlineStr">
        <is>
          <t>9780690011708</t>
        </is>
      </c>
      <c r="BC931" t="inlineStr">
        <is>
          <t>32285002467461</t>
        </is>
      </c>
      <c r="BD931" t="inlineStr">
        <is>
          <t>893429711</t>
        </is>
      </c>
    </row>
    <row r="932">
      <c r="A932" t="inlineStr">
        <is>
          <t>No</t>
        </is>
      </c>
      <c r="B932" t="inlineStr">
        <is>
          <t>DS37.8 .J36 1997</t>
        </is>
      </c>
      <c r="C932" t="inlineStr">
        <is>
          <t>0                      DS 0037800J  36          1997</t>
        </is>
      </c>
      <c r="D932" t="inlineStr">
        <is>
          <t>Militarism in Arab society : an historiographical and bibliographical sourcebook / John Walter Jandora.</t>
        </is>
      </c>
      <c r="F932" t="inlineStr">
        <is>
          <t>No</t>
        </is>
      </c>
      <c r="G932" t="inlineStr">
        <is>
          <t>1</t>
        </is>
      </c>
      <c r="H932" t="inlineStr">
        <is>
          <t>No</t>
        </is>
      </c>
      <c r="I932" t="inlineStr">
        <is>
          <t>No</t>
        </is>
      </c>
      <c r="J932" t="inlineStr">
        <is>
          <t>0</t>
        </is>
      </c>
      <c r="K932" t="inlineStr">
        <is>
          <t>Jandora, John Walter.</t>
        </is>
      </c>
      <c r="L932" t="inlineStr">
        <is>
          <t>Westport, Conn. : Greenwood Press, 1997.</t>
        </is>
      </c>
      <c r="M932" t="inlineStr">
        <is>
          <t>1997</t>
        </is>
      </c>
      <c r="O932" t="inlineStr">
        <is>
          <t>eng</t>
        </is>
      </c>
      <c r="P932" t="inlineStr">
        <is>
          <t>ctu</t>
        </is>
      </c>
      <c r="R932" t="inlineStr">
        <is>
          <t xml:space="preserve">DS </t>
        </is>
      </c>
      <c r="S932" t="n">
        <v>1</v>
      </c>
      <c r="T932" t="n">
        <v>1</v>
      </c>
      <c r="U932" t="inlineStr">
        <is>
          <t>2008-01-21</t>
        </is>
      </c>
      <c r="V932" t="inlineStr">
        <is>
          <t>2008-01-21</t>
        </is>
      </c>
      <c r="W932" t="inlineStr">
        <is>
          <t>1999-04-15</t>
        </is>
      </c>
      <c r="X932" t="inlineStr">
        <is>
          <t>1999-04-15</t>
        </is>
      </c>
      <c r="Y932" t="n">
        <v>239</v>
      </c>
      <c r="Z932" t="n">
        <v>190</v>
      </c>
      <c r="AA932" t="n">
        <v>695</v>
      </c>
      <c r="AB932" t="n">
        <v>4</v>
      </c>
      <c r="AC932" t="n">
        <v>18</v>
      </c>
      <c r="AD932" t="n">
        <v>12</v>
      </c>
      <c r="AE932" t="n">
        <v>24</v>
      </c>
      <c r="AF932" t="n">
        <v>2</v>
      </c>
      <c r="AG932" t="n">
        <v>6</v>
      </c>
      <c r="AH932" t="n">
        <v>2</v>
      </c>
      <c r="AI932" t="n">
        <v>2</v>
      </c>
      <c r="AJ932" t="n">
        <v>9</v>
      </c>
      <c r="AK932" t="n">
        <v>10</v>
      </c>
      <c r="AL932" t="n">
        <v>3</v>
      </c>
      <c r="AM932" t="n">
        <v>10</v>
      </c>
      <c r="AN932" t="n">
        <v>0</v>
      </c>
      <c r="AO932" t="n">
        <v>0</v>
      </c>
      <c r="AP932" t="inlineStr">
        <is>
          <t>No</t>
        </is>
      </c>
      <c r="AQ932" t="inlineStr">
        <is>
          <t>Yes</t>
        </is>
      </c>
      <c r="AR932">
        <f>HYPERLINK("http://catalog.hathitrust.org/Record/003168062","HathiTrust Record")</f>
        <v/>
      </c>
      <c r="AS932">
        <f>HYPERLINK("https://creighton-primo.hosted.exlibrisgroup.com/primo-explore/search?tab=default_tab&amp;search_scope=EVERYTHING&amp;vid=01CRU&amp;lang=en_US&amp;offset=0&amp;query=any,contains,991002702579702656","Catalog Record")</f>
        <v/>
      </c>
      <c r="AT932">
        <f>HYPERLINK("http://www.worldcat.org/oclc/35285394","WorldCat Record")</f>
        <v/>
      </c>
      <c r="AU932" t="inlineStr">
        <is>
          <t>2627321:eng</t>
        </is>
      </c>
      <c r="AV932" t="inlineStr">
        <is>
          <t>35285394</t>
        </is>
      </c>
      <c r="AW932" t="inlineStr">
        <is>
          <t>991002702579702656</t>
        </is>
      </c>
      <c r="AX932" t="inlineStr">
        <is>
          <t>991002702579702656</t>
        </is>
      </c>
      <c r="AY932" t="inlineStr">
        <is>
          <t>2259201840002656</t>
        </is>
      </c>
      <c r="AZ932" t="inlineStr">
        <is>
          <t>BOOK</t>
        </is>
      </c>
      <c r="BB932" t="inlineStr">
        <is>
          <t>9780313293702</t>
        </is>
      </c>
      <c r="BC932" t="inlineStr">
        <is>
          <t>32285003552782</t>
        </is>
      </c>
      <c r="BD932" t="inlineStr">
        <is>
          <t>893511077</t>
        </is>
      </c>
    </row>
    <row r="933">
      <c r="A933" t="inlineStr">
        <is>
          <t>No</t>
        </is>
      </c>
      <c r="B933" t="inlineStr">
        <is>
          <t>DS371.2 .B65 1987</t>
        </is>
      </c>
      <c r="C933" t="inlineStr">
        <is>
          <t>0                      DS 0371200B  65          1987</t>
        </is>
      </c>
      <c r="D933" t="inlineStr">
        <is>
          <t>Among the Afghans / Arthur Bonner.</t>
        </is>
      </c>
      <c r="F933" t="inlineStr">
        <is>
          <t>No</t>
        </is>
      </c>
      <c r="G933" t="inlineStr">
        <is>
          <t>1</t>
        </is>
      </c>
      <c r="H933" t="inlineStr">
        <is>
          <t>No</t>
        </is>
      </c>
      <c r="I933" t="inlineStr">
        <is>
          <t>No</t>
        </is>
      </c>
      <c r="J933" t="inlineStr">
        <is>
          <t>0</t>
        </is>
      </c>
      <c r="K933" t="inlineStr">
        <is>
          <t>Bonner, Arthur.</t>
        </is>
      </c>
      <c r="L933" t="inlineStr">
        <is>
          <t>Durham : Duke University Press, 1987.</t>
        </is>
      </c>
      <c r="M933" t="inlineStr">
        <is>
          <t>1987</t>
        </is>
      </c>
      <c r="O933" t="inlineStr">
        <is>
          <t>eng</t>
        </is>
      </c>
      <c r="P933" t="inlineStr">
        <is>
          <t>ncu</t>
        </is>
      </c>
      <c r="Q933" t="inlineStr">
        <is>
          <t>Central Asia book series</t>
        </is>
      </c>
      <c r="R933" t="inlineStr">
        <is>
          <t xml:space="preserve">DS </t>
        </is>
      </c>
      <c r="S933" t="n">
        <v>4</v>
      </c>
      <c r="T933" t="n">
        <v>4</v>
      </c>
      <c r="U933" t="inlineStr">
        <is>
          <t>2007-10-04</t>
        </is>
      </c>
      <c r="V933" t="inlineStr">
        <is>
          <t>2007-10-04</t>
        </is>
      </c>
      <c r="W933" t="inlineStr">
        <is>
          <t>1990-06-20</t>
        </is>
      </c>
      <c r="X933" t="inlineStr">
        <is>
          <t>1990-06-20</t>
        </is>
      </c>
      <c r="Y933" t="n">
        <v>830</v>
      </c>
      <c r="Z933" t="n">
        <v>756</v>
      </c>
      <c r="AA933" t="n">
        <v>771</v>
      </c>
      <c r="AB933" t="n">
        <v>4</v>
      </c>
      <c r="AC933" t="n">
        <v>4</v>
      </c>
      <c r="AD933" t="n">
        <v>18</v>
      </c>
      <c r="AE933" t="n">
        <v>19</v>
      </c>
      <c r="AF933" t="n">
        <v>6</v>
      </c>
      <c r="AG933" t="n">
        <v>7</v>
      </c>
      <c r="AH933" t="n">
        <v>7</v>
      </c>
      <c r="AI933" t="n">
        <v>7</v>
      </c>
      <c r="AJ933" t="n">
        <v>9</v>
      </c>
      <c r="AK933" t="n">
        <v>9</v>
      </c>
      <c r="AL933" t="n">
        <v>2</v>
      </c>
      <c r="AM933" t="n">
        <v>2</v>
      </c>
      <c r="AN933" t="n">
        <v>0</v>
      </c>
      <c r="AO933" t="n">
        <v>0</v>
      </c>
      <c r="AP933" t="inlineStr">
        <is>
          <t>No</t>
        </is>
      </c>
      <c r="AQ933" t="inlineStr">
        <is>
          <t>Yes</t>
        </is>
      </c>
      <c r="AR933">
        <f>HYPERLINK("http://catalog.hathitrust.org/Record/000858434","HathiTrust Record")</f>
        <v/>
      </c>
      <c r="AS933">
        <f>HYPERLINK("https://creighton-primo.hosted.exlibrisgroup.com/primo-explore/search?tab=default_tab&amp;search_scope=EVERYTHING&amp;vid=01CRU&amp;lang=en_US&amp;offset=0&amp;query=any,contains,991001116829702656","Catalog Record")</f>
        <v/>
      </c>
      <c r="AT933">
        <f>HYPERLINK("http://www.worldcat.org/oclc/16527254","WorldCat Record")</f>
        <v/>
      </c>
      <c r="AU933" t="inlineStr">
        <is>
          <t>12514470:eng</t>
        </is>
      </c>
      <c r="AV933" t="inlineStr">
        <is>
          <t>16527254</t>
        </is>
      </c>
      <c r="AW933" t="inlineStr">
        <is>
          <t>991001116829702656</t>
        </is>
      </c>
      <c r="AX933" t="inlineStr">
        <is>
          <t>991001116829702656</t>
        </is>
      </c>
      <c r="AY933" t="inlineStr">
        <is>
          <t>2257724120002656</t>
        </is>
      </c>
      <c r="AZ933" t="inlineStr">
        <is>
          <t>BOOK</t>
        </is>
      </c>
      <c r="BB933" t="inlineStr">
        <is>
          <t>9780822307945</t>
        </is>
      </c>
      <c r="BC933" t="inlineStr">
        <is>
          <t>32285000210343</t>
        </is>
      </c>
      <c r="BD933" t="inlineStr">
        <is>
          <t>893534440</t>
        </is>
      </c>
    </row>
    <row r="934">
      <c r="A934" t="inlineStr">
        <is>
          <t>No</t>
        </is>
      </c>
      <c r="B934" t="inlineStr">
        <is>
          <t>DS371.2 .B67 1990</t>
        </is>
      </c>
      <c r="C934" t="inlineStr">
        <is>
          <t>0                      DS 0371200B  67          1990</t>
        </is>
      </c>
      <c r="D934" t="inlineStr">
        <is>
          <t>The hidden war : a Russian journalist's account of the Soviet War in Afghanistan / Artyom Borovik.</t>
        </is>
      </c>
      <c r="F934" t="inlineStr">
        <is>
          <t>No</t>
        </is>
      </c>
      <c r="G934" t="inlineStr">
        <is>
          <t>1</t>
        </is>
      </c>
      <c r="H934" t="inlineStr">
        <is>
          <t>No</t>
        </is>
      </c>
      <c r="I934" t="inlineStr">
        <is>
          <t>No</t>
        </is>
      </c>
      <c r="J934" t="inlineStr">
        <is>
          <t>0</t>
        </is>
      </c>
      <c r="K934" t="inlineStr">
        <is>
          <t>Borovik, Artem, 1960-2000.</t>
        </is>
      </c>
      <c r="L934" t="inlineStr">
        <is>
          <t>New York : Atlantic Monthly Press, c1990.</t>
        </is>
      </c>
      <c r="M934" t="inlineStr">
        <is>
          <t>1990</t>
        </is>
      </c>
      <c r="N934" t="inlineStr">
        <is>
          <t>1st ed.</t>
        </is>
      </c>
      <c r="O934" t="inlineStr">
        <is>
          <t>eng</t>
        </is>
      </c>
      <c r="P934" t="inlineStr">
        <is>
          <t>nyu</t>
        </is>
      </c>
      <c r="R934" t="inlineStr">
        <is>
          <t xml:space="preserve">DS </t>
        </is>
      </c>
      <c r="S934" t="n">
        <v>2</v>
      </c>
      <c r="T934" t="n">
        <v>2</v>
      </c>
      <c r="U934" t="inlineStr">
        <is>
          <t>2006-09-20</t>
        </is>
      </c>
      <c r="V934" t="inlineStr">
        <is>
          <t>2006-09-20</t>
        </is>
      </c>
      <c r="W934" t="inlineStr">
        <is>
          <t>1991-03-07</t>
        </is>
      </c>
      <c r="X934" t="inlineStr">
        <is>
          <t>1991-03-07</t>
        </is>
      </c>
      <c r="Y934" t="n">
        <v>706</v>
      </c>
      <c r="Z934" t="n">
        <v>660</v>
      </c>
      <c r="AA934" t="n">
        <v>914</v>
      </c>
      <c r="AB934" t="n">
        <v>3</v>
      </c>
      <c r="AC934" t="n">
        <v>6</v>
      </c>
      <c r="AD934" t="n">
        <v>19</v>
      </c>
      <c r="AE934" t="n">
        <v>27</v>
      </c>
      <c r="AF934" t="n">
        <v>8</v>
      </c>
      <c r="AG934" t="n">
        <v>12</v>
      </c>
      <c r="AH934" t="n">
        <v>5</v>
      </c>
      <c r="AI934" t="n">
        <v>6</v>
      </c>
      <c r="AJ934" t="n">
        <v>8</v>
      </c>
      <c r="AK934" t="n">
        <v>11</v>
      </c>
      <c r="AL934" t="n">
        <v>2</v>
      </c>
      <c r="AM934" t="n">
        <v>4</v>
      </c>
      <c r="AN934" t="n">
        <v>0</v>
      </c>
      <c r="AO934" t="n">
        <v>0</v>
      </c>
      <c r="AP934" t="inlineStr">
        <is>
          <t>No</t>
        </is>
      </c>
      <c r="AQ934" t="inlineStr">
        <is>
          <t>No</t>
        </is>
      </c>
      <c r="AS934">
        <f>HYPERLINK("https://creighton-primo.hosted.exlibrisgroup.com/primo-explore/search?tab=default_tab&amp;search_scope=EVERYTHING&amp;vid=01CRU&amp;lang=en_US&amp;offset=0&amp;query=any,contains,991001741189702656","Catalog Record")</f>
        <v/>
      </c>
      <c r="AT934">
        <f>HYPERLINK("http://www.worldcat.org/oclc/22004854","WorldCat Record")</f>
        <v/>
      </c>
      <c r="AU934" t="inlineStr">
        <is>
          <t>141289983:eng</t>
        </is>
      </c>
      <c r="AV934" t="inlineStr">
        <is>
          <t>22004854</t>
        </is>
      </c>
      <c r="AW934" t="inlineStr">
        <is>
          <t>991001741189702656</t>
        </is>
      </c>
      <c r="AX934" t="inlineStr">
        <is>
          <t>991001741189702656</t>
        </is>
      </c>
      <c r="AY934" t="inlineStr">
        <is>
          <t>2272055730002656</t>
        </is>
      </c>
      <c r="AZ934" t="inlineStr">
        <is>
          <t>BOOK</t>
        </is>
      </c>
      <c r="BB934" t="inlineStr">
        <is>
          <t>9780871132833</t>
        </is>
      </c>
      <c r="BC934" t="inlineStr">
        <is>
          <t>32285000493303</t>
        </is>
      </c>
      <c r="BD934" t="inlineStr">
        <is>
          <t>893250436</t>
        </is>
      </c>
    </row>
    <row r="935">
      <c r="A935" t="inlineStr">
        <is>
          <t>No</t>
        </is>
      </c>
      <c r="B935" t="inlineStr">
        <is>
          <t>DS371.2 .C4613</t>
        </is>
      </c>
      <c r="C935" t="inlineStr">
        <is>
          <t>0                      DS 0371200C  4613</t>
        </is>
      </c>
      <c r="D935" t="inlineStr">
        <is>
          <t>Report from Afghanistan / Gérard Chaliand ; translated by Tamar Jacoby.</t>
        </is>
      </c>
      <c r="F935" t="inlineStr">
        <is>
          <t>No</t>
        </is>
      </c>
      <c r="G935" t="inlineStr">
        <is>
          <t>1</t>
        </is>
      </c>
      <c r="H935" t="inlineStr">
        <is>
          <t>No</t>
        </is>
      </c>
      <c r="I935" t="inlineStr">
        <is>
          <t>No</t>
        </is>
      </c>
      <c r="J935" t="inlineStr">
        <is>
          <t>0</t>
        </is>
      </c>
      <c r="K935" t="inlineStr">
        <is>
          <t>Chaliand, Gérard, 1934-</t>
        </is>
      </c>
      <c r="L935" t="inlineStr">
        <is>
          <t>New York : Viking Press, 1982.</t>
        </is>
      </c>
      <c r="M935" t="inlineStr">
        <is>
          <t>1982</t>
        </is>
      </c>
      <c r="O935" t="inlineStr">
        <is>
          <t>eng</t>
        </is>
      </c>
      <c r="P935" t="inlineStr">
        <is>
          <t>nyu</t>
        </is>
      </c>
      <c r="R935" t="inlineStr">
        <is>
          <t xml:space="preserve">DS </t>
        </is>
      </c>
      <c r="S935" t="n">
        <v>1</v>
      </c>
      <c r="T935" t="n">
        <v>1</v>
      </c>
      <c r="U935" t="inlineStr">
        <is>
          <t>2006-09-20</t>
        </is>
      </c>
      <c r="V935" t="inlineStr">
        <is>
          <t>2006-09-20</t>
        </is>
      </c>
      <c r="W935" t="inlineStr">
        <is>
          <t>1990-06-20</t>
        </is>
      </c>
      <c r="X935" t="inlineStr">
        <is>
          <t>1990-06-20</t>
        </is>
      </c>
      <c r="Y935" t="n">
        <v>517</v>
      </c>
      <c r="Z935" t="n">
        <v>443</v>
      </c>
      <c r="AA935" t="n">
        <v>450</v>
      </c>
      <c r="AB935" t="n">
        <v>2</v>
      </c>
      <c r="AC935" t="n">
        <v>2</v>
      </c>
      <c r="AD935" t="n">
        <v>17</v>
      </c>
      <c r="AE935" t="n">
        <v>17</v>
      </c>
      <c r="AF935" t="n">
        <v>7</v>
      </c>
      <c r="AG935" t="n">
        <v>7</v>
      </c>
      <c r="AH935" t="n">
        <v>4</v>
      </c>
      <c r="AI935" t="n">
        <v>4</v>
      </c>
      <c r="AJ935" t="n">
        <v>10</v>
      </c>
      <c r="AK935" t="n">
        <v>10</v>
      </c>
      <c r="AL935" t="n">
        <v>1</v>
      </c>
      <c r="AM935" t="n">
        <v>1</v>
      </c>
      <c r="AN935" t="n">
        <v>0</v>
      </c>
      <c r="AO935" t="n">
        <v>0</v>
      </c>
      <c r="AP935" t="inlineStr">
        <is>
          <t>No</t>
        </is>
      </c>
      <c r="AQ935" t="inlineStr">
        <is>
          <t>Yes</t>
        </is>
      </c>
      <c r="AR935">
        <f>HYPERLINK("http://catalog.hathitrust.org/Record/000187359","HathiTrust Record")</f>
        <v/>
      </c>
      <c r="AS935">
        <f>HYPERLINK("https://creighton-primo.hosted.exlibrisgroup.com/primo-explore/search?tab=default_tab&amp;search_scope=EVERYTHING&amp;vid=01CRU&amp;lang=en_US&amp;offset=0&amp;query=any,contains,991005197949702656","Catalog Record")</f>
        <v/>
      </c>
      <c r="AT935">
        <f>HYPERLINK("http://www.worldcat.org/oclc/8052460","WorldCat Record")</f>
        <v/>
      </c>
      <c r="AU935" t="inlineStr">
        <is>
          <t>30029755:eng</t>
        </is>
      </c>
      <c r="AV935" t="inlineStr">
        <is>
          <t>8052460</t>
        </is>
      </c>
      <c r="AW935" t="inlineStr">
        <is>
          <t>991005197949702656</t>
        </is>
      </c>
      <c r="AX935" t="inlineStr">
        <is>
          <t>991005197949702656</t>
        </is>
      </c>
      <c r="AY935" t="inlineStr">
        <is>
          <t>2256364520002656</t>
        </is>
      </c>
      <c r="AZ935" t="inlineStr">
        <is>
          <t>BOOK</t>
        </is>
      </c>
      <c r="BB935" t="inlineStr">
        <is>
          <t>9780670594733</t>
        </is>
      </c>
      <c r="BC935" t="inlineStr">
        <is>
          <t>32285000210350</t>
        </is>
      </c>
      <c r="BD935" t="inlineStr">
        <is>
          <t>893338695</t>
        </is>
      </c>
    </row>
    <row r="936">
      <c r="A936" t="inlineStr">
        <is>
          <t>No</t>
        </is>
      </c>
      <c r="B936" t="inlineStr">
        <is>
          <t>DS371.2 .G38 1996</t>
        </is>
      </c>
      <c r="C936" t="inlineStr">
        <is>
          <t>0                      DS 0371200G  38          1996</t>
        </is>
      </c>
      <c r="D936" t="inlineStr">
        <is>
          <t>Searching for Saleem : an Afghan woman's odyssey / Farooka Gauhari ; foreword by Nancy Dupree.</t>
        </is>
      </c>
      <c r="F936" t="inlineStr">
        <is>
          <t>No</t>
        </is>
      </c>
      <c r="G936" t="inlineStr">
        <is>
          <t>1</t>
        </is>
      </c>
      <c r="H936" t="inlineStr">
        <is>
          <t>No</t>
        </is>
      </c>
      <c r="I936" t="inlineStr">
        <is>
          <t>No</t>
        </is>
      </c>
      <c r="J936" t="inlineStr">
        <is>
          <t>0</t>
        </is>
      </c>
      <c r="K936" t="inlineStr">
        <is>
          <t>Gauhari, Farooka, 1947-</t>
        </is>
      </c>
      <c r="L936" t="inlineStr">
        <is>
          <t>Lincoln : University of Nebraska Press, 1996.</t>
        </is>
      </c>
      <c r="M936" t="inlineStr">
        <is>
          <t>1996</t>
        </is>
      </c>
      <c r="O936" t="inlineStr">
        <is>
          <t>eng</t>
        </is>
      </c>
      <c r="P936" t="inlineStr">
        <is>
          <t>nbu</t>
        </is>
      </c>
      <c r="R936" t="inlineStr">
        <is>
          <t xml:space="preserve">DS </t>
        </is>
      </c>
      <c r="S936" t="n">
        <v>3</v>
      </c>
      <c r="T936" t="n">
        <v>3</v>
      </c>
      <c r="U936" t="inlineStr">
        <is>
          <t>2006-11-07</t>
        </is>
      </c>
      <c r="V936" t="inlineStr">
        <is>
          <t>2006-11-07</t>
        </is>
      </c>
      <c r="W936" t="inlineStr">
        <is>
          <t>1997-03-10</t>
        </is>
      </c>
      <c r="X936" t="inlineStr">
        <is>
          <t>1997-03-10</t>
        </is>
      </c>
      <c r="Y936" t="n">
        <v>204</v>
      </c>
      <c r="Z936" t="n">
        <v>180</v>
      </c>
      <c r="AA936" t="n">
        <v>184</v>
      </c>
      <c r="AB936" t="n">
        <v>3</v>
      </c>
      <c r="AC936" t="n">
        <v>3</v>
      </c>
      <c r="AD936" t="n">
        <v>12</v>
      </c>
      <c r="AE936" t="n">
        <v>12</v>
      </c>
      <c r="AF936" t="n">
        <v>1</v>
      </c>
      <c r="AG936" t="n">
        <v>1</v>
      </c>
      <c r="AH936" t="n">
        <v>4</v>
      </c>
      <c r="AI936" t="n">
        <v>4</v>
      </c>
      <c r="AJ936" t="n">
        <v>7</v>
      </c>
      <c r="AK936" t="n">
        <v>7</v>
      </c>
      <c r="AL936" t="n">
        <v>2</v>
      </c>
      <c r="AM936" t="n">
        <v>2</v>
      </c>
      <c r="AN936" t="n">
        <v>1</v>
      </c>
      <c r="AO936" t="n">
        <v>1</v>
      </c>
      <c r="AP936" t="inlineStr">
        <is>
          <t>No</t>
        </is>
      </c>
      <c r="AQ936" t="inlineStr">
        <is>
          <t>Yes</t>
        </is>
      </c>
      <c r="AR936">
        <f>HYPERLINK("http://catalog.hathitrust.org/Record/003177840","HathiTrust Record")</f>
        <v/>
      </c>
      <c r="AS936">
        <f>HYPERLINK("https://creighton-primo.hosted.exlibrisgroup.com/primo-explore/search?tab=default_tab&amp;search_scope=EVERYTHING&amp;vid=01CRU&amp;lang=en_US&amp;offset=0&amp;query=any,contains,991002610699702656","Catalog Record")</f>
        <v/>
      </c>
      <c r="AT936">
        <f>HYPERLINK("http://www.worldcat.org/oclc/34192814","WorldCat Record")</f>
        <v/>
      </c>
      <c r="AU936" t="inlineStr">
        <is>
          <t>141744680:eng</t>
        </is>
      </c>
      <c r="AV936" t="inlineStr">
        <is>
          <t>34192814</t>
        </is>
      </c>
      <c r="AW936" t="inlineStr">
        <is>
          <t>991002610699702656</t>
        </is>
      </c>
      <c r="AX936" t="inlineStr">
        <is>
          <t>991002610699702656</t>
        </is>
      </c>
      <c r="AY936" t="inlineStr">
        <is>
          <t>2260100990002656</t>
        </is>
      </c>
      <c r="AZ936" t="inlineStr">
        <is>
          <t>BOOK</t>
        </is>
      </c>
      <c r="BB936" t="inlineStr">
        <is>
          <t>9780803221567</t>
        </is>
      </c>
      <c r="BC936" t="inlineStr">
        <is>
          <t>32285002441078</t>
        </is>
      </c>
      <c r="BD936" t="inlineStr">
        <is>
          <t>893227069</t>
        </is>
      </c>
    </row>
    <row r="937">
      <c r="A937" t="inlineStr">
        <is>
          <t>No</t>
        </is>
      </c>
      <c r="B937" t="inlineStr">
        <is>
          <t>DS371.2 .G74 2001b</t>
        </is>
      </c>
      <c r="C937" t="inlineStr">
        <is>
          <t>0                      DS 0371200G  74          2001b</t>
        </is>
      </c>
      <c r="D937" t="inlineStr">
        <is>
          <t>Reaping the whirlwind : the Taliban movement in Afghanistan / Michael Griffin.</t>
        </is>
      </c>
      <c r="F937" t="inlineStr">
        <is>
          <t>No</t>
        </is>
      </c>
      <c r="G937" t="inlineStr">
        <is>
          <t>1</t>
        </is>
      </c>
      <c r="H937" t="inlineStr">
        <is>
          <t>No</t>
        </is>
      </c>
      <c r="I937" t="inlineStr">
        <is>
          <t>No</t>
        </is>
      </c>
      <c r="J937" t="inlineStr">
        <is>
          <t>0</t>
        </is>
      </c>
      <c r="K937" t="inlineStr">
        <is>
          <t>Griffin, Michael.</t>
        </is>
      </c>
      <c r="L937" t="inlineStr">
        <is>
          <t>London ; Sterling, Va. : Pluto Press, 2001.</t>
        </is>
      </c>
      <c r="M937" t="inlineStr">
        <is>
          <t>2001</t>
        </is>
      </c>
      <c r="O937" t="inlineStr">
        <is>
          <t>eng</t>
        </is>
      </c>
      <c r="P937" t="inlineStr">
        <is>
          <t>enk</t>
        </is>
      </c>
      <c r="R937" t="inlineStr">
        <is>
          <t xml:space="preserve">DS </t>
        </is>
      </c>
      <c r="S937" t="n">
        <v>8</v>
      </c>
      <c r="T937" t="n">
        <v>8</v>
      </c>
      <c r="U937" t="inlineStr">
        <is>
          <t>2007-10-06</t>
        </is>
      </c>
      <c r="V937" t="inlineStr">
        <is>
          <t>2007-10-06</t>
        </is>
      </c>
      <c r="W937" t="inlineStr">
        <is>
          <t>2001-11-15</t>
        </is>
      </c>
      <c r="X937" t="inlineStr">
        <is>
          <t>2001-11-15</t>
        </is>
      </c>
      <c r="Y937" t="n">
        <v>776</v>
      </c>
      <c r="Z937" t="n">
        <v>690</v>
      </c>
      <c r="AA937" t="n">
        <v>1676</v>
      </c>
      <c r="AB937" t="n">
        <v>6</v>
      </c>
      <c r="AC937" t="n">
        <v>12</v>
      </c>
      <c r="AD937" t="n">
        <v>18</v>
      </c>
      <c r="AE937" t="n">
        <v>45</v>
      </c>
      <c r="AF937" t="n">
        <v>9</v>
      </c>
      <c r="AG937" t="n">
        <v>18</v>
      </c>
      <c r="AH937" t="n">
        <v>3</v>
      </c>
      <c r="AI937" t="n">
        <v>8</v>
      </c>
      <c r="AJ937" t="n">
        <v>8</v>
      </c>
      <c r="AK937" t="n">
        <v>19</v>
      </c>
      <c r="AL937" t="n">
        <v>2</v>
      </c>
      <c r="AM937" t="n">
        <v>8</v>
      </c>
      <c r="AN937" t="n">
        <v>0</v>
      </c>
      <c r="AO937" t="n">
        <v>1</v>
      </c>
      <c r="AP937" t="inlineStr">
        <is>
          <t>No</t>
        </is>
      </c>
      <c r="AQ937" t="inlineStr">
        <is>
          <t>No</t>
        </is>
      </c>
      <c r="AS937">
        <f>HYPERLINK("https://creighton-primo.hosted.exlibrisgroup.com/primo-explore/search?tab=default_tab&amp;search_scope=EVERYTHING&amp;vid=01CRU&amp;lang=en_US&amp;offset=0&amp;query=any,contains,991003628529702656","Catalog Record")</f>
        <v/>
      </c>
      <c r="AT937">
        <f>HYPERLINK("http://www.worldcat.org/oclc/45791314","WorldCat Record")</f>
        <v/>
      </c>
      <c r="AU937" t="inlineStr">
        <is>
          <t>34625654:eng</t>
        </is>
      </c>
      <c r="AV937" t="inlineStr">
        <is>
          <t>45791314</t>
        </is>
      </c>
      <c r="AW937" t="inlineStr">
        <is>
          <t>991003628529702656</t>
        </is>
      </c>
      <c r="AX937" t="inlineStr">
        <is>
          <t>991003628529702656</t>
        </is>
      </c>
      <c r="AY937" t="inlineStr">
        <is>
          <t>2255818050002656</t>
        </is>
      </c>
      <c r="AZ937" t="inlineStr">
        <is>
          <t>BOOK</t>
        </is>
      </c>
      <c r="BB937" t="inlineStr">
        <is>
          <t>9780745312743</t>
        </is>
      </c>
      <c r="BC937" t="inlineStr">
        <is>
          <t>32285004412010</t>
        </is>
      </c>
      <c r="BD937" t="inlineStr">
        <is>
          <t>893512160</t>
        </is>
      </c>
    </row>
    <row r="938">
      <c r="A938" t="inlineStr">
        <is>
          <t>No</t>
        </is>
      </c>
      <c r="B938" t="inlineStr">
        <is>
          <t>DS371.2 .K366 2001</t>
        </is>
      </c>
      <c r="C938" t="inlineStr">
        <is>
          <t>0                      DS 0371200K  366         2001</t>
        </is>
      </c>
      <c r="D938" t="inlineStr">
        <is>
          <t>Soldiers of God : with Islamic warriors in Afghanistan and Pakistan / Robert D. Kaplan.</t>
        </is>
      </c>
      <c r="F938" t="inlineStr">
        <is>
          <t>No</t>
        </is>
      </c>
      <c r="G938" t="inlineStr">
        <is>
          <t>1</t>
        </is>
      </c>
      <c r="H938" t="inlineStr">
        <is>
          <t>No</t>
        </is>
      </c>
      <c r="I938" t="inlineStr">
        <is>
          <t>No</t>
        </is>
      </c>
      <c r="J938" t="inlineStr">
        <is>
          <t>0</t>
        </is>
      </c>
      <c r="K938" t="inlineStr">
        <is>
          <t>Kaplan, Robert D., 1952-</t>
        </is>
      </c>
      <c r="L938" t="inlineStr">
        <is>
          <t>New York : Vintage Books, 2001.</t>
        </is>
      </c>
      <c r="M938" t="inlineStr">
        <is>
          <t>2001</t>
        </is>
      </c>
      <c r="N938" t="inlineStr">
        <is>
          <t>1st Vintage Departures ed.</t>
        </is>
      </c>
      <c r="O938" t="inlineStr">
        <is>
          <t>eng</t>
        </is>
      </c>
      <c r="P938" t="inlineStr">
        <is>
          <t>nyu</t>
        </is>
      </c>
      <c r="R938" t="inlineStr">
        <is>
          <t xml:space="preserve">DS </t>
        </is>
      </c>
      <c r="S938" t="n">
        <v>1</v>
      </c>
      <c r="T938" t="n">
        <v>1</v>
      </c>
      <c r="U938" t="inlineStr">
        <is>
          <t>2008-05-22</t>
        </is>
      </c>
      <c r="V938" t="inlineStr">
        <is>
          <t>2008-05-22</t>
        </is>
      </c>
      <c r="W938" t="inlineStr">
        <is>
          <t>2008-05-22</t>
        </is>
      </c>
      <c r="X938" t="inlineStr">
        <is>
          <t>2008-05-22</t>
        </is>
      </c>
      <c r="Y938" t="n">
        <v>595</v>
      </c>
      <c r="Z938" t="n">
        <v>512</v>
      </c>
      <c r="AA938" t="n">
        <v>537</v>
      </c>
      <c r="AB938" t="n">
        <v>3</v>
      </c>
      <c r="AC938" t="n">
        <v>3</v>
      </c>
      <c r="AD938" t="n">
        <v>15</v>
      </c>
      <c r="AE938" t="n">
        <v>15</v>
      </c>
      <c r="AF938" t="n">
        <v>6</v>
      </c>
      <c r="AG938" t="n">
        <v>6</v>
      </c>
      <c r="AH938" t="n">
        <v>3</v>
      </c>
      <c r="AI938" t="n">
        <v>3</v>
      </c>
      <c r="AJ938" t="n">
        <v>11</v>
      </c>
      <c r="AK938" t="n">
        <v>11</v>
      </c>
      <c r="AL938" t="n">
        <v>2</v>
      </c>
      <c r="AM938" t="n">
        <v>2</v>
      </c>
      <c r="AN938" t="n">
        <v>0</v>
      </c>
      <c r="AO938" t="n">
        <v>0</v>
      </c>
      <c r="AP938" t="inlineStr">
        <is>
          <t>No</t>
        </is>
      </c>
      <c r="AQ938" t="inlineStr">
        <is>
          <t>No</t>
        </is>
      </c>
      <c r="AS938">
        <f>HYPERLINK("https://creighton-primo.hosted.exlibrisgroup.com/primo-explore/search?tab=default_tab&amp;search_scope=EVERYTHING&amp;vid=01CRU&amp;lang=en_US&amp;offset=0&amp;query=any,contains,991005226569702656","Catalog Record")</f>
        <v/>
      </c>
      <c r="AT938">
        <f>HYPERLINK("http://www.worldcat.org/oclc/48367823","WorldCat Record")</f>
        <v/>
      </c>
      <c r="AU938" t="inlineStr">
        <is>
          <t>1104352212:eng</t>
        </is>
      </c>
      <c r="AV938" t="inlineStr">
        <is>
          <t>48367823</t>
        </is>
      </c>
      <c r="AW938" t="inlineStr">
        <is>
          <t>991005226569702656</t>
        </is>
      </c>
      <c r="AX938" t="inlineStr">
        <is>
          <t>991005226569702656</t>
        </is>
      </c>
      <c r="AY938" t="inlineStr">
        <is>
          <t>2260038400002656</t>
        </is>
      </c>
      <c r="AZ938" t="inlineStr">
        <is>
          <t>BOOK</t>
        </is>
      </c>
      <c r="BB938" t="inlineStr">
        <is>
          <t>9781400030255</t>
        </is>
      </c>
      <c r="BC938" t="inlineStr">
        <is>
          <t>32285005440788</t>
        </is>
      </c>
      <c r="BD938" t="inlineStr">
        <is>
          <t>893701235</t>
        </is>
      </c>
    </row>
    <row r="939">
      <c r="A939" t="inlineStr">
        <is>
          <t>No</t>
        </is>
      </c>
      <c r="B939" t="inlineStr">
        <is>
          <t>DS371.2 .L47 1987</t>
        </is>
      </c>
      <c r="C939" t="inlineStr">
        <is>
          <t>0                      DS 0371200L  47          1987</t>
        </is>
      </c>
      <c r="D939" t="inlineStr">
        <is>
          <t>The wind blows away our words : and other documents relating to the Afghan resistance / Doris Lessing.</t>
        </is>
      </c>
      <c r="F939" t="inlineStr">
        <is>
          <t>No</t>
        </is>
      </c>
      <c r="G939" t="inlineStr">
        <is>
          <t>1</t>
        </is>
      </c>
      <c r="H939" t="inlineStr">
        <is>
          <t>No</t>
        </is>
      </c>
      <c r="I939" t="inlineStr">
        <is>
          <t>No</t>
        </is>
      </c>
      <c r="J939" t="inlineStr">
        <is>
          <t>0</t>
        </is>
      </c>
      <c r="K939" t="inlineStr">
        <is>
          <t>Lessing, Doris, 1919-2013.</t>
        </is>
      </c>
      <c r="L939" t="inlineStr">
        <is>
          <t>New York : Vintage Books, 1987.</t>
        </is>
      </c>
      <c r="M939" t="inlineStr">
        <is>
          <t>1987</t>
        </is>
      </c>
      <c r="N939" t="inlineStr">
        <is>
          <t>1st Vintage Books ed.</t>
        </is>
      </c>
      <c r="O939" t="inlineStr">
        <is>
          <t>eng</t>
        </is>
      </c>
      <c r="P939" t="inlineStr">
        <is>
          <t>nyu</t>
        </is>
      </c>
      <c r="R939" t="inlineStr">
        <is>
          <t xml:space="preserve">DS </t>
        </is>
      </c>
      <c r="S939" t="n">
        <v>8</v>
      </c>
      <c r="T939" t="n">
        <v>8</v>
      </c>
      <c r="U939" t="inlineStr">
        <is>
          <t>2007-10-29</t>
        </is>
      </c>
      <c r="V939" t="inlineStr">
        <is>
          <t>2007-10-29</t>
        </is>
      </c>
      <c r="W939" t="inlineStr">
        <is>
          <t>1990-06-20</t>
        </is>
      </c>
      <c r="X939" t="inlineStr">
        <is>
          <t>1990-06-20</t>
        </is>
      </c>
      <c r="Y939" t="n">
        <v>476</v>
      </c>
      <c r="Z939" t="n">
        <v>432</v>
      </c>
      <c r="AA939" t="n">
        <v>457</v>
      </c>
      <c r="AB939" t="n">
        <v>2</v>
      </c>
      <c r="AC939" t="n">
        <v>2</v>
      </c>
      <c r="AD939" t="n">
        <v>16</v>
      </c>
      <c r="AE939" t="n">
        <v>16</v>
      </c>
      <c r="AF939" t="n">
        <v>6</v>
      </c>
      <c r="AG939" t="n">
        <v>6</v>
      </c>
      <c r="AH939" t="n">
        <v>6</v>
      </c>
      <c r="AI939" t="n">
        <v>6</v>
      </c>
      <c r="AJ939" t="n">
        <v>9</v>
      </c>
      <c r="AK939" t="n">
        <v>9</v>
      </c>
      <c r="AL939" t="n">
        <v>1</v>
      </c>
      <c r="AM939" t="n">
        <v>1</v>
      </c>
      <c r="AN939" t="n">
        <v>0</v>
      </c>
      <c r="AO939" t="n">
        <v>0</v>
      </c>
      <c r="AP939" t="inlineStr">
        <is>
          <t>No</t>
        </is>
      </c>
      <c r="AQ939" t="inlineStr">
        <is>
          <t>Yes</t>
        </is>
      </c>
      <c r="AR939">
        <f>HYPERLINK("http://catalog.hathitrust.org/Record/000845199","HathiTrust Record")</f>
        <v/>
      </c>
      <c r="AS939">
        <f>HYPERLINK("https://creighton-primo.hosted.exlibrisgroup.com/primo-explore/search?tab=default_tab&amp;search_scope=EVERYTHING&amp;vid=01CRU&amp;lang=en_US&amp;offset=0&amp;query=any,contains,991001015149702656","Catalog Record")</f>
        <v/>
      </c>
      <c r="AT939">
        <f>HYPERLINK("http://www.worldcat.org/oclc/15316973","WorldCat Record")</f>
        <v/>
      </c>
      <c r="AU939" t="inlineStr">
        <is>
          <t>20783102:eng</t>
        </is>
      </c>
      <c r="AV939" t="inlineStr">
        <is>
          <t>15316973</t>
        </is>
      </c>
      <c r="AW939" t="inlineStr">
        <is>
          <t>991001015149702656</t>
        </is>
      </c>
      <c r="AX939" t="inlineStr">
        <is>
          <t>991001015149702656</t>
        </is>
      </c>
      <c r="AY939" t="inlineStr">
        <is>
          <t>2258659830002656</t>
        </is>
      </c>
      <c r="AZ939" t="inlineStr">
        <is>
          <t>BOOK</t>
        </is>
      </c>
      <c r="BB939" t="inlineStr">
        <is>
          <t>9780394755045</t>
        </is>
      </c>
      <c r="BC939" t="inlineStr">
        <is>
          <t>32285000210384</t>
        </is>
      </c>
      <c r="BD939" t="inlineStr">
        <is>
          <t>893426251</t>
        </is>
      </c>
    </row>
    <row r="940">
      <c r="A940" t="inlineStr">
        <is>
          <t>No</t>
        </is>
      </c>
      <c r="B940" t="inlineStr">
        <is>
          <t>DS371.2 .M28 2002</t>
        </is>
      </c>
      <c r="C940" t="inlineStr">
        <is>
          <t>0                      DS 0371200M  28          2002</t>
        </is>
      </c>
      <c r="D940" t="inlineStr">
        <is>
          <t>Afghanistan : Mullah, Marx and Mujahid / Ralph H. Magnus and Eden Naby ; [foreword by Dan Rather].</t>
        </is>
      </c>
      <c r="F940" t="inlineStr">
        <is>
          <t>No</t>
        </is>
      </c>
      <c r="G940" t="inlineStr">
        <is>
          <t>1</t>
        </is>
      </c>
      <c r="H940" t="inlineStr">
        <is>
          <t>No</t>
        </is>
      </c>
      <c r="I940" t="inlineStr">
        <is>
          <t>No</t>
        </is>
      </c>
      <c r="J940" t="inlineStr">
        <is>
          <t>0</t>
        </is>
      </c>
      <c r="K940" t="inlineStr">
        <is>
          <t>Magnus, Ralph H.</t>
        </is>
      </c>
      <c r="L940" t="inlineStr">
        <is>
          <t>Boulder, Colo. : Oxford : Westview Press, c2002.</t>
        </is>
      </c>
      <c r="M940" t="inlineStr">
        <is>
          <t>2002</t>
        </is>
      </c>
      <c r="N940" t="inlineStr">
        <is>
          <t>[Rev. &amp; updated ed.]</t>
        </is>
      </c>
      <c r="O940" t="inlineStr">
        <is>
          <t>eng</t>
        </is>
      </c>
      <c r="P940" t="inlineStr">
        <is>
          <t>cou</t>
        </is>
      </c>
      <c r="Q940" t="inlineStr">
        <is>
          <t>Nations of the modern world. Middle East</t>
        </is>
      </c>
      <c r="R940" t="inlineStr">
        <is>
          <t xml:space="preserve">DS </t>
        </is>
      </c>
      <c r="S940" t="n">
        <v>5</v>
      </c>
      <c r="T940" t="n">
        <v>5</v>
      </c>
      <c r="U940" t="inlineStr">
        <is>
          <t>2007-10-07</t>
        </is>
      </c>
      <c r="V940" t="inlineStr">
        <is>
          <t>2007-10-07</t>
        </is>
      </c>
      <c r="W940" t="inlineStr">
        <is>
          <t>2002-10-22</t>
        </is>
      </c>
      <c r="X940" t="inlineStr">
        <is>
          <t>2002-10-22</t>
        </is>
      </c>
      <c r="Y940" t="n">
        <v>322</v>
      </c>
      <c r="Z940" t="n">
        <v>279</v>
      </c>
      <c r="AA940" t="n">
        <v>943</v>
      </c>
      <c r="AB940" t="n">
        <v>2</v>
      </c>
      <c r="AC940" t="n">
        <v>5</v>
      </c>
      <c r="AD940" t="n">
        <v>6</v>
      </c>
      <c r="AE940" t="n">
        <v>30</v>
      </c>
      <c r="AF940" t="n">
        <v>3</v>
      </c>
      <c r="AG940" t="n">
        <v>13</v>
      </c>
      <c r="AH940" t="n">
        <v>2</v>
      </c>
      <c r="AI940" t="n">
        <v>8</v>
      </c>
      <c r="AJ940" t="n">
        <v>1</v>
      </c>
      <c r="AK940" t="n">
        <v>18</v>
      </c>
      <c r="AL940" t="n">
        <v>1</v>
      </c>
      <c r="AM940" t="n">
        <v>2</v>
      </c>
      <c r="AN940" t="n">
        <v>0</v>
      </c>
      <c r="AO940" t="n">
        <v>0</v>
      </c>
      <c r="AP940" t="inlineStr">
        <is>
          <t>No</t>
        </is>
      </c>
      <c r="AQ940" t="inlineStr">
        <is>
          <t>No</t>
        </is>
      </c>
      <c r="AS940">
        <f>HYPERLINK("https://creighton-primo.hosted.exlibrisgroup.com/primo-explore/search?tab=default_tab&amp;search_scope=EVERYTHING&amp;vid=01CRU&amp;lang=en_US&amp;offset=0&amp;query=any,contains,991003873119702656","Catalog Record")</f>
        <v/>
      </c>
      <c r="AT940">
        <f>HYPERLINK("http://www.worldcat.org/oclc/49849929","WorldCat Record")</f>
        <v/>
      </c>
      <c r="AU940" t="inlineStr">
        <is>
          <t>27481919:eng</t>
        </is>
      </c>
      <c r="AV940" t="inlineStr">
        <is>
          <t>49849929</t>
        </is>
      </c>
      <c r="AW940" t="inlineStr">
        <is>
          <t>991003873119702656</t>
        </is>
      </c>
      <c r="AX940" t="inlineStr">
        <is>
          <t>991003873119702656</t>
        </is>
      </c>
      <c r="AY940" t="inlineStr">
        <is>
          <t>2258627840002656</t>
        </is>
      </c>
      <c r="AZ940" t="inlineStr">
        <is>
          <t>BOOK</t>
        </is>
      </c>
      <c r="BB940" t="inlineStr">
        <is>
          <t>9780813340197</t>
        </is>
      </c>
      <c r="BC940" t="inlineStr">
        <is>
          <t>32285004657143</t>
        </is>
      </c>
      <c r="BD940" t="inlineStr">
        <is>
          <t>893775323</t>
        </is>
      </c>
    </row>
    <row r="941">
      <c r="A941" t="inlineStr">
        <is>
          <t>No</t>
        </is>
      </c>
      <c r="B941" t="inlineStr">
        <is>
          <t>DS371.2 .M34 1982</t>
        </is>
      </c>
      <c r="C941" t="inlineStr">
        <is>
          <t>0                      DS 0371200M  34          1982</t>
        </is>
      </c>
      <c r="D941" t="inlineStr">
        <is>
          <t>Revolutionary Afghanistan : a reappraisal / Beverley Male.</t>
        </is>
      </c>
      <c r="F941" t="inlineStr">
        <is>
          <t>No</t>
        </is>
      </c>
      <c r="G941" t="inlineStr">
        <is>
          <t>1</t>
        </is>
      </c>
      <c r="H941" t="inlineStr">
        <is>
          <t>No</t>
        </is>
      </c>
      <c r="I941" t="inlineStr">
        <is>
          <t>No</t>
        </is>
      </c>
      <c r="J941" t="inlineStr">
        <is>
          <t>0</t>
        </is>
      </c>
      <c r="K941" t="inlineStr">
        <is>
          <t>Male, Beverley.</t>
        </is>
      </c>
      <c r="L941" t="inlineStr">
        <is>
          <t>New York : St. Martin's Press, 1982.</t>
        </is>
      </c>
      <c r="M941" t="inlineStr">
        <is>
          <t>1982</t>
        </is>
      </c>
      <c r="O941" t="inlineStr">
        <is>
          <t>eng</t>
        </is>
      </c>
      <c r="P941" t="inlineStr">
        <is>
          <t>nyu</t>
        </is>
      </c>
      <c r="R941" t="inlineStr">
        <is>
          <t xml:space="preserve">DS </t>
        </is>
      </c>
      <c r="S941" t="n">
        <v>7</v>
      </c>
      <c r="T941" t="n">
        <v>7</v>
      </c>
      <c r="U941" t="inlineStr">
        <is>
          <t>2007-10-04</t>
        </is>
      </c>
      <c r="V941" t="inlineStr">
        <is>
          <t>2007-10-04</t>
        </is>
      </c>
      <c r="W941" t="inlineStr">
        <is>
          <t>1990-10-08</t>
        </is>
      </c>
      <c r="X941" t="inlineStr">
        <is>
          <t>1990-10-08</t>
        </is>
      </c>
      <c r="Y941" t="n">
        <v>274</v>
      </c>
      <c r="Z941" t="n">
        <v>231</v>
      </c>
      <c r="AA941" t="n">
        <v>271</v>
      </c>
      <c r="AB941" t="n">
        <v>3</v>
      </c>
      <c r="AC941" t="n">
        <v>3</v>
      </c>
      <c r="AD941" t="n">
        <v>10</v>
      </c>
      <c r="AE941" t="n">
        <v>10</v>
      </c>
      <c r="AF941" t="n">
        <v>1</v>
      </c>
      <c r="AG941" t="n">
        <v>1</v>
      </c>
      <c r="AH941" t="n">
        <v>5</v>
      </c>
      <c r="AI941" t="n">
        <v>5</v>
      </c>
      <c r="AJ941" t="n">
        <v>5</v>
      </c>
      <c r="AK941" t="n">
        <v>5</v>
      </c>
      <c r="AL941" t="n">
        <v>2</v>
      </c>
      <c r="AM941" t="n">
        <v>2</v>
      </c>
      <c r="AN941" t="n">
        <v>0</v>
      </c>
      <c r="AO941" t="n">
        <v>0</v>
      </c>
      <c r="AP941" t="inlineStr">
        <is>
          <t>No</t>
        </is>
      </c>
      <c r="AQ941" t="inlineStr">
        <is>
          <t>No</t>
        </is>
      </c>
      <c r="AS941">
        <f>HYPERLINK("https://creighton-primo.hosted.exlibrisgroup.com/primo-explore/search?tab=default_tab&amp;search_scope=EVERYTHING&amp;vid=01CRU&amp;lang=en_US&amp;offset=0&amp;query=any,contains,991005162119702656","Catalog Record")</f>
        <v/>
      </c>
      <c r="AT941">
        <f>HYPERLINK("http://www.worldcat.org/oclc/7795817","WorldCat Record")</f>
        <v/>
      </c>
      <c r="AU941" t="inlineStr">
        <is>
          <t>443859:eng</t>
        </is>
      </c>
      <c r="AV941" t="inlineStr">
        <is>
          <t>7795817</t>
        </is>
      </c>
      <c r="AW941" t="inlineStr">
        <is>
          <t>991005162119702656</t>
        </is>
      </c>
      <c r="AX941" t="inlineStr">
        <is>
          <t>991005162119702656</t>
        </is>
      </c>
      <c r="AY941" t="inlineStr">
        <is>
          <t>2268054720002656</t>
        </is>
      </c>
      <c r="AZ941" t="inlineStr">
        <is>
          <t>BOOK</t>
        </is>
      </c>
      <c r="BB941" t="inlineStr">
        <is>
          <t>9780312679972</t>
        </is>
      </c>
      <c r="BC941" t="inlineStr">
        <is>
          <t>32285000336155</t>
        </is>
      </c>
      <c r="BD941" t="inlineStr">
        <is>
          <t>893446613</t>
        </is>
      </c>
    </row>
    <row r="942">
      <c r="A942" t="inlineStr">
        <is>
          <t>No</t>
        </is>
      </c>
      <c r="B942" t="inlineStr">
        <is>
          <t>DS371.2 .N48</t>
        </is>
      </c>
      <c r="C942" t="inlineStr">
        <is>
          <t>0                      DS 0371200N  48</t>
        </is>
      </c>
      <c r="D942" t="inlineStr">
        <is>
          <t>The struggle for Afghanistan / Nancy Peabody Newell, Richard S. Newell.</t>
        </is>
      </c>
      <c r="F942" t="inlineStr">
        <is>
          <t>No</t>
        </is>
      </c>
      <c r="G942" t="inlineStr">
        <is>
          <t>1</t>
        </is>
      </c>
      <c r="H942" t="inlineStr">
        <is>
          <t>No</t>
        </is>
      </c>
      <c r="I942" t="inlineStr">
        <is>
          <t>No</t>
        </is>
      </c>
      <c r="J942" t="inlineStr">
        <is>
          <t>0</t>
        </is>
      </c>
      <c r="K942" t="inlineStr">
        <is>
          <t>Newell, Nancy Peabody, 1932-</t>
        </is>
      </c>
      <c r="L942" t="inlineStr">
        <is>
          <t>Ithaca : Cornell University Press, 1981.</t>
        </is>
      </c>
      <c r="M942" t="inlineStr">
        <is>
          <t>1981</t>
        </is>
      </c>
      <c r="O942" t="inlineStr">
        <is>
          <t>eng</t>
        </is>
      </c>
      <c r="P942" t="inlineStr">
        <is>
          <t>nyu</t>
        </is>
      </c>
      <c r="R942" t="inlineStr">
        <is>
          <t xml:space="preserve">DS </t>
        </is>
      </c>
      <c r="S942" t="n">
        <v>3</v>
      </c>
      <c r="T942" t="n">
        <v>3</v>
      </c>
      <c r="U942" t="inlineStr">
        <is>
          <t>2007-10-07</t>
        </is>
      </c>
      <c r="V942" t="inlineStr">
        <is>
          <t>2007-10-07</t>
        </is>
      </c>
      <c r="W942" t="inlineStr">
        <is>
          <t>1990-06-20</t>
        </is>
      </c>
      <c r="X942" t="inlineStr">
        <is>
          <t>1990-06-20</t>
        </is>
      </c>
      <c r="Y942" t="n">
        <v>1063</v>
      </c>
      <c r="Z942" t="n">
        <v>902</v>
      </c>
      <c r="AA942" t="n">
        <v>921</v>
      </c>
      <c r="AB942" t="n">
        <v>5</v>
      </c>
      <c r="AC942" t="n">
        <v>5</v>
      </c>
      <c r="AD942" t="n">
        <v>28</v>
      </c>
      <c r="AE942" t="n">
        <v>28</v>
      </c>
      <c r="AF942" t="n">
        <v>9</v>
      </c>
      <c r="AG942" t="n">
        <v>9</v>
      </c>
      <c r="AH942" t="n">
        <v>7</v>
      </c>
      <c r="AI942" t="n">
        <v>7</v>
      </c>
      <c r="AJ942" t="n">
        <v>15</v>
      </c>
      <c r="AK942" t="n">
        <v>15</v>
      </c>
      <c r="AL942" t="n">
        <v>4</v>
      </c>
      <c r="AM942" t="n">
        <v>4</v>
      </c>
      <c r="AN942" t="n">
        <v>0</v>
      </c>
      <c r="AO942" t="n">
        <v>0</v>
      </c>
      <c r="AP942" t="inlineStr">
        <is>
          <t>No</t>
        </is>
      </c>
      <c r="AQ942" t="inlineStr">
        <is>
          <t>Yes</t>
        </is>
      </c>
      <c r="AR942">
        <f>HYPERLINK("http://catalog.hathitrust.org/Record/000087180","HathiTrust Record")</f>
        <v/>
      </c>
      <c r="AS942">
        <f>HYPERLINK("https://creighton-primo.hosted.exlibrisgroup.com/primo-explore/search?tab=default_tab&amp;search_scope=EVERYTHING&amp;vid=01CRU&amp;lang=en_US&amp;offset=0&amp;query=any,contains,991005102569702656","Catalog Record")</f>
        <v/>
      </c>
      <c r="AT942">
        <f>HYPERLINK("http://www.worldcat.org/oclc/7306333","WorldCat Record")</f>
        <v/>
      </c>
      <c r="AU942" t="inlineStr">
        <is>
          <t>27002795:eng</t>
        </is>
      </c>
      <c r="AV942" t="inlineStr">
        <is>
          <t>7306333</t>
        </is>
      </c>
      <c r="AW942" t="inlineStr">
        <is>
          <t>991005102569702656</t>
        </is>
      </c>
      <c r="AX942" t="inlineStr">
        <is>
          <t>991005102569702656</t>
        </is>
      </c>
      <c r="AY942" t="inlineStr">
        <is>
          <t>2257807410002656</t>
        </is>
      </c>
      <c r="AZ942" t="inlineStr">
        <is>
          <t>BOOK</t>
        </is>
      </c>
      <c r="BB942" t="inlineStr">
        <is>
          <t>9780801413896</t>
        </is>
      </c>
      <c r="BC942" t="inlineStr">
        <is>
          <t>32285000210392</t>
        </is>
      </c>
      <c r="BD942" t="inlineStr">
        <is>
          <t>893810855</t>
        </is>
      </c>
    </row>
    <row r="943">
      <c r="A943" t="inlineStr">
        <is>
          <t>No</t>
        </is>
      </c>
      <c r="B943" t="inlineStr">
        <is>
          <t>DS371.3 .H85 2005</t>
        </is>
      </c>
      <c r="C943" t="inlineStr">
        <is>
          <t>0                      DS 0371300H  85          2005</t>
        </is>
      </c>
      <c r="D943" t="inlineStr">
        <is>
          <t>Blood-stained hands : past atrocities in Kabul and Afghanistan's legacy of impunity.</t>
        </is>
      </c>
      <c r="F943" t="inlineStr">
        <is>
          <t>No</t>
        </is>
      </c>
      <c r="G943" t="inlineStr">
        <is>
          <t>1</t>
        </is>
      </c>
      <c r="H943" t="inlineStr">
        <is>
          <t>No</t>
        </is>
      </c>
      <c r="I943" t="inlineStr">
        <is>
          <t>No</t>
        </is>
      </c>
      <c r="J943" t="inlineStr">
        <is>
          <t>0</t>
        </is>
      </c>
      <c r="L943" t="inlineStr">
        <is>
          <t>New York : Human Rights Watch, c2005.</t>
        </is>
      </c>
      <c r="M943" t="inlineStr">
        <is>
          <t>2005</t>
        </is>
      </c>
      <c r="O943" t="inlineStr">
        <is>
          <t>eng</t>
        </is>
      </c>
      <c r="P943" t="inlineStr">
        <is>
          <t>nyu</t>
        </is>
      </c>
      <c r="R943" t="inlineStr">
        <is>
          <t xml:space="preserve">DS </t>
        </is>
      </c>
      <c r="S943" t="n">
        <v>4</v>
      </c>
      <c r="T943" t="n">
        <v>4</v>
      </c>
      <c r="U943" t="inlineStr">
        <is>
          <t>2007-10-06</t>
        </is>
      </c>
      <c r="V943" t="inlineStr">
        <is>
          <t>2007-10-06</t>
        </is>
      </c>
      <c r="W943" t="inlineStr">
        <is>
          <t>2005-12-06</t>
        </is>
      </c>
      <c r="X943" t="inlineStr">
        <is>
          <t>2005-12-06</t>
        </is>
      </c>
      <c r="Y943" t="n">
        <v>154</v>
      </c>
      <c r="Z943" t="n">
        <v>120</v>
      </c>
      <c r="AA943" t="n">
        <v>138</v>
      </c>
      <c r="AB943" t="n">
        <v>3</v>
      </c>
      <c r="AC943" t="n">
        <v>3</v>
      </c>
      <c r="AD943" t="n">
        <v>7</v>
      </c>
      <c r="AE943" t="n">
        <v>7</v>
      </c>
      <c r="AF943" t="n">
        <v>0</v>
      </c>
      <c r="AG943" t="n">
        <v>0</v>
      </c>
      <c r="AH943" t="n">
        <v>1</v>
      </c>
      <c r="AI943" t="n">
        <v>1</v>
      </c>
      <c r="AJ943" t="n">
        <v>2</v>
      </c>
      <c r="AK943" t="n">
        <v>2</v>
      </c>
      <c r="AL943" t="n">
        <v>2</v>
      </c>
      <c r="AM943" t="n">
        <v>2</v>
      </c>
      <c r="AN943" t="n">
        <v>2</v>
      </c>
      <c r="AO943" t="n">
        <v>2</v>
      </c>
      <c r="AP943" t="inlineStr">
        <is>
          <t>No</t>
        </is>
      </c>
      <c r="AQ943" t="inlineStr">
        <is>
          <t>Yes</t>
        </is>
      </c>
      <c r="AR943">
        <f>HYPERLINK("http://catalog.hathitrust.org/Record/005427608","HathiTrust Record")</f>
        <v/>
      </c>
      <c r="AS943">
        <f>HYPERLINK("https://creighton-primo.hosted.exlibrisgroup.com/primo-explore/search?tab=default_tab&amp;search_scope=EVERYTHING&amp;vid=01CRU&amp;lang=en_US&amp;offset=0&amp;query=any,contains,991004675509702656","Catalog Record")</f>
        <v/>
      </c>
      <c r="AT943">
        <f>HYPERLINK("http://www.worldcat.org/oclc/60934477","WorldCat Record")</f>
        <v/>
      </c>
      <c r="AU943" t="inlineStr">
        <is>
          <t>2864350262:eng</t>
        </is>
      </c>
      <c r="AV943" t="inlineStr">
        <is>
          <t>60934477</t>
        </is>
      </c>
      <c r="AW943" t="inlineStr">
        <is>
          <t>991004675509702656</t>
        </is>
      </c>
      <c r="AX943" t="inlineStr">
        <is>
          <t>991004675509702656</t>
        </is>
      </c>
      <c r="AY943" t="inlineStr">
        <is>
          <t>2261966360002656</t>
        </is>
      </c>
      <c r="AZ943" t="inlineStr">
        <is>
          <t>BOOK</t>
        </is>
      </c>
      <c r="BB943" t="inlineStr">
        <is>
          <t>9781564323347</t>
        </is>
      </c>
      <c r="BC943" t="inlineStr">
        <is>
          <t>32285005151104</t>
        </is>
      </c>
      <c r="BD943" t="inlineStr">
        <is>
          <t>893810639</t>
        </is>
      </c>
    </row>
    <row r="944">
      <c r="A944" t="inlineStr">
        <is>
          <t>No</t>
        </is>
      </c>
      <c r="B944" t="inlineStr">
        <is>
          <t>DS371.3 .M37 2000</t>
        </is>
      </c>
      <c r="C944" t="inlineStr">
        <is>
          <t>0                      DS 0371300M  37          2000</t>
        </is>
      </c>
      <c r="D944" t="inlineStr">
        <is>
          <t>War at the top of the world : the struggle for Afghanistan, Kashmir, and Tibet / Eric S. Margolis.</t>
        </is>
      </c>
      <c r="F944" t="inlineStr">
        <is>
          <t>No</t>
        </is>
      </c>
      <c r="G944" t="inlineStr">
        <is>
          <t>1</t>
        </is>
      </c>
      <c r="H944" t="inlineStr">
        <is>
          <t>No</t>
        </is>
      </c>
      <c r="I944" t="inlineStr">
        <is>
          <t>No</t>
        </is>
      </c>
      <c r="J944" t="inlineStr">
        <is>
          <t>0</t>
        </is>
      </c>
      <c r="K944" t="inlineStr">
        <is>
          <t>Margolis, Eric S.</t>
        </is>
      </c>
      <c r="L944" t="inlineStr">
        <is>
          <t>New York : Routledge, 2000.</t>
        </is>
      </c>
      <c r="M944" t="inlineStr">
        <is>
          <t>2000</t>
        </is>
      </c>
      <c r="O944" t="inlineStr">
        <is>
          <t>eng</t>
        </is>
      </c>
      <c r="P944" t="inlineStr">
        <is>
          <t>nyu</t>
        </is>
      </c>
      <c r="R944" t="inlineStr">
        <is>
          <t xml:space="preserve">DS </t>
        </is>
      </c>
      <c r="S944" t="n">
        <v>8</v>
      </c>
      <c r="T944" t="n">
        <v>8</v>
      </c>
      <c r="U944" t="inlineStr">
        <is>
          <t>2008-04-28</t>
        </is>
      </c>
      <c r="V944" t="inlineStr">
        <is>
          <t>2008-04-28</t>
        </is>
      </c>
      <c r="W944" t="inlineStr">
        <is>
          <t>2001-12-06</t>
        </is>
      </c>
      <c r="X944" t="inlineStr">
        <is>
          <t>2001-12-06</t>
        </is>
      </c>
      <c r="Y944" t="n">
        <v>852</v>
      </c>
      <c r="Z944" t="n">
        <v>721</v>
      </c>
      <c r="AA944" t="n">
        <v>975</v>
      </c>
      <c r="AB944" t="n">
        <v>6</v>
      </c>
      <c r="AC944" t="n">
        <v>7</v>
      </c>
      <c r="AD944" t="n">
        <v>23</v>
      </c>
      <c r="AE944" t="n">
        <v>29</v>
      </c>
      <c r="AF944" t="n">
        <v>9</v>
      </c>
      <c r="AG944" t="n">
        <v>11</v>
      </c>
      <c r="AH944" t="n">
        <v>3</v>
      </c>
      <c r="AI944" t="n">
        <v>6</v>
      </c>
      <c r="AJ944" t="n">
        <v>11</v>
      </c>
      <c r="AK944" t="n">
        <v>13</v>
      </c>
      <c r="AL944" t="n">
        <v>5</v>
      </c>
      <c r="AM944" t="n">
        <v>6</v>
      </c>
      <c r="AN944" t="n">
        <v>0</v>
      </c>
      <c r="AO944" t="n">
        <v>0</v>
      </c>
      <c r="AP944" t="inlineStr">
        <is>
          <t>No</t>
        </is>
      </c>
      <c r="AQ944" t="inlineStr">
        <is>
          <t>No</t>
        </is>
      </c>
      <c r="AS944">
        <f>HYPERLINK("https://creighton-primo.hosted.exlibrisgroup.com/primo-explore/search?tab=default_tab&amp;search_scope=EVERYTHING&amp;vid=01CRU&amp;lang=en_US&amp;offset=0&amp;query=any,contains,991003651489702656","Catalog Record")</f>
        <v/>
      </c>
      <c r="AT944">
        <f>HYPERLINK("http://www.worldcat.org/oclc/42780425","WorldCat Record")</f>
        <v/>
      </c>
      <c r="AU944" t="inlineStr">
        <is>
          <t>801240387:eng</t>
        </is>
      </c>
      <c r="AV944" t="inlineStr">
        <is>
          <t>42780425</t>
        </is>
      </c>
      <c r="AW944" t="inlineStr">
        <is>
          <t>991003651489702656</t>
        </is>
      </c>
      <c r="AX944" t="inlineStr">
        <is>
          <t>991003651489702656</t>
        </is>
      </c>
      <c r="AY944" t="inlineStr">
        <is>
          <t>2258508290002656</t>
        </is>
      </c>
      <c r="AZ944" t="inlineStr">
        <is>
          <t>BOOK</t>
        </is>
      </c>
      <c r="BB944" t="inlineStr">
        <is>
          <t>9780415927123</t>
        </is>
      </c>
      <c r="BC944" t="inlineStr">
        <is>
          <t>32285004426572</t>
        </is>
      </c>
      <c r="BD944" t="inlineStr">
        <is>
          <t>893699239</t>
        </is>
      </c>
    </row>
    <row r="945">
      <c r="A945" t="inlineStr">
        <is>
          <t>No</t>
        </is>
      </c>
      <c r="B945" t="inlineStr">
        <is>
          <t>DS371.4 .A48 2002</t>
        </is>
      </c>
      <c r="C945" t="inlineStr">
        <is>
          <t>0                      DS 0371400A  48          2002</t>
        </is>
      </c>
      <c r="D945" t="inlineStr">
        <is>
          <t>Afghanistan, looking toward the future : Georgetown University hosts The Afghanistan-America Summit on Recovery and Reconstruction, Georgetown University, Washington , D.C, July 2002.</t>
        </is>
      </c>
      <c r="F945" t="inlineStr">
        <is>
          <t>No</t>
        </is>
      </c>
      <c r="G945" t="inlineStr">
        <is>
          <t>1</t>
        </is>
      </c>
      <c r="H945" t="inlineStr">
        <is>
          <t>No</t>
        </is>
      </c>
      <c r="I945" t="inlineStr">
        <is>
          <t>No</t>
        </is>
      </c>
      <c r="J945" t="inlineStr">
        <is>
          <t>0</t>
        </is>
      </c>
      <c r="K945" t="inlineStr">
        <is>
          <t>Afghanistan-America Summit on Recovery and Reconstruction (2002 : Georgetown University)</t>
        </is>
      </c>
      <c r="L945" t="inlineStr">
        <is>
          <t>Washington, D.C. : Georgetown University, 2002.</t>
        </is>
      </c>
      <c r="M945" t="inlineStr">
        <is>
          <t>2002</t>
        </is>
      </c>
      <c r="O945" t="inlineStr">
        <is>
          <t>eng</t>
        </is>
      </c>
      <c r="P945" t="inlineStr">
        <is>
          <t>dcu</t>
        </is>
      </c>
      <c r="R945" t="inlineStr">
        <is>
          <t xml:space="preserve">DS </t>
        </is>
      </c>
      <c r="S945" t="n">
        <v>4</v>
      </c>
      <c r="T945" t="n">
        <v>4</v>
      </c>
      <c r="U945" t="inlineStr">
        <is>
          <t>2007-10-02</t>
        </is>
      </c>
      <c r="V945" t="inlineStr">
        <is>
          <t>2007-10-02</t>
        </is>
      </c>
      <c r="W945" t="inlineStr">
        <is>
          <t>2003-02-20</t>
        </is>
      </c>
      <c r="X945" t="inlineStr">
        <is>
          <t>2003-02-20</t>
        </is>
      </c>
      <c r="Y945" t="n">
        <v>26</v>
      </c>
      <c r="Z945" t="n">
        <v>26</v>
      </c>
      <c r="AA945" t="n">
        <v>27</v>
      </c>
      <c r="AB945" t="n">
        <v>3</v>
      </c>
      <c r="AC945" t="n">
        <v>3</v>
      </c>
      <c r="AD945" t="n">
        <v>18</v>
      </c>
      <c r="AE945" t="n">
        <v>19</v>
      </c>
      <c r="AF945" t="n">
        <v>5</v>
      </c>
      <c r="AG945" t="n">
        <v>5</v>
      </c>
      <c r="AH945" t="n">
        <v>2</v>
      </c>
      <c r="AI945" t="n">
        <v>3</v>
      </c>
      <c r="AJ945" t="n">
        <v>17</v>
      </c>
      <c r="AK945" t="n">
        <v>18</v>
      </c>
      <c r="AL945" t="n">
        <v>1</v>
      </c>
      <c r="AM945" t="n">
        <v>1</v>
      </c>
      <c r="AN945" t="n">
        <v>0</v>
      </c>
      <c r="AO945" t="n">
        <v>0</v>
      </c>
      <c r="AP945" t="inlineStr">
        <is>
          <t>No</t>
        </is>
      </c>
      <c r="AQ945" t="inlineStr">
        <is>
          <t>No</t>
        </is>
      </c>
      <c r="AS945">
        <f>HYPERLINK("https://creighton-primo.hosted.exlibrisgroup.com/primo-explore/search?tab=default_tab&amp;search_scope=EVERYTHING&amp;vid=01CRU&amp;lang=en_US&amp;offset=0&amp;query=any,contains,991004000129702656","Catalog Record")</f>
        <v/>
      </c>
      <c r="AT945">
        <f>HYPERLINK("http://www.worldcat.org/oclc/51638354","WorldCat Record")</f>
        <v/>
      </c>
      <c r="AU945" t="inlineStr">
        <is>
          <t>9663109:eng</t>
        </is>
      </c>
      <c r="AV945" t="inlineStr">
        <is>
          <t>51638354</t>
        </is>
      </c>
      <c r="AW945" t="inlineStr">
        <is>
          <t>991004000129702656</t>
        </is>
      </c>
      <c r="AX945" t="inlineStr">
        <is>
          <t>991004000129702656</t>
        </is>
      </c>
      <c r="AY945" t="inlineStr">
        <is>
          <t>2270346250002656</t>
        </is>
      </c>
      <c r="AZ945" t="inlineStr">
        <is>
          <t>BOOK</t>
        </is>
      </c>
      <c r="BC945" t="inlineStr">
        <is>
          <t>32285004680194</t>
        </is>
      </c>
      <c r="BD945" t="inlineStr">
        <is>
          <t>893806528</t>
        </is>
      </c>
    </row>
    <row r="946">
      <c r="A946" t="inlineStr">
        <is>
          <t>No</t>
        </is>
      </c>
      <c r="B946" t="inlineStr">
        <is>
          <t>DS371.4 .C43 2006</t>
        </is>
      </c>
      <c r="C946" t="inlineStr">
        <is>
          <t>0                      DS 0371400C  43          2006</t>
        </is>
      </c>
      <c r="D946" t="inlineStr">
        <is>
          <t>The punishment of virtue : inside Afghanistan after the Taliban / Sarah Chayes.</t>
        </is>
      </c>
      <c r="F946" t="inlineStr">
        <is>
          <t>No</t>
        </is>
      </c>
      <c r="G946" t="inlineStr">
        <is>
          <t>1</t>
        </is>
      </c>
      <c r="H946" t="inlineStr">
        <is>
          <t>No</t>
        </is>
      </c>
      <c r="I946" t="inlineStr">
        <is>
          <t>No</t>
        </is>
      </c>
      <c r="J946" t="inlineStr">
        <is>
          <t>0</t>
        </is>
      </c>
      <c r="K946" t="inlineStr">
        <is>
          <t>Chayes, Sarah, 1962-</t>
        </is>
      </c>
      <c r="L946" t="inlineStr">
        <is>
          <t>New York : Penguin Press, 2006.</t>
        </is>
      </c>
      <c r="M946" t="inlineStr">
        <is>
          <t>2006</t>
        </is>
      </c>
      <c r="O946" t="inlineStr">
        <is>
          <t>eng</t>
        </is>
      </c>
      <c r="P946" t="inlineStr">
        <is>
          <t>nyu</t>
        </is>
      </c>
      <c r="R946" t="inlineStr">
        <is>
          <t xml:space="preserve">DS </t>
        </is>
      </c>
      <c r="S946" t="n">
        <v>3</v>
      </c>
      <c r="T946" t="n">
        <v>3</v>
      </c>
      <c r="U946" t="inlineStr">
        <is>
          <t>2009-03-03</t>
        </is>
      </c>
      <c r="V946" t="inlineStr">
        <is>
          <t>2009-03-03</t>
        </is>
      </c>
      <c r="W946" t="inlineStr">
        <is>
          <t>2006-10-10</t>
        </is>
      </c>
      <c r="X946" t="inlineStr">
        <is>
          <t>2006-10-10</t>
        </is>
      </c>
      <c r="Y946" t="n">
        <v>997</v>
      </c>
      <c r="Z946" t="n">
        <v>917</v>
      </c>
      <c r="AA946" t="n">
        <v>1069</v>
      </c>
      <c r="AB946" t="n">
        <v>8</v>
      </c>
      <c r="AC946" t="n">
        <v>13</v>
      </c>
      <c r="AD946" t="n">
        <v>22</v>
      </c>
      <c r="AE946" t="n">
        <v>25</v>
      </c>
      <c r="AF946" t="n">
        <v>7</v>
      </c>
      <c r="AG946" t="n">
        <v>7</v>
      </c>
      <c r="AH946" t="n">
        <v>4</v>
      </c>
      <c r="AI946" t="n">
        <v>5</v>
      </c>
      <c r="AJ946" t="n">
        <v>10</v>
      </c>
      <c r="AK946" t="n">
        <v>10</v>
      </c>
      <c r="AL946" t="n">
        <v>5</v>
      </c>
      <c r="AM946" t="n">
        <v>7</v>
      </c>
      <c r="AN946" t="n">
        <v>0</v>
      </c>
      <c r="AO946" t="n">
        <v>0</v>
      </c>
      <c r="AP946" t="inlineStr">
        <is>
          <t>No</t>
        </is>
      </c>
      <c r="AQ946" t="inlineStr">
        <is>
          <t>No</t>
        </is>
      </c>
      <c r="AS946">
        <f>HYPERLINK("https://creighton-primo.hosted.exlibrisgroup.com/primo-explore/search?tab=default_tab&amp;search_scope=EVERYTHING&amp;vid=01CRU&amp;lang=en_US&amp;offset=0&amp;query=any,contains,991004932349702656","Catalog Record")</f>
        <v/>
      </c>
      <c r="AT946">
        <f>HYPERLINK("http://www.worldcat.org/oclc/65400739","WorldCat Record")</f>
        <v/>
      </c>
      <c r="AU946" t="inlineStr">
        <is>
          <t>62618046:eng</t>
        </is>
      </c>
      <c r="AV946" t="inlineStr">
        <is>
          <t>65400739</t>
        </is>
      </c>
      <c r="AW946" t="inlineStr">
        <is>
          <t>991004932349702656</t>
        </is>
      </c>
      <c r="AX946" t="inlineStr">
        <is>
          <t>991004932349702656</t>
        </is>
      </c>
      <c r="AY946" t="inlineStr">
        <is>
          <t>2258330160002656</t>
        </is>
      </c>
      <c r="AZ946" t="inlineStr">
        <is>
          <t>BOOK</t>
        </is>
      </c>
      <c r="BB946" t="inlineStr">
        <is>
          <t>9781594200960</t>
        </is>
      </c>
      <c r="BC946" t="inlineStr">
        <is>
          <t>32285005228787</t>
        </is>
      </c>
      <c r="BD946" t="inlineStr">
        <is>
          <t>893870264</t>
        </is>
      </c>
    </row>
    <row r="947">
      <c r="A947" t="inlineStr">
        <is>
          <t>No</t>
        </is>
      </c>
      <c r="B947" t="inlineStr">
        <is>
          <t>DS371.4 .D43 2009</t>
        </is>
      </c>
      <c r="C947" t="inlineStr">
        <is>
          <t>0                      DS 0371400D  43          2009</t>
        </is>
      </c>
      <c r="D947" t="inlineStr">
        <is>
          <t>Decoding the new Taliban : insights from the Afghan field / editor, Antonio Giustozzi.</t>
        </is>
      </c>
      <c r="F947" t="inlineStr">
        <is>
          <t>No</t>
        </is>
      </c>
      <c r="G947" t="inlineStr">
        <is>
          <t>1</t>
        </is>
      </c>
      <c r="H947" t="inlineStr">
        <is>
          <t>No</t>
        </is>
      </c>
      <c r="I947" t="inlineStr">
        <is>
          <t>No</t>
        </is>
      </c>
      <c r="J947" t="inlineStr">
        <is>
          <t>0</t>
        </is>
      </c>
      <c r="L947" t="inlineStr">
        <is>
          <t>New York : Columbia University Press, c2009.</t>
        </is>
      </c>
      <c r="M947" t="inlineStr">
        <is>
          <t>2009</t>
        </is>
      </c>
      <c r="O947" t="inlineStr">
        <is>
          <t>eng</t>
        </is>
      </c>
      <c r="P947" t="inlineStr">
        <is>
          <t>nyu</t>
        </is>
      </c>
      <c r="R947" t="inlineStr">
        <is>
          <t xml:space="preserve">DS </t>
        </is>
      </c>
      <c r="S947" t="n">
        <v>2</v>
      </c>
      <c r="T947" t="n">
        <v>2</v>
      </c>
      <c r="U947" t="inlineStr">
        <is>
          <t>2010-01-28</t>
        </is>
      </c>
      <c r="V947" t="inlineStr">
        <is>
          <t>2010-01-28</t>
        </is>
      </c>
      <c r="W947" t="inlineStr">
        <is>
          <t>2010-01-14</t>
        </is>
      </c>
      <c r="X947" t="inlineStr">
        <is>
          <t>2010-01-14</t>
        </is>
      </c>
      <c r="Y947" t="n">
        <v>258</v>
      </c>
      <c r="Z947" t="n">
        <v>220</v>
      </c>
      <c r="AA947" t="n">
        <v>261</v>
      </c>
      <c r="AB947" t="n">
        <v>3</v>
      </c>
      <c r="AC947" t="n">
        <v>3</v>
      </c>
      <c r="AD947" t="n">
        <v>12</v>
      </c>
      <c r="AE947" t="n">
        <v>13</v>
      </c>
      <c r="AF947" t="n">
        <v>4</v>
      </c>
      <c r="AG947" t="n">
        <v>4</v>
      </c>
      <c r="AH947" t="n">
        <v>3</v>
      </c>
      <c r="AI947" t="n">
        <v>3</v>
      </c>
      <c r="AJ947" t="n">
        <v>6</v>
      </c>
      <c r="AK947" t="n">
        <v>7</v>
      </c>
      <c r="AL947" t="n">
        <v>2</v>
      </c>
      <c r="AM947" t="n">
        <v>2</v>
      </c>
      <c r="AN947" t="n">
        <v>0</v>
      </c>
      <c r="AO947" t="n">
        <v>0</v>
      </c>
      <c r="AP947" t="inlineStr">
        <is>
          <t>No</t>
        </is>
      </c>
      <c r="AQ947" t="inlineStr">
        <is>
          <t>No</t>
        </is>
      </c>
      <c r="AS947">
        <f>HYPERLINK("https://creighton-primo.hosted.exlibrisgroup.com/primo-explore/search?tab=default_tab&amp;search_scope=EVERYTHING&amp;vid=01CRU&amp;lang=en_US&amp;offset=0&amp;query=any,contains,991005349559702656","Catalog Record")</f>
        <v/>
      </c>
      <c r="AT947">
        <f>HYPERLINK("http://www.worldcat.org/oclc/318971971","WorldCat Record")</f>
        <v/>
      </c>
      <c r="AU947" t="inlineStr">
        <is>
          <t>1076495830:eng</t>
        </is>
      </c>
      <c r="AV947" t="inlineStr">
        <is>
          <t>318971971</t>
        </is>
      </c>
      <c r="AW947" t="inlineStr">
        <is>
          <t>991005349559702656</t>
        </is>
      </c>
      <c r="AX947" t="inlineStr">
        <is>
          <t>991005349559702656</t>
        </is>
      </c>
      <c r="AY947" t="inlineStr">
        <is>
          <t>2269620020002656</t>
        </is>
      </c>
      <c r="AZ947" t="inlineStr">
        <is>
          <t>BOOK</t>
        </is>
      </c>
      <c r="BB947" t="inlineStr">
        <is>
          <t>9780231701129</t>
        </is>
      </c>
      <c r="BC947" t="inlineStr">
        <is>
          <t>32285005557250</t>
        </is>
      </c>
      <c r="BD947" t="inlineStr">
        <is>
          <t>893533594</t>
        </is>
      </c>
    </row>
    <row r="948">
      <c r="A948" t="inlineStr">
        <is>
          <t>No</t>
        </is>
      </c>
      <c r="B948" t="inlineStr">
        <is>
          <t>DS371.4 .R34 2008</t>
        </is>
      </c>
      <c r="C948" t="inlineStr">
        <is>
          <t>0                      DS 0371400R  34          2008</t>
        </is>
      </c>
      <c r="D948" t="inlineStr">
        <is>
          <t>Recovering the frontier state : war, ethnicity, and state in Afghanistan / Rasul Bakhsh Rais.</t>
        </is>
      </c>
      <c r="F948" t="inlineStr">
        <is>
          <t>No</t>
        </is>
      </c>
      <c r="G948" t="inlineStr">
        <is>
          <t>1</t>
        </is>
      </c>
      <c r="H948" t="inlineStr">
        <is>
          <t>No</t>
        </is>
      </c>
      <c r="I948" t="inlineStr">
        <is>
          <t>No</t>
        </is>
      </c>
      <c r="J948" t="inlineStr">
        <is>
          <t>0</t>
        </is>
      </c>
      <c r="K948" t="inlineStr">
        <is>
          <t>Rais, Rasul Bux.</t>
        </is>
      </c>
      <c r="L948" t="inlineStr">
        <is>
          <t>Lanham, MD : Lexington Books, c2008.</t>
        </is>
      </c>
      <c r="M948" t="inlineStr">
        <is>
          <t>2008</t>
        </is>
      </c>
      <c r="O948" t="inlineStr">
        <is>
          <t>eng</t>
        </is>
      </c>
      <c r="P948" t="inlineStr">
        <is>
          <t>mdu</t>
        </is>
      </c>
      <c r="R948" t="inlineStr">
        <is>
          <t xml:space="preserve">DS </t>
        </is>
      </c>
      <c r="S948" t="n">
        <v>1</v>
      </c>
      <c r="T948" t="n">
        <v>1</v>
      </c>
      <c r="U948" t="inlineStr">
        <is>
          <t>2010-06-22</t>
        </is>
      </c>
      <c r="V948" t="inlineStr">
        <is>
          <t>2010-06-22</t>
        </is>
      </c>
      <c r="W948" t="inlineStr">
        <is>
          <t>2009-03-04</t>
        </is>
      </c>
      <c r="X948" t="inlineStr">
        <is>
          <t>2009-03-04</t>
        </is>
      </c>
      <c r="Y948" t="n">
        <v>272</v>
      </c>
      <c r="Z948" t="n">
        <v>213</v>
      </c>
      <c r="AA948" t="n">
        <v>258</v>
      </c>
      <c r="AB948" t="n">
        <v>2</v>
      </c>
      <c r="AC948" t="n">
        <v>2</v>
      </c>
      <c r="AD948" t="n">
        <v>15</v>
      </c>
      <c r="AE948" t="n">
        <v>16</v>
      </c>
      <c r="AF948" t="n">
        <v>7</v>
      </c>
      <c r="AG948" t="n">
        <v>7</v>
      </c>
      <c r="AH948" t="n">
        <v>4</v>
      </c>
      <c r="AI948" t="n">
        <v>5</v>
      </c>
      <c r="AJ948" t="n">
        <v>8</v>
      </c>
      <c r="AK948" t="n">
        <v>8</v>
      </c>
      <c r="AL948" t="n">
        <v>1</v>
      </c>
      <c r="AM948" t="n">
        <v>1</v>
      </c>
      <c r="AN948" t="n">
        <v>0</v>
      </c>
      <c r="AO948" t="n">
        <v>0</v>
      </c>
      <c r="AP948" t="inlineStr">
        <is>
          <t>No</t>
        </is>
      </c>
      <c r="AQ948" t="inlineStr">
        <is>
          <t>Yes</t>
        </is>
      </c>
      <c r="AR948">
        <f>HYPERLINK("http://catalog.hathitrust.org/Record/005700244","HathiTrust Record")</f>
        <v/>
      </c>
      <c r="AS948">
        <f>HYPERLINK("https://creighton-primo.hosted.exlibrisgroup.com/primo-explore/search?tab=default_tab&amp;search_scope=EVERYTHING&amp;vid=01CRU&amp;lang=en_US&amp;offset=0&amp;query=any,contains,991005297979702656","Catalog Record")</f>
        <v/>
      </c>
      <c r="AT948">
        <f>HYPERLINK("http://www.worldcat.org/oclc/181368883","WorldCat Record")</f>
        <v/>
      </c>
      <c r="AU948" t="inlineStr">
        <is>
          <t>197652192:eng</t>
        </is>
      </c>
      <c r="AV948" t="inlineStr">
        <is>
          <t>181368883</t>
        </is>
      </c>
      <c r="AW948" t="inlineStr">
        <is>
          <t>991005297979702656</t>
        </is>
      </c>
      <c r="AX948" t="inlineStr">
        <is>
          <t>991005297979702656</t>
        </is>
      </c>
      <c r="AY948" t="inlineStr">
        <is>
          <t>2259563200002656</t>
        </is>
      </c>
      <c r="AZ948" t="inlineStr">
        <is>
          <t>BOOK</t>
        </is>
      </c>
      <c r="BB948" t="inlineStr">
        <is>
          <t>9780739109564</t>
        </is>
      </c>
      <c r="BC948" t="inlineStr">
        <is>
          <t>32285005507362</t>
        </is>
      </c>
      <c r="BD948" t="inlineStr">
        <is>
          <t>893783374</t>
        </is>
      </c>
    </row>
    <row r="949">
      <c r="A949" t="inlineStr">
        <is>
          <t>No</t>
        </is>
      </c>
      <c r="B949" t="inlineStr">
        <is>
          <t>DS371.4 .R37 2009</t>
        </is>
      </c>
      <c r="C949" t="inlineStr">
        <is>
          <t>0                      DS 0371400R  37          2009</t>
        </is>
      </c>
      <c r="D949" t="inlineStr">
        <is>
          <t>Descent into chaos : the U.S. and the disaster in Pakistan, Afghanistan, and Central Asia / Ahmed Rashid.</t>
        </is>
      </c>
      <c r="F949" t="inlineStr">
        <is>
          <t>No</t>
        </is>
      </c>
      <c r="G949" t="inlineStr">
        <is>
          <t>1</t>
        </is>
      </c>
      <c r="H949" t="inlineStr">
        <is>
          <t>No</t>
        </is>
      </c>
      <c r="I949" t="inlineStr">
        <is>
          <t>No</t>
        </is>
      </c>
      <c r="J949" t="inlineStr">
        <is>
          <t>0</t>
        </is>
      </c>
      <c r="K949" t="inlineStr">
        <is>
          <t>Rashid, Ahmed.</t>
        </is>
      </c>
      <c r="L949" t="inlineStr">
        <is>
          <t>New York : Penguin Books, 2009.</t>
        </is>
      </c>
      <c r="M949" t="inlineStr">
        <is>
          <t>2009</t>
        </is>
      </c>
      <c r="O949" t="inlineStr">
        <is>
          <t>eng</t>
        </is>
      </c>
      <c r="P949" t="inlineStr">
        <is>
          <t>nyu</t>
        </is>
      </c>
      <c r="R949" t="inlineStr">
        <is>
          <t xml:space="preserve">DS </t>
        </is>
      </c>
      <c r="S949" t="n">
        <v>2</v>
      </c>
      <c r="T949" t="n">
        <v>2</v>
      </c>
      <c r="U949" t="inlineStr">
        <is>
          <t>2009-10-09</t>
        </is>
      </c>
      <c r="V949" t="inlineStr">
        <is>
          <t>2009-10-09</t>
        </is>
      </c>
      <c r="W949" t="inlineStr">
        <is>
          <t>2009-09-28</t>
        </is>
      </c>
      <c r="X949" t="inlineStr">
        <is>
          <t>2009-09-28</t>
        </is>
      </c>
      <c r="Y949" t="n">
        <v>397</v>
      </c>
      <c r="Z949" t="n">
        <v>357</v>
      </c>
      <c r="AA949" t="n">
        <v>1599</v>
      </c>
      <c r="AB949" t="n">
        <v>7</v>
      </c>
      <c r="AC949" t="n">
        <v>19</v>
      </c>
      <c r="AD949" t="n">
        <v>5</v>
      </c>
      <c r="AE949" t="n">
        <v>42</v>
      </c>
      <c r="AF949" t="n">
        <v>2</v>
      </c>
      <c r="AG949" t="n">
        <v>20</v>
      </c>
      <c r="AH949" t="n">
        <v>0</v>
      </c>
      <c r="AI949" t="n">
        <v>7</v>
      </c>
      <c r="AJ949" t="n">
        <v>1</v>
      </c>
      <c r="AK949" t="n">
        <v>15</v>
      </c>
      <c r="AL949" t="n">
        <v>3</v>
      </c>
      <c r="AM949" t="n">
        <v>8</v>
      </c>
      <c r="AN949" t="n">
        <v>0</v>
      </c>
      <c r="AO949" t="n">
        <v>1</v>
      </c>
      <c r="AP949" t="inlineStr">
        <is>
          <t>No</t>
        </is>
      </c>
      <c r="AQ949" t="inlineStr">
        <is>
          <t>No</t>
        </is>
      </c>
      <c r="AS949">
        <f>HYPERLINK("https://creighton-primo.hosted.exlibrisgroup.com/primo-explore/search?tab=default_tab&amp;search_scope=EVERYTHING&amp;vid=01CRU&amp;lang=en_US&amp;offset=0&amp;query=any,contains,991005333679702656","Catalog Record")</f>
        <v/>
      </c>
      <c r="AT949">
        <f>HYPERLINK("http://www.worldcat.org/oclc/262428574","WorldCat Record")</f>
        <v/>
      </c>
      <c r="AU949" t="inlineStr">
        <is>
          <t>348884820:eng</t>
        </is>
      </c>
      <c r="AV949" t="inlineStr">
        <is>
          <t>262428574</t>
        </is>
      </c>
      <c r="AW949" t="inlineStr">
        <is>
          <t>991005333679702656</t>
        </is>
      </c>
      <c r="AX949" t="inlineStr">
        <is>
          <t>991005333679702656</t>
        </is>
      </c>
      <c r="AY949" t="inlineStr">
        <is>
          <t>2263760900002656</t>
        </is>
      </c>
      <c r="AZ949" t="inlineStr">
        <is>
          <t>BOOK</t>
        </is>
      </c>
      <c r="BB949" t="inlineStr">
        <is>
          <t>9780143115571</t>
        </is>
      </c>
      <c r="BC949" t="inlineStr">
        <is>
          <t>32285005545602</t>
        </is>
      </c>
      <c r="BD949" t="inlineStr">
        <is>
          <t>893260928</t>
        </is>
      </c>
    </row>
    <row r="950">
      <c r="A950" t="inlineStr">
        <is>
          <t>No</t>
        </is>
      </c>
      <c r="B950" t="inlineStr">
        <is>
          <t>DS371.4 .S36 2009</t>
        </is>
      </c>
      <c r="C950" t="inlineStr">
        <is>
          <t>0                      DS 0371400S  36          2009</t>
        </is>
      </c>
      <c r="D950" t="inlineStr">
        <is>
          <t>Reconciliation in Afghanistan / Michael Semple.</t>
        </is>
      </c>
      <c r="F950" t="inlineStr">
        <is>
          <t>No</t>
        </is>
      </c>
      <c r="G950" t="inlineStr">
        <is>
          <t>1</t>
        </is>
      </c>
      <c r="H950" t="inlineStr">
        <is>
          <t>No</t>
        </is>
      </c>
      <c r="I950" t="inlineStr">
        <is>
          <t>No</t>
        </is>
      </c>
      <c r="J950" t="inlineStr">
        <is>
          <t>0</t>
        </is>
      </c>
      <c r="K950" t="inlineStr">
        <is>
          <t>Semple, Michael.</t>
        </is>
      </c>
      <c r="L950" t="inlineStr">
        <is>
          <t>Washington, DC : United States Institute of Peace Press, 2009.</t>
        </is>
      </c>
      <c r="M950" t="inlineStr">
        <is>
          <t>2009</t>
        </is>
      </c>
      <c r="O950" t="inlineStr">
        <is>
          <t>eng</t>
        </is>
      </c>
      <c r="P950" t="inlineStr">
        <is>
          <t>dcu</t>
        </is>
      </c>
      <c r="Q950" t="inlineStr">
        <is>
          <t>Perspectives series</t>
        </is>
      </c>
      <c r="R950" t="inlineStr">
        <is>
          <t xml:space="preserve">DS </t>
        </is>
      </c>
      <c r="S950" t="n">
        <v>2</v>
      </c>
      <c r="T950" t="n">
        <v>2</v>
      </c>
      <c r="U950" t="inlineStr">
        <is>
          <t>2010-04-12</t>
        </is>
      </c>
      <c r="V950" t="inlineStr">
        <is>
          <t>2010-04-12</t>
        </is>
      </c>
      <c r="W950" t="inlineStr">
        <is>
          <t>2010-04-12</t>
        </is>
      </c>
      <c r="X950" t="inlineStr">
        <is>
          <t>2010-04-12</t>
        </is>
      </c>
      <c r="Y950" t="n">
        <v>192</v>
      </c>
      <c r="Z950" t="n">
        <v>136</v>
      </c>
      <c r="AA950" t="n">
        <v>138</v>
      </c>
      <c r="AB950" t="n">
        <v>2</v>
      </c>
      <c r="AC950" t="n">
        <v>2</v>
      </c>
      <c r="AD950" t="n">
        <v>5</v>
      </c>
      <c r="AE950" t="n">
        <v>5</v>
      </c>
      <c r="AF950" t="n">
        <v>1</v>
      </c>
      <c r="AG950" t="n">
        <v>1</v>
      </c>
      <c r="AH950" t="n">
        <v>3</v>
      </c>
      <c r="AI950" t="n">
        <v>3</v>
      </c>
      <c r="AJ950" t="n">
        <v>3</v>
      </c>
      <c r="AK950" t="n">
        <v>3</v>
      </c>
      <c r="AL950" t="n">
        <v>1</v>
      </c>
      <c r="AM950" t="n">
        <v>1</v>
      </c>
      <c r="AN950" t="n">
        <v>0</v>
      </c>
      <c r="AO950" t="n">
        <v>0</v>
      </c>
      <c r="AP950" t="inlineStr">
        <is>
          <t>No</t>
        </is>
      </c>
      <c r="AQ950" t="inlineStr">
        <is>
          <t>Yes</t>
        </is>
      </c>
      <c r="AR950">
        <f>HYPERLINK("http://catalog.hathitrust.org/Record/006881144","HathiTrust Record")</f>
        <v/>
      </c>
      <c r="AS950">
        <f>HYPERLINK("https://creighton-primo.hosted.exlibrisgroup.com/primo-explore/search?tab=default_tab&amp;search_scope=EVERYTHING&amp;vid=01CRU&amp;lang=en_US&amp;offset=0&amp;query=any,contains,991005381139702656","Catalog Record")</f>
        <v/>
      </c>
      <c r="AT950">
        <f>HYPERLINK("http://www.worldcat.org/oclc/318534320","WorldCat Record")</f>
        <v/>
      </c>
      <c r="AU950" t="inlineStr">
        <is>
          <t>195617954:eng</t>
        </is>
      </c>
      <c r="AV950" t="inlineStr">
        <is>
          <t>318534320</t>
        </is>
      </c>
      <c r="AW950" t="inlineStr">
        <is>
          <t>991005381139702656</t>
        </is>
      </c>
      <c r="AX950" t="inlineStr">
        <is>
          <t>991005381139702656</t>
        </is>
      </c>
      <c r="AY950" t="inlineStr">
        <is>
          <t>2263414430002656</t>
        </is>
      </c>
      <c r="AZ950" t="inlineStr">
        <is>
          <t>BOOK</t>
        </is>
      </c>
      <c r="BB950" t="inlineStr">
        <is>
          <t>9781601270429</t>
        </is>
      </c>
      <c r="BC950" t="inlineStr">
        <is>
          <t>32285005562847</t>
        </is>
      </c>
      <c r="BD950" t="inlineStr">
        <is>
          <t>893613607</t>
        </is>
      </c>
    </row>
    <row r="951">
      <c r="A951" t="inlineStr">
        <is>
          <t>No</t>
        </is>
      </c>
      <c r="B951" t="inlineStr">
        <is>
          <t>DS371.412 .J665 2009</t>
        </is>
      </c>
      <c r="C951" t="inlineStr">
        <is>
          <t>0                      DS 0371412J  665         2009</t>
        </is>
      </c>
      <c r="D951" t="inlineStr">
        <is>
          <t>In the graveyard of empires : America's war in Afghanistan / Seth G. Jones.</t>
        </is>
      </c>
      <c r="F951" t="inlineStr">
        <is>
          <t>No</t>
        </is>
      </c>
      <c r="G951" t="inlineStr">
        <is>
          <t>1</t>
        </is>
      </c>
      <c r="H951" t="inlineStr">
        <is>
          <t>No</t>
        </is>
      </c>
      <c r="I951" t="inlineStr">
        <is>
          <t>No</t>
        </is>
      </c>
      <c r="J951" t="inlineStr">
        <is>
          <t>0</t>
        </is>
      </c>
      <c r="K951" t="inlineStr">
        <is>
          <t>Jones, Seth G., 1972-</t>
        </is>
      </c>
      <c r="L951" t="inlineStr">
        <is>
          <t>New York : W.W. Norton &amp; Co., c2009.</t>
        </is>
      </c>
      <c r="M951" t="inlineStr">
        <is>
          <t>2009</t>
        </is>
      </c>
      <c r="N951" t="inlineStr">
        <is>
          <t>1st ed.</t>
        </is>
      </c>
      <c r="O951" t="inlineStr">
        <is>
          <t>eng</t>
        </is>
      </c>
      <c r="P951" t="inlineStr">
        <is>
          <t>nyu</t>
        </is>
      </c>
      <c r="R951" t="inlineStr">
        <is>
          <t xml:space="preserve">DS </t>
        </is>
      </c>
      <c r="S951" t="n">
        <v>1</v>
      </c>
      <c r="T951" t="n">
        <v>1</v>
      </c>
      <c r="U951" t="inlineStr">
        <is>
          <t>2010-04-15</t>
        </is>
      </c>
      <c r="V951" t="inlineStr">
        <is>
          <t>2010-04-15</t>
        </is>
      </c>
      <c r="W951" t="inlineStr">
        <is>
          <t>2010-04-15</t>
        </is>
      </c>
      <c r="X951" t="inlineStr">
        <is>
          <t>2010-04-15</t>
        </is>
      </c>
      <c r="Y951" t="n">
        <v>1111</v>
      </c>
      <c r="Z951" t="n">
        <v>1046</v>
      </c>
      <c r="AA951" t="n">
        <v>1415</v>
      </c>
      <c r="AB951" t="n">
        <v>5</v>
      </c>
      <c r="AC951" t="n">
        <v>6</v>
      </c>
      <c r="AD951" t="n">
        <v>23</v>
      </c>
      <c r="AE951" t="n">
        <v>31</v>
      </c>
      <c r="AF951" t="n">
        <v>11</v>
      </c>
      <c r="AG951" t="n">
        <v>13</v>
      </c>
      <c r="AH951" t="n">
        <v>5</v>
      </c>
      <c r="AI951" t="n">
        <v>8</v>
      </c>
      <c r="AJ951" t="n">
        <v>10</v>
      </c>
      <c r="AK951" t="n">
        <v>16</v>
      </c>
      <c r="AL951" t="n">
        <v>2</v>
      </c>
      <c r="AM951" t="n">
        <v>3</v>
      </c>
      <c r="AN951" t="n">
        <v>0</v>
      </c>
      <c r="AO951" t="n">
        <v>0</v>
      </c>
      <c r="AP951" t="inlineStr">
        <is>
          <t>No</t>
        </is>
      </c>
      <c r="AQ951" t="inlineStr">
        <is>
          <t>No</t>
        </is>
      </c>
      <c r="AS951">
        <f>HYPERLINK("https://creighton-primo.hosted.exlibrisgroup.com/primo-explore/search?tab=default_tab&amp;search_scope=EVERYTHING&amp;vid=01CRU&amp;lang=en_US&amp;offset=0&amp;query=any,contains,991005359159702656","Catalog Record")</f>
        <v/>
      </c>
      <c r="AT951">
        <f>HYPERLINK("http://www.worldcat.org/oclc/286488778","WorldCat Record")</f>
        <v/>
      </c>
      <c r="AU951" t="inlineStr">
        <is>
          <t>820253041:eng</t>
        </is>
      </c>
      <c r="AV951" t="inlineStr">
        <is>
          <t>286488778</t>
        </is>
      </c>
      <c r="AW951" t="inlineStr">
        <is>
          <t>991005359159702656</t>
        </is>
      </c>
      <c r="AX951" t="inlineStr">
        <is>
          <t>991005359159702656</t>
        </is>
      </c>
      <c r="AY951" t="inlineStr">
        <is>
          <t>2255130690002656</t>
        </is>
      </c>
      <c r="AZ951" t="inlineStr">
        <is>
          <t>BOOK</t>
        </is>
      </c>
      <c r="BB951" t="inlineStr">
        <is>
          <t>9780393068986</t>
        </is>
      </c>
      <c r="BC951" t="inlineStr">
        <is>
          <t>32285005564553</t>
        </is>
      </c>
      <c r="BD951" t="inlineStr">
        <is>
          <t>893707734</t>
        </is>
      </c>
    </row>
    <row r="952">
      <c r="A952" t="inlineStr">
        <is>
          <t>No</t>
        </is>
      </c>
      <c r="B952" t="inlineStr">
        <is>
          <t>DS374.B28 H65 1989</t>
        </is>
      </c>
      <c r="C952" t="inlineStr">
        <is>
          <t>0                      DS 0374000B  28                 H  65          1989</t>
        </is>
      </c>
      <c r="D952" t="inlineStr">
        <is>
          <t>Alexander the Great and Bactria : the formation of a Greek frontier in central Asia / by Frank L. Holt.</t>
        </is>
      </c>
      <c r="F952" t="inlineStr">
        <is>
          <t>No</t>
        </is>
      </c>
      <c r="G952" t="inlineStr">
        <is>
          <t>1</t>
        </is>
      </c>
      <c r="H952" t="inlineStr">
        <is>
          <t>No</t>
        </is>
      </c>
      <c r="I952" t="inlineStr">
        <is>
          <t>No</t>
        </is>
      </c>
      <c r="J952" t="inlineStr">
        <is>
          <t>0</t>
        </is>
      </c>
      <c r="K952" t="inlineStr">
        <is>
          <t>Holt, Frank Lee.</t>
        </is>
      </c>
      <c r="L952" t="inlineStr">
        <is>
          <t>Leiden ; New York : E.J. Brill, 1989.</t>
        </is>
      </c>
      <c r="M952" t="inlineStr">
        <is>
          <t>1989</t>
        </is>
      </c>
      <c r="O952" t="inlineStr">
        <is>
          <t>eng</t>
        </is>
      </c>
      <c r="P952" t="inlineStr">
        <is>
          <t xml:space="preserve">ne </t>
        </is>
      </c>
      <c r="Q952" t="inlineStr">
        <is>
          <t>Supplement to Muemosyne, 0169-8958 ; 104</t>
        </is>
      </c>
      <c r="R952" t="inlineStr">
        <is>
          <t xml:space="preserve">DS </t>
        </is>
      </c>
      <c r="S952" t="n">
        <v>8</v>
      </c>
      <c r="T952" t="n">
        <v>8</v>
      </c>
      <c r="U952" t="inlineStr">
        <is>
          <t>2009-09-18</t>
        </is>
      </c>
      <c r="V952" t="inlineStr">
        <is>
          <t>2009-09-18</t>
        </is>
      </c>
      <c r="W952" t="inlineStr">
        <is>
          <t>1992-04-13</t>
        </is>
      </c>
      <c r="X952" t="inlineStr">
        <is>
          <t>1992-04-13</t>
        </is>
      </c>
      <c r="Y952" t="n">
        <v>182</v>
      </c>
      <c r="Z952" t="n">
        <v>137</v>
      </c>
      <c r="AA952" t="n">
        <v>216</v>
      </c>
      <c r="AB952" t="n">
        <v>3</v>
      </c>
      <c r="AC952" t="n">
        <v>3</v>
      </c>
      <c r="AD952" t="n">
        <v>8</v>
      </c>
      <c r="AE952" t="n">
        <v>10</v>
      </c>
      <c r="AF952" t="n">
        <v>3</v>
      </c>
      <c r="AG952" t="n">
        <v>4</v>
      </c>
      <c r="AH952" t="n">
        <v>0</v>
      </c>
      <c r="AI952" t="n">
        <v>1</v>
      </c>
      <c r="AJ952" t="n">
        <v>6</v>
      </c>
      <c r="AK952" t="n">
        <v>8</v>
      </c>
      <c r="AL952" t="n">
        <v>2</v>
      </c>
      <c r="AM952" t="n">
        <v>2</v>
      </c>
      <c r="AN952" t="n">
        <v>0</v>
      </c>
      <c r="AO952" t="n">
        <v>0</v>
      </c>
      <c r="AP952" t="inlineStr">
        <is>
          <t>No</t>
        </is>
      </c>
      <c r="AQ952" t="inlineStr">
        <is>
          <t>No</t>
        </is>
      </c>
      <c r="AS952">
        <f>HYPERLINK("https://creighton-primo.hosted.exlibrisgroup.com/primo-explore/search?tab=default_tab&amp;search_scope=EVERYTHING&amp;vid=01CRU&amp;lang=en_US&amp;offset=0&amp;query=any,contains,991001217059702656","Catalog Record")</f>
        <v/>
      </c>
      <c r="AT952">
        <f>HYPERLINK("http://www.worldcat.org/oclc/17439144","WorldCat Record")</f>
        <v/>
      </c>
      <c r="AU952" t="inlineStr">
        <is>
          <t>15022587:eng</t>
        </is>
      </c>
      <c r="AV952" t="inlineStr">
        <is>
          <t>17439144</t>
        </is>
      </c>
      <c r="AW952" t="inlineStr">
        <is>
          <t>991001217059702656</t>
        </is>
      </c>
      <c r="AX952" t="inlineStr">
        <is>
          <t>991001217059702656</t>
        </is>
      </c>
      <c r="AY952" t="inlineStr">
        <is>
          <t>2265733000002656</t>
        </is>
      </c>
      <c r="AZ952" t="inlineStr">
        <is>
          <t>BOOK</t>
        </is>
      </c>
      <c r="BB952" t="inlineStr">
        <is>
          <t>9789004086128</t>
        </is>
      </c>
      <c r="BC952" t="inlineStr">
        <is>
          <t>32285001009785</t>
        </is>
      </c>
      <c r="BD952" t="inlineStr">
        <is>
          <t>893503206</t>
        </is>
      </c>
    </row>
    <row r="953">
      <c r="A953" t="inlineStr">
        <is>
          <t>No</t>
        </is>
      </c>
      <c r="B953" t="inlineStr">
        <is>
          <t>DS375.K2 J66 2006</t>
        </is>
      </c>
      <c r="C953" t="inlineStr">
        <is>
          <t>0                      DS 0375000K  2                  J  66          2006</t>
        </is>
      </c>
      <c r="D953" t="inlineStr">
        <is>
          <t>Kabul in winter : life without peace in Afghanistan / Ann Jones.</t>
        </is>
      </c>
      <c r="F953" t="inlineStr">
        <is>
          <t>No</t>
        </is>
      </c>
      <c r="G953" t="inlineStr">
        <is>
          <t>1</t>
        </is>
      </c>
      <c r="H953" t="inlineStr">
        <is>
          <t>No</t>
        </is>
      </c>
      <c r="I953" t="inlineStr">
        <is>
          <t>No</t>
        </is>
      </c>
      <c r="J953" t="inlineStr">
        <is>
          <t>0</t>
        </is>
      </c>
      <c r="K953" t="inlineStr">
        <is>
          <t>Jones, Ann, 1937-</t>
        </is>
      </c>
      <c r="L953" t="inlineStr">
        <is>
          <t>New York : Metropolitan, 2006.</t>
        </is>
      </c>
      <c r="M953" t="inlineStr">
        <is>
          <t>2006</t>
        </is>
      </c>
      <c r="N953" t="inlineStr">
        <is>
          <t>1st ed.</t>
        </is>
      </c>
      <c r="O953" t="inlineStr">
        <is>
          <t>eng</t>
        </is>
      </c>
      <c r="P953" t="inlineStr">
        <is>
          <t>nyu</t>
        </is>
      </c>
      <c r="R953" t="inlineStr">
        <is>
          <t xml:space="preserve">DS </t>
        </is>
      </c>
      <c r="S953" t="n">
        <v>3</v>
      </c>
      <c r="T953" t="n">
        <v>3</v>
      </c>
      <c r="U953" t="inlineStr">
        <is>
          <t>2007-09-25</t>
        </is>
      </c>
      <c r="V953" t="inlineStr">
        <is>
          <t>2007-09-25</t>
        </is>
      </c>
      <c r="W953" t="inlineStr">
        <is>
          <t>2006-07-13</t>
        </is>
      </c>
      <c r="X953" t="inlineStr">
        <is>
          <t>2006-07-13</t>
        </is>
      </c>
      <c r="Y953" t="n">
        <v>834</v>
      </c>
      <c r="Z953" t="n">
        <v>750</v>
      </c>
      <c r="AA953" t="n">
        <v>787</v>
      </c>
      <c r="AB953" t="n">
        <v>6</v>
      </c>
      <c r="AC953" t="n">
        <v>6</v>
      </c>
      <c r="AD953" t="n">
        <v>15</v>
      </c>
      <c r="AE953" t="n">
        <v>15</v>
      </c>
      <c r="AF953" t="n">
        <v>4</v>
      </c>
      <c r="AG953" t="n">
        <v>4</v>
      </c>
      <c r="AH953" t="n">
        <v>4</v>
      </c>
      <c r="AI953" t="n">
        <v>4</v>
      </c>
      <c r="AJ953" t="n">
        <v>7</v>
      </c>
      <c r="AK953" t="n">
        <v>7</v>
      </c>
      <c r="AL953" t="n">
        <v>3</v>
      </c>
      <c r="AM953" t="n">
        <v>3</v>
      </c>
      <c r="AN953" t="n">
        <v>0</v>
      </c>
      <c r="AO953" t="n">
        <v>0</v>
      </c>
      <c r="AP953" t="inlineStr">
        <is>
          <t>No</t>
        </is>
      </c>
      <c r="AQ953" t="inlineStr">
        <is>
          <t>No</t>
        </is>
      </c>
      <c r="AS953">
        <f>HYPERLINK("https://creighton-primo.hosted.exlibrisgroup.com/primo-explore/search?tab=default_tab&amp;search_scope=EVERYTHING&amp;vid=01CRU&amp;lang=en_US&amp;offset=0&amp;query=any,contains,991004837019702656","Catalog Record")</f>
        <v/>
      </c>
      <c r="AT953">
        <f>HYPERLINK("http://www.worldcat.org/oclc/61253984","WorldCat Record")</f>
        <v/>
      </c>
      <c r="AU953" t="inlineStr">
        <is>
          <t>139463085:eng</t>
        </is>
      </c>
      <c r="AV953" t="inlineStr">
        <is>
          <t>61253984</t>
        </is>
      </c>
      <c r="AW953" t="inlineStr">
        <is>
          <t>991004837019702656</t>
        </is>
      </c>
      <c r="AX953" t="inlineStr">
        <is>
          <t>991004837019702656</t>
        </is>
      </c>
      <c r="AY953" t="inlineStr">
        <is>
          <t>2260840620002656</t>
        </is>
      </c>
      <c r="AZ953" t="inlineStr">
        <is>
          <t>BOOK</t>
        </is>
      </c>
      <c r="BB953" t="inlineStr">
        <is>
          <t>9780805078848</t>
        </is>
      </c>
      <c r="BC953" t="inlineStr">
        <is>
          <t>32285005193379</t>
        </is>
      </c>
      <c r="BD953" t="inlineStr">
        <is>
          <t>893795316</t>
        </is>
      </c>
    </row>
    <row r="954">
      <c r="A954" t="inlineStr">
        <is>
          <t>No</t>
        </is>
      </c>
      <c r="B954" t="inlineStr">
        <is>
          <t>DS379 .I39</t>
        </is>
      </c>
      <c r="C954" t="inlineStr">
        <is>
          <t>0                      DS 0379000I  39</t>
        </is>
      </c>
      <c r="D954" t="inlineStr">
        <is>
          <t>The cultural heritage of Pakistan, edited by S. M. Ikram and Percival Spear.</t>
        </is>
      </c>
      <c r="F954" t="inlineStr">
        <is>
          <t>No</t>
        </is>
      </c>
      <c r="G954" t="inlineStr">
        <is>
          <t>1</t>
        </is>
      </c>
      <c r="H954" t="inlineStr">
        <is>
          <t>No</t>
        </is>
      </c>
      <c r="I954" t="inlineStr">
        <is>
          <t>No</t>
        </is>
      </c>
      <c r="J954" t="inlineStr">
        <is>
          <t>0</t>
        </is>
      </c>
      <c r="K954" t="inlineStr">
        <is>
          <t>Ikram, S. M. (Sheikh Mohamad), 1908-1973, editor.</t>
        </is>
      </c>
      <c r="L954" t="inlineStr">
        <is>
          <t>[Karachi, New York] Oxford University Press [1955]</t>
        </is>
      </c>
      <c r="M954" t="inlineStr">
        <is>
          <t>1955</t>
        </is>
      </c>
      <c r="O954" t="inlineStr">
        <is>
          <t>eng</t>
        </is>
      </c>
      <c r="P954" t="inlineStr">
        <is>
          <t xml:space="preserve">pk </t>
        </is>
      </c>
      <c r="R954" t="inlineStr">
        <is>
          <t xml:space="preserve">DS </t>
        </is>
      </c>
      <c r="S954" t="n">
        <v>3</v>
      </c>
      <c r="T954" t="n">
        <v>3</v>
      </c>
      <c r="U954" t="inlineStr">
        <is>
          <t>2000-03-15</t>
        </is>
      </c>
      <c r="V954" t="inlineStr">
        <is>
          <t>2000-03-15</t>
        </is>
      </c>
      <c r="W954" t="inlineStr">
        <is>
          <t>1997-03-06</t>
        </is>
      </c>
      <c r="X954" t="inlineStr">
        <is>
          <t>1997-03-06</t>
        </is>
      </c>
      <c r="Y954" t="n">
        <v>365</v>
      </c>
      <c r="Z954" t="n">
        <v>304</v>
      </c>
      <c r="AA954" t="n">
        <v>312</v>
      </c>
      <c r="AB954" t="n">
        <v>3</v>
      </c>
      <c r="AC954" t="n">
        <v>3</v>
      </c>
      <c r="AD954" t="n">
        <v>12</v>
      </c>
      <c r="AE954" t="n">
        <v>12</v>
      </c>
      <c r="AF954" t="n">
        <v>2</v>
      </c>
      <c r="AG954" t="n">
        <v>2</v>
      </c>
      <c r="AH954" t="n">
        <v>5</v>
      </c>
      <c r="AI954" t="n">
        <v>5</v>
      </c>
      <c r="AJ954" t="n">
        <v>7</v>
      </c>
      <c r="AK954" t="n">
        <v>7</v>
      </c>
      <c r="AL954" t="n">
        <v>2</v>
      </c>
      <c r="AM954" t="n">
        <v>2</v>
      </c>
      <c r="AN954" t="n">
        <v>0</v>
      </c>
      <c r="AO954" t="n">
        <v>0</v>
      </c>
      <c r="AP954" t="inlineStr">
        <is>
          <t>No</t>
        </is>
      </c>
      <c r="AQ954" t="inlineStr">
        <is>
          <t>Yes</t>
        </is>
      </c>
      <c r="AR954">
        <f>HYPERLINK("http://catalog.hathitrust.org/Record/001249222","HathiTrust Record")</f>
        <v/>
      </c>
      <c r="AS954">
        <f>HYPERLINK("https://creighton-primo.hosted.exlibrisgroup.com/primo-explore/search?tab=default_tab&amp;search_scope=EVERYTHING&amp;vid=01CRU&amp;lang=en_US&amp;offset=0&amp;query=any,contains,991002711109702656","Catalog Record")</f>
        <v/>
      </c>
      <c r="AT954">
        <f>HYPERLINK("http://www.worldcat.org/oclc/409290","WorldCat Record")</f>
        <v/>
      </c>
      <c r="AU954" t="inlineStr">
        <is>
          <t>1446626:eng</t>
        </is>
      </c>
      <c r="AV954" t="inlineStr">
        <is>
          <t>409290</t>
        </is>
      </c>
      <c r="AW954" t="inlineStr">
        <is>
          <t>991002711109702656</t>
        </is>
      </c>
      <c r="AX954" t="inlineStr">
        <is>
          <t>991002711109702656</t>
        </is>
      </c>
      <c r="AY954" t="inlineStr">
        <is>
          <t>2262177930002656</t>
        </is>
      </c>
      <c r="AZ954" t="inlineStr">
        <is>
          <t>BOOK</t>
        </is>
      </c>
      <c r="BC954" t="inlineStr">
        <is>
          <t>32285002455896</t>
        </is>
      </c>
      <c r="BD954" t="inlineStr">
        <is>
          <t>893233324</t>
        </is>
      </c>
    </row>
    <row r="955">
      <c r="A955" t="inlineStr">
        <is>
          <t>No</t>
        </is>
      </c>
      <c r="B955" t="inlineStr">
        <is>
          <t>DS38 .F295</t>
        </is>
      </c>
      <c r="C955" t="inlineStr">
        <is>
          <t>0                      DS 0038000F  295</t>
        </is>
      </c>
      <c r="D955" t="inlineStr">
        <is>
          <t>On Arabism.</t>
        </is>
      </c>
      <c r="E955" t="inlineStr">
        <is>
          <t>V.1</t>
        </is>
      </c>
      <c r="F955" t="inlineStr">
        <is>
          <t>Yes</t>
        </is>
      </c>
      <c r="G955" t="inlineStr">
        <is>
          <t>1</t>
        </is>
      </c>
      <c r="H955" t="inlineStr">
        <is>
          <t>No</t>
        </is>
      </c>
      <c r="I955" t="inlineStr">
        <is>
          <t>No</t>
        </is>
      </c>
      <c r="J955" t="inlineStr">
        <is>
          <t>0</t>
        </is>
      </c>
      <c r="K955" t="inlineStr">
        <is>
          <t>Al-Faruqi, Ismaʼil R., 1921-1986.</t>
        </is>
      </c>
      <c r="L955" t="inlineStr">
        <is>
          <t>Amsterdam, Djambatan [c1962-</t>
        </is>
      </c>
      <c r="M955" t="inlineStr">
        <is>
          <t>1962</t>
        </is>
      </c>
      <c r="O955" t="inlineStr">
        <is>
          <t>eng</t>
        </is>
      </c>
      <c r="P955" t="inlineStr">
        <is>
          <t xml:space="preserve">ne </t>
        </is>
      </c>
      <c r="R955" t="inlineStr">
        <is>
          <t xml:space="preserve">DS </t>
        </is>
      </c>
      <c r="S955" t="n">
        <v>0</v>
      </c>
      <c r="T955" t="n">
        <v>0</v>
      </c>
      <c r="U955" t="inlineStr">
        <is>
          <t>2009-03-26</t>
        </is>
      </c>
      <c r="V955" t="inlineStr">
        <is>
          <t>2009-03-26</t>
        </is>
      </c>
      <c r="W955" t="inlineStr">
        <is>
          <t>1997-02-20</t>
        </is>
      </c>
      <c r="X955" t="inlineStr">
        <is>
          <t>1997-02-20</t>
        </is>
      </c>
      <c r="Y955" t="n">
        <v>84</v>
      </c>
      <c r="Z955" t="n">
        <v>60</v>
      </c>
      <c r="AA955" t="n">
        <v>62</v>
      </c>
      <c r="AB955" t="n">
        <v>1</v>
      </c>
      <c r="AC955" t="n">
        <v>1</v>
      </c>
      <c r="AD955" t="n">
        <v>2</v>
      </c>
      <c r="AE955" t="n">
        <v>2</v>
      </c>
      <c r="AF955" t="n">
        <v>0</v>
      </c>
      <c r="AG955" t="n">
        <v>0</v>
      </c>
      <c r="AH955" t="n">
        <v>1</v>
      </c>
      <c r="AI955" t="n">
        <v>1</v>
      </c>
      <c r="AJ955" t="n">
        <v>2</v>
      </c>
      <c r="AK955" t="n">
        <v>2</v>
      </c>
      <c r="AL955" t="n">
        <v>0</v>
      </c>
      <c r="AM955" t="n">
        <v>0</v>
      </c>
      <c r="AN955" t="n">
        <v>0</v>
      </c>
      <c r="AO955" t="n">
        <v>0</v>
      </c>
      <c r="AP955" t="inlineStr">
        <is>
          <t>No</t>
        </is>
      </c>
      <c r="AQ955" t="inlineStr">
        <is>
          <t>Yes</t>
        </is>
      </c>
      <c r="AR955">
        <f>HYPERLINK("http://catalog.hathitrust.org/Record/009522292","HathiTrust Record")</f>
        <v/>
      </c>
      <c r="AS955">
        <f>HYPERLINK("https://creighton-primo.hosted.exlibrisgroup.com/primo-explore/search?tab=default_tab&amp;search_scope=EVERYTHING&amp;vid=01CRU&amp;lang=en_US&amp;offset=0&amp;query=any,contains,991005222049702656","Catalog Record")</f>
        <v/>
      </c>
      <c r="AT955">
        <f>HYPERLINK("http://www.worldcat.org/oclc/1400659","WorldCat Record")</f>
        <v/>
      </c>
      <c r="AU955" t="inlineStr">
        <is>
          <t>3768682249:dut</t>
        </is>
      </c>
      <c r="AV955" t="inlineStr">
        <is>
          <t>1400659</t>
        </is>
      </c>
      <c r="AW955" t="inlineStr">
        <is>
          <t>991005222049702656</t>
        </is>
      </c>
      <c r="AX955" t="inlineStr">
        <is>
          <t>991005222049702656</t>
        </is>
      </c>
      <c r="AY955" t="inlineStr">
        <is>
          <t>2266454650002656</t>
        </is>
      </c>
      <c r="AZ955" t="inlineStr">
        <is>
          <t>BOOK</t>
        </is>
      </c>
      <c r="BC955" t="inlineStr">
        <is>
          <t>32285002467487</t>
        </is>
      </c>
      <c r="BD955" t="inlineStr">
        <is>
          <t>893443613</t>
        </is>
      </c>
    </row>
    <row r="956">
      <c r="A956" t="inlineStr">
        <is>
          <t>No</t>
        </is>
      </c>
      <c r="B956" t="inlineStr">
        <is>
          <t>DS38 .O38 1979</t>
        </is>
      </c>
      <c r="C956" t="inlineStr">
        <is>
          <t>0                      DS 0038000O  38          1979</t>
        </is>
      </c>
      <c r="D956" t="inlineStr">
        <is>
          <t>How Greek science passed to the Arabs / by De Lacy O'Leary.</t>
        </is>
      </c>
      <c r="F956" t="inlineStr">
        <is>
          <t>No</t>
        </is>
      </c>
      <c r="G956" t="inlineStr">
        <is>
          <t>1</t>
        </is>
      </c>
      <c r="H956" t="inlineStr">
        <is>
          <t>No</t>
        </is>
      </c>
      <c r="I956" t="inlineStr">
        <is>
          <t>No</t>
        </is>
      </c>
      <c r="J956" t="inlineStr">
        <is>
          <t>0</t>
        </is>
      </c>
      <c r="K956" t="inlineStr">
        <is>
          <t>O'Leary, De Lacy, 1872-1957.</t>
        </is>
      </c>
      <c r="L956" t="inlineStr">
        <is>
          <t>Chicago : Ares Publishers, 1979.</t>
        </is>
      </c>
      <c r="M956" t="inlineStr">
        <is>
          <t>1979</t>
        </is>
      </c>
      <c r="O956" t="inlineStr">
        <is>
          <t>eng</t>
        </is>
      </c>
      <c r="P956" t="inlineStr">
        <is>
          <t>ilu</t>
        </is>
      </c>
      <c r="R956" t="inlineStr">
        <is>
          <t xml:space="preserve">DS </t>
        </is>
      </c>
      <c r="S956" t="n">
        <v>1</v>
      </c>
      <c r="T956" t="n">
        <v>1</v>
      </c>
      <c r="U956" t="inlineStr">
        <is>
          <t>2001-02-28</t>
        </is>
      </c>
      <c r="V956" t="inlineStr">
        <is>
          <t>2001-02-28</t>
        </is>
      </c>
      <c r="W956" t="inlineStr">
        <is>
          <t>1990-09-13</t>
        </is>
      </c>
      <c r="X956" t="inlineStr">
        <is>
          <t>1990-09-13</t>
        </is>
      </c>
      <c r="Y956" t="n">
        <v>16</v>
      </c>
      <c r="Z956" t="n">
        <v>13</v>
      </c>
      <c r="AA956" t="n">
        <v>731</v>
      </c>
      <c r="AB956" t="n">
        <v>1</v>
      </c>
      <c r="AC956" t="n">
        <v>5</v>
      </c>
      <c r="AD956" t="n">
        <v>0</v>
      </c>
      <c r="AE956" t="n">
        <v>40</v>
      </c>
      <c r="AF956" t="n">
        <v>0</v>
      </c>
      <c r="AG956" t="n">
        <v>17</v>
      </c>
      <c r="AH956" t="n">
        <v>0</v>
      </c>
      <c r="AI956" t="n">
        <v>7</v>
      </c>
      <c r="AJ956" t="n">
        <v>0</v>
      </c>
      <c r="AK956" t="n">
        <v>24</v>
      </c>
      <c r="AL956" t="n">
        <v>0</v>
      </c>
      <c r="AM956" t="n">
        <v>3</v>
      </c>
      <c r="AN956" t="n">
        <v>0</v>
      </c>
      <c r="AO956" t="n">
        <v>0</v>
      </c>
      <c r="AP956" t="inlineStr">
        <is>
          <t>No</t>
        </is>
      </c>
      <c r="AQ956" t="inlineStr">
        <is>
          <t>No</t>
        </is>
      </c>
      <c r="AS956">
        <f>HYPERLINK("https://creighton-primo.hosted.exlibrisgroup.com/primo-explore/search?tab=default_tab&amp;search_scope=EVERYTHING&amp;vid=01CRU&amp;lang=en_US&amp;offset=0&amp;query=any,contains,991005169559702656","Catalog Record")</f>
        <v/>
      </c>
      <c r="AT956">
        <f>HYPERLINK("http://www.worldcat.org/oclc/7839699","WorldCat Record")</f>
        <v/>
      </c>
      <c r="AU956" t="inlineStr">
        <is>
          <t>445520:eng</t>
        </is>
      </c>
      <c r="AV956" t="inlineStr">
        <is>
          <t>7839699</t>
        </is>
      </c>
      <c r="AW956" t="inlineStr">
        <is>
          <t>991005169559702656</t>
        </is>
      </c>
      <c r="AX956" t="inlineStr">
        <is>
          <t>991005169559702656</t>
        </is>
      </c>
      <c r="AY956" t="inlineStr">
        <is>
          <t>2263290030002656</t>
        </is>
      </c>
      <c r="AZ956" t="inlineStr">
        <is>
          <t>BOOK</t>
        </is>
      </c>
      <c r="BC956" t="inlineStr">
        <is>
          <t>32285000291541</t>
        </is>
      </c>
      <c r="BD956" t="inlineStr">
        <is>
          <t>893260660</t>
        </is>
      </c>
    </row>
    <row r="957">
      <c r="A957" t="inlineStr">
        <is>
          <t>No</t>
        </is>
      </c>
      <c r="B957" t="inlineStr">
        <is>
          <t>DS38 .S3</t>
        </is>
      </c>
      <c r="C957" t="inlineStr">
        <is>
          <t>0                      DS 0038000S  3</t>
        </is>
      </c>
      <c r="D957" t="inlineStr">
        <is>
          <t>Introduction to the history of the Muslim East: a bibliographical guide. Based on the 2d ed. as recast by Claude Cahen.</t>
        </is>
      </c>
      <c r="F957" t="inlineStr">
        <is>
          <t>No</t>
        </is>
      </c>
      <c r="G957" t="inlineStr">
        <is>
          <t>1</t>
        </is>
      </c>
      <c r="H957" t="inlineStr">
        <is>
          <t>No</t>
        </is>
      </c>
      <c r="I957" t="inlineStr">
        <is>
          <t>No</t>
        </is>
      </c>
      <c r="J957" t="inlineStr">
        <is>
          <t>0</t>
        </is>
      </c>
      <c r="K957" t="inlineStr">
        <is>
          <t>Sauvaget, Jean, 1901-1950.</t>
        </is>
      </c>
      <c r="L957" t="inlineStr">
        <is>
          <t>Berkeley, University of California Press, 1965.</t>
        </is>
      </c>
      <c r="M957" t="inlineStr">
        <is>
          <t>1965</t>
        </is>
      </c>
      <c r="O957" t="inlineStr">
        <is>
          <t>eng</t>
        </is>
      </c>
      <c r="P957" t="inlineStr">
        <is>
          <t>cau</t>
        </is>
      </c>
      <c r="R957" t="inlineStr">
        <is>
          <t xml:space="preserve">DS </t>
        </is>
      </c>
      <c r="S957" t="n">
        <v>3</v>
      </c>
      <c r="T957" t="n">
        <v>3</v>
      </c>
      <c r="U957" t="inlineStr">
        <is>
          <t>2000-11-25</t>
        </is>
      </c>
      <c r="V957" t="inlineStr">
        <is>
          <t>2000-11-25</t>
        </is>
      </c>
      <c r="W957" t="inlineStr">
        <is>
          <t>1997-02-20</t>
        </is>
      </c>
      <c r="X957" t="inlineStr">
        <is>
          <t>1997-02-20</t>
        </is>
      </c>
      <c r="Y957" t="n">
        <v>451</v>
      </c>
      <c r="Z957" t="n">
        <v>387</v>
      </c>
      <c r="AA957" t="n">
        <v>422</v>
      </c>
      <c r="AB957" t="n">
        <v>2</v>
      </c>
      <c r="AC957" t="n">
        <v>2</v>
      </c>
      <c r="AD957" t="n">
        <v>17</v>
      </c>
      <c r="AE957" t="n">
        <v>18</v>
      </c>
      <c r="AF957" t="n">
        <v>3</v>
      </c>
      <c r="AG957" t="n">
        <v>3</v>
      </c>
      <c r="AH957" t="n">
        <v>5</v>
      </c>
      <c r="AI957" t="n">
        <v>6</v>
      </c>
      <c r="AJ957" t="n">
        <v>11</v>
      </c>
      <c r="AK957" t="n">
        <v>12</v>
      </c>
      <c r="AL957" t="n">
        <v>1</v>
      </c>
      <c r="AM957" t="n">
        <v>1</v>
      </c>
      <c r="AN957" t="n">
        <v>0</v>
      </c>
      <c r="AO957" t="n">
        <v>0</v>
      </c>
      <c r="AP957" t="inlineStr">
        <is>
          <t>No</t>
        </is>
      </c>
      <c r="AQ957" t="inlineStr">
        <is>
          <t>Yes</t>
        </is>
      </c>
      <c r="AR957">
        <f>HYPERLINK("http://catalog.hathitrust.org/Record/001177253","HathiTrust Record")</f>
        <v/>
      </c>
      <c r="AS957">
        <f>HYPERLINK("https://creighton-primo.hosted.exlibrisgroup.com/primo-explore/search?tab=default_tab&amp;search_scope=EVERYTHING&amp;vid=01CRU&amp;lang=en_US&amp;offset=0&amp;query=any,contains,991003009789702656","Catalog Record")</f>
        <v/>
      </c>
      <c r="AT957">
        <f>HYPERLINK("http://www.worldcat.org/oclc/577029","WorldCat Record")</f>
        <v/>
      </c>
      <c r="AU957" t="inlineStr">
        <is>
          <t>2864965709:eng</t>
        </is>
      </c>
      <c r="AV957" t="inlineStr">
        <is>
          <t>577029</t>
        </is>
      </c>
      <c r="AW957" t="inlineStr">
        <is>
          <t>991003009789702656</t>
        </is>
      </c>
      <c r="AX957" t="inlineStr">
        <is>
          <t>991003009789702656</t>
        </is>
      </c>
      <c r="AY957" t="inlineStr">
        <is>
          <t>2259310520002656</t>
        </is>
      </c>
      <c r="AZ957" t="inlineStr">
        <is>
          <t>BOOK</t>
        </is>
      </c>
      <c r="BC957" t="inlineStr">
        <is>
          <t>32285002467545</t>
        </is>
      </c>
      <c r="BD957" t="inlineStr">
        <is>
          <t>893352640</t>
        </is>
      </c>
    </row>
    <row r="958">
      <c r="A958" t="inlineStr">
        <is>
          <t>No</t>
        </is>
      </c>
      <c r="B958" t="inlineStr">
        <is>
          <t>DS38 .S56</t>
        </is>
      </c>
      <c r="C958" t="inlineStr">
        <is>
          <t>0                      DS 0038000S  56</t>
        </is>
      </c>
      <c r="D958" t="inlineStr">
        <is>
          <t>Islam in modern history.</t>
        </is>
      </c>
      <c r="F958" t="inlineStr">
        <is>
          <t>No</t>
        </is>
      </c>
      <c r="G958" t="inlineStr">
        <is>
          <t>1</t>
        </is>
      </c>
      <c r="H958" t="inlineStr">
        <is>
          <t>No</t>
        </is>
      </c>
      <c r="I958" t="inlineStr">
        <is>
          <t>No</t>
        </is>
      </c>
      <c r="J958" t="inlineStr">
        <is>
          <t>0</t>
        </is>
      </c>
      <c r="K958" t="inlineStr">
        <is>
          <t>Smith, Wilfred Cantwell, 1916-2000.</t>
        </is>
      </c>
      <c r="L958" t="inlineStr">
        <is>
          <t>Princeton, Princeton University Press, 1957.</t>
        </is>
      </c>
      <c r="M958" t="inlineStr">
        <is>
          <t>1957</t>
        </is>
      </c>
      <c r="O958" t="inlineStr">
        <is>
          <t>eng</t>
        </is>
      </c>
      <c r="P958" t="inlineStr">
        <is>
          <t>nju</t>
        </is>
      </c>
      <c r="R958" t="inlineStr">
        <is>
          <t xml:space="preserve">DS </t>
        </is>
      </c>
      <c r="S958" t="n">
        <v>5</v>
      </c>
      <c r="T958" t="n">
        <v>5</v>
      </c>
      <c r="U958" t="inlineStr">
        <is>
          <t>1998-01-19</t>
        </is>
      </c>
      <c r="V958" t="inlineStr">
        <is>
          <t>1998-01-19</t>
        </is>
      </c>
      <c r="W958" t="inlineStr">
        <is>
          <t>1997-02-20</t>
        </is>
      </c>
      <c r="X958" t="inlineStr">
        <is>
          <t>1997-02-20</t>
        </is>
      </c>
      <c r="Y958" t="n">
        <v>1210</v>
      </c>
      <c r="Z958" t="n">
        <v>1010</v>
      </c>
      <c r="AA958" t="n">
        <v>1274</v>
      </c>
      <c r="AB958" t="n">
        <v>5</v>
      </c>
      <c r="AC958" t="n">
        <v>9</v>
      </c>
      <c r="AD958" t="n">
        <v>38</v>
      </c>
      <c r="AE958" t="n">
        <v>49</v>
      </c>
      <c r="AF958" t="n">
        <v>14</v>
      </c>
      <c r="AG958" t="n">
        <v>19</v>
      </c>
      <c r="AH958" t="n">
        <v>7</v>
      </c>
      <c r="AI958" t="n">
        <v>10</v>
      </c>
      <c r="AJ958" t="n">
        <v>20</v>
      </c>
      <c r="AK958" t="n">
        <v>24</v>
      </c>
      <c r="AL958" t="n">
        <v>4</v>
      </c>
      <c r="AM958" t="n">
        <v>6</v>
      </c>
      <c r="AN958" t="n">
        <v>1</v>
      </c>
      <c r="AO958" t="n">
        <v>1</v>
      </c>
      <c r="AP958" t="inlineStr">
        <is>
          <t>No</t>
        </is>
      </c>
      <c r="AQ958" t="inlineStr">
        <is>
          <t>No</t>
        </is>
      </c>
      <c r="AR958">
        <f>HYPERLINK("http://catalog.hathitrust.org/Record/001240515","HathiTrust Record")</f>
        <v/>
      </c>
      <c r="AS958">
        <f>HYPERLINK("https://creighton-primo.hosted.exlibrisgroup.com/primo-explore/search?tab=default_tab&amp;search_scope=EVERYTHING&amp;vid=01CRU&amp;lang=en_US&amp;offset=0&amp;query=any,contains,991002678169702656","Catalog Record")</f>
        <v/>
      </c>
      <c r="AT958">
        <f>HYPERLINK("http://www.worldcat.org/oclc/397585","WorldCat Record")</f>
        <v/>
      </c>
      <c r="AU958" t="inlineStr">
        <is>
          <t>57997537:eng</t>
        </is>
      </c>
      <c r="AV958" t="inlineStr">
        <is>
          <t>397585</t>
        </is>
      </c>
      <c r="AW958" t="inlineStr">
        <is>
          <t>991002678169702656</t>
        </is>
      </c>
      <c r="AX958" t="inlineStr">
        <is>
          <t>991002678169702656</t>
        </is>
      </c>
      <c r="AY958" t="inlineStr">
        <is>
          <t>2261691770002656</t>
        </is>
      </c>
      <c r="AZ958" t="inlineStr">
        <is>
          <t>BOOK</t>
        </is>
      </c>
      <c r="BC958" t="inlineStr">
        <is>
          <t>32285002467560</t>
        </is>
      </c>
      <c r="BD958" t="inlineStr">
        <is>
          <t>893511053</t>
        </is>
      </c>
    </row>
    <row r="959">
      <c r="A959" t="inlineStr">
        <is>
          <t>No</t>
        </is>
      </c>
      <c r="B959" t="inlineStr">
        <is>
          <t>DS38 .V6</t>
        </is>
      </c>
      <c r="C959" t="inlineStr">
        <is>
          <t>0                      DS 0038000V  6</t>
        </is>
      </c>
      <c r="D959" t="inlineStr">
        <is>
          <t>Unity and variety in Muslim civilization. Edited by Gustave E. von Grunebaum, with papers by Armand Abel [and others.</t>
        </is>
      </c>
      <c r="F959" t="inlineStr">
        <is>
          <t>No</t>
        </is>
      </c>
      <c r="G959" t="inlineStr">
        <is>
          <t>1</t>
        </is>
      </c>
      <c r="H959" t="inlineStr">
        <is>
          <t>No</t>
        </is>
      </c>
      <c r="I959" t="inlineStr">
        <is>
          <t>No</t>
        </is>
      </c>
      <c r="J959" t="inlineStr">
        <is>
          <t>0</t>
        </is>
      </c>
      <c r="K959" t="inlineStr">
        <is>
          <t>Grunebaum, Gustave E. von (Gustave Edmund), 1909-1972 editor.</t>
        </is>
      </c>
      <c r="L959" t="inlineStr">
        <is>
          <t>Chicago] University of Chicago Press, [1955]</t>
        </is>
      </c>
      <c r="M959" t="inlineStr">
        <is>
          <t>1955</t>
        </is>
      </c>
      <c r="O959" t="inlineStr">
        <is>
          <t>eng</t>
        </is>
      </c>
      <c r="P959" t="inlineStr">
        <is>
          <t>ilu</t>
        </is>
      </c>
      <c r="Q959" t="inlineStr">
        <is>
          <t>Comparative studies of cultures and civilizations ; no. 7</t>
        </is>
      </c>
      <c r="R959" t="inlineStr">
        <is>
          <t xml:space="preserve">DS </t>
        </is>
      </c>
      <c r="S959" t="n">
        <v>6</v>
      </c>
      <c r="T959" t="n">
        <v>6</v>
      </c>
      <c r="U959" t="inlineStr">
        <is>
          <t>2004-06-15</t>
        </is>
      </c>
      <c r="V959" t="inlineStr">
        <is>
          <t>2004-06-15</t>
        </is>
      </c>
      <c r="W959" t="inlineStr">
        <is>
          <t>1996-08-02</t>
        </is>
      </c>
      <c r="X959" t="inlineStr">
        <is>
          <t>1996-08-02</t>
        </is>
      </c>
      <c r="Y959" t="n">
        <v>629</v>
      </c>
      <c r="Z959" t="n">
        <v>525</v>
      </c>
      <c r="AA959" t="n">
        <v>631</v>
      </c>
      <c r="AB959" t="n">
        <v>4</v>
      </c>
      <c r="AC959" t="n">
        <v>4</v>
      </c>
      <c r="AD959" t="n">
        <v>24</v>
      </c>
      <c r="AE959" t="n">
        <v>30</v>
      </c>
      <c r="AF959" t="n">
        <v>7</v>
      </c>
      <c r="AG959" t="n">
        <v>10</v>
      </c>
      <c r="AH959" t="n">
        <v>6</v>
      </c>
      <c r="AI959" t="n">
        <v>7</v>
      </c>
      <c r="AJ959" t="n">
        <v>12</v>
      </c>
      <c r="AK959" t="n">
        <v>17</v>
      </c>
      <c r="AL959" t="n">
        <v>3</v>
      </c>
      <c r="AM959" t="n">
        <v>3</v>
      </c>
      <c r="AN959" t="n">
        <v>0</v>
      </c>
      <c r="AO959" t="n">
        <v>0</v>
      </c>
      <c r="AP959" t="inlineStr">
        <is>
          <t>No</t>
        </is>
      </c>
      <c r="AQ959" t="inlineStr">
        <is>
          <t>No</t>
        </is>
      </c>
      <c r="AS959">
        <f>HYPERLINK("https://creighton-primo.hosted.exlibrisgroup.com/primo-explore/search?tab=default_tab&amp;search_scope=EVERYTHING&amp;vid=01CRU&amp;lang=en_US&amp;offset=0&amp;query=any,contains,991004739059702656","Catalog Record")</f>
        <v/>
      </c>
      <c r="AT959">
        <f>HYPERLINK("http://www.worldcat.org/oclc/4872395","WorldCat Record")</f>
        <v/>
      </c>
      <c r="AU959" t="inlineStr">
        <is>
          <t>1074879540:eng</t>
        </is>
      </c>
      <c r="AV959" t="inlineStr">
        <is>
          <t>4872395</t>
        </is>
      </c>
      <c r="AW959" t="inlineStr">
        <is>
          <t>991004739059702656</t>
        </is>
      </c>
      <c r="AX959" t="inlineStr">
        <is>
          <t>991004739059702656</t>
        </is>
      </c>
      <c r="AY959" t="inlineStr">
        <is>
          <t>2262427210002656</t>
        </is>
      </c>
      <c r="AZ959" t="inlineStr">
        <is>
          <t>BOOK</t>
        </is>
      </c>
      <c r="BC959" t="inlineStr">
        <is>
          <t>32285002209509</t>
        </is>
      </c>
      <c r="BD959" t="inlineStr">
        <is>
          <t>893260113</t>
        </is>
      </c>
    </row>
    <row r="960">
      <c r="A960" t="inlineStr">
        <is>
          <t>No</t>
        </is>
      </c>
      <c r="B960" t="inlineStr">
        <is>
          <t>DS38.1 .I78 2001</t>
        </is>
      </c>
      <c r="C960" t="inlineStr">
        <is>
          <t>0                      DS 0038100I  78          2001</t>
        </is>
      </c>
      <c r="D960" t="inlineStr">
        <is>
          <t>Diplomacy and diplomatic practice in the early Islamic era / Yasin Istanbuli.</t>
        </is>
      </c>
      <c r="F960" t="inlineStr">
        <is>
          <t>No</t>
        </is>
      </c>
      <c r="G960" t="inlineStr">
        <is>
          <t>1</t>
        </is>
      </c>
      <c r="H960" t="inlineStr">
        <is>
          <t>No</t>
        </is>
      </c>
      <c r="I960" t="inlineStr">
        <is>
          <t>No</t>
        </is>
      </c>
      <c r="J960" t="inlineStr">
        <is>
          <t>0</t>
        </is>
      </c>
      <c r="K960" t="inlineStr">
        <is>
          <t>Istanbuli, Yasin.</t>
        </is>
      </c>
      <c r="L960" t="inlineStr">
        <is>
          <t>Karachi : Oxford University Press, 2001.</t>
        </is>
      </c>
      <c r="M960" t="inlineStr">
        <is>
          <t>2001</t>
        </is>
      </c>
      <c r="O960" t="inlineStr">
        <is>
          <t>eng</t>
        </is>
      </c>
      <c r="P960" t="inlineStr">
        <is>
          <t xml:space="preserve">pk </t>
        </is>
      </c>
      <c r="R960" t="inlineStr">
        <is>
          <t xml:space="preserve">DS </t>
        </is>
      </c>
      <c r="S960" t="n">
        <v>4</v>
      </c>
      <c r="T960" t="n">
        <v>4</v>
      </c>
      <c r="U960" t="inlineStr">
        <is>
          <t>2008-01-18</t>
        </is>
      </c>
      <c r="V960" t="inlineStr">
        <is>
          <t>2008-01-18</t>
        </is>
      </c>
      <c r="W960" t="inlineStr">
        <is>
          <t>2002-03-27</t>
        </is>
      </c>
      <c r="X960" t="inlineStr">
        <is>
          <t>2002-03-27</t>
        </is>
      </c>
      <c r="Y960" t="n">
        <v>187</v>
      </c>
      <c r="Z960" t="n">
        <v>156</v>
      </c>
      <c r="AA960" t="n">
        <v>157</v>
      </c>
      <c r="AB960" t="n">
        <v>3</v>
      </c>
      <c r="AC960" t="n">
        <v>3</v>
      </c>
      <c r="AD960" t="n">
        <v>11</v>
      </c>
      <c r="AE960" t="n">
        <v>11</v>
      </c>
      <c r="AF960" t="n">
        <v>1</v>
      </c>
      <c r="AG960" t="n">
        <v>1</v>
      </c>
      <c r="AH960" t="n">
        <v>4</v>
      </c>
      <c r="AI960" t="n">
        <v>4</v>
      </c>
      <c r="AJ960" t="n">
        <v>7</v>
      </c>
      <c r="AK960" t="n">
        <v>7</v>
      </c>
      <c r="AL960" t="n">
        <v>2</v>
      </c>
      <c r="AM960" t="n">
        <v>2</v>
      </c>
      <c r="AN960" t="n">
        <v>0</v>
      </c>
      <c r="AO960" t="n">
        <v>0</v>
      </c>
      <c r="AP960" t="inlineStr">
        <is>
          <t>No</t>
        </is>
      </c>
      <c r="AQ960" t="inlineStr">
        <is>
          <t>Yes</t>
        </is>
      </c>
      <c r="AR960">
        <f>HYPERLINK("http://catalog.hathitrust.org/Record/003558270","HathiTrust Record")</f>
        <v/>
      </c>
      <c r="AS960">
        <f>HYPERLINK("https://creighton-primo.hosted.exlibrisgroup.com/primo-explore/search?tab=default_tab&amp;search_scope=EVERYTHING&amp;vid=01CRU&amp;lang=en_US&amp;offset=0&amp;query=any,contains,991003742749702656","Catalog Record")</f>
        <v/>
      </c>
      <c r="AT960">
        <f>HYPERLINK("http://www.worldcat.org/oclc/46733718","WorldCat Record")</f>
        <v/>
      </c>
      <c r="AU960" t="inlineStr">
        <is>
          <t>36087406:eng</t>
        </is>
      </c>
      <c r="AV960" t="inlineStr">
        <is>
          <t>46733718</t>
        </is>
      </c>
      <c r="AW960" t="inlineStr">
        <is>
          <t>991003742749702656</t>
        </is>
      </c>
      <c r="AX960" t="inlineStr">
        <is>
          <t>991003742749702656</t>
        </is>
      </c>
      <c r="AY960" t="inlineStr">
        <is>
          <t>2260834860002656</t>
        </is>
      </c>
      <c r="AZ960" t="inlineStr">
        <is>
          <t>BOOK</t>
        </is>
      </c>
      <c r="BB960" t="inlineStr">
        <is>
          <t>9780195793031</t>
        </is>
      </c>
      <c r="BC960" t="inlineStr">
        <is>
          <t>32285004464896</t>
        </is>
      </c>
      <c r="BD960" t="inlineStr">
        <is>
          <t>893258793</t>
        </is>
      </c>
    </row>
    <row r="961">
      <c r="A961" t="inlineStr">
        <is>
          <t>No</t>
        </is>
      </c>
      <c r="B961" t="inlineStr">
        <is>
          <t>DS38.1 .W3642 1981</t>
        </is>
      </c>
      <c r="C961" t="inlineStr">
        <is>
          <t>0                      DS 0038100W  3642        1981</t>
        </is>
      </c>
      <c r="D961" t="inlineStr">
        <is>
          <t>History of Muhammad's campaigns / by Aboo ʼAbd Ollah Mohammad ʼbin Omar al-Wákidy ; edited by Alfred von Kremer.</t>
        </is>
      </c>
      <c r="F961" t="inlineStr">
        <is>
          <t>No</t>
        </is>
      </c>
      <c r="G961" t="inlineStr">
        <is>
          <t>1</t>
        </is>
      </c>
      <c r="H961" t="inlineStr">
        <is>
          <t>No</t>
        </is>
      </c>
      <c r="I961" t="inlineStr">
        <is>
          <t>No</t>
        </is>
      </c>
      <c r="J961" t="inlineStr">
        <is>
          <t>0</t>
        </is>
      </c>
      <c r="K961" t="inlineStr">
        <is>
          <t>Wāqidī, Muḥammad ibn ʻUmar, 747 or 748-823.</t>
        </is>
      </c>
      <c r="L961" t="inlineStr">
        <is>
          <t>Osnabrück : Biblio Verlag, 1981.</t>
        </is>
      </c>
      <c r="M961" t="inlineStr">
        <is>
          <t>1980</t>
        </is>
      </c>
      <c r="O961" t="inlineStr">
        <is>
          <t>eng</t>
        </is>
      </c>
      <c r="P961" t="inlineStr">
        <is>
          <t xml:space="preserve">gw </t>
        </is>
      </c>
      <c r="Q961" t="inlineStr">
        <is>
          <t>Bibliotheca Indica ; 28</t>
        </is>
      </c>
      <c r="R961" t="inlineStr">
        <is>
          <t xml:space="preserve">DS </t>
        </is>
      </c>
      <c r="S961" t="n">
        <v>0</v>
      </c>
      <c r="T961" t="n">
        <v>0</v>
      </c>
      <c r="U961" t="inlineStr">
        <is>
          <t>2007-02-08</t>
        </is>
      </c>
      <c r="V961" t="inlineStr">
        <is>
          <t>2007-02-08</t>
        </is>
      </c>
      <c r="W961" t="inlineStr">
        <is>
          <t>1990-09-13</t>
        </is>
      </c>
      <c r="X961" t="inlineStr">
        <is>
          <t>1990-09-13</t>
        </is>
      </c>
      <c r="Y961" t="n">
        <v>3</v>
      </c>
      <c r="Z961" t="n">
        <v>2</v>
      </c>
      <c r="AA961" t="n">
        <v>5</v>
      </c>
      <c r="AB961" t="n">
        <v>1</v>
      </c>
      <c r="AC961" t="n">
        <v>1</v>
      </c>
      <c r="AD961" t="n">
        <v>0</v>
      </c>
      <c r="AE961" t="n">
        <v>0</v>
      </c>
      <c r="AF961" t="n">
        <v>0</v>
      </c>
      <c r="AG961" t="n">
        <v>0</v>
      </c>
      <c r="AH961" t="n">
        <v>0</v>
      </c>
      <c r="AI961" t="n">
        <v>0</v>
      </c>
      <c r="AJ961" t="n">
        <v>0</v>
      </c>
      <c r="AK961" t="n">
        <v>0</v>
      </c>
      <c r="AL961" t="n">
        <v>0</v>
      </c>
      <c r="AM961" t="n">
        <v>0</v>
      </c>
      <c r="AN961" t="n">
        <v>0</v>
      </c>
      <c r="AO961" t="n">
        <v>0</v>
      </c>
      <c r="AP961" t="inlineStr">
        <is>
          <t>No</t>
        </is>
      </c>
      <c r="AQ961" t="inlineStr">
        <is>
          <t>No</t>
        </is>
      </c>
      <c r="AS961">
        <f>HYPERLINK("https://creighton-primo.hosted.exlibrisgroup.com/primo-explore/search?tab=default_tab&amp;search_scope=EVERYTHING&amp;vid=01CRU&amp;lang=en_US&amp;offset=0&amp;query=any,contains,991000599989702656","Catalog Record")</f>
        <v/>
      </c>
      <c r="AT961">
        <f>HYPERLINK("http://www.worldcat.org/oclc/11839257","WorldCat Record")</f>
        <v/>
      </c>
      <c r="AU961" t="inlineStr">
        <is>
          <t>2945960553:eng</t>
        </is>
      </c>
      <c r="AV961" t="inlineStr">
        <is>
          <t>11839257</t>
        </is>
      </c>
      <c r="AW961" t="inlineStr">
        <is>
          <t>991000599989702656</t>
        </is>
      </c>
      <c r="AX961" t="inlineStr">
        <is>
          <t>991000599989702656</t>
        </is>
      </c>
      <c r="AY961" t="inlineStr">
        <is>
          <t>2269662740002656</t>
        </is>
      </c>
      <c r="AZ961" t="inlineStr">
        <is>
          <t>BOOK</t>
        </is>
      </c>
      <c r="BC961" t="inlineStr">
        <is>
          <t>32285000291566</t>
        </is>
      </c>
      <c r="BD961" t="inlineStr">
        <is>
          <t>893249496</t>
        </is>
      </c>
    </row>
    <row r="962">
      <c r="A962" t="inlineStr">
        <is>
          <t>No</t>
        </is>
      </c>
      <c r="B962" t="inlineStr">
        <is>
          <t>DS38.3 .B67 1996</t>
        </is>
      </c>
      <c r="C962" t="inlineStr">
        <is>
          <t>0                      DS 0038300B  67          1996</t>
        </is>
      </c>
      <c r="D962" t="inlineStr">
        <is>
          <t>The Arabs, Byzantium, and Iran : studies in early Islamic history and culture / C.E. Bosworth.</t>
        </is>
      </c>
      <c r="F962" t="inlineStr">
        <is>
          <t>No</t>
        </is>
      </c>
      <c r="G962" t="inlineStr">
        <is>
          <t>1</t>
        </is>
      </c>
      <c r="H962" t="inlineStr">
        <is>
          <t>No</t>
        </is>
      </c>
      <c r="I962" t="inlineStr">
        <is>
          <t>No</t>
        </is>
      </c>
      <c r="J962" t="inlineStr">
        <is>
          <t>0</t>
        </is>
      </c>
      <c r="K962" t="inlineStr">
        <is>
          <t>Bosworth, Clifford Edmund.</t>
        </is>
      </c>
      <c r="L962" t="inlineStr">
        <is>
          <t>Brookfield, Vt. : Variorum, 1996.</t>
        </is>
      </c>
      <c r="M962" t="inlineStr">
        <is>
          <t>1996</t>
        </is>
      </c>
      <c r="O962" t="inlineStr">
        <is>
          <t>eng</t>
        </is>
      </c>
      <c r="P962" t="inlineStr">
        <is>
          <t>vtu</t>
        </is>
      </c>
      <c r="Q962" t="inlineStr">
        <is>
          <t>Collected studies series ; CS529</t>
        </is>
      </c>
      <c r="R962" t="inlineStr">
        <is>
          <t xml:space="preserve">DS </t>
        </is>
      </c>
      <c r="S962" t="n">
        <v>4</v>
      </c>
      <c r="T962" t="n">
        <v>4</v>
      </c>
      <c r="U962" t="inlineStr">
        <is>
          <t>2003-11-10</t>
        </is>
      </c>
      <c r="V962" t="inlineStr">
        <is>
          <t>2003-11-10</t>
        </is>
      </c>
      <c r="W962" t="inlineStr">
        <is>
          <t>1997-11-20</t>
        </is>
      </c>
      <c r="X962" t="inlineStr">
        <is>
          <t>1997-11-20</t>
        </is>
      </c>
      <c r="Y962" t="n">
        <v>184</v>
      </c>
      <c r="Z962" t="n">
        <v>125</v>
      </c>
      <c r="AA962" t="n">
        <v>139</v>
      </c>
      <c r="AB962" t="n">
        <v>2</v>
      </c>
      <c r="AC962" t="n">
        <v>2</v>
      </c>
      <c r="AD962" t="n">
        <v>7</v>
      </c>
      <c r="AE962" t="n">
        <v>8</v>
      </c>
      <c r="AF962" t="n">
        <v>0</v>
      </c>
      <c r="AG962" t="n">
        <v>0</v>
      </c>
      <c r="AH962" t="n">
        <v>3</v>
      </c>
      <c r="AI962" t="n">
        <v>4</v>
      </c>
      <c r="AJ962" t="n">
        <v>3</v>
      </c>
      <c r="AK962" t="n">
        <v>4</v>
      </c>
      <c r="AL962" t="n">
        <v>1</v>
      </c>
      <c r="AM962" t="n">
        <v>1</v>
      </c>
      <c r="AN962" t="n">
        <v>0</v>
      </c>
      <c r="AO962" t="n">
        <v>0</v>
      </c>
      <c r="AP962" t="inlineStr">
        <is>
          <t>No</t>
        </is>
      </c>
      <c r="AQ962" t="inlineStr">
        <is>
          <t>No</t>
        </is>
      </c>
      <c r="AS962">
        <f>HYPERLINK("https://creighton-primo.hosted.exlibrisgroup.com/primo-explore/search?tab=default_tab&amp;search_scope=EVERYTHING&amp;vid=01CRU&amp;lang=en_US&amp;offset=0&amp;query=any,contains,991002600859702656","Catalog Record")</f>
        <v/>
      </c>
      <c r="AT962">
        <f>HYPERLINK("http://www.worldcat.org/oclc/34077204","WorldCat Record")</f>
        <v/>
      </c>
      <c r="AU962" t="inlineStr">
        <is>
          <t>39278377:eng</t>
        </is>
      </c>
      <c r="AV962" t="inlineStr">
        <is>
          <t>34077204</t>
        </is>
      </c>
      <c r="AW962" t="inlineStr">
        <is>
          <t>991002600859702656</t>
        </is>
      </c>
      <c r="AX962" t="inlineStr">
        <is>
          <t>991002600859702656</t>
        </is>
      </c>
      <c r="AY962" t="inlineStr">
        <is>
          <t>2271953910002656</t>
        </is>
      </c>
      <c r="AZ962" t="inlineStr">
        <is>
          <t>BOOK</t>
        </is>
      </c>
      <c r="BB962" t="inlineStr">
        <is>
          <t>9780860785835</t>
        </is>
      </c>
      <c r="BC962" t="inlineStr">
        <is>
          <t>32285003272399</t>
        </is>
      </c>
      <c r="BD962" t="inlineStr">
        <is>
          <t>893892754</t>
        </is>
      </c>
    </row>
    <row r="963">
      <c r="A963" t="inlineStr">
        <is>
          <t>No</t>
        </is>
      </c>
      <c r="B963" t="inlineStr">
        <is>
          <t>DS38.3 .S84 1984</t>
        </is>
      </c>
      <c r="C963" t="inlineStr">
        <is>
          <t>0                      DS 0038300S  84          1984</t>
        </is>
      </c>
      <c r="D963" t="inlineStr">
        <is>
          <t>History and culture in the medieval Muslim world / S.M. Stern.</t>
        </is>
      </c>
      <c r="F963" t="inlineStr">
        <is>
          <t>No</t>
        </is>
      </c>
      <c r="G963" t="inlineStr">
        <is>
          <t>1</t>
        </is>
      </c>
      <c r="H963" t="inlineStr">
        <is>
          <t>No</t>
        </is>
      </c>
      <c r="I963" t="inlineStr">
        <is>
          <t>No</t>
        </is>
      </c>
      <c r="J963" t="inlineStr">
        <is>
          <t>0</t>
        </is>
      </c>
      <c r="K963" t="inlineStr">
        <is>
          <t>Stern, S. M. (Samuel Miklos), 1920-1969.</t>
        </is>
      </c>
      <c r="L963" t="inlineStr">
        <is>
          <t>London : Variorum Reprints, 1984.</t>
        </is>
      </c>
      <c r="M963" t="inlineStr">
        <is>
          <t>1984</t>
        </is>
      </c>
      <c r="O963" t="inlineStr">
        <is>
          <t>eng</t>
        </is>
      </c>
      <c r="P963" t="inlineStr">
        <is>
          <t>enk</t>
        </is>
      </c>
      <c r="Q963" t="inlineStr">
        <is>
          <t>Variorum reprint ; CS200</t>
        </is>
      </c>
      <c r="R963" t="inlineStr">
        <is>
          <t xml:space="preserve">DS </t>
        </is>
      </c>
      <c r="S963" t="n">
        <v>5</v>
      </c>
      <c r="T963" t="n">
        <v>5</v>
      </c>
      <c r="U963" t="inlineStr">
        <is>
          <t>2009-10-26</t>
        </is>
      </c>
      <c r="V963" t="inlineStr">
        <is>
          <t>2009-10-26</t>
        </is>
      </c>
      <c r="W963" t="inlineStr">
        <is>
          <t>1990-08-16</t>
        </is>
      </c>
      <c r="X963" t="inlineStr">
        <is>
          <t>1990-08-16</t>
        </is>
      </c>
      <c r="Y963" t="n">
        <v>168</v>
      </c>
      <c r="Z963" t="n">
        <v>105</v>
      </c>
      <c r="AA963" t="n">
        <v>108</v>
      </c>
      <c r="AB963" t="n">
        <v>2</v>
      </c>
      <c r="AC963" t="n">
        <v>2</v>
      </c>
      <c r="AD963" t="n">
        <v>8</v>
      </c>
      <c r="AE963" t="n">
        <v>8</v>
      </c>
      <c r="AF963" t="n">
        <v>0</v>
      </c>
      <c r="AG963" t="n">
        <v>0</v>
      </c>
      <c r="AH963" t="n">
        <v>4</v>
      </c>
      <c r="AI963" t="n">
        <v>4</v>
      </c>
      <c r="AJ963" t="n">
        <v>5</v>
      </c>
      <c r="AK963" t="n">
        <v>5</v>
      </c>
      <c r="AL963" t="n">
        <v>1</v>
      </c>
      <c r="AM963" t="n">
        <v>1</v>
      </c>
      <c r="AN963" t="n">
        <v>0</v>
      </c>
      <c r="AO963" t="n">
        <v>0</v>
      </c>
      <c r="AP963" t="inlineStr">
        <is>
          <t>No</t>
        </is>
      </c>
      <c r="AQ963" t="inlineStr">
        <is>
          <t>Yes</t>
        </is>
      </c>
      <c r="AR963">
        <f>HYPERLINK("http://catalog.hathitrust.org/Record/000459584","HathiTrust Record")</f>
        <v/>
      </c>
      <c r="AS963">
        <f>HYPERLINK("https://creighton-primo.hosted.exlibrisgroup.com/primo-explore/search?tab=default_tab&amp;search_scope=EVERYTHING&amp;vid=01CRU&amp;lang=en_US&amp;offset=0&amp;query=any,contains,991000682989702656","Catalog Record")</f>
        <v/>
      </c>
      <c r="AT963">
        <f>HYPERLINK("http://www.worldcat.org/oclc/12418810","WorldCat Record")</f>
        <v/>
      </c>
      <c r="AU963" t="inlineStr">
        <is>
          <t>5002034:eng</t>
        </is>
      </c>
      <c r="AV963" t="inlineStr">
        <is>
          <t>12418810</t>
        </is>
      </c>
      <c r="AW963" t="inlineStr">
        <is>
          <t>991000682989702656</t>
        </is>
      </c>
      <c r="AX963" t="inlineStr">
        <is>
          <t>991000682989702656</t>
        </is>
      </c>
      <c r="AY963" t="inlineStr">
        <is>
          <t>2262518430002656</t>
        </is>
      </c>
      <c r="AZ963" t="inlineStr">
        <is>
          <t>BOOK</t>
        </is>
      </c>
      <c r="BB963" t="inlineStr">
        <is>
          <t>9780860781486</t>
        </is>
      </c>
      <c r="BC963" t="inlineStr">
        <is>
          <t>32285000274273</t>
        </is>
      </c>
      <c r="BD963" t="inlineStr">
        <is>
          <t>893339786</t>
        </is>
      </c>
    </row>
    <row r="964">
      <c r="A964" t="inlineStr">
        <is>
          <t>No</t>
        </is>
      </c>
      <c r="B964" t="inlineStr">
        <is>
          <t>DS38.3 .V6413 1970b</t>
        </is>
      </c>
      <c r="C964" t="inlineStr">
        <is>
          <t>0                      DS 0038300V  6413        1970b</t>
        </is>
      </c>
      <c r="D964" t="inlineStr">
        <is>
          <t>Classical Islam; a history, 600-1258, by G. E. Von Grunebaum. Translated by Katherine Watson.</t>
        </is>
      </c>
      <c r="F964" t="inlineStr">
        <is>
          <t>No</t>
        </is>
      </c>
      <c r="G964" t="inlineStr">
        <is>
          <t>1</t>
        </is>
      </c>
      <c r="H964" t="inlineStr">
        <is>
          <t>No</t>
        </is>
      </c>
      <c r="I964" t="inlineStr">
        <is>
          <t>No</t>
        </is>
      </c>
      <c r="J964" t="inlineStr">
        <is>
          <t>0</t>
        </is>
      </c>
      <c r="K964" t="inlineStr">
        <is>
          <t>Grunebaum, Gustave E. von (Gustave Edmund), 1909-1972.</t>
        </is>
      </c>
      <c r="L964" t="inlineStr">
        <is>
          <t>Chicago, Aldine Pub. Co. [1970]</t>
        </is>
      </c>
      <c r="M964" t="inlineStr">
        <is>
          <t>1970</t>
        </is>
      </c>
      <c r="N964" t="inlineStr">
        <is>
          <t>[1st U.S. ed.]</t>
        </is>
      </c>
      <c r="O964" t="inlineStr">
        <is>
          <t>eng</t>
        </is>
      </c>
      <c r="P964" t="inlineStr">
        <is>
          <t>ilu</t>
        </is>
      </c>
      <c r="R964" t="inlineStr">
        <is>
          <t xml:space="preserve">DS </t>
        </is>
      </c>
      <c r="S964" t="n">
        <v>3</v>
      </c>
      <c r="T964" t="n">
        <v>3</v>
      </c>
      <c r="U964" t="inlineStr">
        <is>
          <t>1997-11-12</t>
        </is>
      </c>
      <c r="V964" t="inlineStr">
        <is>
          <t>1997-11-12</t>
        </is>
      </c>
      <c r="W964" t="inlineStr">
        <is>
          <t>1997-02-20</t>
        </is>
      </c>
      <c r="X964" t="inlineStr">
        <is>
          <t>1997-02-20</t>
        </is>
      </c>
      <c r="Y964" t="n">
        <v>642</v>
      </c>
      <c r="Z964" t="n">
        <v>588</v>
      </c>
      <c r="AA964" t="n">
        <v>786</v>
      </c>
      <c r="AB964" t="n">
        <v>5</v>
      </c>
      <c r="AC964" t="n">
        <v>5</v>
      </c>
      <c r="AD964" t="n">
        <v>25</v>
      </c>
      <c r="AE964" t="n">
        <v>34</v>
      </c>
      <c r="AF964" t="n">
        <v>8</v>
      </c>
      <c r="AG964" t="n">
        <v>14</v>
      </c>
      <c r="AH964" t="n">
        <v>7</v>
      </c>
      <c r="AI964" t="n">
        <v>8</v>
      </c>
      <c r="AJ964" t="n">
        <v>11</v>
      </c>
      <c r="AK964" t="n">
        <v>15</v>
      </c>
      <c r="AL964" t="n">
        <v>4</v>
      </c>
      <c r="AM964" t="n">
        <v>4</v>
      </c>
      <c r="AN964" t="n">
        <v>0</v>
      </c>
      <c r="AO964" t="n">
        <v>0</v>
      </c>
      <c r="AP964" t="inlineStr">
        <is>
          <t>No</t>
        </is>
      </c>
      <c r="AQ964" t="inlineStr">
        <is>
          <t>No</t>
        </is>
      </c>
      <c r="AS964">
        <f>HYPERLINK("https://creighton-primo.hosted.exlibrisgroup.com/primo-explore/search?tab=default_tab&amp;search_scope=EVERYTHING&amp;vid=01CRU&amp;lang=en_US&amp;offset=0&amp;query=any,contains,991000624429702656","Catalog Record")</f>
        <v/>
      </c>
      <c r="AT964">
        <f>HYPERLINK("http://www.worldcat.org/oclc/103604","WorldCat Record")</f>
        <v/>
      </c>
      <c r="AU964" t="inlineStr">
        <is>
          <t>2286622600:eng</t>
        </is>
      </c>
      <c r="AV964" t="inlineStr">
        <is>
          <t>103604</t>
        </is>
      </c>
      <c r="AW964" t="inlineStr">
        <is>
          <t>991000624429702656</t>
        </is>
      </c>
      <c r="AX964" t="inlineStr">
        <is>
          <t>991000624429702656</t>
        </is>
      </c>
      <c r="AY964" t="inlineStr">
        <is>
          <t>2260334720002656</t>
        </is>
      </c>
      <c r="AZ964" t="inlineStr">
        <is>
          <t>BOOK</t>
        </is>
      </c>
      <c r="BB964" t="inlineStr">
        <is>
          <t>9780202150161</t>
        </is>
      </c>
      <c r="BC964" t="inlineStr">
        <is>
          <t>32285002467602</t>
        </is>
      </c>
      <c r="BD964" t="inlineStr">
        <is>
          <t>893327450</t>
        </is>
      </c>
    </row>
    <row r="965">
      <c r="A965" t="inlineStr">
        <is>
          <t>No</t>
        </is>
      </c>
      <c r="B965" t="inlineStr">
        <is>
          <t>DS38.4.A2 S8913 1980</t>
        </is>
      </c>
      <c r="C965" t="inlineStr">
        <is>
          <t>0                      DS 0038400A  2                  S  8913        1980</t>
        </is>
      </c>
      <c r="D965" t="inlineStr">
        <is>
          <t>History of the caliphs / by Jalálu'ddín a's Suyúti ; translated from the original Arabic by H.S. Jarrett.</t>
        </is>
      </c>
      <c r="F965" t="inlineStr">
        <is>
          <t>No</t>
        </is>
      </c>
      <c r="G965" t="inlineStr">
        <is>
          <t>1</t>
        </is>
      </c>
      <c r="H965" t="inlineStr">
        <is>
          <t>No</t>
        </is>
      </c>
      <c r="I965" t="inlineStr">
        <is>
          <t>No</t>
        </is>
      </c>
      <c r="J965" t="inlineStr">
        <is>
          <t>0</t>
        </is>
      </c>
      <c r="K965" t="inlineStr">
        <is>
          <t>Suyūṭī, 1445-1505.</t>
        </is>
      </c>
      <c r="L965" t="inlineStr">
        <is>
          <t>Karachi : Karimsons, 1980 printing, c1977.</t>
        </is>
      </c>
      <c r="M965" t="inlineStr">
        <is>
          <t>1980</t>
        </is>
      </c>
      <c r="N965" t="inlineStr">
        <is>
          <t>New impression, Pakistan.</t>
        </is>
      </c>
      <c r="O965" t="inlineStr">
        <is>
          <t>eng</t>
        </is>
      </c>
      <c r="P965" t="inlineStr">
        <is>
          <t xml:space="preserve">pk </t>
        </is>
      </c>
      <c r="R965" t="inlineStr">
        <is>
          <t xml:space="preserve">DS </t>
        </is>
      </c>
      <c r="S965" t="n">
        <v>2</v>
      </c>
      <c r="T965" t="n">
        <v>2</v>
      </c>
      <c r="U965" t="inlineStr">
        <is>
          <t>1996-12-01</t>
        </is>
      </c>
      <c r="V965" t="inlineStr">
        <is>
          <t>1996-12-01</t>
        </is>
      </c>
      <c r="W965" t="inlineStr">
        <is>
          <t>1990-09-13</t>
        </is>
      </c>
      <c r="X965" t="inlineStr">
        <is>
          <t>1990-09-13</t>
        </is>
      </c>
      <c r="Y965" t="n">
        <v>9</v>
      </c>
      <c r="Z965" t="n">
        <v>9</v>
      </c>
      <c r="AA965" t="n">
        <v>58</v>
      </c>
      <c r="AB965" t="n">
        <v>1</v>
      </c>
      <c r="AC965" t="n">
        <v>1</v>
      </c>
      <c r="AD965" t="n">
        <v>1</v>
      </c>
      <c r="AE965" t="n">
        <v>2</v>
      </c>
      <c r="AF965" t="n">
        <v>0</v>
      </c>
      <c r="AG965" t="n">
        <v>0</v>
      </c>
      <c r="AH965" t="n">
        <v>1</v>
      </c>
      <c r="AI965" t="n">
        <v>1</v>
      </c>
      <c r="AJ965" t="n">
        <v>1</v>
      </c>
      <c r="AK965" t="n">
        <v>2</v>
      </c>
      <c r="AL965" t="n">
        <v>0</v>
      </c>
      <c r="AM965" t="n">
        <v>0</v>
      </c>
      <c r="AN965" t="n">
        <v>0</v>
      </c>
      <c r="AO965" t="n">
        <v>0</v>
      </c>
      <c r="AP965" t="inlineStr">
        <is>
          <t>Yes</t>
        </is>
      </c>
      <c r="AQ965" t="inlineStr">
        <is>
          <t>No</t>
        </is>
      </c>
      <c r="AR965">
        <f>HYPERLINK("http://catalog.hathitrust.org/Record/100644483","HathiTrust Record")</f>
        <v/>
      </c>
      <c r="AS965">
        <f>HYPERLINK("https://creighton-primo.hosted.exlibrisgroup.com/primo-explore/search?tab=default_tab&amp;search_scope=EVERYTHING&amp;vid=01CRU&amp;lang=en_US&amp;offset=0&amp;query=any,contains,991000211109702656","Catalog Record")</f>
        <v/>
      </c>
      <c r="AT965">
        <f>HYPERLINK("http://www.worldcat.org/oclc/9540017","WorldCat Record")</f>
        <v/>
      </c>
      <c r="AU965" t="inlineStr">
        <is>
          <t>4776485954:eng</t>
        </is>
      </c>
      <c r="AV965" t="inlineStr">
        <is>
          <t>9540017</t>
        </is>
      </c>
      <c r="AW965" t="inlineStr">
        <is>
          <t>991000211109702656</t>
        </is>
      </c>
      <c r="AX965" t="inlineStr">
        <is>
          <t>991000211109702656</t>
        </is>
      </c>
      <c r="AY965" t="inlineStr">
        <is>
          <t>2267385980002656</t>
        </is>
      </c>
      <c r="AZ965" t="inlineStr">
        <is>
          <t>BOOK</t>
        </is>
      </c>
      <c r="BC965" t="inlineStr">
        <is>
          <t>32285000291590</t>
        </is>
      </c>
      <c r="BD965" t="inlineStr">
        <is>
          <t>893339386</t>
        </is>
      </c>
    </row>
    <row r="966">
      <c r="A966" t="inlineStr">
        <is>
          <t>No</t>
        </is>
      </c>
      <c r="B966" t="inlineStr">
        <is>
          <t>DS38.4.A53 B68 1975</t>
        </is>
      </c>
      <c r="C966" t="inlineStr">
        <is>
          <t>0                      DS 0038400A  53                 B  68          1975</t>
        </is>
      </c>
      <c r="D966" t="inlineStr">
        <is>
          <t>The life and times of ʻAlí ibn ʻĪsà, 'the Good vizie' / by Harold Bowen.</t>
        </is>
      </c>
      <c r="F966" t="inlineStr">
        <is>
          <t>No</t>
        </is>
      </c>
      <c r="G966" t="inlineStr">
        <is>
          <t>1</t>
        </is>
      </c>
      <c r="H966" t="inlineStr">
        <is>
          <t>No</t>
        </is>
      </c>
      <c r="I966" t="inlineStr">
        <is>
          <t>No</t>
        </is>
      </c>
      <c r="J966" t="inlineStr">
        <is>
          <t>0</t>
        </is>
      </c>
      <c r="K966" t="inlineStr">
        <is>
          <t>Bowen, Harold.</t>
        </is>
      </c>
      <c r="L966" t="inlineStr">
        <is>
          <t>New York : AMS Press, 1975.</t>
        </is>
      </c>
      <c r="M966" t="inlineStr">
        <is>
          <t>1975</t>
        </is>
      </c>
      <c r="O966" t="inlineStr">
        <is>
          <t>eng</t>
        </is>
      </c>
      <c r="P966" t="inlineStr">
        <is>
          <t>nyu</t>
        </is>
      </c>
      <c r="R966" t="inlineStr">
        <is>
          <t xml:space="preserve">DS </t>
        </is>
      </c>
      <c r="S966" t="n">
        <v>3</v>
      </c>
      <c r="T966" t="n">
        <v>3</v>
      </c>
      <c r="U966" t="inlineStr">
        <is>
          <t>2003-11-21</t>
        </is>
      </c>
      <c r="V966" t="inlineStr">
        <is>
          <t>2003-11-21</t>
        </is>
      </c>
      <c r="W966" t="inlineStr">
        <is>
          <t>1997-02-20</t>
        </is>
      </c>
      <c r="X966" t="inlineStr">
        <is>
          <t>1997-02-20</t>
        </is>
      </c>
      <c r="Y966" t="n">
        <v>76</v>
      </c>
      <c r="Z966" t="n">
        <v>57</v>
      </c>
      <c r="AA966" t="n">
        <v>57</v>
      </c>
      <c r="AB966" t="n">
        <v>1</v>
      </c>
      <c r="AC966" t="n">
        <v>1</v>
      </c>
      <c r="AD966" t="n">
        <v>4</v>
      </c>
      <c r="AE966" t="n">
        <v>4</v>
      </c>
      <c r="AF966" t="n">
        <v>2</v>
      </c>
      <c r="AG966" t="n">
        <v>2</v>
      </c>
      <c r="AH966" t="n">
        <v>1</v>
      </c>
      <c r="AI966" t="n">
        <v>1</v>
      </c>
      <c r="AJ966" t="n">
        <v>3</v>
      </c>
      <c r="AK966" t="n">
        <v>3</v>
      </c>
      <c r="AL966" t="n">
        <v>0</v>
      </c>
      <c r="AM966" t="n">
        <v>0</v>
      </c>
      <c r="AN966" t="n">
        <v>0</v>
      </c>
      <c r="AO966" t="n">
        <v>0</v>
      </c>
      <c r="AP966" t="inlineStr">
        <is>
          <t>No</t>
        </is>
      </c>
      <c r="AQ966" t="inlineStr">
        <is>
          <t>No</t>
        </is>
      </c>
      <c r="AS966">
        <f>HYPERLINK("https://creighton-primo.hosted.exlibrisgroup.com/primo-explore/search?tab=default_tab&amp;search_scope=EVERYTHING&amp;vid=01CRU&amp;lang=en_US&amp;offset=0&amp;query=any,contains,991003788829702656","Catalog Record")</f>
        <v/>
      </c>
      <c r="AT966">
        <f>HYPERLINK("http://www.worldcat.org/oclc/1506202","WorldCat Record")</f>
        <v/>
      </c>
      <c r="AU966" t="inlineStr">
        <is>
          <t>3902393214:eng</t>
        </is>
      </c>
      <c r="AV966" t="inlineStr">
        <is>
          <t>1506202</t>
        </is>
      </c>
      <c r="AW966" t="inlineStr">
        <is>
          <t>991003788829702656</t>
        </is>
      </c>
      <c r="AX966" t="inlineStr">
        <is>
          <t>991003788829702656</t>
        </is>
      </c>
      <c r="AY966" t="inlineStr">
        <is>
          <t>2254723260002656</t>
        </is>
      </c>
      <c r="AZ966" t="inlineStr">
        <is>
          <t>BOOK</t>
        </is>
      </c>
      <c r="BB966" t="inlineStr">
        <is>
          <t>9780404562151</t>
        </is>
      </c>
      <c r="BC966" t="inlineStr">
        <is>
          <t>32285002467610</t>
        </is>
      </c>
      <c r="BD966" t="inlineStr">
        <is>
          <t>893810180</t>
        </is>
      </c>
    </row>
    <row r="967">
      <c r="A967" t="inlineStr">
        <is>
          <t>No</t>
        </is>
      </c>
      <c r="B967" t="inlineStr">
        <is>
          <t>DS38.4.S2 G52 1973</t>
        </is>
      </c>
      <c r="C967" t="inlineStr">
        <is>
          <t>0                      DS 0038400S  2                  G  52          1973</t>
        </is>
      </c>
      <c r="D967" t="inlineStr">
        <is>
          <t>The life of Saladin: from the works of ʻImād ad-Dīn and Bahāʼ ad-Dīn, by Sir Hamilton Gibb.</t>
        </is>
      </c>
      <c r="F967" t="inlineStr">
        <is>
          <t>No</t>
        </is>
      </c>
      <c r="G967" t="inlineStr">
        <is>
          <t>1</t>
        </is>
      </c>
      <c r="H967" t="inlineStr">
        <is>
          <t>No</t>
        </is>
      </c>
      <c r="I967" t="inlineStr">
        <is>
          <t>No</t>
        </is>
      </c>
      <c r="J967" t="inlineStr">
        <is>
          <t>0</t>
        </is>
      </c>
      <c r="K967" t="inlineStr">
        <is>
          <t>Gibb, H. A. R. (Hamilton Alexander Rosskeen), 1895-1971.</t>
        </is>
      </c>
      <c r="L967" t="inlineStr">
        <is>
          <t>Oxford, Clarendon Press, 1973.</t>
        </is>
      </c>
      <c r="M967" t="inlineStr">
        <is>
          <t>1973</t>
        </is>
      </c>
      <c r="O967" t="inlineStr">
        <is>
          <t>eng</t>
        </is>
      </c>
      <c r="P967" t="inlineStr">
        <is>
          <t>enk</t>
        </is>
      </c>
      <c r="R967" t="inlineStr">
        <is>
          <t xml:space="preserve">DS </t>
        </is>
      </c>
      <c r="S967" t="n">
        <v>8</v>
      </c>
      <c r="T967" t="n">
        <v>8</v>
      </c>
      <c r="U967" t="inlineStr">
        <is>
          <t>2006-10-20</t>
        </is>
      </c>
      <c r="V967" t="inlineStr">
        <is>
          <t>2006-10-20</t>
        </is>
      </c>
      <c r="W967" t="inlineStr">
        <is>
          <t>1997-02-20</t>
        </is>
      </c>
      <c r="X967" t="inlineStr">
        <is>
          <t>1997-02-20</t>
        </is>
      </c>
      <c r="Y967" t="n">
        <v>435</v>
      </c>
      <c r="Z967" t="n">
        <v>311</v>
      </c>
      <c r="AA967" t="n">
        <v>325</v>
      </c>
      <c r="AB967" t="n">
        <v>3</v>
      </c>
      <c r="AC967" t="n">
        <v>3</v>
      </c>
      <c r="AD967" t="n">
        <v>20</v>
      </c>
      <c r="AE967" t="n">
        <v>20</v>
      </c>
      <c r="AF967" t="n">
        <v>5</v>
      </c>
      <c r="AG967" t="n">
        <v>5</v>
      </c>
      <c r="AH967" t="n">
        <v>6</v>
      </c>
      <c r="AI967" t="n">
        <v>6</v>
      </c>
      <c r="AJ967" t="n">
        <v>12</v>
      </c>
      <c r="AK967" t="n">
        <v>12</v>
      </c>
      <c r="AL967" t="n">
        <v>2</v>
      </c>
      <c r="AM967" t="n">
        <v>2</v>
      </c>
      <c r="AN967" t="n">
        <v>0</v>
      </c>
      <c r="AO967" t="n">
        <v>0</v>
      </c>
      <c r="AP967" t="inlineStr">
        <is>
          <t>No</t>
        </is>
      </c>
      <c r="AQ967" t="inlineStr">
        <is>
          <t>Yes</t>
        </is>
      </c>
      <c r="AR967">
        <f>HYPERLINK("http://catalog.hathitrust.org/Record/001240567","HathiTrust Record")</f>
        <v/>
      </c>
      <c r="AS967">
        <f>HYPERLINK("https://creighton-primo.hosted.exlibrisgroup.com/primo-explore/search?tab=default_tab&amp;search_scope=EVERYTHING&amp;vid=01CRU&amp;lang=en_US&amp;offset=0&amp;query=any,contains,991003131069702656","Catalog Record")</f>
        <v/>
      </c>
      <c r="AT967">
        <f>HYPERLINK("http://www.worldcat.org/oclc/674160","WorldCat Record")</f>
        <v/>
      </c>
      <c r="AU967" t="inlineStr">
        <is>
          <t>1722812:eng</t>
        </is>
      </c>
      <c r="AV967" t="inlineStr">
        <is>
          <t>674160</t>
        </is>
      </c>
      <c r="AW967" t="inlineStr">
        <is>
          <t>991003131069702656</t>
        </is>
      </c>
      <c r="AX967" t="inlineStr">
        <is>
          <t>991003131069702656</t>
        </is>
      </c>
      <c r="AY967" t="inlineStr">
        <is>
          <t>2269355030002656</t>
        </is>
      </c>
      <c r="AZ967" t="inlineStr">
        <is>
          <t>BOOK</t>
        </is>
      </c>
      <c r="BB967" t="inlineStr">
        <is>
          <t>9780198214991</t>
        </is>
      </c>
      <c r="BC967" t="inlineStr">
        <is>
          <t>32285002467628</t>
        </is>
      </c>
      <c r="BD967" t="inlineStr">
        <is>
          <t>893233847</t>
        </is>
      </c>
    </row>
    <row r="968">
      <c r="A968" t="inlineStr">
        <is>
          <t>No</t>
        </is>
      </c>
      <c r="B968" t="inlineStr">
        <is>
          <t>DS38.4.S2 G55 1974</t>
        </is>
      </c>
      <c r="C968" t="inlineStr">
        <is>
          <t>0                      DS 0038400S  2                  G  55          1974</t>
        </is>
      </c>
      <c r="D968" t="inlineStr">
        <is>
          <t>Saladin : studies in Islamic history / Sir Hamilton A. R. Gibb ; edited by Yusuf Ibish.</t>
        </is>
      </c>
      <c r="F968" t="inlineStr">
        <is>
          <t>No</t>
        </is>
      </c>
      <c r="G968" t="inlineStr">
        <is>
          <t>1</t>
        </is>
      </c>
      <c r="H968" t="inlineStr">
        <is>
          <t>No</t>
        </is>
      </c>
      <c r="I968" t="inlineStr">
        <is>
          <t>No</t>
        </is>
      </c>
      <c r="J968" t="inlineStr">
        <is>
          <t>0</t>
        </is>
      </c>
      <c r="K968" t="inlineStr">
        <is>
          <t>Gibb, H. A. R. (Hamilton Alexander Rosskeen), 1895-1971.</t>
        </is>
      </c>
      <c r="L968" t="inlineStr">
        <is>
          <t>Beirut : Arab Institute for Research and Pub., 1974, c1972.</t>
        </is>
      </c>
      <c r="M968" t="inlineStr">
        <is>
          <t>1974</t>
        </is>
      </c>
      <c r="O968" t="inlineStr">
        <is>
          <t>eng</t>
        </is>
      </c>
      <c r="P968" t="inlineStr">
        <is>
          <t xml:space="preserve">le </t>
        </is>
      </c>
      <c r="R968" t="inlineStr">
        <is>
          <t xml:space="preserve">DS </t>
        </is>
      </c>
      <c r="S968" t="n">
        <v>9</v>
      </c>
      <c r="T968" t="n">
        <v>9</v>
      </c>
      <c r="U968" t="inlineStr">
        <is>
          <t>2010-04-14</t>
        </is>
      </c>
      <c r="V968" t="inlineStr">
        <is>
          <t>2010-04-14</t>
        </is>
      </c>
      <c r="W968" t="inlineStr">
        <is>
          <t>1997-02-20</t>
        </is>
      </c>
      <c r="X968" t="inlineStr">
        <is>
          <t>1997-02-20</t>
        </is>
      </c>
      <c r="Y968" t="n">
        <v>164</v>
      </c>
      <c r="Z968" t="n">
        <v>142</v>
      </c>
      <c r="AA968" t="n">
        <v>143</v>
      </c>
      <c r="AB968" t="n">
        <v>1</v>
      </c>
      <c r="AC968" t="n">
        <v>1</v>
      </c>
      <c r="AD968" t="n">
        <v>1</v>
      </c>
      <c r="AE968" t="n">
        <v>1</v>
      </c>
      <c r="AF968" t="n">
        <v>0</v>
      </c>
      <c r="AG968" t="n">
        <v>0</v>
      </c>
      <c r="AH968" t="n">
        <v>1</v>
      </c>
      <c r="AI968" t="n">
        <v>1</v>
      </c>
      <c r="AJ968" t="n">
        <v>0</v>
      </c>
      <c r="AK968" t="n">
        <v>0</v>
      </c>
      <c r="AL968" t="n">
        <v>0</v>
      </c>
      <c r="AM968" t="n">
        <v>0</v>
      </c>
      <c r="AN968" t="n">
        <v>0</v>
      </c>
      <c r="AO968" t="n">
        <v>0</v>
      </c>
      <c r="AP968" t="inlineStr">
        <is>
          <t>No</t>
        </is>
      </c>
      <c r="AQ968" t="inlineStr">
        <is>
          <t>Yes</t>
        </is>
      </c>
      <c r="AR968">
        <f>HYPERLINK("http://catalog.hathitrust.org/Record/007884933","HathiTrust Record")</f>
        <v/>
      </c>
      <c r="AS968">
        <f>HYPERLINK("https://creighton-primo.hosted.exlibrisgroup.com/primo-explore/search?tab=default_tab&amp;search_scope=EVERYTHING&amp;vid=01CRU&amp;lang=en_US&amp;offset=0&amp;query=any,contains,991004196609702656","Catalog Record")</f>
        <v/>
      </c>
      <c r="AT968">
        <f>HYPERLINK("http://www.worldcat.org/oclc/2644858","WorldCat Record")</f>
        <v/>
      </c>
      <c r="AU968" t="inlineStr">
        <is>
          <t>4758019927:eng</t>
        </is>
      </c>
      <c r="AV968" t="inlineStr">
        <is>
          <t>2644858</t>
        </is>
      </c>
      <c r="AW968" t="inlineStr">
        <is>
          <t>991004196609702656</t>
        </is>
      </c>
      <c r="AX968" t="inlineStr">
        <is>
          <t>991004196609702656</t>
        </is>
      </c>
      <c r="AY968" t="inlineStr">
        <is>
          <t>2255243420002656</t>
        </is>
      </c>
      <c r="AZ968" t="inlineStr">
        <is>
          <t>BOOK</t>
        </is>
      </c>
      <c r="BC968" t="inlineStr">
        <is>
          <t>32285002467636</t>
        </is>
      </c>
      <c r="BD968" t="inlineStr">
        <is>
          <t>893618366</t>
        </is>
      </c>
    </row>
    <row r="969">
      <c r="A969" t="inlineStr">
        <is>
          <t>No</t>
        </is>
      </c>
      <c r="B969" t="inlineStr">
        <is>
          <t>DS38.5 .K38 1986</t>
        </is>
      </c>
      <c r="C969" t="inlineStr">
        <is>
          <t>0                      DS 0038500K  38          1986</t>
        </is>
      </c>
      <c r="D969" t="inlineStr">
        <is>
          <t>The prophet and the age of the caliphates : the Islamic Near East from the sixth to the eleventh century / Hugh Kennedy.</t>
        </is>
      </c>
      <c r="F969" t="inlineStr">
        <is>
          <t>No</t>
        </is>
      </c>
      <c r="G969" t="inlineStr">
        <is>
          <t>1</t>
        </is>
      </c>
      <c r="H969" t="inlineStr">
        <is>
          <t>No</t>
        </is>
      </c>
      <c r="I969" t="inlineStr">
        <is>
          <t>No</t>
        </is>
      </c>
      <c r="J969" t="inlineStr">
        <is>
          <t>0</t>
        </is>
      </c>
      <c r="K969" t="inlineStr">
        <is>
          <t>Kennedy, Hugh (Hugh N.)</t>
        </is>
      </c>
      <c r="L969" t="inlineStr">
        <is>
          <t>London ; New York : Longman, 1986.</t>
        </is>
      </c>
      <c r="M969" t="inlineStr">
        <is>
          <t>1986</t>
        </is>
      </c>
      <c r="O969" t="inlineStr">
        <is>
          <t>eng</t>
        </is>
      </c>
      <c r="P969" t="inlineStr">
        <is>
          <t>enk</t>
        </is>
      </c>
      <c r="Q969" t="inlineStr">
        <is>
          <t>A History of the Near East</t>
        </is>
      </c>
      <c r="R969" t="inlineStr">
        <is>
          <t xml:space="preserve">DS </t>
        </is>
      </c>
      <c r="S969" t="n">
        <v>42</v>
      </c>
      <c r="T969" t="n">
        <v>42</v>
      </c>
      <c r="U969" t="inlineStr">
        <is>
          <t>2001-11-20</t>
        </is>
      </c>
      <c r="V969" t="inlineStr">
        <is>
          <t>2001-11-20</t>
        </is>
      </c>
      <c r="W969" t="inlineStr">
        <is>
          <t>1990-07-09</t>
        </is>
      </c>
      <c r="X969" t="inlineStr">
        <is>
          <t>1990-07-09</t>
        </is>
      </c>
      <c r="Y969" t="n">
        <v>557</v>
      </c>
      <c r="Z969" t="n">
        <v>402</v>
      </c>
      <c r="AA969" t="n">
        <v>404</v>
      </c>
      <c r="AB969" t="n">
        <v>4</v>
      </c>
      <c r="AC969" t="n">
        <v>4</v>
      </c>
      <c r="AD969" t="n">
        <v>20</v>
      </c>
      <c r="AE969" t="n">
        <v>20</v>
      </c>
      <c r="AF969" t="n">
        <v>6</v>
      </c>
      <c r="AG969" t="n">
        <v>6</v>
      </c>
      <c r="AH969" t="n">
        <v>6</v>
      </c>
      <c r="AI969" t="n">
        <v>6</v>
      </c>
      <c r="AJ969" t="n">
        <v>12</v>
      </c>
      <c r="AK969" t="n">
        <v>12</v>
      </c>
      <c r="AL969" t="n">
        <v>3</v>
      </c>
      <c r="AM969" t="n">
        <v>3</v>
      </c>
      <c r="AN969" t="n">
        <v>0</v>
      </c>
      <c r="AO969" t="n">
        <v>0</v>
      </c>
      <c r="AP969" t="inlineStr">
        <is>
          <t>No</t>
        </is>
      </c>
      <c r="AQ969" t="inlineStr">
        <is>
          <t>Yes</t>
        </is>
      </c>
      <c r="AR969">
        <f>HYPERLINK("http://catalog.hathitrust.org/Record/000821041","HathiTrust Record")</f>
        <v/>
      </c>
      <c r="AS969">
        <f>HYPERLINK("https://creighton-primo.hosted.exlibrisgroup.com/primo-explore/search?tab=default_tab&amp;search_scope=EVERYTHING&amp;vid=01CRU&amp;lang=en_US&amp;offset=0&amp;query=any,contains,991000662529702656","Catalog Record")</f>
        <v/>
      </c>
      <c r="AT969">
        <f>HYPERLINK("http://www.worldcat.org/oclc/12262139","WorldCat Record")</f>
        <v/>
      </c>
      <c r="AU969" t="inlineStr">
        <is>
          <t>808136992:eng</t>
        </is>
      </c>
      <c r="AV969" t="inlineStr">
        <is>
          <t>12262139</t>
        </is>
      </c>
      <c r="AW969" t="inlineStr">
        <is>
          <t>991000662529702656</t>
        </is>
      </c>
      <c r="AX969" t="inlineStr">
        <is>
          <t>991000662529702656</t>
        </is>
      </c>
      <c r="AY969" t="inlineStr">
        <is>
          <t>2270711990002656</t>
        </is>
      </c>
      <c r="AZ969" t="inlineStr">
        <is>
          <t>BOOK</t>
        </is>
      </c>
      <c r="BB969" t="inlineStr">
        <is>
          <t>9780582493131</t>
        </is>
      </c>
      <c r="BC969" t="inlineStr">
        <is>
          <t>32285000226620</t>
        </is>
      </c>
      <c r="BD969" t="inlineStr">
        <is>
          <t>893419666</t>
        </is>
      </c>
    </row>
    <row r="970">
      <c r="A970" t="inlineStr">
        <is>
          <t>No</t>
        </is>
      </c>
      <c r="B970" t="inlineStr">
        <is>
          <t>DS38.5 .S5</t>
        </is>
      </c>
      <c r="C970" t="inlineStr">
        <is>
          <t>0                      DS 0038500S  5</t>
        </is>
      </c>
      <c r="D970" t="inlineStr">
        <is>
          <t>Islamic history A.D. 600-750 (A.H. 132) : a new interpretation.</t>
        </is>
      </c>
      <c r="F970" t="inlineStr">
        <is>
          <t>No</t>
        </is>
      </c>
      <c r="G970" t="inlineStr">
        <is>
          <t>1</t>
        </is>
      </c>
      <c r="H970" t="inlineStr">
        <is>
          <t>No</t>
        </is>
      </c>
      <c r="I970" t="inlineStr">
        <is>
          <t>No</t>
        </is>
      </c>
      <c r="J970" t="inlineStr">
        <is>
          <t>0</t>
        </is>
      </c>
      <c r="K970" t="inlineStr">
        <is>
          <t>Shaʻbān, Muḥammad ʻAbd al-Ḥayy Muḥammad.</t>
        </is>
      </c>
      <c r="L970" t="inlineStr">
        <is>
          <t>Cambridge, [Eng.] : University Press, 1971.</t>
        </is>
      </c>
      <c r="M970" t="inlineStr">
        <is>
          <t>1971</t>
        </is>
      </c>
      <c r="O970" t="inlineStr">
        <is>
          <t>eng</t>
        </is>
      </c>
      <c r="P970" t="inlineStr">
        <is>
          <t xml:space="preserve">xx </t>
        </is>
      </c>
      <c r="R970" t="inlineStr">
        <is>
          <t xml:space="preserve">DS </t>
        </is>
      </c>
      <c r="S970" t="n">
        <v>5</v>
      </c>
      <c r="T970" t="n">
        <v>5</v>
      </c>
      <c r="U970" t="inlineStr">
        <is>
          <t>2009-10-26</t>
        </is>
      </c>
      <c r="V970" t="inlineStr">
        <is>
          <t>2009-10-26</t>
        </is>
      </c>
      <c r="W970" t="inlineStr">
        <is>
          <t>1994-06-22</t>
        </is>
      </c>
      <c r="X970" t="inlineStr">
        <is>
          <t>1994-06-22</t>
        </is>
      </c>
      <c r="Y970" t="n">
        <v>126</v>
      </c>
      <c r="Z970" t="n">
        <v>91</v>
      </c>
      <c r="AA970" t="n">
        <v>105</v>
      </c>
      <c r="AB970" t="n">
        <v>1</v>
      </c>
      <c r="AC970" t="n">
        <v>1</v>
      </c>
      <c r="AD970" t="n">
        <v>3</v>
      </c>
      <c r="AE970" t="n">
        <v>3</v>
      </c>
      <c r="AF970" t="n">
        <v>1</v>
      </c>
      <c r="AG970" t="n">
        <v>1</v>
      </c>
      <c r="AH970" t="n">
        <v>2</v>
      </c>
      <c r="AI970" t="n">
        <v>2</v>
      </c>
      <c r="AJ970" t="n">
        <v>1</v>
      </c>
      <c r="AK970" t="n">
        <v>1</v>
      </c>
      <c r="AL970" t="n">
        <v>0</v>
      </c>
      <c r="AM970" t="n">
        <v>0</v>
      </c>
      <c r="AN970" t="n">
        <v>0</v>
      </c>
      <c r="AO970" t="n">
        <v>0</v>
      </c>
      <c r="AP970" t="inlineStr">
        <is>
          <t>No</t>
        </is>
      </c>
      <c r="AQ970" t="inlineStr">
        <is>
          <t>No</t>
        </is>
      </c>
      <c r="AS970">
        <f>HYPERLINK("https://creighton-primo.hosted.exlibrisgroup.com/primo-explore/search?tab=default_tab&amp;search_scope=EVERYTHING&amp;vid=01CRU&amp;lang=en_US&amp;offset=0&amp;query=any,contains,991004428189702656","Catalog Record")</f>
        <v/>
      </c>
      <c r="AT970">
        <f>HYPERLINK("http://www.worldcat.org/oclc/3412266","WorldCat Record")</f>
        <v/>
      </c>
      <c r="AU970" t="inlineStr">
        <is>
          <t>9415424537:eng</t>
        </is>
      </c>
      <c r="AV970" t="inlineStr">
        <is>
          <t>3412266</t>
        </is>
      </c>
      <c r="AW970" t="inlineStr">
        <is>
          <t>991004428189702656</t>
        </is>
      </c>
      <c r="AX970" t="inlineStr">
        <is>
          <t>991004428189702656</t>
        </is>
      </c>
      <c r="AY970" t="inlineStr">
        <is>
          <t>2260971820002656</t>
        </is>
      </c>
      <c r="AZ970" t="inlineStr">
        <is>
          <t>BOOK</t>
        </is>
      </c>
      <c r="BC970" t="inlineStr">
        <is>
          <t>32285001929545</t>
        </is>
      </c>
      <c r="BD970" t="inlineStr">
        <is>
          <t>893535986</t>
        </is>
      </c>
    </row>
    <row r="971">
      <c r="A971" t="inlineStr">
        <is>
          <t>No</t>
        </is>
      </c>
      <c r="B971" t="inlineStr">
        <is>
          <t>DS38.6 .B74 1996</t>
        </is>
      </c>
      <c r="C971" t="inlineStr">
        <is>
          <t>0                      DS 0038600B  74          1996</t>
        </is>
      </c>
      <c r="D971" t="inlineStr">
        <is>
          <t>Aristocratic violence and holy war : studies in the jihad and the Arab-Byzantine frontier / Michael Bonner.</t>
        </is>
      </c>
      <c r="F971" t="inlineStr">
        <is>
          <t>No</t>
        </is>
      </c>
      <c r="G971" t="inlineStr">
        <is>
          <t>1</t>
        </is>
      </c>
      <c r="H971" t="inlineStr">
        <is>
          <t>No</t>
        </is>
      </c>
      <c r="I971" t="inlineStr">
        <is>
          <t>No</t>
        </is>
      </c>
      <c r="J971" t="inlineStr">
        <is>
          <t>0</t>
        </is>
      </c>
      <c r="K971" t="inlineStr">
        <is>
          <t>Bonner, Michael, 1952-</t>
        </is>
      </c>
      <c r="L971" t="inlineStr">
        <is>
          <t>New Haven, Conn. : American Oriental Society, 1996.</t>
        </is>
      </c>
      <c r="M971" t="inlineStr">
        <is>
          <t>1996</t>
        </is>
      </c>
      <c r="O971" t="inlineStr">
        <is>
          <t>eng</t>
        </is>
      </c>
      <c r="P971" t="inlineStr">
        <is>
          <t>ctu</t>
        </is>
      </c>
      <c r="Q971" t="inlineStr">
        <is>
          <t>American oriental series ; v. 81</t>
        </is>
      </c>
      <c r="R971" t="inlineStr">
        <is>
          <t xml:space="preserve">DS </t>
        </is>
      </c>
      <c r="S971" t="n">
        <v>7</v>
      </c>
      <c r="T971" t="n">
        <v>7</v>
      </c>
      <c r="U971" t="inlineStr">
        <is>
          <t>2003-11-10</t>
        </is>
      </c>
      <c r="V971" t="inlineStr">
        <is>
          <t>2003-11-10</t>
        </is>
      </c>
      <c r="W971" t="inlineStr">
        <is>
          <t>1997-10-16</t>
        </is>
      </c>
      <c r="X971" t="inlineStr">
        <is>
          <t>1997-10-16</t>
        </is>
      </c>
      <c r="Y971" t="n">
        <v>183</v>
      </c>
      <c r="Z971" t="n">
        <v>127</v>
      </c>
      <c r="AA971" t="n">
        <v>129</v>
      </c>
      <c r="AB971" t="n">
        <v>3</v>
      </c>
      <c r="AC971" t="n">
        <v>3</v>
      </c>
      <c r="AD971" t="n">
        <v>9</v>
      </c>
      <c r="AE971" t="n">
        <v>9</v>
      </c>
      <c r="AF971" t="n">
        <v>0</v>
      </c>
      <c r="AG971" t="n">
        <v>0</v>
      </c>
      <c r="AH971" t="n">
        <v>5</v>
      </c>
      <c r="AI971" t="n">
        <v>5</v>
      </c>
      <c r="AJ971" t="n">
        <v>3</v>
      </c>
      <c r="AK971" t="n">
        <v>3</v>
      </c>
      <c r="AL971" t="n">
        <v>2</v>
      </c>
      <c r="AM971" t="n">
        <v>2</v>
      </c>
      <c r="AN971" t="n">
        <v>0</v>
      </c>
      <c r="AO971" t="n">
        <v>0</v>
      </c>
      <c r="AP971" t="inlineStr">
        <is>
          <t>No</t>
        </is>
      </c>
      <c r="AQ971" t="inlineStr">
        <is>
          <t>Yes</t>
        </is>
      </c>
      <c r="AR971">
        <f>HYPERLINK("http://catalog.hathitrust.org/Record/003165236","HathiTrust Record")</f>
        <v/>
      </c>
      <c r="AS971">
        <f>HYPERLINK("https://creighton-primo.hosted.exlibrisgroup.com/primo-explore/search?tab=default_tab&amp;search_scope=EVERYTHING&amp;vid=01CRU&amp;lang=en_US&amp;offset=0&amp;query=any,contains,991002691339702656","Catalog Record")</f>
        <v/>
      </c>
      <c r="AT971">
        <f>HYPERLINK("http://www.worldcat.org/oclc/35153996","WorldCat Record")</f>
        <v/>
      </c>
      <c r="AU971" t="inlineStr">
        <is>
          <t>196207380:eng</t>
        </is>
      </c>
      <c r="AV971" t="inlineStr">
        <is>
          <t>35153996</t>
        </is>
      </c>
      <c r="AW971" t="inlineStr">
        <is>
          <t>991002691339702656</t>
        </is>
      </c>
      <c r="AX971" t="inlineStr">
        <is>
          <t>991002691339702656</t>
        </is>
      </c>
      <c r="AY971" t="inlineStr">
        <is>
          <t>2254825560002656</t>
        </is>
      </c>
      <c r="AZ971" t="inlineStr">
        <is>
          <t>BOOK</t>
        </is>
      </c>
      <c r="BB971" t="inlineStr">
        <is>
          <t>9780940490116</t>
        </is>
      </c>
      <c r="BC971" t="inlineStr">
        <is>
          <t>32285003255717</t>
        </is>
      </c>
      <c r="BD971" t="inlineStr">
        <is>
          <t>893691889</t>
        </is>
      </c>
    </row>
    <row r="972">
      <c r="A972" t="inlineStr">
        <is>
          <t>No</t>
        </is>
      </c>
      <c r="B972" t="inlineStr">
        <is>
          <t>DS38.6 .M3213 1985</t>
        </is>
      </c>
      <c r="C972" t="inlineStr">
        <is>
          <t>0                      DS 0038600M  3213        1985</t>
        </is>
      </c>
      <c r="D972" t="inlineStr">
        <is>
          <t>The crusades through Arab eyes / Amin Maalouf ; translated by Jon Rothschild.</t>
        </is>
      </c>
      <c r="F972" t="inlineStr">
        <is>
          <t>No</t>
        </is>
      </c>
      <c r="G972" t="inlineStr">
        <is>
          <t>1</t>
        </is>
      </c>
      <c r="H972" t="inlineStr">
        <is>
          <t>No</t>
        </is>
      </c>
      <c r="I972" t="inlineStr">
        <is>
          <t>No</t>
        </is>
      </c>
      <c r="J972" t="inlineStr">
        <is>
          <t>0</t>
        </is>
      </c>
      <c r="K972" t="inlineStr">
        <is>
          <t>Maalouf, Amin.</t>
        </is>
      </c>
      <c r="L972" t="inlineStr">
        <is>
          <t>New York : Schocken Books, 1985.</t>
        </is>
      </c>
      <c r="M972" t="inlineStr">
        <is>
          <t>1985</t>
        </is>
      </c>
      <c r="N972" t="inlineStr">
        <is>
          <t>1st American ed.</t>
        </is>
      </c>
      <c r="O972" t="inlineStr">
        <is>
          <t>eng</t>
        </is>
      </c>
      <c r="P972" t="inlineStr">
        <is>
          <t>nyu</t>
        </is>
      </c>
      <c r="R972" t="inlineStr">
        <is>
          <t xml:space="preserve">DS </t>
        </is>
      </c>
      <c r="S972" t="n">
        <v>9</v>
      </c>
      <c r="T972" t="n">
        <v>9</v>
      </c>
      <c r="U972" t="inlineStr">
        <is>
          <t>2007-09-06</t>
        </is>
      </c>
      <c r="V972" t="inlineStr">
        <is>
          <t>2007-09-06</t>
        </is>
      </c>
      <c r="W972" t="inlineStr">
        <is>
          <t>1990-09-13</t>
        </is>
      </c>
      <c r="X972" t="inlineStr">
        <is>
          <t>1990-09-13</t>
        </is>
      </c>
      <c r="Y972" t="n">
        <v>888</v>
      </c>
      <c r="Z972" t="n">
        <v>810</v>
      </c>
      <c r="AA972" t="n">
        <v>1527</v>
      </c>
      <c r="AB972" t="n">
        <v>7</v>
      </c>
      <c r="AC972" t="n">
        <v>11</v>
      </c>
      <c r="AD972" t="n">
        <v>27</v>
      </c>
      <c r="AE972" t="n">
        <v>53</v>
      </c>
      <c r="AF972" t="n">
        <v>10</v>
      </c>
      <c r="AG972" t="n">
        <v>24</v>
      </c>
      <c r="AH972" t="n">
        <v>6</v>
      </c>
      <c r="AI972" t="n">
        <v>10</v>
      </c>
      <c r="AJ972" t="n">
        <v>14</v>
      </c>
      <c r="AK972" t="n">
        <v>24</v>
      </c>
      <c r="AL972" t="n">
        <v>4</v>
      </c>
      <c r="AM972" t="n">
        <v>7</v>
      </c>
      <c r="AN972" t="n">
        <v>0</v>
      </c>
      <c r="AO972" t="n">
        <v>0</v>
      </c>
      <c r="AP972" t="inlineStr">
        <is>
          <t>No</t>
        </is>
      </c>
      <c r="AQ972" t="inlineStr">
        <is>
          <t>Yes</t>
        </is>
      </c>
      <c r="AR972">
        <f>HYPERLINK("http://catalog.hathitrust.org/Record/000831042","HathiTrust Record")</f>
        <v/>
      </c>
      <c r="AS972">
        <f>HYPERLINK("https://creighton-primo.hosted.exlibrisgroup.com/primo-explore/search?tab=default_tab&amp;search_scope=EVERYTHING&amp;vid=01CRU&amp;lang=en_US&amp;offset=0&amp;query=any,contains,991000635629702656","Catalog Record")</f>
        <v/>
      </c>
      <c r="AT972">
        <f>HYPERLINK("http://www.worldcat.org/oclc/12081005","WorldCat Record")</f>
        <v/>
      </c>
      <c r="AU972" t="inlineStr">
        <is>
          <t>2893457199:eng</t>
        </is>
      </c>
      <c r="AV972" t="inlineStr">
        <is>
          <t>12081005</t>
        </is>
      </c>
      <c r="AW972" t="inlineStr">
        <is>
          <t>991000635629702656</t>
        </is>
      </c>
      <c r="AX972" t="inlineStr">
        <is>
          <t>991000635629702656</t>
        </is>
      </c>
      <c r="AY972" t="inlineStr">
        <is>
          <t>2266257560002656</t>
        </is>
      </c>
      <c r="AZ972" t="inlineStr">
        <is>
          <t>BOOK</t>
        </is>
      </c>
      <c r="BB972" t="inlineStr">
        <is>
          <t>9780805240047</t>
        </is>
      </c>
      <c r="BC972" t="inlineStr">
        <is>
          <t>32285000291616</t>
        </is>
      </c>
      <c r="BD972" t="inlineStr">
        <is>
          <t>893255593</t>
        </is>
      </c>
    </row>
    <row r="973">
      <c r="A973" t="inlineStr">
        <is>
          <t>No</t>
        </is>
      </c>
      <c r="B973" t="inlineStr">
        <is>
          <t>DS38.6 .S48</t>
        </is>
      </c>
      <c r="C973" t="inlineStr">
        <is>
          <t>0                      DS 0038600S  48</t>
        </is>
      </c>
      <c r="D973" t="inlineStr">
        <is>
          <t>Islamic history A.D. 750-1055 (A.H. 132-448) : a new interpretation / M. A. Shaban.</t>
        </is>
      </c>
      <c r="F973" t="inlineStr">
        <is>
          <t>No</t>
        </is>
      </c>
      <c r="G973" t="inlineStr">
        <is>
          <t>1</t>
        </is>
      </c>
      <c r="H973" t="inlineStr">
        <is>
          <t>No</t>
        </is>
      </c>
      <c r="I973" t="inlineStr">
        <is>
          <t>No</t>
        </is>
      </c>
      <c r="J973" t="inlineStr">
        <is>
          <t>0</t>
        </is>
      </c>
      <c r="K973" t="inlineStr">
        <is>
          <t>Shaʻbān, Muḥammad ʻAbd al-Ḥayy Muḥammad.</t>
        </is>
      </c>
      <c r="L973" t="inlineStr">
        <is>
          <t>Cambridge [Eng.] ; New York : Cambridge University Press, c1976.</t>
        </is>
      </c>
      <c r="M973" t="inlineStr">
        <is>
          <t>1976</t>
        </is>
      </c>
      <c r="O973" t="inlineStr">
        <is>
          <t>eng</t>
        </is>
      </c>
      <c r="P973" t="inlineStr">
        <is>
          <t>enk</t>
        </is>
      </c>
      <c r="R973" t="inlineStr">
        <is>
          <t xml:space="preserve">DS </t>
        </is>
      </c>
      <c r="S973" t="n">
        <v>2</v>
      </c>
      <c r="T973" t="n">
        <v>2</v>
      </c>
      <c r="U973" t="inlineStr">
        <is>
          <t>1995-08-24</t>
        </is>
      </c>
      <c r="V973" t="inlineStr">
        <is>
          <t>1995-08-24</t>
        </is>
      </c>
      <c r="W973" t="inlineStr">
        <is>
          <t>1994-06-22</t>
        </is>
      </c>
      <c r="X973" t="inlineStr">
        <is>
          <t>1994-06-22</t>
        </is>
      </c>
      <c r="Y973" t="n">
        <v>202</v>
      </c>
      <c r="Z973" t="n">
        <v>183</v>
      </c>
      <c r="AA973" t="n">
        <v>620</v>
      </c>
      <c r="AB973" t="n">
        <v>2</v>
      </c>
      <c r="AC973" t="n">
        <v>4</v>
      </c>
      <c r="AD973" t="n">
        <v>13</v>
      </c>
      <c r="AE973" t="n">
        <v>30</v>
      </c>
      <c r="AF973" t="n">
        <v>5</v>
      </c>
      <c r="AG973" t="n">
        <v>10</v>
      </c>
      <c r="AH973" t="n">
        <v>3</v>
      </c>
      <c r="AI973" t="n">
        <v>7</v>
      </c>
      <c r="AJ973" t="n">
        <v>6</v>
      </c>
      <c r="AK973" t="n">
        <v>16</v>
      </c>
      <c r="AL973" t="n">
        <v>1</v>
      </c>
      <c r="AM973" t="n">
        <v>3</v>
      </c>
      <c r="AN973" t="n">
        <v>0</v>
      </c>
      <c r="AO973" t="n">
        <v>0</v>
      </c>
      <c r="AP973" t="inlineStr">
        <is>
          <t>No</t>
        </is>
      </c>
      <c r="AQ973" t="inlineStr">
        <is>
          <t>No</t>
        </is>
      </c>
      <c r="AS973">
        <f>HYPERLINK("https://creighton-primo.hosted.exlibrisgroup.com/primo-explore/search?tab=default_tab&amp;search_scope=EVERYTHING&amp;vid=01CRU&amp;lang=en_US&amp;offset=0&amp;query=any,contains,991003953159702656","Catalog Record")</f>
        <v/>
      </c>
      <c r="AT973">
        <f>HYPERLINK("http://www.worldcat.org/oclc/1959491","WorldCat Record")</f>
        <v/>
      </c>
      <c r="AU973" t="inlineStr">
        <is>
          <t>222299805:eng</t>
        </is>
      </c>
      <c r="AV973" t="inlineStr">
        <is>
          <t>1959491</t>
        </is>
      </c>
      <c r="AW973" t="inlineStr">
        <is>
          <t>991003953159702656</t>
        </is>
      </c>
      <c r="AX973" t="inlineStr">
        <is>
          <t>991003953159702656</t>
        </is>
      </c>
      <c r="AY973" t="inlineStr">
        <is>
          <t>2266112420002656</t>
        </is>
      </c>
      <c r="AZ973" t="inlineStr">
        <is>
          <t>BOOK</t>
        </is>
      </c>
      <c r="BB973" t="inlineStr">
        <is>
          <t>9780521211987</t>
        </is>
      </c>
      <c r="BC973" t="inlineStr">
        <is>
          <t>32285001929537</t>
        </is>
      </c>
      <c r="BD973" t="inlineStr">
        <is>
          <t>893718276</t>
        </is>
      </c>
    </row>
    <row r="974">
      <c r="A974" t="inlineStr">
        <is>
          <t>No</t>
        </is>
      </c>
      <c r="B974" t="inlineStr">
        <is>
          <t>DS38.9 .M36 1990</t>
        </is>
      </c>
      <c r="C974" t="inlineStr">
        <is>
          <t>0                      DS 0038900M  36          1990</t>
        </is>
      </c>
      <c r="D974" t="inlineStr">
        <is>
          <t>The Arabs / Peter Mansfield.</t>
        </is>
      </c>
      <c r="F974" t="inlineStr">
        <is>
          <t>No</t>
        </is>
      </c>
      <c r="G974" t="inlineStr">
        <is>
          <t>1</t>
        </is>
      </c>
      <c r="H974" t="inlineStr">
        <is>
          <t>No</t>
        </is>
      </c>
      <c r="I974" t="inlineStr">
        <is>
          <t>No</t>
        </is>
      </c>
      <c r="J974" t="inlineStr">
        <is>
          <t>0</t>
        </is>
      </c>
      <c r="K974" t="inlineStr">
        <is>
          <t>Mansfield, Peter, 1928-</t>
        </is>
      </c>
      <c r="L974" t="inlineStr">
        <is>
          <t>Harmondsworth, Middlesex, England ; New York, N.Y. : Penguin, 1990, c1985.</t>
        </is>
      </c>
      <c r="M974" t="inlineStr">
        <is>
          <t>1990</t>
        </is>
      </c>
      <c r="N974" t="inlineStr">
        <is>
          <t>2nd ed.</t>
        </is>
      </c>
      <c r="O974" t="inlineStr">
        <is>
          <t>eng</t>
        </is>
      </c>
      <c r="P974" t="inlineStr">
        <is>
          <t>enk</t>
        </is>
      </c>
      <c r="R974" t="inlineStr">
        <is>
          <t xml:space="preserve">DS </t>
        </is>
      </c>
      <c r="S974" t="n">
        <v>1</v>
      </c>
      <c r="T974" t="n">
        <v>1</v>
      </c>
      <c r="U974" t="inlineStr">
        <is>
          <t>1992-03-03</t>
        </is>
      </c>
      <c r="V974" t="inlineStr">
        <is>
          <t>1992-03-03</t>
        </is>
      </c>
      <c r="W974" t="inlineStr">
        <is>
          <t>1991-06-13</t>
        </is>
      </c>
      <c r="X974" t="inlineStr">
        <is>
          <t>1991-06-13</t>
        </is>
      </c>
      <c r="Y974" t="n">
        <v>143</v>
      </c>
      <c r="Z974" t="n">
        <v>107</v>
      </c>
      <c r="AA974" t="n">
        <v>755</v>
      </c>
      <c r="AB974" t="n">
        <v>1</v>
      </c>
      <c r="AC974" t="n">
        <v>5</v>
      </c>
      <c r="AD974" t="n">
        <v>5</v>
      </c>
      <c r="AE974" t="n">
        <v>25</v>
      </c>
      <c r="AF974" t="n">
        <v>2</v>
      </c>
      <c r="AG974" t="n">
        <v>9</v>
      </c>
      <c r="AH974" t="n">
        <v>2</v>
      </c>
      <c r="AI974" t="n">
        <v>5</v>
      </c>
      <c r="AJ974" t="n">
        <v>2</v>
      </c>
      <c r="AK974" t="n">
        <v>12</v>
      </c>
      <c r="AL974" t="n">
        <v>0</v>
      </c>
      <c r="AM974" t="n">
        <v>4</v>
      </c>
      <c r="AN974" t="n">
        <v>0</v>
      </c>
      <c r="AO974" t="n">
        <v>0</v>
      </c>
      <c r="AP974" t="inlineStr">
        <is>
          <t>No</t>
        </is>
      </c>
      <c r="AQ974" t="inlineStr">
        <is>
          <t>No</t>
        </is>
      </c>
      <c r="AS974">
        <f>HYPERLINK("https://creighton-primo.hosted.exlibrisgroup.com/primo-explore/search?tab=default_tab&amp;search_scope=EVERYTHING&amp;vid=01CRU&amp;lang=en_US&amp;offset=0&amp;query=any,contains,991001836029702656","Catalog Record")</f>
        <v/>
      </c>
      <c r="AT974">
        <f>HYPERLINK("http://www.worldcat.org/oclc/26719613","WorldCat Record")</f>
        <v/>
      </c>
      <c r="AU974" t="inlineStr">
        <is>
          <t>327148:eng</t>
        </is>
      </c>
      <c r="AV974" t="inlineStr">
        <is>
          <t>26719613</t>
        </is>
      </c>
      <c r="AW974" t="inlineStr">
        <is>
          <t>991001836029702656</t>
        </is>
      </c>
      <c r="AX974" t="inlineStr">
        <is>
          <t>991001836029702656</t>
        </is>
      </c>
      <c r="AY974" t="inlineStr">
        <is>
          <t>2264807980002656</t>
        </is>
      </c>
      <c r="AZ974" t="inlineStr">
        <is>
          <t>BOOK</t>
        </is>
      </c>
      <c r="BB974" t="inlineStr">
        <is>
          <t>9780140135749</t>
        </is>
      </c>
      <c r="BC974" t="inlineStr">
        <is>
          <t>32285000655596</t>
        </is>
      </c>
      <c r="BD974" t="inlineStr">
        <is>
          <t>893433172</t>
        </is>
      </c>
    </row>
    <row r="975">
      <c r="A975" t="inlineStr">
        <is>
          <t>No</t>
        </is>
      </c>
      <c r="B975" t="inlineStr">
        <is>
          <t>DS38.9 .S58 1990</t>
        </is>
      </c>
      <c r="C975" t="inlineStr">
        <is>
          <t>0                      DS 0038900S  58          1990</t>
        </is>
      </c>
      <c r="D975" t="inlineStr">
        <is>
          <t>Between Qur'an and crown : the challenge of political legitimacy in the Arab world / Tamara Sonn.</t>
        </is>
      </c>
      <c r="F975" t="inlineStr">
        <is>
          <t>No</t>
        </is>
      </c>
      <c r="G975" t="inlineStr">
        <is>
          <t>1</t>
        </is>
      </c>
      <c r="H975" t="inlineStr">
        <is>
          <t>No</t>
        </is>
      </c>
      <c r="I975" t="inlineStr">
        <is>
          <t>No</t>
        </is>
      </c>
      <c r="J975" t="inlineStr">
        <is>
          <t>0</t>
        </is>
      </c>
      <c r="K975" t="inlineStr">
        <is>
          <t>Sonn, Tamara, 1949-</t>
        </is>
      </c>
      <c r="L975" t="inlineStr">
        <is>
          <t>Boulder : Westview Press, 1990.</t>
        </is>
      </c>
      <c r="M975" t="inlineStr">
        <is>
          <t>1990</t>
        </is>
      </c>
      <c r="O975" t="inlineStr">
        <is>
          <t>eng</t>
        </is>
      </c>
      <c r="P975" t="inlineStr">
        <is>
          <t>cou</t>
        </is>
      </c>
      <c r="Q975" t="inlineStr">
        <is>
          <t>Westview special studies on the Middle East</t>
        </is>
      </c>
      <c r="R975" t="inlineStr">
        <is>
          <t xml:space="preserve">DS </t>
        </is>
      </c>
      <c r="S975" t="n">
        <v>3</v>
      </c>
      <c r="T975" t="n">
        <v>3</v>
      </c>
      <c r="U975" t="inlineStr">
        <is>
          <t>1996-04-22</t>
        </is>
      </c>
      <c r="V975" t="inlineStr">
        <is>
          <t>1996-04-22</t>
        </is>
      </c>
      <c r="W975" t="inlineStr">
        <is>
          <t>1991-07-30</t>
        </is>
      </c>
      <c r="X975" t="inlineStr">
        <is>
          <t>1991-07-30</t>
        </is>
      </c>
      <c r="Y975" t="n">
        <v>382</v>
      </c>
      <c r="Z975" t="n">
        <v>307</v>
      </c>
      <c r="AA975" t="n">
        <v>331</v>
      </c>
      <c r="AB975" t="n">
        <v>2</v>
      </c>
      <c r="AC975" t="n">
        <v>2</v>
      </c>
      <c r="AD975" t="n">
        <v>17</v>
      </c>
      <c r="AE975" t="n">
        <v>17</v>
      </c>
      <c r="AF975" t="n">
        <v>4</v>
      </c>
      <c r="AG975" t="n">
        <v>4</v>
      </c>
      <c r="AH975" t="n">
        <v>6</v>
      </c>
      <c r="AI975" t="n">
        <v>6</v>
      </c>
      <c r="AJ975" t="n">
        <v>9</v>
      </c>
      <c r="AK975" t="n">
        <v>9</v>
      </c>
      <c r="AL975" t="n">
        <v>1</v>
      </c>
      <c r="AM975" t="n">
        <v>1</v>
      </c>
      <c r="AN975" t="n">
        <v>0</v>
      </c>
      <c r="AO975" t="n">
        <v>0</v>
      </c>
      <c r="AP975" t="inlineStr">
        <is>
          <t>No</t>
        </is>
      </c>
      <c r="AQ975" t="inlineStr">
        <is>
          <t>Yes</t>
        </is>
      </c>
      <c r="AR975">
        <f>HYPERLINK("http://catalog.hathitrust.org/Record/002205518","HathiTrust Record")</f>
        <v/>
      </c>
      <c r="AS975">
        <f>HYPERLINK("https://creighton-primo.hosted.exlibrisgroup.com/primo-explore/search?tab=default_tab&amp;search_scope=EVERYTHING&amp;vid=01CRU&amp;lang=en_US&amp;offset=0&amp;query=any,contains,991001655389702656","Catalog Record")</f>
        <v/>
      </c>
      <c r="AT975">
        <f>HYPERLINK("http://www.worldcat.org/oclc/21119205","WorldCat Record")</f>
        <v/>
      </c>
      <c r="AU975" t="inlineStr">
        <is>
          <t>22344120:eng</t>
        </is>
      </c>
      <c r="AV975" t="inlineStr">
        <is>
          <t>21119205</t>
        </is>
      </c>
      <c r="AW975" t="inlineStr">
        <is>
          <t>991001655389702656</t>
        </is>
      </c>
      <c r="AX975" t="inlineStr">
        <is>
          <t>991001655389702656</t>
        </is>
      </c>
      <c r="AY975" t="inlineStr">
        <is>
          <t>2258343820002656</t>
        </is>
      </c>
      <c r="AZ975" t="inlineStr">
        <is>
          <t>BOOK</t>
        </is>
      </c>
      <c r="BB975" t="inlineStr">
        <is>
          <t>9780813375793</t>
        </is>
      </c>
      <c r="BC975" t="inlineStr">
        <is>
          <t>32285000663194</t>
        </is>
      </c>
      <c r="BD975" t="inlineStr">
        <is>
          <t>893602767</t>
        </is>
      </c>
    </row>
    <row r="976">
      <c r="A976" t="inlineStr">
        <is>
          <t>No</t>
        </is>
      </c>
      <c r="B976" t="inlineStr">
        <is>
          <t>DS380.K34 M34 2001</t>
        </is>
      </c>
      <c r="C976" t="inlineStr">
        <is>
          <t>0                      DS 0380000K  34                 M  34          2001</t>
        </is>
      </c>
      <c r="D976" t="inlineStr">
        <is>
          <t>Our women are free : gender and ethnicity in the Hindukush / Wynne Maggi.</t>
        </is>
      </c>
      <c r="F976" t="inlineStr">
        <is>
          <t>No</t>
        </is>
      </c>
      <c r="G976" t="inlineStr">
        <is>
          <t>1</t>
        </is>
      </c>
      <c r="H976" t="inlineStr">
        <is>
          <t>No</t>
        </is>
      </c>
      <c r="I976" t="inlineStr">
        <is>
          <t>No</t>
        </is>
      </c>
      <c r="J976" t="inlineStr">
        <is>
          <t>0</t>
        </is>
      </c>
      <c r="K976" t="inlineStr">
        <is>
          <t>Maggi, Wynne, 1966-</t>
        </is>
      </c>
      <c r="L976" t="inlineStr">
        <is>
          <t>Ann Arbor, MI : University of Michigan Press, c2001.</t>
        </is>
      </c>
      <c r="M976" t="inlineStr">
        <is>
          <t>2001</t>
        </is>
      </c>
      <c r="O976" t="inlineStr">
        <is>
          <t>eng</t>
        </is>
      </c>
      <c r="P976" t="inlineStr">
        <is>
          <t>miu</t>
        </is>
      </c>
      <c r="R976" t="inlineStr">
        <is>
          <t xml:space="preserve">DS </t>
        </is>
      </c>
      <c r="S976" t="n">
        <v>3</v>
      </c>
      <c r="T976" t="n">
        <v>3</v>
      </c>
      <c r="U976" t="inlineStr">
        <is>
          <t>2002-10-21</t>
        </is>
      </c>
      <c r="V976" t="inlineStr">
        <is>
          <t>2002-10-21</t>
        </is>
      </c>
      <c r="W976" t="inlineStr">
        <is>
          <t>2002-10-21</t>
        </is>
      </c>
      <c r="X976" t="inlineStr">
        <is>
          <t>2002-10-21</t>
        </is>
      </c>
      <c r="Y976" t="n">
        <v>356</v>
      </c>
      <c r="Z976" t="n">
        <v>297</v>
      </c>
      <c r="AA976" t="n">
        <v>302</v>
      </c>
      <c r="AB976" t="n">
        <v>3</v>
      </c>
      <c r="AC976" t="n">
        <v>3</v>
      </c>
      <c r="AD976" t="n">
        <v>17</v>
      </c>
      <c r="AE976" t="n">
        <v>17</v>
      </c>
      <c r="AF976" t="n">
        <v>6</v>
      </c>
      <c r="AG976" t="n">
        <v>6</v>
      </c>
      <c r="AH976" t="n">
        <v>4</v>
      </c>
      <c r="AI976" t="n">
        <v>4</v>
      </c>
      <c r="AJ976" t="n">
        <v>10</v>
      </c>
      <c r="AK976" t="n">
        <v>10</v>
      </c>
      <c r="AL976" t="n">
        <v>2</v>
      </c>
      <c r="AM976" t="n">
        <v>2</v>
      </c>
      <c r="AN976" t="n">
        <v>0</v>
      </c>
      <c r="AO976" t="n">
        <v>0</v>
      </c>
      <c r="AP976" t="inlineStr">
        <is>
          <t>No</t>
        </is>
      </c>
      <c r="AQ976" t="inlineStr">
        <is>
          <t>Yes</t>
        </is>
      </c>
      <c r="AR976">
        <f>HYPERLINK("http://catalog.hathitrust.org/Record/004230444","HathiTrust Record")</f>
        <v/>
      </c>
      <c r="AS976">
        <f>HYPERLINK("https://creighton-primo.hosted.exlibrisgroup.com/primo-explore/search?tab=default_tab&amp;search_scope=EVERYTHING&amp;vid=01CRU&amp;lang=en_US&amp;offset=0&amp;query=any,contains,991003888489702656","Catalog Record")</f>
        <v/>
      </c>
      <c r="AT976">
        <f>HYPERLINK("http://www.worldcat.org/oclc/47200317","WorldCat Record")</f>
        <v/>
      </c>
      <c r="AU976" t="inlineStr">
        <is>
          <t>140952568:eng</t>
        </is>
      </c>
      <c r="AV976" t="inlineStr">
        <is>
          <t>47200317</t>
        </is>
      </c>
      <c r="AW976" t="inlineStr">
        <is>
          <t>991003888489702656</t>
        </is>
      </c>
      <c r="AX976" t="inlineStr">
        <is>
          <t>991003888489702656</t>
        </is>
      </c>
      <c r="AY976" t="inlineStr">
        <is>
          <t>2257949180002656</t>
        </is>
      </c>
      <c r="AZ976" t="inlineStr">
        <is>
          <t>BOOK</t>
        </is>
      </c>
      <c r="BB976" t="inlineStr">
        <is>
          <t>9780472067831</t>
        </is>
      </c>
      <c r="BC976" t="inlineStr">
        <is>
          <t>32285004656343</t>
        </is>
      </c>
      <c r="BD976" t="inlineStr">
        <is>
          <t>893349328</t>
        </is>
      </c>
    </row>
    <row r="977">
      <c r="A977" t="inlineStr">
        <is>
          <t>No</t>
        </is>
      </c>
      <c r="B977" t="inlineStr">
        <is>
          <t>DS380.M83 V47 2004</t>
        </is>
      </c>
      <c r="C977" t="inlineStr">
        <is>
          <t>0                      DS 0380000M  83                 V  47          2004</t>
        </is>
      </c>
      <c r="D977" t="inlineStr">
        <is>
          <t>Migrants and militants : fun and urban violence in Pakistan / Oskar Verkaaik.</t>
        </is>
      </c>
      <c r="F977" t="inlineStr">
        <is>
          <t>No</t>
        </is>
      </c>
      <c r="G977" t="inlineStr">
        <is>
          <t>1</t>
        </is>
      </c>
      <c r="H977" t="inlineStr">
        <is>
          <t>No</t>
        </is>
      </c>
      <c r="I977" t="inlineStr">
        <is>
          <t>No</t>
        </is>
      </c>
      <c r="J977" t="inlineStr">
        <is>
          <t>0</t>
        </is>
      </c>
      <c r="K977" t="inlineStr">
        <is>
          <t>Verkaaik, Oskar.</t>
        </is>
      </c>
      <c r="L977" t="inlineStr">
        <is>
          <t>Princeton, N.J. : Princeton University Press, c2004.</t>
        </is>
      </c>
      <c r="M977" t="inlineStr">
        <is>
          <t>2004</t>
        </is>
      </c>
      <c r="O977" t="inlineStr">
        <is>
          <t>eng</t>
        </is>
      </c>
      <c r="P977" t="inlineStr">
        <is>
          <t>nju</t>
        </is>
      </c>
      <c r="Q977" t="inlineStr">
        <is>
          <t>Princeton studies in Muslim politics</t>
        </is>
      </c>
      <c r="R977" t="inlineStr">
        <is>
          <t xml:space="preserve">DS </t>
        </is>
      </c>
      <c r="S977" t="n">
        <v>2</v>
      </c>
      <c r="T977" t="n">
        <v>2</v>
      </c>
      <c r="U977" t="inlineStr">
        <is>
          <t>2005-02-28</t>
        </is>
      </c>
      <c r="V977" t="inlineStr">
        <is>
          <t>2005-02-28</t>
        </is>
      </c>
      <c r="W977" t="inlineStr">
        <is>
          <t>2005-02-28</t>
        </is>
      </c>
      <c r="X977" t="inlineStr">
        <is>
          <t>2005-02-28</t>
        </is>
      </c>
      <c r="Y977" t="n">
        <v>489</v>
      </c>
      <c r="Z977" t="n">
        <v>397</v>
      </c>
      <c r="AA977" t="n">
        <v>591</v>
      </c>
      <c r="AB977" t="n">
        <v>1</v>
      </c>
      <c r="AC977" t="n">
        <v>2</v>
      </c>
      <c r="AD977" t="n">
        <v>26</v>
      </c>
      <c r="AE977" t="n">
        <v>34</v>
      </c>
      <c r="AF977" t="n">
        <v>12</v>
      </c>
      <c r="AG977" t="n">
        <v>16</v>
      </c>
      <c r="AH977" t="n">
        <v>9</v>
      </c>
      <c r="AI977" t="n">
        <v>10</v>
      </c>
      <c r="AJ977" t="n">
        <v>14</v>
      </c>
      <c r="AK977" t="n">
        <v>18</v>
      </c>
      <c r="AL977" t="n">
        <v>0</v>
      </c>
      <c r="AM977" t="n">
        <v>1</v>
      </c>
      <c r="AN977" t="n">
        <v>0</v>
      </c>
      <c r="AO977" t="n">
        <v>0</v>
      </c>
      <c r="AP977" t="inlineStr">
        <is>
          <t>No</t>
        </is>
      </c>
      <c r="AQ977" t="inlineStr">
        <is>
          <t>No</t>
        </is>
      </c>
      <c r="AS977">
        <f>HYPERLINK("https://creighton-primo.hosted.exlibrisgroup.com/primo-explore/search?tab=default_tab&amp;search_scope=EVERYTHING&amp;vid=01CRU&amp;lang=en_US&amp;offset=0&amp;query=any,contains,991004462689702656","Catalog Record")</f>
        <v/>
      </c>
      <c r="AT977">
        <f>HYPERLINK("http://www.worldcat.org/oclc/52375031","WorldCat Record")</f>
        <v/>
      </c>
      <c r="AU977" t="inlineStr">
        <is>
          <t>866250245:eng</t>
        </is>
      </c>
      <c r="AV977" t="inlineStr">
        <is>
          <t>52375031</t>
        </is>
      </c>
      <c r="AW977" t="inlineStr">
        <is>
          <t>991004462689702656</t>
        </is>
      </c>
      <c r="AX977" t="inlineStr">
        <is>
          <t>991004462689702656</t>
        </is>
      </c>
      <c r="AY977" t="inlineStr">
        <is>
          <t>2270046010002656</t>
        </is>
      </c>
      <c r="AZ977" t="inlineStr">
        <is>
          <t>BOOK</t>
        </is>
      </c>
      <c r="BB977" t="inlineStr">
        <is>
          <t>9780691117089</t>
        </is>
      </c>
      <c r="BC977" t="inlineStr">
        <is>
          <t>32285005027684</t>
        </is>
      </c>
      <c r="BD977" t="inlineStr">
        <is>
          <t>893882498</t>
        </is>
      </c>
    </row>
    <row r="978">
      <c r="A978" t="inlineStr">
        <is>
          <t>No</t>
        </is>
      </c>
      <c r="B978" t="inlineStr">
        <is>
          <t>DS382 .S39 1968</t>
        </is>
      </c>
      <c r="C978" t="inlineStr">
        <is>
          <t>0                      DS 0382000S  39          1968</t>
        </is>
      </c>
      <c r="D978" t="inlineStr">
        <is>
          <t>Pakistan, the formative phase, 1857-1948 [by] Khalid B. Sayeed; with a foreword by George Cunningham.</t>
        </is>
      </c>
      <c r="F978" t="inlineStr">
        <is>
          <t>No</t>
        </is>
      </c>
      <c r="G978" t="inlineStr">
        <is>
          <t>1</t>
        </is>
      </c>
      <c r="H978" t="inlineStr">
        <is>
          <t>No</t>
        </is>
      </c>
      <c r="I978" t="inlineStr">
        <is>
          <t>No</t>
        </is>
      </c>
      <c r="J978" t="inlineStr">
        <is>
          <t>0</t>
        </is>
      </c>
      <c r="K978" t="inlineStr">
        <is>
          <t>Sayeed, Khalid B., 1926-</t>
        </is>
      </c>
      <c r="L978" t="inlineStr">
        <is>
          <t>London, New York [etc.] Oxford University Press, 1968.</t>
        </is>
      </c>
      <c r="M978" t="inlineStr">
        <is>
          <t>1968</t>
        </is>
      </c>
      <c r="N978" t="inlineStr">
        <is>
          <t>2nd ed.</t>
        </is>
      </c>
      <c r="O978" t="inlineStr">
        <is>
          <t>eng</t>
        </is>
      </c>
      <c r="P978" t="inlineStr">
        <is>
          <t>enk</t>
        </is>
      </c>
      <c r="R978" t="inlineStr">
        <is>
          <t xml:space="preserve">DS </t>
        </is>
      </c>
      <c r="S978" t="n">
        <v>4</v>
      </c>
      <c r="T978" t="n">
        <v>4</v>
      </c>
      <c r="U978" t="inlineStr">
        <is>
          <t>2003-04-09</t>
        </is>
      </c>
      <c r="V978" t="inlineStr">
        <is>
          <t>2003-04-09</t>
        </is>
      </c>
      <c r="W978" t="inlineStr">
        <is>
          <t>1997-03-04</t>
        </is>
      </c>
      <c r="X978" t="inlineStr">
        <is>
          <t>1997-03-04</t>
        </is>
      </c>
      <c r="Y978" t="n">
        <v>565</v>
      </c>
      <c r="Z978" t="n">
        <v>419</v>
      </c>
      <c r="AA978" t="n">
        <v>439</v>
      </c>
      <c r="AB978" t="n">
        <v>2</v>
      </c>
      <c r="AC978" t="n">
        <v>2</v>
      </c>
      <c r="AD978" t="n">
        <v>14</v>
      </c>
      <c r="AE978" t="n">
        <v>14</v>
      </c>
      <c r="AF978" t="n">
        <v>2</v>
      </c>
      <c r="AG978" t="n">
        <v>2</v>
      </c>
      <c r="AH978" t="n">
        <v>6</v>
      </c>
      <c r="AI978" t="n">
        <v>6</v>
      </c>
      <c r="AJ978" t="n">
        <v>8</v>
      </c>
      <c r="AK978" t="n">
        <v>8</v>
      </c>
      <c r="AL978" t="n">
        <v>1</v>
      </c>
      <c r="AM978" t="n">
        <v>1</v>
      </c>
      <c r="AN978" t="n">
        <v>0</v>
      </c>
      <c r="AO978" t="n">
        <v>0</v>
      </c>
      <c r="AP978" t="inlineStr">
        <is>
          <t>No</t>
        </is>
      </c>
      <c r="AQ978" t="inlineStr">
        <is>
          <t>Yes</t>
        </is>
      </c>
      <c r="AR978">
        <f>HYPERLINK("http://catalog.hathitrust.org/Record/001249334","HathiTrust Record")</f>
        <v/>
      </c>
      <c r="AS978">
        <f>HYPERLINK("https://creighton-primo.hosted.exlibrisgroup.com/primo-explore/search?tab=default_tab&amp;search_scope=EVERYTHING&amp;vid=01CRU&amp;lang=en_US&amp;offset=0&amp;query=any,contains,991002816639702656","Catalog Record")</f>
        <v/>
      </c>
      <c r="AT978">
        <f>HYPERLINK("http://www.worldcat.org/oclc/460704","WorldCat Record")</f>
        <v/>
      </c>
      <c r="AU978" t="inlineStr">
        <is>
          <t>30823944:eng</t>
        </is>
      </c>
      <c r="AV978" t="inlineStr">
        <is>
          <t>460704</t>
        </is>
      </c>
      <c r="AW978" t="inlineStr">
        <is>
          <t>991002816639702656</t>
        </is>
      </c>
      <c r="AX978" t="inlineStr">
        <is>
          <t>991002816639702656</t>
        </is>
      </c>
      <c r="AY978" t="inlineStr">
        <is>
          <t>2258121830002656</t>
        </is>
      </c>
      <c r="AZ978" t="inlineStr">
        <is>
          <t>BOOK</t>
        </is>
      </c>
      <c r="BC978" t="inlineStr">
        <is>
          <t>32285002434586</t>
        </is>
      </c>
      <c r="BD978" t="inlineStr">
        <is>
          <t>893716954</t>
        </is>
      </c>
    </row>
    <row r="979">
      <c r="A979" t="inlineStr">
        <is>
          <t>No</t>
        </is>
      </c>
      <c r="B979" t="inlineStr">
        <is>
          <t>DS382 .T35 1998</t>
        </is>
      </c>
      <c r="C979" t="inlineStr">
        <is>
          <t>0                      DS 0382000T  35          1998</t>
        </is>
      </c>
      <c r="D979" t="inlineStr">
        <is>
          <t>Pakistan : a modern history / Ian Talbot.</t>
        </is>
      </c>
      <c r="F979" t="inlineStr">
        <is>
          <t>No</t>
        </is>
      </c>
      <c r="G979" t="inlineStr">
        <is>
          <t>1</t>
        </is>
      </c>
      <c r="H979" t="inlineStr">
        <is>
          <t>No</t>
        </is>
      </c>
      <c r="I979" t="inlineStr">
        <is>
          <t>No</t>
        </is>
      </c>
      <c r="J979" t="inlineStr">
        <is>
          <t>0</t>
        </is>
      </c>
      <c r="K979" t="inlineStr">
        <is>
          <t>Talbot, Ian.</t>
        </is>
      </c>
      <c r="L979" t="inlineStr">
        <is>
          <t>New York : St. Martin's Press, c1998.</t>
        </is>
      </c>
      <c r="M979" t="inlineStr">
        <is>
          <t>1998</t>
        </is>
      </c>
      <c r="O979" t="inlineStr">
        <is>
          <t>eng</t>
        </is>
      </c>
      <c r="P979" t="inlineStr">
        <is>
          <t>nyu</t>
        </is>
      </c>
      <c r="R979" t="inlineStr">
        <is>
          <t xml:space="preserve">DS </t>
        </is>
      </c>
      <c r="S979" t="n">
        <v>7</v>
      </c>
      <c r="T979" t="n">
        <v>7</v>
      </c>
      <c r="U979" t="inlineStr">
        <is>
          <t>2003-04-16</t>
        </is>
      </c>
      <c r="V979" t="inlineStr">
        <is>
          <t>2003-04-16</t>
        </is>
      </c>
      <c r="W979" t="inlineStr">
        <is>
          <t>1999-10-25</t>
        </is>
      </c>
      <c r="X979" t="inlineStr">
        <is>
          <t>1999-10-25</t>
        </is>
      </c>
      <c r="Y979" t="n">
        <v>415</v>
      </c>
      <c r="Z979" t="n">
        <v>359</v>
      </c>
      <c r="AA979" t="n">
        <v>563</v>
      </c>
      <c r="AB979" t="n">
        <v>1</v>
      </c>
      <c r="AC979" t="n">
        <v>2</v>
      </c>
      <c r="AD979" t="n">
        <v>10</v>
      </c>
      <c r="AE979" t="n">
        <v>20</v>
      </c>
      <c r="AF979" t="n">
        <v>4</v>
      </c>
      <c r="AG979" t="n">
        <v>6</v>
      </c>
      <c r="AH979" t="n">
        <v>3</v>
      </c>
      <c r="AI979" t="n">
        <v>8</v>
      </c>
      <c r="AJ979" t="n">
        <v>7</v>
      </c>
      <c r="AK979" t="n">
        <v>12</v>
      </c>
      <c r="AL979" t="n">
        <v>0</v>
      </c>
      <c r="AM979" t="n">
        <v>1</v>
      </c>
      <c r="AN979" t="n">
        <v>0</v>
      </c>
      <c r="AO979" t="n">
        <v>0</v>
      </c>
      <c r="AP979" t="inlineStr">
        <is>
          <t>No</t>
        </is>
      </c>
      <c r="AQ979" t="inlineStr">
        <is>
          <t>No</t>
        </is>
      </c>
      <c r="AS979">
        <f>HYPERLINK("https://creighton-primo.hosted.exlibrisgroup.com/primo-explore/search?tab=default_tab&amp;search_scope=EVERYTHING&amp;vid=01CRU&amp;lang=en_US&amp;offset=0&amp;query=any,contains,991002920219702656","Catalog Record")</f>
        <v/>
      </c>
      <c r="AT979">
        <f>HYPERLINK("http://www.worldcat.org/oclc/38739043","WorldCat Record")</f>
        <v/>
      </c>
      <c r="AU979" t="inlineStr">
        <is>
          <t>1001712:eng</t>
        </is>
      </c>
      <c r="AV979" t="inlineStr">
        <is>
          <t>38739043</t>
        </is>
      </c>
      <c r="AW979" t="inlineStr">
        <is>
          <t>991002920219702656</t>
        </is>
      </c>
      <c r="AX979" t="inlineStr">
        <is>
          <t>991002920219702656</t>
        </is>
      </c>
      <c r="AY979" t="inlineStr">
        <is>
          <t>2256981490002656</t>
        </is>
      </c>
      <c r="AZ979" t="inlineStr">
        <is>
          <t>BOOK</t>
        </is>
      </c>
      <c r="BB979" t="inlineStr">
        <is>
          <t>9780312216061</t>
        </is>
      </c>
      <c r="BC979" t="inlineStr">
        <is>
          <t>32285003612925</t>
        </is>
      </c>
      <c r="BD979" t="inlineStr">
        <is>
          <t>893445444</t>
        </is>
      </c>
    </row>
    <row r="980">
      <c r="A980" t="inlineStr">
        <is>
          <t>No</t>
        </is>
      </c>
      <c r="B980" t="inlineStr">
        <is>
          <t>DS383.5.A2 A75 2000</t>
        </is>
      </c>
      <c r="C980" t="inlineStr">
        <is>
          <t>0                      DS 0383500A  2                  A  75          2000</t>
        </is>
      </c>
      <c r="D980" t="inlineStr">
        <is>
          <t>Pakistan's foreign policy : a reappraisal / Shahid M. Amin.</t>
        </is>
      </c>
      <c r="F980" t="inlineStr">
        <is>
          <t>No</t>
        </is>
      </c>
      <c r="G980" t="inlineStr">
        <is>
          <t>1</t>
        </is>
      </c>
      <c r="H980" t="inlineStr">
        <is>
          <t>No</t>
        </is>
      </c>
      <c r="I980" t="inlineStr">
        <is>
          <t>No</t>
        </is>
      </c>
      <c r="J980" t="inlineStr">
        <is>
          <t>0</t>
        </is>
      </c>
      <c r="K980" t="inlineStr">
        <is>
          <t>Amin, Shahid M., 1936-</t>
        </is>
      </c>
      <c r="L980" t="inlineStr">
        <is>
          <t>Oxford ; New York : Oxford University Press, 2000.</t>
        </is>
      </c>
      <c r="M980" t="inlineStr">
        <is>
          <t>2000</t>
        </is>
      </c>
      <c r="O980" t="inlineStr">
        <is>
          <t>eng</t>
        </is>
      </c>
      <c r="P980" t="inlineStr">
        <is>
          <t>enk</t>
        </is>
      </c>
      <c r="R980" t="inlineStr">
        <is>
          <t xml:space="preserve">DS </t>
        </is>
      </c>
      <c r="S980" t="n">
        <v>4</v>
      </c>
      <c r="T980" t="n">
        <v>4</v>
      </c>
      <c r="U980" t="inlineStr">
        <is>
          <t>2003-04-09</t>
        </is>
      </c>
      <c r="V980" t="inlineStr">
        <is>
          <t>2003-04-09</t>
        </is>
      </c>
      <c r="W980" t="inlineStr">
        <is>
          <t>2001-08-13</t>
        </is>
      </c>
      <c r="X980" t="inlineStr">
        <is>
          <t>2001-08-13</t>
        </is>
      </c>
      <c r="Y980" t="n">
        <v>176</v>
      </c>
      <c r="Z980" t="n">
        <v>153</v>
      </c>
      <c r="AA980" t="n">
        <v>233</v>
      </c>
      <c r="AB980" t="n">
        <v>3</v>
      </c>
      <c r="AC980" t="n">
        <v>3</v>
      </c>
      <c r="AD980" t="n">
        <v>9</v>
      </c>
      <c r="AE980" t="n">
        <v>15</v>
      </c>
      <c r="AF980" t="n">
        <v>2</v>
      </c>
      <c r="AG980" t="n">
        <v>3</v>
      </c>
      <c r="AH980" t="n">
        <v>1</v>
      </c>
      <c r="AI980" t="n">
        <v>5</v>
      </c>
      <c r="AJ980" t="n">
        <v>6</v>
      </c>
      <c r="AK980" t="n">
        <v>9</v>
      </c>
      <c r="AL980" t="n">
        <v>2</v>
      </c>
      <c r="AM980" t="n">
        <v>2</v>
      </c>
      <c r="AN980" t="n">
        <v>0</v>
      </c>
      <c r="AO980" t="n">
        <v>0</v>
      </c>
      <c r="AP980" t="inlineStr">
        <is>
          <t>No</t>
        </is>
      </c>
      <c r="AQ980" t="inlineStr">
        <is>
          <t>Yes</t>
        </is>
      </c>
      <c r="AR980">
        <f>HYPERLINK("http://catalog.hathitrust.org/Record/004184423","HathiTrust Record")</f>
        <v/>
      </c>
      <c r="AS980">
        <f>HYPERLINK("https://creighton-primo.hosted.exlibrisgroup.com/primo-explore/search?tab=default_tab&amp;search_scope=EVERYTHING&amp;vid=01CRU&amp;lang=en_US&amp;offset=0&amp;query=any,contains,991003537479702656","Catalog Record")</f>
        <v/>
      </c>
      <c r="AT980">
        <f>HYPERLINK("http://www.worldcat.org/oclc/45901280","WorldCat Record")</f>
        <v/>
      </c>
      <c r="AU980" t="inlineStr">
        <is>
          <t>663504:eng</t>
        </is>
      </c>
      <c r="AV980" t="inlineStr">
        <is>
          <t>45901280</t>
        </is>
      </c>
      <c r="AW980" t="inlineStr">
        <is>
          <t>991003537479702656</t>
        </is>
      </c>
      <c r="AX980" t="inlineStr">
        <is>
          <t>991003537479702656</t>
        </is>
      </c>
      <c r="AY980" t="inlineStr">
        <is>
          <t>2272549260002656</t>
        </is>
      </c>
      <c r="AZ980" t="inlineStr">
        <is>
          <t>BOOK</t>
        </is>
      </c>
      <c r="BB980" t="inlineStr">
        <is>
          <t>9780195793987</t>
        </is>
      </c>
      <c r="BC980" t="inlineStr">
        <is>
          <t>32285004377346</t>
        </is>
      </c>
      <c r="BD980" t="inlineStr">
        <is>
          <t>893692814</t>
        </is>
      </c>
    </row>
    <row r="981">
      <c r="A981" t="inlineStr">
        <is>
          <t>No</t>
        </is>
      </c>
      <c r="B981" t="inlineStr">
        <is>
          <t>DS383.5.A2 S55 1970</t>
        </is>
      </c>
      <c r="C981" t="inlineStr">
        <is>
          <t>0                      DS 0383500A  2                  S  55          1970</t>
        </is>
      </c>
      <c r="D981" t="inlineStr">
        <is>
          <t>Pakistan's foreign policy : an appraisal.</t>
        </is>
      </c>
      <c r="F981" t="inlineStr">
        <is>
          <t>No</t>
        </is>
      </c>
      <c r="G981" t="inlineStr">
        <is>
          <t>1</t>
        </is>
      </c>
      <c r="H981" t="inlineStr">
        <is>
          <t>No</t>
        </is>
      </c>
      <c r="I981" t="inlineStr">
        <is>
          <t>No</t>
        </is>
      </c>
      <c r="J981" t="inlineStr">
        <is>
          <t>0</t>
        </is>
      </c>
      <c r="K981" t="inlineStr">
        <is>
          <t>Singh, Sangat, 1932-</t>
        </is>
      </c>
      <c r="L981" t="inlineStr">
        <is>
          <t>New York, Asia Pub. House [1970]</t>
        </is>
      </c>
      <c r="M981" t="inlineStr">
        <is>
          <t>1970</t>
        </is>
      </c>
      <c r="O981" t="inlineStr">
        <is>
          <t>eng</t>
        </is>
      </c>
      <c r="P981" t="inlineStr">
        <is>
          <t>nyu</t>
        </is>
      </c>
      <c r="R981" t="inlineStr">
        <is>
          <t xml:space="preserve">DS </t>
        </is>
      </c>
      <c r="S981" t="n">
        <v>4</v>
      </c>
      <c r="T981" t="n">
        <v>4</v>
      </c>
      <c r="U981" t="inlineStr">
        <is>
          <t>1998-03-22</t>
        </is>
      </c>
      <c r="V981" t="inlineStr">
        <is>
          <t>1998-03-22</t>
        </is>
      </c>
      <c r="W981" t="inlineStr">
        <is>
          <t>1997-03-04</t>
        </is>
      </c>
      <c r="X981" t="inlineStr">
        <is>
          <t>1997-03-04</t>
        </is>
      </c>
      <c r="Y981" t="n">
        <v>170</v>
      </c>
      <c r="Z981" t="n">
        <v>149</v>
      </c>
      <c r="AA981" t="n">
        <v>172</v>
      </c>
      <c r="AB981" t="n">
        <v>2</v>
      </c>
      <c r="AC981" t="n">
        <v>2</v>
      </c>
      <c r="AD981" t="n">
        <v>5</v>
      </c>
      <c r="AE981" t="n">
        <v>6</v>
      </c>
      <c r="AF981" t="n">
        <v>0</v>
      </c>
      <c r="AG981" t="n">
        <v>0</v>
      </c>
      <c r="AH981" t="n">
        <v>2</v>
      </c>
      <c r="AI981" t="n">
        <v>3</v>
      </c>
      <c r="AJ981" t="n">
        <v>3</v>
      </c>
      <c r="AK981" t="n">
        <v>3</v>
      </c>
      <c r="AL981" t="n">
        <v>1</v>
      </c>
      <c r="AM981" t="n">
        <v>1</v>
      </c>
      <c r="AN981" t="n">
        <v>0</v>
      </c>
      <c r="AO981" t="n">
        <v>0</v>
      </c>
      <c r="AP981" t="inlineStr">
        <is>
          <t>No</t>
        </is>
      </c>
      <c r="AQ981" t="inlineStr">
        <is>
          <t>Yes</t>
        </is>
      </c>
      <c r="AR981">
        <f>HYPERLINK("http://catalog.hathitrust.org/Record/000001254","HathiTrust Record")</f>
        <v/>
      </c>
      <c r="AS981">
        <f>HYPERLINK("https://creighton-primo.hosted.exlibrisgroup.com/primo-explore/search?tab=default_tab&amp;search_scope=EVERYTHING&amp;vid=01CRU&amp;lang=en_US&amp;offset=0&amp;query=any,contains,991000554379702656","Catalog Record")</f>
        <v/>
      </c>
      <c r="AT981">
        <f>HYPERLINK("http://www.worldcat.org/oclc/93028","WorldCat Record")</f>
        <v/>
      </c>
      <c r="AU981" t="inlineStr">
        <is>
          <t>1278764:eng</t>
        </is>
      </c>
      <c r="AV981" t="inlineStr">
        <is>
          <t>93028</t>
        </is>
      </c>
      <c r="AW981" t="inlineStr">
        <is>
          <t>991000554379702656</t>
        </is>
      </c>
      <c r="AX981" t="inlineStr">
        <is>
          <t>991000554379702656</t>
        </is>
      </c>
      <c r="AY981" t="inlineStr">
        <is>
          <t>2265585420002656</t>
        </is>
      </c>
      <c r="AZ981" t="inlineStr">
        <is>
          <t>BOOK</t>
        </is>
      </c>
      <c r="BC981" t="inlineStr">
        <is>
          <t>32285002463189</t>
        </is>
      </c>
      <c r="BD981" t="inlineStr">
        <is>
          <t>893255528</t>
        </is>
      </c>
    </row>
    <row r="982">
      <c r="A982" t="inlineStr">
        <is>
          <t>No</t>
        </is>
      </c>
      <c r="B982" t="inlineStr">
        <is>
          <t>DS383.5.I5 P73 2001</t>
        </is>
      </c>
      <c r="C982" t="inlineStr">
        <is>
          <t>0                      DS 0383500I  5                  P  73          2001</t>
        </is>
      </c>
      <c r="D982" t="inlineStr">
        <is>
          <t>Terrorism : an instrument of foreign policy / Kshitij Prabha.</t>
        </is>
      </c>
      <c r="F982" t="inlineStr">
        <is>
          <t>No</t>
        </is>
      </c>
      <c r="G982" t="inlineStr">
        <is>
          <t>1</t>
        </is>
      </c>
      <c r="H982" t="inlineStr">
        <is>
          <t>No</t>
        </is>
      </c>
      <c r="I982" t="inlineStr">
        <is>
          <t>No</t>
        </is>
      </c>
      <c r="J982" t="inlineStr">
        <is>
          <t>0</t>
        </is>
      </c>
      <c r="K982" t="inlineStr">
        <is>
          <t>Prabha, Kshitij.</t>
        </is>
      </c>
      <c r="L982" t="inlineStr">
        <is>
          <t>Colorado Springs, CO : International Academic Publishers, c2001.</t>
        </is>
      </c>
      <c r="M982" t="inlineStr">
        <is>
          <t>2001</t>
        </is>
      </c>
      <c r="O982" t="inlineStr">
        <is>
          <t>eng</t>
        </is>
      </c>
      <c r="P982" t="inlineStr">
        <is>
          <t>cou</t>
        </is>
      </c>
      <c r="R982" t="inlineStr">
        <is>
          <t xml:space="preserve">DS </t>
        </is>
      </c>
      <c r="S982" t="n">
        <v>4</v>
      </c>
      <c r="T982" t="n">
        <v>4</v>
      </c>
      <c r="U982" t="inlineStr">
        <is>
          <t>2003-04-16</t>
        </is>
      </c>
      <c r="V982" t="inlineStr">
        <is>
          <t>2003-04-16</t>
        </is>
      </c>
      <c r="W982" t="inlineStr">
        <is>
          <t>2002-08-21</t>
        </is>
      </c>
      <c r="X982" t="inlineStr">
        <is>
          <t>2002-08-21</t>
        </is>
      </c>
      <c r="Y982" t="n">
        <v>153</v>
      </c>
      <c r="Z982" t="n">
        <v>144</v>
      </c>
      <c r="AA982" t="n">
        <v>160</v>
      </c>
      <c r="AB982" t="n">
        <v>2</v>
      </c>
      <c r="AC982" t="n">
        <v>2</v>
      </c>
      <c r="AD982" t="n">
        <v>4</v>
      </c>
      <c r="AE982" t="n">
        <v>6</v>
      </c>
      <c r="AF982" t="n">
        <v>0</v>
      </c>
      <c r="AG982" t="n">
        <v>1</v>
      </c>
      <c r="AH982" t="n">
        <v>1</v>
      </c>
      <c r="AI982" t="n">
        <v>1</v>
      </c>
      <c r="AJ982" t="n">
        <v>1</v>
      </c>
      <c r="AK982" t="n">
        <v>2</v>
      </c>
      <c r="AL982" t="n">
        <v>1</v>
      </c>
      <c r="AM982" t="n">
        <v>1</v>
      </c>
      <c r="AN982" t="n">
        <v>1</v>
      </c>
      <c r="AO982" t="n">
        <v>2</v>
      </c>
      <c r="AP982" t="inlineStr">
        <is>
          <t>No</t>
        </is>
      </c>
      <c r="AQ982" t="inlineStr">
        <is>
          <t>No</t>
        </is>
      </c>
      <c r="AS982">
        <f>HYPERLINK("https://creighton-primo.hosted.exlibrisgroup.com/primo-explore/search?tab=default_tab&amp;search_scope=EVERYTHING&amp;vid=01CRU&amp;lang=en_US&amp;offset=0&amp;query=any,contains,991003849569702656","Catalog Record")</f>
        <v/>
      </c>
      <c r="AT982">
        <f>HYPERLINK("http://www.worldcat.org/oclc/44905104","WorldCat Record")</f>
        <v/>
      </c>
      <c r="AU982" t="inlineStr">
        <is>
          <t>34335757:eng</t>
        </is>
      </c>
      <c r="AV982" t="inlineStr">
        <is>
          <t>44905104</t>
        </is>
      </c>
      <c r="AW982" t="inlineStr">
        <is>
          <t>991003849569702656</t>
        </is>
      </c>
      <c r="AX982" t="inlineStr">
        <is>
          <t>991003849569702656</t>
        </is>
      </c>
      <c r="AY982" t="inlineStr">
        <is>
          <t>2265682010002656</t>
        </is>
      </c>
      <c r="AZ982" t="inlineStr">
        <is>
          <t>BOOK</t>
        </is>
      </c>
      <c r="BB982" t="inlineStr">
        <is>
          <t>9781588680761</t>
        </is>
      </c>
      <c r="BC982" t="inlineStr">
        <is>
          <t>32285004644570</t>
        </is>
      </c>
      <c r="BD982" t="inlineStr">
        <is>
          <t>893699488</t>
        </is>
      </c>
    </row>
    <row r="983">
      <c r="A983" t="inlineStr">
        <is>
          <t>No</t>
        </is>
      </c>
      <c r="B983" t="inlineStr">
        <is>
          <t>DS384 .A27 2005</t>
        </is>
      </c>
      <c r="C983" t="inlineStr">
        <is>
          <t>0                      DS 0384000A  27          2005</t>
        </is>
      </c>
      <c r="D983" t="inlineStr">
        <is>
          <t>Pakistan's drift into extremism : Allah, the army, and America's war on terror / Hassan Abbas ; foreword by Jessica Stern.</t>
        </is>
      </c>
      <c r="F983" t="inlineStr">
        <is>
          <t>No</t>
        </is>
      </c>
      <c r="G983" t="inlineStr">
        <is>
          <t>1</t>
        </is>
      </c>
      <c r="H983" t="inlineStr">
        <is>
          <t>No</t>
        </is>
      </c>
      <c r="I983" t="inlineStr">
        <is>
          <t>No</t>
        </is>
      </c>
      <c r="J983" t="inlineStr">
        <is>
          <t>0</t>
        </is>
      </c>
      <c r="K983" t="inlineStr">
        <is>
          <t>Abbas, Hassan, 1969-</t>
        </is>
      </c>
      <c r="L983" t="inlineStr">
        <is>
          <t>Armonk, N.Y. ; London : M.E. Sharpe, c2005.</t>
        </is>
      </c>
      <c r="M983" t="inlineStr">
        <is>
          <t>2005</t>
        </is>
      </c>
      <c r="O983" t="inlineStr">
        <is>
          <t>eng</t>
        </is>
      </c>
      <c r="P983" t="inlineStr">
        <is>
          <t>nyu</t>
        </is>
      </c>
      <c r="R983" t="inlineStr">
        <is>
          <t xml:space="preserve">DS </t>
        </is>
      </c>
      <c r="S983" t="n">
        <v>1</v>
      </c>
      <c r="T983" t="n">
        <v>1</v>
      </c>
      <c r="U983" t="inlineStr">
        <is>
          <t>2005-10-03</t>
        </is>
      </c>
      <c r="V983" t="inlineStr">
        <is>
          <t>2005-10-03</t>
        </is>
      </c>
      <c r="W983" t="inlineStr">
        <is>
          <t>2005-10-03</t>
        </is>
      </c>
      <c r="X983" t="inlineStr">
        <is>
          <t>2005-10-03</t>
        </is>
      </c>
      <c r="Y983" t="n">
        <v>659</v>
      </c>
      <c r="Z983" t="n">
        <v>565</v>
      </c>
      <c r="AA983" t="n">
        <v>595</v>
      </c>
      <c r="AB983" t="n">
        <v>5</v>
      </c>
      <c r="AC983" t="n">
        <v>5</v>
      </c>
      <c r="AD983" t="n">
        <v>32</v>
      </c>
      <c r="AE983" t="n">
        <v>32</v>
      </c>
      <c r="AF983" t="n">
        <v>14</v>
      </c>
      <c r="AG983" t="n">
        <v>14</v>
      </c>
      <c r="AH983" t="n">
        <v>8</v>
      </c>
      <c r="AI983" t="n">
        <v>8</v>
      </c>
      <c r="AJ983" t="n">
        <v>14</v>
      </c>
      <c r="AK983" t="n">
        <v>14</v>
      </c>
      <c r="AL983" t="n">
        <v>4</v>
      </c>
      <c r="AM983" t="n">
        <v>4</v>
      </c>
      <c r="AN983" t="n">
        <v>0</v>
      </c>
      <c r="AO983" t="n">
        <v>0</v>
      </c>
      <c r="AP983" t="inlineStr">
        <is>
          <t>No</t>
        </is>
      </c>
      <c r="AQ983" t="inlineStr">
        <is>
          <t>No</t>
        </is>
      </c>
      <c r="AS983">
        <f>HYPERLINK("https://creighton-primo.hosted.exlibrisgroup.com/primo-explore/search?tab=default_tab&amp;search_scope=EVERYTHING&amp;vid=01CRU&amp;lang=en_US&amp;offset=0&amp;query=any,contains,991004644429702656","Catalog Record")</f>
        <v/>
      </c>
      <c r="AT983">
        <f>HYPERLINK("http://www.worldcat.org/oclc/54913173","WorldCat Record")</f>
        <v/>
      </c>
      <c r="AU983" t="inlineStr">
        <is>
          <t>203214975:eng</t>
        </is>
      </c>
      <c r="AV983" t="inlineStr">
        <is>
          <t>54913173</t>
        </is>
      </c>
      <c r="AW983" t="inlineStr">
        <is>
          <t>991004644429702656</t>
        </is>
      </c>
      <c r="AX983" t="inlineStr">
        <is>
          <t>991004644429702656</t>
        </is>
      </c>
      <c r="AY983" t="inlineStr">
        <is>
          <t>2272305000002656</t>
        </is>
      </c>
      <c r="AZ983" t="inlineStr">
        <is>
          <t>BOOK</t>
        </is>
      </c>
      <c r="BB983" t="inlineStr">
        <is>
          <t>9780765614964</t>
        </is>
      </c>
      <c r="BC983" t="inlineStr">
        <is>
          <t>32285005086607</t>
        </is>
      </c>
      <c r="BD983" t="inlineStr">
        <is>
          <t>893618901</t>
        </is>
      </c>
    </row>
    <row r="984">
      <c r="A984" t="inlineStr">
        <is>
          <t>No</t>
        </is>
      </c>
      <c r="B984" t="inlineStr">
        <is>
          <t>DS384 .A786 2001</t>
        </is>
      </c>
      <c r="C984" t="inlineStr">
        <is>
          <t>0                      DS 0384000A  786         2001</t>
        </is>
      </c>
      <c r="D984" t="inlineStr">
        <is>
          <t>Khaki shadows : Pakistan 1947-1997 / K.M. Arif.</t>
        </is>
      </c>
      <c r="F984" t="inlineStr">
        <is>
          <t>No</t>
        </is>
      </c>
      <c r="G984" t="inlineStr">
        <is>
          <t>1</t>
        </is>
      </c>
      <c r="H984" t="inlineStr">
        <is>
          <t>No</t>
        </is>
      </c>
      <c r="I984" t="inlineStr">
        <is>
          <t>No</t>
        </is>
      </c>
      <c r="J984" t="inlineStr">
        <is>
          <t>0</t>
        </is>
      </c>
      <c r="K984" t="inlineStr">
        <is>
          <t>Arif, K. M. (Khalid Mahmud), 1930-</t>
        </is>
      </c>
      <c r="L984" t="inlineStr">
        <is>
          <t>Karachi : Oxford University Press, 2001.</t>
        </is>
      </c>
      <c r="M984" t="inlineStr">
        <is>
          <t>2001</t>
        </is>
      </c>
      <c r="O984" t="inlineStr">
        <is>
          <t>eng</t>
        </is>
      </c>
      <c r="P984" t="inlineStr">
        <is>
          <t xml:space="preserve">pk </t>
        </is>
      </c>
      <c r="R984" t="inlineStr">
        <is>
          <t xml:space="preserve">DS </t>
        </is>
      </c>
      <c r="S984" t="n">
        <v>4</v>
      </c>
      <c r="T984" t="n">
        <v>4</v>
      </c>
      <c r="U984" t="inlineStr">
        <is>
          <t>2001-12-07</t>
        </is>
      </c>
      <c r="V984" t="inlineStr">
        <is>
          <t>2001-12-07</t>
        </is>
      </c>
      <c r="W984" t="inlineStr">
        <is>
          <t>2001-11-27</t>
        </is>
      </c>
      <c r="X984" t="inlineStr">
        <is>
          <t>2001-11-27</t>
        </is>
      </c>
      <c r="Y984" t="n">
        <v>207</v>
      </c>
      <c r="Z984" t="n">
        <v>178</v>
      </c>
      <c r="AA984" t="n">
        <v>178</v>
      </c>
      <c r="AB984" t="n">
        <v>4</v>
      </c>
      <c r="AC984" t="n">
        <v>4</v>
      </c>
      <c r="AD984" t="n">
        <v>12</v>
      </c>
      <c r="AE984" t="n">
        <v>12</v>
      </c>
      <c r="AF984" t="n">
        <v>2</v>
      </c>
      <c r="AG984" t="n">
        <v>2</v>
      </c>
      <c r="AH984" t="n">
        <v>3</v>
      </c>
      <c r="AI984" t="n">
        <v>3</v>
      </c>
      <c r="AJ984" t="n">
        <v>6</v>
      </c>
      <c r="AK984" t="n">
        <v>6</v>
      </c>
      <c r="AL984" t="n">
        <v>3</v>
      </c>
      <c r="AM984" t="n">
        <v>3</v>
      </c>
      <c r="AN984" t="n">
        <v>0</v>
      </c>
      <c r="AO984" t="n">
        <v>0</v>
      </c>
      <c r="AP984" t="inlineStr">
        <is>
          <t>No</t>
        </is>
      </c>
      <c r="AQ984" t="inlineStr">
        <is>
          <t>No</t>
        </is>
      </c>
      <c r="AS984">
        <f>HYPERLINK("https://creighton-primo.hosted.exlibrisgroup.com/primo-explore/search?tab=default_tab&amp;search_scope=EVERYTHING&amp;vid=01CRU&amp;lang=en_US&amp;offset=0&amp;query=any,contains,991003639249702656","Catalog Record")</f>
        <v/>
      </c>
      <c r="AT984">
        <f>HYPERLINK("http://www.worldcat.org/oclc/47870022","WorldCat Record")</f>
        <v/>
      </c>
      <c r="AU984" t="inlineStr">
        <is>
          <t>3901867569:eng</t>
        </is>
      </c>
      <c r="AV984" t="inlineStr">
        <is>
          <t>47870022</t>
        </is>
      </c>
      <c r="AW984" t="inlineStr">
        <is>
          <t>991003639249702656</t>
        </is>
      </c>
      <c r="AX984" t="inlineStr">
        <is>
          <t>991003639249702656</t>
        </is>
      </c>
      <c r="AY984" t="inlineStr">
        <is>
          <t>2257002190002656</t>
        </is>
      </c>
      <c r="AZ984" t="inlineStr">
        <is>
          <t>BOOK</t>
        </is>
      </c>
      <c r="BB984" t="inlineStr">
        <is>
          <t>9780195793963</t>
        </is>
      </c>
      <c r="BC984" t="inlineStr">
        <is>
          <t>32285004414164</t>
        </is>
      </c>
      <c r="BD984" t="inlineStr">
        <is>
          <t>893699228</t>
        </is>
      </c>
    </row>
    <row r="985">
      <c r="A985" t="inlineStr">
        <is>
          <t>No</t>
        </is>
      </c>
      <c r="B985" t="inlineStr">
        <is>
          <t>DS384 .A9</t>
        </is>
      </c>
      <c r="C985" t="inlineStr">
        <is>
          <t>0                      DS 0384000A  9</t>
        </is>
      </c>
      <c r="D985" t="inlineStr">
        <is>
          <t>Pakistan perspective; a collection of important articles and excerpts from major addresses.</t>
        </is>
      </c>
      <c r="F985" t="inlineStr">
        <is>
          <t>No</t>
        </is>
      </c>
      <c r="G985" t="inlineStr">
        <is>
          <t>1</t>
        </is>
      </c>
      <c r="H985" t="inlineStr">
        <is>
          <t>No</t>
        </is>
      </c>
      <c r="I985" t="inlineStr">
        <is>
          <t>No</t>
        </is>
      </c>
      <c r="J985" t="inlineStr">
        <is>
          <t>0</t>
        </is>
      </c>
      <c r="K985" t="inlineStr">
        <is>
          <t>Ayub Khan, Mohammad, 1907-1974.</t>
        </is>
      </c>
      <c r="L985" t="inlineStr">
        <is>
          <t>[Washington, D.C., Embassy of Pakistan, 1965]</t>
        </is>
      </c>
      <c r="M985" t="inlineStr">
        <is>
          <t>1965</t>
        </is>
      </c>
      <c r="O985" t="inlineStr">
        <is>
          <t>eng</t>
        </is>
      </c>
      <c r="P985" t="inlineStr">
        <is>
          <t>dcu</t>
        </is>
      </c>
      <c r="R985" t="inlineStr">
        <is>
          <t xml:space="preserve">DS </t>
        </is>
      </c>
      <c r="S985" t="n">
        <v>2</v>
      </c>
      <c r="T985" t="n">
        <v>2</v>
      </c>
      <c r="U985" t="inlineStr">
        <is>
          <t>2003-04-16</t>
        </is>
      </c>
      <c r="V985" t="inlineStr">
        <is>
          <t>2003-04-16</t>
        </is>
      </c>
      <c r="W985" t="inlineStr">
        <is>
          <t>1997-03-06</t>
        </is>
      </c>
      <c r="X985" t="inlineStr">
        <is>
          <t>1997-03-06</t>
        </is>
      </c>
      <c r="Y985" t="n">
        <v>497</v>
      </c>
      <c r="Z985" t="n">
        <v>482</v>
      </c>
      <c r="AA985" t="n">
        <v>500</v>
      </c>
      <c r="AB985" t="n">
        <v>6</v>
      </c>
      <c r="AC985" t="n">
        <v>6</v>
      </c>
      <c r="AD985" t="n">
        <v>35</v>
      </c>
      <c r="AE985" t="n">
        <v>38</v>
      </c>
      <c r="AF985" t="n">
        <v>12</v>
      </c>
      <c r="AG985" t="n">
        <v>13</v>
      </c>
      <c r="AH985" t="n">
        <v>8</v>
      </c>
      <c r="AI985" t="n">
        <v>9</v>
      </c>
      <c r="AJ985" t="n">
        <v>20</v>
      </c>
      <c r="AK985" t="n">
        <v>21</v>
      </c>
      <c r="AL985" t="n">
        <v>5</v>
      </c>
      <c r="AM985" t="n">
        <v>5</v>
      </c>
      <c r="AN985" t="n">
        <v>0</v>
      </c>
      <c r="AO985" t="n">
        <v>0</v>
      </c>
      <c r="AP985" t="inlineStr">
        <is>
          <t>No</t>
        </is>
      </c>
      <c r="AQ985" t="inlineStr">
        <is>
          <t>Yes</t>
        </is>
      </c>
      <c r="AR985">
        <f>HYPERLINK("http://catalog.hathitrust.org/Record/001266187","HathiTrust Record")</f>
        <v/>
      </c>
      <c r="AS985">
        <f>HYPERLINK("https://creighton-primo.hosted.exlibrisgroup.com/primo-explore/search?tab=default_tab&amp;search_scope=EVERYTHING&amp;vid=01CRU&amp;lang=en_US&amp;offset=0&amp;query=any,contains,991002446889702656","Catalog Record")</f>
        <v/>
      </c>
      <c r="AT985">
        <f>HYPERLINK("http://www.worldcat.org/oclc/351805","WorldCat Record")</f>
        <v/>
      </c>
      <c r="AU985" t="inlineStr">
        <is>
          <t>3855398370:eng</t>
        </is>
      </c>
      <c r="AV985" t="inlineStr">
        <is>
          <t>351805</t>
        </is>
      </c>
      <c r="AW985" t="inlineStr">
        <is>
          <t>991002446889702656</t>
        </is>
      </c>
      <c r="AX985" t="inlineStr">
        <is>
          <t>991002446889702656</t>
        </is>
      </c>
      <c r="AY985" t="inlineStr">
        <is>
          <t>2266889850002656</t>
        </is>
      </c>
      <c r="AZ985" t="inlineStr">
        <is>
          <t>BOOK</t>
        </is>
      </c>
      <c r="BC985" t="inlineStr">
        <is>
          <t>32285002456019</t>
        </is>
      </c>
      <c r="BD985" t="inlineStr">
        <is>
          <t>893892557</t>
        </is>
      </c>
    </row>
    <row r="986">
      <c r="A986" t="inlineStr">
        <is>
          <t>No</t>
        </is>
      </c>
      <c r="B986" t="inlineStr">
        <is>
          <t>DS384 .M2716 2008</t>
        </is>
      </c>
      <c r="C986" t="inlineStr">
        <is>
          <t>0                      DS 0384000M  2716        2008</t>
        </is>
      </c>
      <c r="D986" t="inlineStr">
        <is>
          <t>The history of Pakistan / Iftikhar H. Malik.</t>
        </is>
      </c>
      <c r="F986" t="inlineStr">
        <is>
          <t>No</t>
        </is>
      </c>
      <c r="G986" t="inlineStr">
        <is>
          <t>1</t>
        </is>
      </c>
      <c r="H986" t="inlineStr">
        <is>
          <t>No</t>
        </is>
      </c>
      <c r="I986" t="inlineStr">
        <is>
          <t>No</t>
        </is>
      </c>
      <c r="J986" t="inlineStr">
        <is>
          <t>0</t>
        </is>
      </c>
      <c r="K986" t="inlineStr">
        <is>
          <t>Malik, Iftikhar Haider, 1949-</t>
        </is>
      </c>
      <c r="L986" t="inlineStr">
        <is>
          <t>Westport, Conn. : Greenwood Press, 2008.</t>
        </is>
      </c>
      <c r="M986" t="inlineStr">
        <is>
          <t>2008</t>
        </is>
      </c>
      <c r="O986" t="inlineStr">
        <is>
          <t>eng</t>
        </is>
      </c>
      <c r="P986" t="inlineStr">
        <is>
          <t>ctu</t>
        </is>
      </c>
      <c r="Q986" t="inlineStr">
        <is>
          <t>The Greenwood histories of the modern nations, 1096-2905</t>
        </is>
      </c>
      <c r="R986" t="inlineStr">
        <is>
          <t xml:space="preserve">DS </t>
        </is>
      </c>
      <c r="S986" t="n">
        <v>2</v>
      </c>
      <c r="T986" t="n">
        <v>2</v>
      </c>
      <c r="U986" t="inlineStr">
        <is>
          <t>2009-07-09</t>
        </is>
      </c>
      <c r="V986" t="inlineStr">
        <is>
          <t>2009-07-09</t>
        </is>
      </c>
      <c r="W986" t="inlineStr">
        <is>
          <t>2009-06-16</t>
        </is>
      </c>
      <c r="X986" t="inlineStr">
        <is>
          <t>2009-06-16</t>
        </is>
      </c>
      <c r="Y986" t="n">
        <v>419</v>
      </c>
      <c r="Z986" t="n">
        <v>348</v>
      </c>
      <c r="AA986" t="n">
        <v>426</v>
      </c>
      <c r="AB986" t="n">
        <v>1</v>
      </c>
      <c r="AC986" t="n">
        <v>3</v>
      </c>
      <c r="AD986" t="n">
        <v>6</v>
      </c>
      <c r="AE986" t="n">
        <v>11</v>
      </c>
      <c r="AF986" t="n">
        <v>1</v>
      </c>
      <c r="AG986" t="n">
        <v>4</v>
      </c>
      <c r="AH986" t="n">
        <v>2</v>
      </c>
      <c r="AI986" t="n">
        <v>3</v>
      </c>
      <c r="AJ986" t="n">
        <v>6</v>
      </c>
      <c r="AK986" t="n">
        <v>6</v>
      </c>
      <c r="AL986" t="n">
        <v>0</v>
      </c>
      <c r="AM986" t="n">
        <v>2</v>
      </c>
      <c r="AN986" t="n">
        <v>0</v>
      </c>
      <c r="AO986" t="n">
        <v>0</v>
      </c>
      <c r="AP986" t="inlineStr">
        <is>
          <t>No</t>
        </is>
      </c>
      <c r="AQ986" t="inlineStr">
        <is>
          <t>Yes</t>
        </is>
      </c>
      <c r="AR986">
        <f>HYPERLINK("http://catalog.hathitrust.org/Record/005844900","HathiTrust Record")</f>
        <v/>
      </c>
      <c r="AS986">
        <f>HYPERLINK("https://creighton-primo.hosted.exlibrisgroup.com/primo-explore/search?tab=default_tab&amp;search_scope=EVERYTHING&amp;vid=01CRU&amp;lang=en_US&amp;offset=0&amp;query=any,contains,991005320979702656","Catalog Record")</f>
        <v/>
      </c>
      <c r="AT986">
        <f>HYPERLINK("http://www.worldcat.org/oclc/213602275","WorldCat Record")</f>
        <v/>
      </c>
      <c r="AU986" t="inlineStr">
        <is>
          <t>131473639:eng</t>
        </is>
      </c>
      <c r="AV986" t="inlineStr">
        <is>
          <t>213602275</t>
        </is>
      </c>
      <c r="AW986" t="inlineStr">
        <is>
          <t>991005320979702656</t>
        </is>
      </c>
      <c r="AX986" t="inlineStr">
        <is>
          <t>991005320979702656</t>
        </is>
      </c>
      <c r="AY986" t="inlineStr">
        <is>
          <t>2267182070002656</t>
        </is>
      </c>
      <c r="AZ986" t="inlineStr">
        <is>
          <t>BOOK</t>
        </is>
      </c>
      <c r="BB986" t="inlineStr">
        <is>
          <t>9780313341373</t>
        </is>
      </c>
      <c r="BC986" t="inlineStr">
        <is>
          <t>32285005535322</t>
        </is>
      </c>
      <c r="BD986" t="inlineStr">
        <is>
          <t>893607204</t>
        </is>
      </c>
    </row>
    <row r="987">
      <c r="A987" t="inlineStr">
        <is>
          <t>No</t>
        </is>
      </c>
      <c r="B987" t="inlineStr">
        <is>
          <t>DS384 .P326 1997</t>
        </is>
      </c>
      <c r="C987" t="inlineStr">
        <is>
          <t>0                      DS 0384000P  326         1997</t>
        </is>
      </c>
      <c r="D987" t="inlineStr">
        <is>
          <t>Pakistan in perspective, 1947-1997 / edited by Rafi Raza.</t>
        </is>
      </c>
      <c r="F987" t="inlineStr">
        <is>
          <t>No</t>
        </is>
      </c>
      <c r="G987" t="inlineStr">
        <is>
          <t>1</t>
        </is>
      </c>
      <c r="H987" t="inlineStr">
        <is>
          <t>No</t>
        </is>
      </c>
      <c r="I987" t="inlineStr">
        <is>
          <t>No</t>
        </is>
      </c>
      <c r="J987" t="inlineStr">
        <is>
          <t>0</t>
        </is>
      </c>
      <c r="L987" t="inlineStr">
        <is>
          <t>Karachi ; New York : Oxford University Press, 1997.</t>
        </is>
      </c>
      <c r="M987" t="inlineStr">
        <is>
          <t>1997</t>
        </is>
      </c>
      <c r="O987" t="inlineStr">
        <is>
          <t>eng</t>
        </is>
      </c>
      <c r="P987" t="inlineStr">
        <is>
          <t xml:space="preserve">pk </t>
        </is>
      </c>
      <c r="Q987" t="inlineStr">
        <is>
          <t>[The Jubilee series]</t>
        </is>
      </c>
      <c r="R987" t="inlineStr">
        <is>
          <t xml:space="preserve">DS </t>
        </is>
      </c>
      <c r="S987" t="n">
        <v>4</v>
      </c>
      <c r="T987" t="n">
        <v>4</v>
      </c>
      <c r="U987" t="inlineStr">
        <is>
          <t>2003-04-09</t>
        </is>
      </c>
      <c r="V987" t="inlineStr">
        <is>
          <t>2003-04-09</t>
        </is>
      </c>
      <c r="W987" t="inlineStr">
        <is>
          <t>1998-12-14</t>
        </is>
      </c>
      <c r="X987" t="inlineStr">
        <is>
          <t>1998-12-14</t>
        </is>
      </c>
      <c r="Y987" t="n">
        <v>183</v>
      </c>
      <c r="Z987" t="n">
        <v>154</v>
      </c>
      <c r="AA987" t="n">
        <v>164</v>
      </c>
      <c r="AB987" t="n">
        <v>1</v>
      </c>
      <c r="AC987" t="n">
        <v>1</v>
      </c>
      <c r="AD987" t="n">
        <v>9</v>
      </c>
      <c r="AE987" t="n">
        <v>11</v>
      </c>
      <c r="AF987" t="n">
        <v>0</v>
      </c>
      <c r="AG987" t="n">
        <v>1</v>
      </c>
      <c r="AH987" t="n">
        <v>5</v>
      </c>
      <c r="AI987" t="n">
        <v>6</v>
      </c>
      <c r="AJ987" t="n">
        <v>6</v>
      </c>
      <c r="AK987" t="n">
        <v>6</v>
      </c>
      <c r="AL987" t="n">
        <v>0</v>
      </c>
      <c r="AM987" t="n">
        <v>0</v>
      </c>
      <c r="AN987" t="n">
        <v>0</v>
      </c>
      <c r="AO987" t="n">
        <v>0</v>
      </c>
      <c r="AP987" t="inlineStr">
        <is>
          <t>No</t>
        </is>
      </c>
      <c r="AQ987" t="inlineStr">
        <is>
          <t>Yes</t>
        </is>
      </c>
      <c r="AR987">
        <f>HYPERLINK("http://catalog.hathitrust.org/Record/003314972","HathiTrust Record")</f>
        <v/>
      </c>
      <c r="AS987">
        <f>HYPERLINK("https://creighton-primo.hosted.exlibrisgroup.com/primo-explore/search?tab=default_tab&amp;search_scope=EVERYTHING&amp;vid=01CRU&amp;lang=en_US&amp;offset=0&amp;query=any,contains,991002969129702656","Catalog Record")</f>
        <v/>
      </c>
      <c r="AT987">
        <f>HYPERLINK("http://www.worldcat.org/oclc/39741728","WorldCat Record")</f>
        <v/>
      </c>
      <c r="AU987" t="inlineStr">
        <is>
          <t>56320412:eng</t>
        </is>
      </c>
      <c r="AV987" t="inlineStr">
        <is>
          <t>39741728</t>
        </is>
      </c>
      <c r="AW987" t="inlineStr">
        <is>
          <t>991002969129702656</t>
        </is>
      </c>
      <c r="AX987" t="inlineStr">
        <is>
          <t>991002969129702656</t>
        </is>
      </c>
      <c r="AY987" t="inlineStr">
        <is>
          <t>2259633830002656</t>
        </is>
      </c>
      <c r="AZ987" t="inlineStr">
        <is>
          <t>BOOK</t>
        </is>
      </c>
      <c r="BB987" t="inlineStr">
        <is>
          <t>9780195778427</t>
        </is>
      </c>
      <c r="BC987" t="inlineStr">
        <is>
          <t>32285003505913</t>
        </is>
      </c>
      <c r="BD987" t="inlineStr">
        <is>
          <t>893335970</t>
        </is>
      </c>
    </row>
    <row r="988">
      <c r="A988" t="inlineStr">
        <is>
          <t>No</t>
        </is>
      </c>
      <c r="B988" t="inlineStr">
        <is>
          <t>DS384 .S2195 2000</t>
        </is>
      </c>
      <c r="C988" t="inlineStr">
        <is>
          <t>0                      DS 0384000S  2195        2000</t>
        </is>
      </c>
      <c r="D988" t="inlineStr">
        <is>
          <t>Pakistan : political roots and development, 1947-1999 / Safdar Mahmood.</t>
        </is>
      </c>
      <c r="F988" t="inlineStr">
        <is>
          <t>No</t>
        </is>
      </c>
      <c r="G988" t="inlineStr">
        <is>
          <t>1</t>
        </is>
      </c>
      <c r="H988" t="inlineStr">
        <is>
          <t>No</t>
        </is>
      </c>
      <c r="I988" t="inlineStr">
        <is>
          <t>No</t>
        </is>
      </c>
      <c r="J988" t="inlineStr">
        <is>
          <t>0</t>
        </is>
      </c>
      <c r="K988" t="inlineStr">
        <is>
          <t>Safdar Mahmood, 1941-</t>
        </is>
      </c>
      <c r="L988" t="inlineStr">
        <is>
          <t>Karachi : Oxford University Press, 2000.</t>
        </is>
      </c>
      <c r="M988" t="inlineStr">
        <is>
          <t>2000</t>
        </is>
      </c>
      <c r="O988" t="inlineStr">
        <is>
          <t>eng</t>
        </is>
      </c>
      <c r="P988" t="inlineStr">
        <is>
          <t xml:space="preserve">pk </t>
        </is>
      </c>
      <c r="R988" t="inlineStr">
        <is>
          <t xml:space="preserve">DS </t>
        </is>
      </c>
      <c r="S988" t="n">
        <v>7</v>
      </c>
      <c r="T988" t="n">
        <v>7</v>
      </c>
      <c r="U988" t="inlineStr">
        <is>
          <t>2003-04-09</t>
        </is>
      </c>
      <c r="V988" t="inlineStr">
        <is>
          <t>2003-04-09</t>
        </is>
      </c>
      <c r="W988" t="inlineStr">
        <is>
          <t>2001-02-05</t>
        </is>
      </c>
      <c r="X988" t="inlineStr">
        <is>
          <t>2001-02-05</t>
        </is>
      </c>
      <c r="Y988" t="n">
        <v>324</v>
      </c>
      <c r="Z988" t="n">
        <v>275</v>
      </c>
      <c r="AA988" t="n">
        <v>285</v>
      </c>
      <c r="AB988" t="n">
        <v>3</v>
      </c>
      <c r="AC988" t="n">
        <v>3</v>
      </c>
      <c r="AD988" t="n">
        <v>17</v>
      </c>
      <c r="AE988" t="n">
        <v>17</v>
      </c>
      <c r="AF988" t="n">
        <v>6</v>
      </c>
      <c r="AG988" t="n">
        <v>6</v>
      </c>
      <c r="AH988" t="n">
        <v>6</v>
      </c>
      <c r="AI988" t="n">
        <v>6</v>
      </c>
      <c r="AJ988" t="n">
        <v>8</v>
      </c>
      <c r="AK988" t="n">
        <v>8</v>
      </c>
      <c r="AL988" t="n">
        <v>2</v>
      </c>
      <c r="AM988" t="n">
        <v>2</v>
      </c>
      <c r="AN988" t="n">
        <v>0</v>
      </c>
      <c r="AO988" t="n">
        <v>0</v>
      </c>
      <c r="AP988" t="inlineStr">
        <is>
          <t>No</t>
        </is>
      </c>
      <c r="AQ988" t="inlineStr">
        <is>
          <t>No</t>
        </is>
      </c>
      <c r="AS988">
        <f>HYPERLINK("https://creighton-primo.hosted.exlibrisgroup.com/primo-explore/search?tab=default_tab&amp;search_scope=EVERYTHING&amp;vid=01CRU&amp;lang=en_US&amp;offset=0&amp;query=any,contains,991003362519702656","Catalog Record")</f>
        <v/>
      </c>
      <c r="AT988">
        <f>HYPERLINK("http://www.worldcat.org/oclc/45270649","WorldCat Record")</f>
        <v/>
      </c>
      <c r="AU988" t="inlineStr">
        <is>
          <t>836946923:eng</t>
        </is>
      </c>
      <c r="AV988" t="inlineStr">
        <is>
          <t>45270649</t>
        </is>
      </c>
      <c r="AW988" t="inlineStr">
        <is>
          <t>991003362519702656</t>
        </is>
      </c>
      <c r="AX988" t="inlineStr">
        <is>
          <t>991003362519702656</t>
        </is>
      </c>
      <c r="AY988" t="inlineStr">
        <is>
          <t>2272279830002656</t>
        </is>
      </c>
      <c r="AZ988" t="inlineStr">
        <is>
          <t>BOOK</t>
        </is>
      </c>
      <c r="BB988" t="inlineStr">
        <is>
          <t>9780195793734</t>
        </is>
      </c>
      <c r="BC988" t="inlineStr">
        <is>
          <t>32285004293659</t>
        </is>
      </c>
      <c r="BD988" t="inlineStr">
        <is>
          <t>893717588</t>
        </is>
      </c>
    </row>
    <row r="989">
      <c r="A989" t="inlineStr">
        <is>
          <t>No</t>
        </is>
      </c>
      <c r="B989" t="inlineStr">
        <is>
          <t>DS384 .T9</t>
        </is>
      </c>
      <c r="C989" t="inlineStr">
        <is>
          <t>0                      DS 0384000T  9</t>
        </is>
      </c>
      <c r="D989" t="inlineStr">
        <is>
          <t>Twenty years of Pakistan, 1947-67. Introd. by Altaf Gauhar.</t>
        </is>
      </c>
      <c r="F989" t="inlineStr">
        <is>
          <t>No</t>
        </is>
      </c>
      <c r="G989" t="inlineStr">
        <is>
          <t>1</t>
        </is>
      </c>
      <c r="H989" t="inlineStr">
        <is>
          <t>No</t>
        </is>
      </c>
      <c r="I989" t="inlineStr">
        <is>
          <t>No</t>
        </is>
      </c>
      <c r="J989" t="inlineStr">
        <is>
          <t>0</t>
        </is>
      </c>
      <c r="L989" t="inlineStr">
        <is>
          <t>[Karachi, Pakistan Publications, 1967]</t>
        </is>
      </c>
      <c r="M989" t="inlineStr">
        <is>
          <t>1967</t>
        </is>
      </c>
      <c r="O989" t="inlineStr">
        <is>
          <t>eng</t>
        </is>
      </c>
      <c r="P989" t="inlineStr">
        <is>
          <t xml:space="preserve">pk </t>
        </is>
      </c>
      <c r="R989" t="inlineStr">
        <is>
          <t xml:space="preserve">DS </t>
        </is>
      </c>
      <c r="S989" t="n">
        <v>1</v>
      </c>
      <c r="T989" t="n">
        <v>1</v>
      </c>
      <c r="U989" t="inlineStr">
        <is>
          <t>2000-11-03</t>
        </is>
      </c>
      <c r="V989" t="inlineStr">
        <is>
          <t>2000-11-03</t>
        </is>
      </c>
      <c r="W989" t="inlineStr">
        <is>
          <t>1997-03-06</t>
        </is>
      </c>
      <c r="X989" t="inlineStr">
        <is>
          <t>1997-03-06</t>
        </is>
      </c>
      <c r="Y989" t="n">
        <v>274</v>
      </c>
      <c r="Z989" t="n">
        <v>254</v>
      </c>
      <c r="AA989" t="n">
        <v>255</v>
      </c>
      <c r="AB989" t="n">
        <v>4</v>
      </c>
      <c r="AC989" t="n">
        <v>4</v>
      </c>
      <c r="AD989" t="n">
        <v>16</v>
      </c>
      <c r="AE989" t="n">
        <v>16</v>
      </c>
      <c r="AF989" t="n">
        <v>3</v>
      </c>
      <c r="AG989" t="n">
        <v>3</v>
      </c>
      <c r="AH989" t="n">
        <v>4</v>
      </c>
      <c r="AI989" t="n">
        <v>4</v>
      </c>
      <c r="AJ989" t="n">
        <v>8</v>
      </c>
      <c r="AK989" t="n">
        <v>8</v>
      </c>
      <c r="AL989" t="n">
        <v>3</v>
      </c>
      <c r="AM989" t="n">
        <v>3</v>
      </c>
      <c r="AN989" t="n">
        <v>1</v>
      </c>
      <c r="AO989" t="n">
        <v>1</v>
      </c>
      <c r="AP989" t="inlineStr">
        <is>
          <t>No</t>
        </is>
      </c>
      <c r="AQ989" t="inlineStr">
        <is>
          <t>Yes</t>
        </is>
      </c>
      <c r="AR989">
        <f>HYPERLINK("http://catalog.hathitrust.org/Record/001249403","HathiTrust Record")</f>
        <v/>
      </c>
      <c r="AS989">
        <f>HYPERLINK("https://creighton-primo.hosted.exlibrisgroup.com/primo-explore/search?tab=default_tab&amp;search_scope=EVERYTHING&amp;vid=01CRU&amp;lang=en_US&amp;offset=0&amp;query=any,contains,991002823979702656","Catalog Record")</f>
        <v/>
      </c>
      <c r="AT989">
        <f>HYPERLINK("http://www.worldcat.org/oclc/474657","WorldCat Record")</f>
        <v/>
      </c>
      <c r="AU989" t="inlineStr">
        <is>
          <t>1544513:eng</t>
        </is>
      </c>
      <c r="AV989" t="inlineStr">
        <is>
          <t>474657</t>
        </is>
      </c>
      <c r="AW989" t="inlineStr">
        <is>
          <t>991002823979702656</t>
        </is>
      </c>
      <c r="AX989" t="inlineStr">
        <is>
          <t>991002823979702656</t>
        </is>
      </c>
      <c r="AY989" t="inlineStr">
        <is>
          <t>2256699990002656</t>
        </is>
      </c>
      <c r="AZ989" t="inlineStr">
        <is>
          <t>BOOK</t>
        </is>
      </c>
      <c r="BC989" t="inlineStr">
        <is>
          <t>32285002456076</t>
        </is>
      </c>
      <c r="BD989" t="inlineStr">
        <is>
          <t>893886778</t>
        </is>
      </c>
    </row>
    <row r="990">
      <c r="A990" t="inlineStr">
        <is>
          <t>No</t>
        </is>
      </c>
      <c r="B990" t="inlineStr">
        <is>
          <t>DS384 .W54 1966</t>
        </is>
      </c>
      <c r="C990" t="inlineStr">
        <is>
          <t>0                      DS 0384000W  54          1966</t>
        </is>
      </c>
      <c r="D990" t="inlineStr">
        <is>
          <t>State development programming; an explanation of the development programming process and its potential application as an instrument of implementation for the California State Development Plan, [by] William E. Spangle and Harold F. Wise. [Prepared for the] California State Office of Planning.</t>
        </is>
      </c>
      <c r="F990" t="inlineStr">
        <is>
          <t>No</t>
        </is>
      </c>
      <c r="G990" t="inlineStr">
        <is>
          <t>1</t>
        </is>
      </c>
      <c r="H990" t="inlineStr">
        <is>
          <t>No</t>
        </is>
      </c>
      <c r="I990" t="inlineStr">
        <is>
          <t>No</t>
        </is>
      </c>
      <c r="J990" t="inlineStr">
        <is>
          <t>0</t>
        </is>
      </c>
      <c r="K990" t="inlineStr">
        <is>
          <t>William Spangle and Associates.</t>
        </is>
      </c>
      <c r="M990" t="inlineStr">
        <is>
          <t>1966</t>
        </is>
      </c>
      <c r="O990" t="inlineStr">
        <is>
          <t>eng</t>
        </is>
      </c>
      <c r="P990" t="inlineStr">
        <is>
          <t>cau</t>
        </is>
      </c>
      <c r="R990" t="inlineStr">
        <is>
          <t xml:space="preserve">DS </t>
        </is>
      </c>
      <c r="S990" t="n">
        <v>1</v>
      </c>
      <c r="T990" t="n">
        <v>1</v>
      </c>
      <c r="U990" t="inlineStr">
        <is>
          <t>2000-11-03</t>
        </is>
      </c>
      <c r="V990" t="inlineStr">
        <is>
          <t>2000-11-03</t>
        </is>
      </c>
      <c r="W990" t="inlineStr">
        <is>
          <t>1997-03-06</t>
        </is>
      </c>
      <c r="X990" t="inlineStr">
        <is>
          <t>1997-03-06</t>
        </is>
      </c>
      <c r="Y990" t="n">
        <v>15</v>
      </c>
      <c r="Z990" t="n">
        <v>14</v>
      </c>
      <c r="AA990" t="n">
        <v>14</v>
      </c>
      <c r="AB990" t="n">
        <v>1</v>
      </c>
      <c r="AC990" t="n">
        <v>1</v>
      </c>
      <c r="AD990" t="n">
        <v>0</v>
      </c>
      <c r="AE990" t="n">
        <v>0</v>
      </c>
      <c r="AF990" t="n">
        <v>0</v>
      </c>
      <c r="AG990" t="n">
        <v>0</v>
      </c>
      <c r="AH990" t="n">
        <v>0</v>
      </c>
      <c r="AI990" t="n">
        <v>0</v>
      </c>
      <c r="AJ990" t="n">
        <v>0</v>
      </c>
      <c r="AK990" t="n">
        <v>0</v>
      </c>
      <c r="AL990" t="n">
        <v>0</v>
      </c>
      <c r="AM990" t="n">
        <v>0</v>
      </c>
      <c r="AN990" t="n">
        <v>0</v>
      </c>
      <c r="AO990" t="n">
        <v>0</v>
      </c>
      <c r="AP990" t="inlineStr">
        <is>
          <t>No</t>
        </is>
      </c>
      <c r="AQ990" t="inlineStr">
        <is>
          <t>No</t>
        </is>
      </c>
      <c r="AS990">
        <f>HYPERLINK("https://creighton-primo.hosted.exlibrisgroup.com/primo-explore/search?tab=default_tab&amp;search_scope=EVERYTHING&amp;vid=01CRU&amp;lang=en_US&amp;offset=0&amp;query=any,contains,991000887689702656","Catalog Record")</f>
        <v/>
      </c>
      <c r="AT990">
        <f>HYPERLINK("http://www.worldcat.org/oclc/13895074","WorldCat Record")</f>
        <v/>
      </c>
      <c r="AU990" t="inlineStr">
        <is>
          <t>66858386:eng</t>
        </is>
      </c>
      <c r="AV990" t="inlineStr">
        <is>
          <t>13895074</t>
        </is>
      </c>
      <c r="AW990" t="inlineStr">
        <is>
          <t>991000887689702656</t>
        </is>
      </c>
      <c r="AX990" t="inlineStr">
        <is>
          <t>991000887689702656</t>
        </is>
      </c>
      <c r="AY990" t="inlineStr">
        <is>
          <t>2264406880002656</t>
        </is>
      </c>
      <c r="AZ990" t="inlineStr">
        <is>
          <t>BOOK</t>
        </is>
      </c>
      <c r="BC990" t="inlineStr">
        <is>
          <t>32285002456092</t>
        </is>
      </c>
      <c r="BD990" t="inlineStr">
        <is>
          <t>893509196</t>
        </is>
      </c>
    </row>
    <row r="991">
      <c r="A991" t="inlineStr">
        <is>
          <t>No</t>
        </is>
      </c>
      <c r="B991" t="inlineStr">
        <is>
          <t>DS384 .Z572 1999</t>
        </is>
      </c>
      <c r="C991" t="inlineStr">
        <is>
          <t>0                      DS 0384000Z  572         1999</t>
        </is>
      </c>
      <c r="D991" t="inlineStr">
        <is>
          <t>Pakistan in the twentieth century : a political history / Lawrence Ziring.</t>
        </is>
      </c>
      <c r="F991" t="inlineStr">
        <is>
          <t>No</t>
        </is>
      </c>
      <c r="G991" t="inlineStr">
        <is>
          <t>1</t>
        </is>
      </c>
      <c r="H991" t="inlineStr">
        <is>
          <t>No</t>
        </is>
      </c>
      <c r="I991" t="inlineStr">
        <is>
          <t>No</t>
        </is>
      </c>
      <c r="J991" t="inlineStr">
        <is>
          <t>0</t>
        </is>
      </c>
      <c r="K991" t="inlineStr">
        <is>
          <t>Ziring, Lawrence, 1928-</t>
        </is>
      </c>
      <c r="L991" t="inlineStr">
        <is>
          <t>Karachi ; New York : Oxford University Press, 1999, c1997.</t>
        </is>
      </c>
      <c r="M991" t="inlineStr">
        <is>
          <t>1999</t>
        </is>
      </c>
      <c r="O991" t="inlineStr">
        <is>
          <t>eng</t>
        </is>
      </c>
      <c r="P991" t="inlineStr">
        <is>
          <t xml:space="preserve">pk </t>
        </is>
      </c>
      <c r="R991" t="inlineStr">
        <is>
          <t xml:space="preserve">DS </t>
        </is>
      </c>
      <c r="S991" t="n">
        <v>4</v>
      </c>
      <c r="T991" t="n">
        <v>4</v>
      </c>
      <c r="U991" t="inlineStr">
        <is>
          <t>2003-04-09</t>
        </is>
      </c>
      <c r="V991" t="inlineStr">
        <is>
          <t>2003-04-09</t>
        </is>
      </c>
      <c r="W991" t="inlineStr">
        <is>
          <t>2001-11-15</t>
        </is>
      </c>
      <c r="X991" t="inlineStr">
        <is>
          <t>2001-11-15</t>
        </is>
      </c>
      <c r="Y991" t="n">
        <v>59</v>
      </c>
      <c r="Z991" t="n">
        <v>51</v>
      </c>
      <c r="AA991" t="n">
        <v>451</v>
      </c>
      <c r="AB991" t="n">
        <v>1</v>
      </c>
      <c r="AC991" t="n">
        <v>2</v>
      </c>
      <c r="AD991" t="n">
        <v>2</v>
      </c>
      <c r="AE991" t="n">
        <v>22</v>
      </c>
      <c r="AF991" t="n">
        <v>0</v>
      </c>
      <c r="AG991" t="n">
        <v>6</v>
      </c>
      <c r="AH991" t="n">
        <v>0</v>
      </c>
      <c r="AI991" t="n">
        <v>6</v>
      </c>
      <c r="AJ991" t="n">
        <v>1</v>
      </c>
      <c r="AK991" t="n">
        <v>13</v>
      </c>
      <c r="AL991" t="n">
        <v>0</v>
      </c>
      <c r="AM991" t="n">
        <v>1</v>
      </c>
      <c r="AN991" t="n">
        <v>1</v>
      </c>
      <c r="AO991" t="n">
        <v>1</v>
      </c>
      <c r="AP991" t="inlineStr">
        <is>
          <t>No</t>
        </is>
      </c>
      <c r="AQ991" t="inlineStr">
        <is>
          <t>No</t>
        </is>
      </c>
      <c r="AS991">
        <f>HYPERLINK("https://creighton-primo.hosted.exlibrisgroup.com/primo-explore/search?tab=default_tab&amp;search_scope=EVERYTHING&amp;vid=01CRU&amp;lang=en_US&amp;offset=0&amp;query=any,contains,991003643629702656","Catalog Record")</f>
        <v/>
      </c>
      <c r="AT991">
        <f>HYPERLINK("http://www.worldcat.org/oclc/43956338","WorldCat Record")</f>
        <v/>
      </c>
      <c r="AU991" t="inlineStr">
        <is>
          <t>638591:eng</t>
        </is>
      </c>
      <c r="AV991" t="inlineStr">
        <is>
          <t>43956338</t>
        </is>
      </c>
      <c r="AW991" t="inlineStr">
        <is>
          <t>991003643629702656</t>
        </is>
      </c>
      <c r="AX991" t="inlineStr">
        <is>
          <t>991003643629702656</t>
        </is>
      </c>
      <c r="AY991" t="inlineStr">
        <is>
          <t>2256031530002656</t>
        </is>
      </c>
      <c r="AZ991" t="inlineStr">
        <is>
          <t>BOOK</t>
        </is>
      </c>
      <c r="BB991" t="inlineStr">
        <is>
          <t>9780195792768</t>
        </is>
      </c>
      <c r="BC991" t="inlineStr">
        <is>
          <t>32285004412002</t>
        </is>
      </c>
      <c r="BD991" t="inlineStr">
        <is>
          <t>893505805</t>
        </is>
      </c>
    </row>
    <row r="992">
      <c r="A992" t="inlineStr">
        <is>
          <t>No</t>
        </is>
      </c>
      <c r="B992" t="inlineStr">
        <is>
          <t>DS388 .H28</t>
        </is>
      </c>
      <c r="C992" t="inlineStr">
        <is>
          <t>0                      DS 0388000H  28</t>
        </is>
      </c>
      <c r="D992" t="inlineStr">
        <is>
          <t>The process of priority formulation : U.S. foreign policy in the Indo-Pakistani War of 1971 / Dan Haendel.</t>
        </is>
      </c>
      <c r="F992" t="inlineStr">
        <is>
          <t>No</t>
        </is>
      </c>
      <c r="G992" t="inlineStr">
        <is>
          <t>1</t>
        </is>
      </c>
      <c r="H992" t="inlineStr">
        <is>
          <t>No</t>
        </is>
      </c>
      <c r="I992" t="inlineStr">
        <is>
          <t>No</t>
        </is>
      </c>
      <c r="J992" t="inlineStr">
        <is>
          <t>0</t>
        </is>
      </c>
      <c r="K992" t="inlineStr">
        <is>
          <t>Haendel, Dan, 1950-</t>
        </is>
      </c>
      <c r="L992" t="inlineStr">
        <is>
          <t>Boulder, Colo. : Westview Press, 1977.</t>
        </is>
      </c>
      <c r="M992" t="inlineStr">
        <is>
          <t>1977</t>
        </is>
      </c>
      <c r="O992" t="inlineStr">
        <is>
          <t>eng</t>
        </is>
      </c>
      <c r="P992" t="inlineStr">
        <is>
          <t>cou</t>
        </is>
      </c>
      <c r="Q992" t="inlineStr">
        <is>
          <t>A Westview replica edition</t>
        </is>
      </c>
      <c r="R992" t="inlineStr">
        <is>
          <t xml:space="preserve">DS </t>
        </is>
      </c>
      <c r="S992" t="n">
        <v>2</v>
      </c>
      <c r="T992" t="n">
        <v>2</v>
      </c>
      <c r="U992" t="inlineStr">
        <is>
          <t>1998-02-05</t>
        </is>
      </c>
      <c r="V992" t="inlineStr">
        <is>
          <t>1998-02-05</t>
        </is>
      </c>
      <c r="W992" t="inlineStr">
        <is>
          <t>1997-03-06</t>
        </is>
      </c>
      <c r="X992" t="inlineStr">
        <is>
          <t>1997-03-06</t>
        </is>
      </c>
      <c r="Y992" t="n">
        <v>231</v>
      </c>
      <c r="Z992" t="n">
        <v>191</v>
      </c>
      <c r="AA992" t="n">
        <v>212</v>
      </c>
      <c r="AB992" t="n">
        <v>3</v>
      </c>
      <c r="AC992" t="n">
        <v>3</v>
      </c>
      <c r="AD992" t="n">
        <v>11</v>
      </c>
      <c r="AE992" t="n">
        <v>11</v>
      </c>
      <c r="AF992" t="n">
        <v>3</v>
      </c>
      <c r="AG992" t="n">
        <v>3</v>
      </c>
      <c r="AH992" t="n">
        <v>3</v>
      </c>
      <c r="AI992" t="n">
        <v>3</v>
      </c>
      <c r="AJ992" t="n">
        <v>6</v>
      </c>
      <c r="AK992" t="n">
        <v>6</v>
      </c>
      <c r="AL992" t="n">
        <v>2</v>
      </c>
      <c r="AM992" t="n">
        <v>2</v>
      </c>
      <c r="AN992" t="n">
        <v>0</v>
      </c>
      <c r="AO992" t="n">
        <v>0</v>
      </c>
      <c r="AP992" t="inlineStr">
        <is>
          <t>No</t>
        </is>
      </c>
      <c r="AQ992" t="inlineStr">
        <is>
          <t>Yes</t>
        </is>
      </c>
      <c r="AR992">
        <f>HYPERLINK("http://catalog.hathitrust.org/Record/000294626","HathiTrust Record")</f>
        <v/>
      </c>
      <c r="AS992">
        <f>HYPERLINK("https://creighton-primo.hosted.exlibrisgroup.com/primo-explore/search?tab=default_tab&amp;search_scope=EVERYTHING&amp;vid=01CRU&amp;lang=en_US&amp;offset=0&amp;query=any,contains,991004373209702656","Catalog Record")</f>
        <v/>
      </c>
      <c r="AT992">
        <f>HYPERLINK("http://www.worldcat.org/oclc/3202761","WorldCat Record")</f>
        <v/>
      </c>
      <c r="AU992" t="inlineStr">
        <is>
          <t>8313905:eng</t>
        </is>
      </c>
      <c r="AV992" t="inlineStr">
        <is>
          <t>3202761</t>
        </is>
      </c>
      <c r="AW992" t="inlineStr">
        <is>
          <t>991004373209702656</t>
        </is>
      </c>
      <c r="AX992" t="inlineStr">
        <is>
          <t>991004373209702656</t>
        </is>
      </c>
      <c r="AY992" t="inlineStr">
        <is>
          <t>2270472740002656</t>
        </is>
      </c>
      <c r="AZ992" t="inlineStr">
        <is>
          <t>BOOK</t>
        </is>
      </c>
      <c r="BB992" t="inlineStr">
        <is>
          <t>9780891583226</t>
        </is>
      </c>
      <c r="BC992" t="inlineStr">
        <is>
          <t>32285002456175</t>
        </is>
      </c>
      <c r="BD992" t="inlineStr">
        <is>
          <t>893259653</t>
        </is>
      </c>
    </row>
    <row r="993">
      <c r="A993" t="inlineStr">
        <is>
          <t>No</t>
        </is>
      </c>
      <c r="B993" t="inlineStr">
        <is>
          <t>DS388 .P34 1972b</t>
        </is>
      </c>
      <c r="C993" t="inlineStr">
        <is>
          <t>0                      DS 0388000P  34          1972b</t>
        </is>
      </c>
      <c r="D993" t="inlineStr">
        <is>
          <t>The lightning campaign; the Indo-Pakistan war, 1971 [by] D. K. Palit.</t>
        </is>
      </c>
      <c r="F993" t="inlineStr">
        <is>
          <t>No</t>
        </is>
      </c>
      <c r="G993" t="inlineStr">
        <is>
          <t>1</t>
        </is>
      </c>
      <c r="H993" t="inlineStr">
        <is>
          <t>No</t>
        </is>
      </c>
      <c r="I993" t="inlineStr">
        <is>
          <t>No</t>
        </is>
      </c>
      <c r="J993" t="inlineStr">
        <is>
          <t>0</t>
        </is>
      </c>
      <c r="K993" t="inlineStr">
        <is>
          <t>Palit, D. K.</t>
        </is>
      </c>
      <c r="L993" t="inlineStr">
        <is>
          <t>New Delhi, Thomson Press (India) [1972]</t>
        </is>
      </c>
      <c r="M993" t="inlineStr">
        <is>
          <t>1972</t>
        </is>
      </c>
      <c r="O993" t="inlineStr">
        <is>
          <t>eng</t>
        </is>
      </c>
      <c r="P993" t="inlineStr">
        <is>
          <t xml:space="preserve">ii </t>
        </is>
      </c>
      <c r="R993" t="inlineStr">
        <is>
          <t xml:space="preserve">DS </t>
        </is>
      </c>
      <c r="S993" t="n">
        <v>1</v>
      </c>
      <c r="T993" t="n">
        <v>1</v>
      </c>
      <c r="U993" t="inlineStr">
        <is>
          <t>2008-03-10</t>
        </is>
      </c>
      <c r="V993" t="inlineStr">
        <is>
          <t>2008-03-10</t>
        </is>
      </c>
      <c r="W993" t="inlineStr">
        <is>
          <t>1997-03-06</t>
        </is>
      </c>
      <c r="X993" t="inlineStr">
        <is>
          <t>1997-03-06</t>
        </is>
      </c>
      <c r="Y993" t="n">
        <v>223</v>
      </c>
      <c r="Z993" t="n">
        <v>201</v>
      </c>
      <c r="AA993" t="n">
        <v>329</v>
      </c>
      <c r="AB993" t="n">
        <v>2</v>
      </c>
      <c r="AC993" t="n">
        <v>3</v>
      </c>
      <c r="AD993" t="n">
        <v>9</v>
      </c>
      <c r="AE993" t="n">
        <v>14</v>
      </c>
      <c r="AF993" t="n">
        <v>1</v>
      </c>
      <c r="AG993" t="n">
        <v>1</v>
      </c>
      <c r="AH993" t="n">
        <v>4</v>
      </c>
      <c r="AI993" t="n">
        <v>5</v>
      </c>
      <c r="AJ993" t="n">
        <v>5</v>
      </c>
      <c r="AK993" t="n">
        <v>8</v>
      </c>
      <c r="AL993" t="n">
        <v>1</v>
      </c>
      <c r="AM993" t="n">
        <v>2</v>
      </c>
      <c r="AN993" t="n">
        <v>0</v>
      </c>
      <c r="AO993" t="n">
        <v>0</v>
      </c>
      <c r="AP993" t="inlineStr">
        <is>
          <t>No</t>
        </is>
      </c>
      <c r="AQ993" t="inlineStr">
        <is>
          <t>No</t>
        </is>
      </c>
      <c r="AS993">
        <f>HYPERLINK("https://creighton-primo.hosted.exlibrisgroup.com/primo-explore/search?tab=default_tab&amp;search_scope=EVERYTHING&amp;vid=01CRU&amp;lang=en_US&amp;offset=0&amp;query=any,contains,991003568999702656","Catalog Record")</f>
        <v/>
      </c>
      <c r="AT993">
        <f>HYPERLINK("http://www.worldcat.org/oclc/1143804","WorldCat Record")</f>
        <v/>
      </c>
      <c r="AU993" t="inlineStr">
        <is>
          <t>1470654:eng</t>
        </is>
      </c>
      <c r="AV993" t="inlineStr">
        <is>
          <t>1143804</t>
        </is>
      </c>
      <c r="AW993" t="inlineStr">
        <is>
          <t>991003568999702656</t>
        </is>
      </c>
      <c r="AX993" t="inlineStr">
        <is>
          <t>991003568999702656</t>
        </is>
      </c>
      <c r="AY993" t="inlineStr">
        <is>
          <t>2260827210002656</t>
        </is>
      </c>
      <c r="AZ993" t="inlineStr">
        <is>
          <t>BOOK</t>
        </is>
      </c>
      <c r="BC993" t="inlineStr">
        <is>
          <t>32285002456183</t>
        </is>
      </c>
      <c r="BD993" t="inlineStr">
        <is>
          <t>893435140</t>
        </is>
      </c>
    </row>
    <row r="994">
      <c r="A994" t="inlineStr">
        <is>
          <t>No</t>
        </is>
      </c>
      <c r="B994" t="inlineStr">
        <is>
          <t>DS389 .M46 1996</t>
        </is>
      </c>
      <c r="C994" t="inlineStr">
        <is>
          <t>0                      DS 0389000M  46          1996</t>
        </is>
      </c>
      <c r="D994" t="inlineStr">
        <is>
          <t>Pakistan : Islamic nation in crisis / Ali Nawaz Memon.</t>
        </is>
      </c>
      <c r="F994" t="inlineStr">
        <is>
          <t>No</t>
        </is>
      </c>
      <c r="G994" t="inlineStr">
        <is>
          <t>1</t>
        </is>
      </c>
      <c r="H994" t="inlineStr">
        <is>
          <t>No</t>
        </is>
      </c>
      <c r="I994" t="inlineStr">
        <is>
          <t>No</t>
        </is>
      </c>
      <c r="J994" t="inlineStr">
        <is>
          <t>0</t>
        </is>
      </c>
      <c r="K994" t="inlineStr">
        <is>
          <t>Memon, Ali Nawaz, 1941-</t>
        </is>
      </c>
      <c r="L994" t="inlineStr">
        <is>
          <t>Beltsville, Md. : Amana Publications, c1996.</t>
        </is>
      </c>
      <c r="M994" t="inlineStr">
        <is>
          <t>1996</t>
        </is>
      </c>
      <c r="N994" t="inlineStr">
        <is>
          <t>1st ed.</t>
        </is>
      </c>
      <c r="O994" t="inlineStr">
        <is>
          <t>eng</t>
        </is>
      </c>
      <c r="P994" t="inlineStr">
        <is>
          <t>mdu</t>
        </is>
      </c>
      <c r="R994" t="inlineStr">
        <is>
          <t xml:space="preserve">DS </t>
        </is>
      </c>
      <c r="S994" t="n">
        <v>3</v>
      </c>
      <c r="T994" t="n">
        <v>3</v>
      </c>
      <c r="U994" t="inlineStr">
        <is>
          <t>2010-02-23</t>
        </is>
      </c>
      <c r="V994" t="inlineStr">
        <is>
          <t>2010-02-23</t>
        </is>
      </c>
      <c r="W994" t="inlineStr">
        <is>
          <t>1999-03-22</t>
        </is>
      </c>
      <c r="X994" t="inlineStr">
        <is>
          <t>1999-03-22</t>
        </is>
      </c>
      <c r="Y994" t="n">
        <v>34</v>
      </c>
      <c r="Z994" t="n">
        <v>22</v>
      </c>
      <c r="AA994" t="n">
        <v>32</v>
      </c>
      <c r="AB994" t="n">
        <v>1</v>
      </c>
      <c r="AC994" t="n">
        <v>1</v>
      </c>
      <c r="AD994" t="n">
        <v>0</v>
      </c>
      <c r="AE994" t="n">
        <v>0</v>
      </c>
      <c r="AF994" t="n">
        <v>0</v>
      </c>
      <c r="AG994" t="n">
        <v>0</v>
      </c>
      <c r="AH994" t="n">
        <v>0</v>
      </c>
      <c r="AI994" t="n">
        <v>0</v>
      </c>
      <c r="AJ994" t="n">
        <v>0</v>
      </c>
      <c r="AK994" t="n">
        <v>0</v>
      </c>
      <c r="AL994" t="n">
        <v>0</v>
      </c>
      <c r="AM994" t="n">
        <v>0</v>
      </c>
      <c r="AN994" t="n">
        <v>0</v>
      </c>
      <c r="AO994" t="n">
        <v>0</v>
      </c>
      <c r="AP994" t="inlineStr">
        <is>
          <t>No</t>
        </is>
      </c>
      <c r="AQ994" t="inlineStr">
        <is>
          <t>Yes</t>
        </is>
      </c>
      <c r="AR994">
        <f>HYPERLINK("http://catalog.hathitrust.org/Record/004001336","HathiTrust Record")</f>
        <v/>
      </c>
      <c r="AS994">
        <f>HYPERLINK("https://creighton-primo.hosted.exlibrisgroup.com/primo-explore/search?tab=default_tab&amp;search_scope=EVERYTHING&amp;vid=01CRU&amp;lang=en_US&amp;offset=0&amp;query=any,contains,991005425419702656","Catalog Record")</f>
        <v/>
      </c>
      <c r="AT994">
        <f>HYPERLINK("http://www.worldcat.org/oclc/36074594","WorldCat Record")</f>
        <v/>
      </c>
      <c r="AU994" t="inlineStr">
        <is>
          <t>654428:eng</t>
        </is>
      </c>
      <c r="AV994" t="inlineStr">
        <is>
          <t>36074594</t>
        </is>
      </c>
      <c r="AW994" t="inlineStr">
        <is>
          <t>991005425419702656</t>
        </is>
      </c>
      <c r="AX994" t="inlineStr">
        <is>
          <t>991005425419702656</t>
        </is>
      </c>
      <c r="AY994" t="inlineStr">
        <is>
          <t>2263950260002656</t>
        </is>
      </c>
      <c r="AZ994" t="inlineStr">
        <is>
          <t>BOOK</t>
        </is>
      </c>
      <c r="BB994" t="inlineStr">
        <is>
          <t>9780915957668</t>
        </is>
      </c>
      <c r="BC994" t="inlineStr">
        <is>
          <t>32285004926423</t>
        </is>
      </c>
      <c r="BD994" t="inlineStr">
        <is>
          <t>893695304</t>
        </is>
      </c>
    </row>
    <row r="995">
      <c r="A995" t="inlineStr">
        <is>
          <t>No</t>
        </is>
      </c>
      <c r="B995" t="inlineStr">
        <is>
          <t>DS39 .H294 2005</t>
        </is>
      </c>
      <c r="C995" t="inlineStr">
        <is>
          <t>0                      DS 0039000H  294         2005</t>
        </is>
      </c>
      <c r="D995" t="inlineStr">
        <is>
          <t>100 myths about the Middle East / Fred Halliday.</t>
        </is>
      </c>
      <c r="F995" t="inlineStr">
        <is>
          <t>No</t>
        </is>
      </c>
      <c r="G995" t="inlineStr">
        <is>
          <t>1</t>
        </is>
      </c>
      <c r="H995" t="inlineStr">
        <is>
          <t>No</t>
        </is>
      </c>
      <c r="I995" t="inlineStr">
        <is>
          <t>No</t>
        </is>
      </c>
      <c r="J995" t="inlineStr">
        <is>
          <t>0</t>
        </is>
      </c>
      <c r="K995" t="inlineStr">
        <is>
          <t>Halliday, Fred.</t>
        </is>
      </c>
      <c r="L995" t="inlineStr">
        <is>
          <t>Berkeley ; Los Angeles : University of California Press, 2005.</t>
        </is>
      </c>
      <c r="M995" t="inlineStr">
        <is>
          <t>2005</t>
        </is>
      </c>
      <c r="O995" t="inlineStr">
        <is>
          <t>eng</t>
        </is>
      </c>
      <c r="P995" t="inlineStr">
        <is>
          <t>cau</t>
        </is>
      </c>
      <c r="R995" t="inlineStr">
        <is>
          <t xml:space="preserve">DS </t>
        </is>
      </c>
      <c r="S995" t="n">
        <v>4</v>
      </c>
      <c r="T995" t="n">
        <v>4</v>
      </c>
      <c r="U995" t="inlineStr">
        <is>
          <t>2007-08-06</t>
        </is>
      </c>
      <c r="V995" t="inlineStr">
        <is>
          <t>2007-08-06</t>
        </is>
      </c>
      <c r="W995" t="inlineStr">
        <is>
          <t>2005-11-08</t>
        </is>
      </c>
      <c r="X995" t="inlineStr">
        <is>
          <t>2005-11-08</t>
        </is>
      </c>
      <c r="Y995" t="n">
        <v>817</v>
      </c>
      <c r="Z995" t="n">
        <v>751</v>
      </c>
      <c r="AA995" t="n">
        <v>755</v>
      </c>
      <c r="AB995" t="n">
        <v>5</v>
      </c>
      <c r="AC995" t="n">
        <v>5</v>
      </c>
      <c r="AD995" t="n">
        <v>18</v>
      </c>
      <c r="AE995" t="n">
        <v>18</v>
      </c>
      <c r="AF995" t="n">
        <v>6</v>
      </c>
      <c r="AG995" t="n">
        <v>6</v>
      </c>
      <c r="AH995" t="n">
        <v>5</v>
      </c>
      <c r="AI995" t="n">
        <v>5</v>
      </c>
      <c r="AJ995" t="n">
        <v>5</v>
      </c>
      <c r="AK995" t="n">
        <v>5</v>
      </c>
      <c r="AL995" t="n">
        <v>4</v>
      </c>
      <c r="AM995" t="n">
        <v>4</v>
      </c>
      <c r="AN995" t="n">
        <v>0</v>
      </c>
      <c r="AO995" t="n">
        <v>0</v>
      </c>
      <c r="AP995" t="inlineStr">
        <is>
          <t>No</t>
        </is>
      </c>
      <c r="AQ995" t="inlineStr">
        <is>
          <t>No</t>
        </is>
      </c>
      <c r="AS995">
        <f>HYPERLINK("https://creighton-primo.hosted.exlibrisgroup.com/primo-explore/search?tab=default_tab&amp;search_scope=EVERYTHING&amp;vid=01CRU&amp;lang=en_US&amp;offset=0&amp;query=any,contains,991004631839702656","Catalog Record")</f>
        <v/>
      </c>
      <c r="AT995">
        <f>HYPERLINK("http://www.worldcat.org/oclc/61247490","WorldCat Record")</f>
        <v/>
      </c>
      <c r="AU995" t="inlineStr">
        <is>
          <t>3901219129:eng</t>
        </is>
      </c>
      <c r="AV995" t="inlineStr">
        <is>
          <t>61247490</t>
        </is>
      </c>
      <c r="AW995" t="inlineStr">
        <is>
          <t>991004631839702656</t>
        </is>
      </c>
      <c r="AX995" t="inlineStr">
        <is>
          <t>991004631839702656</t>
        </is>
      </c>
      <c r="AY995" t="inlineStr">
        <is>
          <t>2272129560002656</t>
        </is>
      </c>
      <c r="AZ995" t="inlineStr">
        <is>
          <t>BOOK</t>
        </is>
      </c>
      <c r="BB995" t="inlineStr">
        <is>
          <t>9780520247208</t>
        </is>
      </c>
      <c r="BC995" t="inlineStr">
        <is>
          <t>32285005084818</t>
        </is>
      </c>
      <c r="BD995" t="inlineStr">
        <is>
          <t>893513489</t>
        </is>
      </c>
    </row>
    <row r="996">
      <c r="A996" t="inlineStr">
        <is>
          <t>No</t>
        </is>
      </c>
      <c r="B996" t="inlineStr">
        <is>
          <t>DS39 .I844 1995</t>
        </is>
      </c>
      <c r="C996" t="inlineStr">
        <is>
          <t>0                      DS 0039000I  844         1995</t>
        </is>
      </c>
      <c r="D996" t="inlineStr">
        <is>
          <t>The Islamist dilemma : the political role of Islamist movements in the contemporary Arab world / edited by Laura Guazzone.</t>
        </is>
      </c>
      <c r="F996" t="inlineStr">
        <is>
          <t>No</t>
        </is>
      </c>
      <c r="G996" t="inlineStr">
        <is>
          <t>1</t>
        </is>
      </c>
      <c r="H996" t="inlineStr">
        <is>
          <t>No</t>
        </is>
      </c>
      <c r="I996" t="inlineStr">
        <is>
          <t>No</t>
        </is>
      </c>
      <c r="J996" t="inlineStr">
        <is>
          <t>0</t>
        </is>
      </c>
      <c r="L996" t="inlineStr">
        <is>
          <t>Reading, Berkshire : Ithaca Press, c1995.</t>
        </is>
      </c>
      <c r="M996" t="inlineStr">
        <is>
          <t>1995</t>
        </is>
      </c>
      <c r="N996" t="inlineStr">
        <is>
          <t>1st ed.</t>
        </is>
      </c>
      <c r="O996" t="inlineStr">
        <is>
          <t>eng</t>
        </is>
      </c>
      <c r="P996" t="inlineStr">
        <is>
          <t>enk</t>
        </is>
      </c>
      <c r="Q996" t="inlineStr">
        <is>
          <t>International politics of the Middle East series ; 3</t>
        </is>
      </c>
      <c r="R996" t="inlineStr">
        <is>
          <t xml:space="preserve">DS </t>
        </is>
      </c>
      <c r="S996" t="n">
        <v>5</v>
      </c>
      <c r="T996" t="n">
        <v>5</v>
      </c>
      <c r="U996" t="inlineStr">
        <is>
          <t>2009-10-09</t>
        </is>
      </c>
      <c r="V996" t="inlineStr">
        <is>
          <t>2009-10-09</t>
        </is>
      </c>
      <c r="W996" t="inlineStr">
        <is>
          <t>1996-05-30</t>
        </is>
      </c>
      <c r="X996" t="inlineStr">
        <is>
          <t>1996-05-30</t>
        </is>
      </c>
      <c r="Y996" t="n">
        <v>198</v>
      </c>
      <c r="Z996" t="n">
        <v>108</v>
      </c>
      <c r="AA996" t="n">
        <v>110</v>
      </c>
      <c r="AB996" t="n">
        <v>1</v>
      </c>
      <c r="AC996" t="n">
        <v>1</v>
      </c>
      <c r="AD996" t="n">
        <v>7</v>
      </c>
      <c r="AE996" t="n">
        <v>7</v>
      </c>
      <c r="AF996" t="n">
        <v>1</v>
      </c>
      <c r="AG996" t="n">
        <v>1</v>
      </c>
      <c r="AH996" t="n">
        <v>4</v>
      </c>
      <c r="AI996" t="n">
        <v>4</v>
      </c>
      <c r="AJ996" t="n">
        <v>5</v>
      </c>
      <c r="AK996" t="n">
        <v>5</v>
      </c>
      <c r="AL996" t="n">
        <v>0</v>
      </c>
      <c r="AM996" t="n">
        <v>0</v>
      </c>
      <c r="AN996" t="n">
        <v>0</v>
      </c>
      <c r="AO996" t="n">
        <v>0</v>
      </c>
      <c r="AP996" t="inlineStr">
        <is>
          <t>No</t>
        </is>
      </c>
      <c r="AQ996" t="inlineStr">
        <is>
          <t>Yes</t>
        </is>
      </c>
      <c r="AR996">
        <f>HYPERLINK("http://catalog.hathitrust.org/Record/003067576","HathiTrust Record")</f>
        <v/>
      </c>
      <c r="AS996">
        <f>HYPERLINK("https://creighton-primo.hosted.exlibrisgroup.com/primo-explore/search?tab=default_tab&amp;search_scope=EVERYTHING&amp;vid=01CRU&amp;lang=en_US&amp;offset=0&amp;query=any,contains,991002631199702656","Catalog Record")</f>
        <v/>
      </c>
      <c r="AT996">
        <f>HYPERLINK("http://www.worldcat.org/oclc/34481785","WorldCat Record")</f>
        <v/>
      </c>
      <c r="AU996" t="inlineStr">
        <is>
          <t>836928762:eng</t>
        </is>
      </c>
      <c r="AV996" t="inlineStr">
        <is>
          <t>34481785</t>
        </is>
      </c>
      <c r="AW996" t="inlineStr">
        <is>
          <t>991002631199702656</t>
        </is>
      </c>
      <c r="AX996" t="inlineStr">
        <is>
          <t>991002631199702656</t>
        </is>
      </c>
      <c r="AY996" t="inlineStr">
        <is>
          <t>2265173410002656</t>
        </is>
      </c>
      <c r="AZ996" t="inlineStr">
        <is>
          <t>BOOK</t>
        </is>
      </c>
      <c r="BB996" t="inlineStr">
        <is>
          <t>9780863721984</t>
        </is>
      </c>
      <c r="BC996" t="inlineStr">
        <is>
          <t>32285002185410</t>
        </is>
      </c>
      <c r="BD996" t="inlineStr">
        <is>
          <t>893698039</t>
        </is>
      </c>
    </row>
    <row r="997">
      <c r="A997" t="inlineStr">
        <is>
          <t>No</t>
        </is>
      </c>
      <c r="B997" t="inlineStr">
        <is>
          <t>DS39 .M53 1999</t>
        </is>
      </c>
      <c r="C997" t="inlineStr">
        <is>
          <t>0                      DS 0039000M  53          1999</t>
        </is>
      </c>
      <c r="D997" t="inlineStr">
        <is>
          <t>Middle East dilemma : the politics and economics of Arab integration / Michael C. Hudson, editor.</t>
        </is>
      </c>
      <c r="F997" t="inlineStr">
        <is>
          <t>No</t>
        </is>
      </c>
      <c r="G997" t="inlineStr">
        <is>
          <t>1</t>
        </is>
      </c>
      <c r="H997" t="inlineStr">
        <is>
          <t>No</t>
        </is>
      </c>
      <c r="I997" t="inlineStr">
        <is>
          <t>No</t>
        </is>
      </c>
      <c r="J997" t="inlineStr">
        <is>
          <t>0</t>
        </is>
      </c>
      <c r="L997" t="inlineStr">
        <is>
          <t>New York : Columbia University Press, c1999.</t>
        </is>
      </c>
      <c r="M997" t="inlineStr">
        <is>
          <t>1999</t>
        </is>
      </c>
      <c r="O997" t="inlineStr">
        <is>
          <t>eng</t>
        </is>
      </c>
      <c r="P997" t="inlineStr">
        <is>
          <t>nyu</t>
        </is>
      </c>
      <c r="R997" t="inlineStr">
        <is>
          <t xml:space="preserve">DS </t>
        </is>
      </c>
      <c r="S997" t="n">
        <v>10</v>
      </c>
      <c r="T997" t="n">
        <v>10</v>
      </c>
      <c r="U997" t="inlineStr">
        <is>
          <t>2009-03-16</t>
        </is>
      </c>
      <c r="V997" t="inlineStr">
        <is>
          <t>2009-03-16</t>
        </is>
      </c>
      <c r="W997" t="inlineStr">
        <is>
          <t>1999-12-15</t>
        </is>
      </c>
      <c r="X997" t="inlineStr">
        <is>
          <t>1999-12-15</t>
        </is>
      </c>
      <c r="Y997" t="n">
        <v>377</v>
      </c>
      <c r="Z997" t="n">
        <v>290</v>
      </c>
      <c r="AA997" t="n">
        <v>297</v>
      </c>
      <c r="AB997" t="n">
        <v>3</v>
      </c>
      <c r="AC997" t="n">
        <v>3</v>
      </c>
      <c r="AD997" t="n">
        <v>17</v>
      </c>
      <c r="AE997" t="n">
        <v>17</v>
      </c>
      <c r="AF997" t="n">
        <v>7</v>
      </c>
      <c r="AG997" t="n">
        <v>7</v>
      </c>
      <c r="AH997" t="n">
        <v>3</v>
      </c>
      <c r="AI997" t="n">
        <v>3</v>
      </c>
      <c r="AJ997" t="n">
        <v>10</v>
      </c>
      <c r="AK997" t="n">
        <v>10</v>
      </c>
      <c r="AL997" t="n">
        <v>2</v>
      </c>
      <c r="AM997" t="n">
        <v>2</v>
      </c>
      <c r="AN997" t="n">
        <v>0</v>
      </c>
      <c r="AO997" t="n">
        <v>0</v>
      </c>
      <c r="AP997" t="inlineStr">
        <is>
          <t>No</t>
        </is>
      </c>
      <c r="AQ997" t="inlineStr">
        <is>
          <t>No</t>
        </is>
      </c>
      <c r="AS997">
        <f>HYPERLINK("https://creighton-primo.hosted.exlibrisgroup.com/primo-explore/search?tab=default_tab&amp;search_scope=EVERYTHING&amp;vid=01CRU&amp;lang=en_US&amp;offset=0&amp;query=any,contains,991002937149702656","Catalog Record")</f>
        <v/>
      </c>
      <c r="AT997">
        <f>HYPERLINK("http://www.worldcat.org/oclc/39069455","WorldCat Record")</f>
        <v/>
      </c>
      <c r="AU997" t="inlineStr">
        <is>
          <t>837066002:eng</t>
        </is>
      </c>
      <c r="AV997" t="inlineStr">
        <is>
          <t>39069455</t>
        </is>
      </c>
      <c r="AW997" t="inlineStr">
        <is>
          <t>991002937149702656</t>
        </is>
      </c>
      <c r="AX997" t="inlineStr">
        <is>
          <t>991002937149702656</t>
        </is>
      </c>
      <c r="AY997" t="inlineStr">
        <is>
          <t>2259773640002656</t>
        </is>
      </c>
      <c r="AZ997" t="inlineStr">
        <is>
          <t>BOOK</t>
        </is>
      </c>
      <c r="BB997" t="inlineStr">
        <is>
          <t>9780231111386</t>
        </is>
      </c>
      <c r="BC997" t="inlineStr">
        <is>
          <t>32285003633137</t>
        </is>
      </c>
      <c r="BD997" t="inlineStr">
        <is>
          <t>893805237</t>
        </is>
      </c>
    </row>
    <row r="998">
      <c r="A998" t="inlineStr">
        <is>
          <t>No</t>
        </is>
      </c>
      <c r="B998" t="inlineStr">
        <is>
          <t>DS39.2.A2 K48</t>
        </is>
      </c>
      <c r="C998" t="inlineStr">
        <is>
          <t>0                      DS 0039200A  2                  K  48</t>
        </is>
      </c>
      <c r="D998" t="inlineStr">
        <is>
          <t>Arab contemporaries : the role of personalities in politics.</t>
        </is>
      </c>
      <c r="F998" t="inlineStr">
        <is>
          <t>No</t>
        </is>
      </c>
      <c r="G998" t="inlineStr">
        <is>
          <t>1</t>
        </is>
      </c>
      <c r="H998" t="inlineStr">
        <is>
          <t>No</t>
        </is>
      </c>
      <c r="I998" t="inlineStr">
        <is>
          <t>No</t>
        </is>
      </c>
      <c r="J998" t="inlineStr">
        <is>
          <t>0</t>
        </is>
      </c>
      <c r="K998" t="inlineStr">
        <is>
          <t>Khadduri, Majid, 1908-2007.</t>
        </is>
      </c>
      <c r="L998" t="inlineStr">
        <is>
          <t>Baltimore : Johns Hopkins University Press, [1973]</t>
        </is>
      </c>
      <c r="M998" t="inlineStr">
        <is>
          <t>1973</t>
        </is>
      </c>
      <c r="O998" t="inlineStr">
        <is>
          <t>eng</t>
        </is>
      </c>
      <c r="P998" t="inlineStr">
        <is>
          <t>mdu</t>
        </is>
      </c>
      <c r="R998" t="inlineStr">
        <is>
          <t xml:space="preserve">DS </t>
        </is>
      </c>
      <c r="S998" t="n">
        <v>2</v>
      </c>
      <c r="T998" t="n">
        <v>2</v>
      </c>
      <c r="U998" t="inlineStr">
        <is>
          <t>1999-04-09</t>
        </is>
      </c>
      <c r="V998" t="inlineStr">
        <is>
          <t>1999-04-09</t>
        </is>
      </c>
      <c r="W998" t="inlineStr">
        <is>
          <t>1991-12-09</t>
        </is>
      </c>
      <c r="X998" t="inlineStr">
        <is>
          <t>1991-12-09</t>
        </is>
      </c>
      <c r="Y998" t="n">
        <v>692</v>
      </c>
      <c r="Z998" t="n">
        <v>565</v>
      </c>
      <c r="AA998" t="n">
        <v>571</v>
      </c>
      <c r="AB998" t="n">
        <v>4</v>
      </c>
      <c r="AC998" t="n">
        <v>4</v>
      </c>
      <c r="AD998" t="n">
        <v>24</v>
      </c>
      <c r="AE998" t="n">
        <v>24</v>
      </c>
      <c r="AF998" t="n">
        <v>8</v>
      </c>
      <c r="AG998" t="n">
        <v>8</v>
      </c>
      <c r="AH998" t="n">
        <v>6</v>
      </c>
      <c r="AI998" t="n">
        <v>6</v>
      </c>
      <c r="AJ998" t="n">
        <v>15</v>
      </c>
      <c r="AK998" t="n">
        <v>15</v>
      </c>
      <c r="AL998" t="n">
        <v>3</v>
      </c>
      <c r="AM998" t="n">
        <v>3</v>
      </c>
      <c r="AN998" t="n">
        <v>0</v>
      </c>
      <c r="AO998" t="n">
        <v>0</v>
      </c>
      <c r="AP998" t="inlineStr">
        <is>
          <t>No</t>
        </is>
      </c>
      <c r="AQ998" t="inlineStr">
        <is>
          <t>Yes</t>
        </is>
      </c>
      <c r="AR998">
        <f>HYPERLINK("http://catalog.hathitrust.org/Record/001240603","HathiTrust Record")</f>
        <v/>
      </c>
      <c r="AS998">
        <f>HYPERLINK("https://creighton-primo.hosted.exlibrisgroup.com/primo-explore/search?tab=default_tab&amp;search_scope=EVERYTHING&amp;vid=01CRU&amp;lang=en_US&amp;offset=0&amp;query=any,contains,991002899919702656","Catalog Record")</f>
        <v/>
      </c>
      <c r="AT998">
        <f>HYPERLINK("http://www.worldcat.org/oclc/516321","WorldCat Record")</f>
        <v/>
      </c>
      <c r="AU998" t="inlineStr">
        <is>
          <t>131698934:eng</t>
        </is>
      </c>
      <c r="AV998" t="inlineStr">
        <is>
          <t>516321</t>
        </is>
      </c>
      <c r="AW998" t="inlineStr">
        <is>
          <t>991002899919702656</t>
        </is>
      </c>
      <c r="AX998" t="inlineStr">
        <is>
          <t>991002899919702656</t>
        </is>
      </c>
      <c r="AY998" t="inlineStr">
        <is>
          <t>2256533270002656</t>
        </is>
      </c>
      <c r="AZ998" t="inlineStr">
        <is>
          <t>BOOK</t>
        </is>
      </c>
      <c r="BB998" t="inlineStr">
        <is>
          <t>9780801814532</t>
        </is>
      </c>
      <c r="BC998" t="inlineStr">
        <is>
          <t>32285000849751</t>
        </is>
      </c>
      <c r="BD998" t="inlineStr">
        <is>
          <t>893591933</t>
        </is>
      </c>
    </row>
    <row r="999">
      <c r="A999" t="inlineStr">
        <is>
          <t>No</t>
        </is>
      </c>
      <c r="B999" t="inlineStr">
        <is>
          <t>DS392.F43 P35 2009</t>
        </is>
      </c>
      <c r="C999" t="inlineStr">
        <is>
          <t>0                      DS 0392000F  43                 P  35          2009</t>
        </is>
      </c>
      <c r="D999" t="inlineStr">
        <is>
          <t>Pakistan's troubled frontier / edited by Hassan Abbas.</t>
        </is>
      </c>
      <c r="F999" t="inlineStr">
        <is>
          <t>No</t>
        </is>
      </c>
      <c r="G999" t="inlineStr">
        <is>
          <t>1</t>
        </is>
      </c>
      <c r="H999" t="inlineStr">
        <is>
          <t>No</t>
        </is>
      </c>
      <c r="I999" t="inlineStr">
        <is>
          <t>No</t>
        </is>
      </c>
      <c r="J999" t="inlineStr">
        <is>
          <t>0</t>
        </is>
      </c>
      <c r="L999" t="inlineStr">
        <is>
          <t>Washington, DC : Jamestown Foundation, 2009.</t>
        </is>
      </c>
      <c r="M999" t="inlineStr">
        <is>
          <t>2009</t>
        </is>
      </c>
      <c r="O999" t="inlineStr">
        <is>
          <t>eng</t>
        </is>
      </c>
      <c r="P999" t="inlineStr">
        <is>
          <t>dcu</t>
        </is>
      </c>
      <c r="R999" t="inlineStr">
        <is>
          <t xml:space="preserve">DS </t>
        </is>
      </c>
      <c r="S999" t="n">
        <v>1</v>
      </c>
      <c r="T999" t="n">
        <v>1</v>
      </c>
      <c r="U999" t="inlineStr">
        <is>
          <t>2010-12-16</t>
        </is>
      </c>
      <c r="V999" t="inlineStr">
        <is>
          <t>2010-12-16</t>
        </is>
      </c>
      <c r="W999" t="inlineStr">
        <is>
          <t>2010-12-16</t>
        </is>
      </c>
      <c r="X999" t="inlineStr">
        <is>
          <t>2010-12-16</t>
        </is>
      </c>
      <c r="Y999" t="n">
        <v>155</v>
      </c>
      <c r="Z999" t="n">
        <v>114</v>
      </c>
      <c r="AA999" t="n">
        <v>114</v>
      </c>
      <c r="AB999" t="n">
        <v>2</v>
      </c>
      <c r="AC999" t="n">
        <v>2</v>
      </c>
      <c r="AD999" t="n">
        <v>5</v>
      </c>
      <c r="AE999" t="n">
        <v>5</v>
      </c>
      <c r="AF999" t="n">
        <v>0</v>
      </c>
      <c r="AG999" t="n">
        <v>0</v>
      </c>
      <c r="AH999" t="n">
        <v>3</v>
      </c>
      <c r="AI999" t="n">
        <v>3</v>
      </c>
      <c r="AJ999" t="n">
        <v>3</v>
      </c>
      <c r="AK999" t="n">
        <v>3</v>
      </c>
      <c r="AL999" t="n">
        <v>1</v>
      </c>
      <c r="AM999" t="n">
        <v>1</v>
      </c>
      <c r="AN999" t="n">
        <v>0</v>
      </c>
      <c r="AO999" t="n">
        <v>0</v>
      </c>
      <c r="AP999" t="inlineStr">
        <is>
          <t>No</t>
        </is>
      </c>
      <c r="AQ999" t="inlineStr">
        <is>
          <t>No</t>
        </is>
      </c>
      <c r="AS999">
        <f>HYPERLINK("https://creighton-primo.hosted.exlibrisgroup.com/primo-explore/search?tab=default_tab&amp;search_scope=EVERYTHING&amp;vid=01CRU&amp;lang=en_US&amp;offset=0&amp;query=any,contains,991000386999702656","Catalog Record")</f>
        <v/>
      </c>
      <c r="AT999">
        <f>HYPERLINK("http://www.worldcat.org/oclc/368050663","WorldCat Record")</f>
        <v/>
      </c>
      <c r="AU999" t="inlineStr">
        <is>
          <t>255984542:eng</t>
        </is>
      </c>
      <c r="AV999" t="inlineStr">
        <is>
          <t>368050663</t>
        </is>
      </c>
      <c r="AW999" t="inlineStr">
        <is>
          <t>991000386999702656</t>
        </is>
      </c>
      <c r="AX999" t="inlineStr">
        <is>
          <t>991000386999702656</t>
        </is>
      </c>
      <c r="AY999" t="inlineStr">
        <is>
          <t>2267129980002656</t>
        </is>
      </c>
      <c r="AZ999" t="inlineStr">
        <is>
          <t>BOOK</t>
        </is>
      </c>
      <c r="BB999" t="inlineStr">
        <is>
          <t>9780981690520</t>
        </is>
      </c>
      <c r="BC999" t="inlineStr">
        <is>
          <t>32285005651574</t>
        </is>
      </c>
      <c r="BD999" t="inlineStr">
        <is>
          <t>893339497</t>
        </is>
      </c>
    </row>
    <row r="1000">
      <c r="A1000" t="inlineStr">
        <is>
          <t>No</t>
        </is>
      </c>
      <c r="B1000" t="inlineStr">
        <is>
          <t>DS392.S58 A57 1992</t>
        </is>
      </c>
      <c r="C1000" t="inlineStr">
        <is>
          <t>0                      DS 0392000S  58                 A  57          1992</t>
        </is>
      </c>
      <c r="D1000" t="inlineStr">
        <is>
          <t>Sufi saints and state power : the pirs of Sind, 1843-1947 / Sarah F.D. Ansari.</t>
        </is>
      </c>
      <c r="F1000" t="inlineStr">
        <is>
          <t>No</t>
        </is>
      </c>
      <c r="G1000" t="inlineStr">
        <is>
          <t>1</t>
        </is>
      </c>
      <c r="H1000" t="inlineStr">
        <is>
          <t>No</t>
        </is>
      </c>
      <c r="I1000" t="inlineStr">
        <is>
          <t>No</t>
        </is>
      </c>
      <c r="J1000" t="inlineStr">
        <is>
          <t>0</t>
        </is>
      </c>
      <c r="K1000" t="inlineStr">
        <is>
          <t>Ansari, Sarah F. D.</t>
        </is>
      </c>
      <c r="L1000" t="inlineStr">
        <is>
          <t>Cambridge [England] ; New York : Cambridge University Press, 1992.</t>
        </is>
      </c>
      <c r="M1000" t="inlineStr">
        <is>
          <t>1992</t>
        </is>
      </c>
      <c r="O1000" t="inlineStr">
        <is>
          <t>eng</t>
        </is>
      </c>
      <c r="P1000" t="inlineStr">
        <is>
          <t>enk</t>
        </is>
      </c>
      <c r="Q1000" t="inlineStr">
        <is>
          <t>Cambridge South Asian studies ; 50</t>
        </is>
      </c>
      <c r="R1000" t="inlineStr">
        <is>
          <t xml:space="preserve">DS </t>
        </is>
      </c>
      <c r="S1000" t="n">
        <v>5</v>
      </c>
      <c r="T1000" t="n">
        <v>5</v>
      </c>
      <c r="U1000" t="inlineStr">
        <is>
          <t>2001-09-24</t>
        </is>
      </c>
      <c r="V1000" t="inlineStr">
        <is>
          <t>2001-09-24</t>
        </is>
      </c>
      <c r="W1000" t="inlineStr">
        <is>
          <t>1992-04-22</t>
        </is>
      </c>
      <c r="X1000" t="inlineStr">
        <is>
          <t>1992-04-22</t>
        </is>
      </c>
      <c r="Y1000" t="n">
        <v>287</v>
      </c>
      <c r="Z1000" t="n">
        <v>201</v>
      </c>
      <c r="AA1000" t="n">
        <v>210</v>
      </c>
      <c r="AB1000" t="n">
        <v>3</v>
      </c>
      <c r="AC1000" t="n">
        <v>3</v>
      </c>
      <c r="AD1000" t="n">
        <v>15</v>
      </c>
      <c r="AE1000" t="n">
        <v>15</v>
      </c>
      <c r="AF1000" t="n">
        <v>4</v>
      </c>
      <c r="AG1000" t="n">
        <v>4</v>
      </c>
      <c r="AH1000" t="n">
        <v>5</v>
      </c>
      <c r="AI1000" t="n">
        <v>5</v>
      </c>
      <c r="AJ1000" t="n">
        <v>9</v>
      </c>
      <c r="AK1000" t="n">
        <v>9</v>
      </c>
      <c r="AL1000" t="n">
        <v>2</v>
      </c>
      <c r="AM1000" t="n">
        <v>2</v>
      </c>
      <c r="AN1000" t="n">
        <v>0</v>
      </c>
      <c r="AO1000" t="n">
        <v>0</v>
      </c>
      <c r="AP1000" t="inlineStr">
        <is>
          <t>No</t>
        </is>
      </c>
      <c r="AQ1000" t="inlineStr">
        <is>
          <t>No</t>
        </is>
      </c>
      <c r="AS1000">
        <f>HYPERLINK("https://creighton-primo.hosted.exlibrisgroup.com/primo-explore/search?tab=default_tab&amp;search_scope=EVERYTHING&amp;vid=01CRU&amp;lang=en_US&amp;offset=0&amp;query=any,contains,991001879179702656","Catalog Record")</f>
        <v/>
      </c>
      <c r="AT1000">
        <f>HYPERLINK("http://www.worldcat.org/oclc/23694258","WorldCat Record")</f>
        <v/>
      </c>
      <c r="AU1000" t="inlineStr">
        <is>
          <t>836864223:eng</t>
        </is>
      </c>
      <c r="AV1000" t="inlineStr">
        <is>
          <t>23694258</t>
        </is>
      </c>
      <c r="AW1000" t="inlineStr">
        <is>
          <t>991001879179702656</t>
        </is>
      </c>
      <c r="AX1000" t="inlineStr">
        <is>
          <t>991001879179702656</t>
        </is>
      </c>
      <c r="AY1000" t="inlineStr">
        <is>
          <t>2260801360002656</t>
        </is>
      </c>
      <c r="AZ1000" t="inlineStr">
        <is>
          <t>BOOK</t>
        </is>
      </c>
      <c r="BB1000" t="inlineStr">
        <is>
          <t>9780521405300</t>
        </is>
      </c>
      <c r="BC1000" t="inlineStr">
        <is>
          <t>32285001037018</t>
        </is>
      </c>
      <c r="BD1000" t="inlineStr">
        <is>
          <t>893529302</t>
        </is>
      </c>
    </row>
    <row r="1001">
      <c r="A1001" t="inlineStr">
        <is>
          <t>No</t>
        </is>
      </c>
      <c r="B1001" t="inlineStr">
        <is>
          <t>DS406 .M44</t>
        </is>
      </c>
      <c r="C1001" t="inlineStr">
        <is>
          <t>0                      DS 0406000M  44</t>
        </is>
      </c>
      <c r="D1001" t="inlineStr">
        <is>
          <t>Coming to India and to Delhi : the gateway to modern India for foreign scholars / [by] P. R. Mehendiratta. [Editor: Ashok Kumar Butani.</t>
        </is>
      </c>
      <c r="F1001" t="inlineStr">
        <is>
          <t>No</t>
        </is>
      </c>
      <c r="G1001" t="inlineStr">
        <is>
          <t>1</t>
        </is>
      </c>
      <c r="H1001" t="inlineStr">
        <is>
          <t>No</t>
        </is>
      </c>
      <c r="I1001" t="inlineStr">
        <is>
          <t>No</t>
        </is>
      </c>
      <c r="J1001" t="inlineStr">
        <is>
          <t>0</t>
        </is>
      </c>
      <c r="K1001" t="inlineStr">
        <is>
          <t>Mehendiratta, Pradeep R., 1933-</t>
        </is>
      </c>
      <c r="L1001" t="inlineStr">
        <is>
          <t>New Delhi : Promilla, [1972]</t>
        </is>
      </c>
      <c r="M1001" t="inlineStr">
        <is>
          <t>1972</t>
        </is>
      </c>
      <c r="N1001" t="inlineStr">
        <is>
          <t>1st ed.]</t>
        </is>
      </c>
      <c r="O1001" t="inlineStr">
        <is>
          <t>eng</t>
        </is>
      </c>
      <c r="P1001" t="inlineStr">
        <is>
          <t xml:space="preserve">ii </t>
        </is>
      </c>
      <c r="R1001" t="inlineStr">
        <is>
          <t xml:space="preserve">DS </t>
        </is>
      </c>
      <c r="S1001" t="n">
        <v>3</v>
      </c>
      <c r="T1001" t="n">
        <v>3</v>
      </c>
      <c r="U1001" t="inlineStr">
        <is>
          <t>2000-01-30</t>
        </is>
      </c>
      <c r="V1001" t="inlineStr">
        <is>
          <t>2000-01-30</t>
        </is>
      </c>
      <c r="W1001" t="inlineStr">
        <is>
          <t>1994-03-01</t>
        </is>
      </c>
      <c r="X1001" t="inlineStr">
        <is>
          <t>1994-03-01</t>
        </is>
      </c>
      <c r="Y1001" t="n">
        <v>251</v>
      </c>
      <c r="Z1001" t="n">
        <v>233</v>
      </c>
      <c r="AA1001" t="n">
        <v>236</v>
      </c>
      <c r="AB1001" t="n">
        <v>3</v>
      </c>
      <c r="AC1001" t="n">
        <v>3</v>
      </c>
      <c r="AD1001" t="n">
        <v>10</v>
      </c>
      <c r="AE1001" t="n">
        <v>10</v>
      </c>
      <c r="AF1001" t="n">
        <v>1</v>
      </c>
      <c r="AG1001" t="n">
        <v>1</v>
      </c>
      <c r="AH1001" t="n">
        <v>2</v>
      </c>
      <c r="AI1001" t="n">
        <v>2</v>
      </c>
      <c r="AJ1001" t="n">
        <v>6</v>
      </c>
      <c r="AK1001" t="n">
        <v>6</v>
      </c>
      <c r="AL1001" t="n">
        <v>2</v>
      </c>
      <c r="AM1001" t="n">
        <v>2</v>
      </c>
      <c r="AN1001" t="n">
        <v>0</v>
      </c>
      <c r="AO1001" t="n">
        <v>0</v>
      </c>
      <c r="AP1001" t="inlineStr">
        <is>
          <t>No</t>
        </is>
      </c>
      <c r="AQ1001" t="inlineStr">
        <is>
          <t>Yes</t>
        </is>
      </c>
      <c r="AR1001">
        <f>HYPERLINK("http://catalog.hathitrust.org/Record/001249625","HathiTrust Record")</f>
        <v/>
      </c>
      <c r="AS1001">
        <f>HYPERLINK("https://creighton-primo.hosted.exlibrisgroup.com/primo-explore/search?tab=default_tab&amp;search_scope=EVERYTHING&amp;vid=01CRU&amp;lang=en_US&amp;offset=0&amp;query=any,contains,991003072899702656","Catalog Record")</f>
        <v/>
      </c>
      <c r="AT1001">
        <f>HYPERLINK("http://www.worldcat.org/oclc/627076","WorldCat Record")</f>
        <v/>
      </c>
      <c r="AU1001" t="inlineStr">
        <is>
          <t>308892986:eng</t>
        </is>
      </c>
      <c r="AV1001" t="inlineStr">
        <is>
          <t>627076</t>
        </is>
      </c>
      <c r="AW1001" t="inlineStr">
        <is>
          <t>991003072899702656</t>
        </is>
      </c>
      <c r="AX1001" t="inlineStr">
        <is>
          <t>991003072899702656</t>
        </is>
      </c>
      <c r="AY1001" t="inlineStr">
        <is>
          <t>2257766930002656</t>
        </is>
      </c>
      <c r="AZ1001" t="inlineStr">
        <is>
          <t>BOOK</t>
        </is>
      </c>
      <c r="BC1001" t="inlineStr">
        <is>
          <t>32285001851061</t>
        </is>
      </c>
      <c r="BD1001" t="inlineStr">
        <is>
          <t>893874398</t>
        </is>
      </c>
    </row>
    <row r="1002">
      <c r="A1002" t="inlineStr">
        <is>
          <t>No</t>
        </is>
      </c>
      <c r="B1002" t="inlineStr">
        <is>
          <t>DS407 .F55 1983</t>
        </is>
      </c>
      <c r="C1002" t="inlineStr">
        <is>
          <t>0                      DS 0407000F  55          1983</t>
        </is>
      </c>
      <c r="D1002" t="inlineStr">
        <is>
          <t>Gandhi's children / Trevor Fishlock.</t>
        </is>
      </c>
      <c r="F1002" t="inlineStr">
        <is>
          <t>No</t>
        </is>
      </c>
      <c r="G1002" t="inlineStr">
        <is>
          <t>1</t>
        </is>
      </c>
      <c r="H1002" t="inlineStr">
        <is>
          <t>No</t>
        </is>
      </c>
      <c r="I1002" t="inlineStr">
        <is>
          <t>No</t>
        </is>
      </c>
      <c r="J1002" t="inlineStr">
        <is>
          <t>0</t>
        </is>
      </c>
      <c r="K1002" t="inlineStr">
        <is>
          <t>Fishlock, Trevor, 1941-</t>
        </is>
      </c>
      <c r="L1002" t="inlineStr">
        <is>
          <t>New York : Universe Books, c1983.</t>
        </is>
      </c>
      <c r="M1002" t="inlineStr">
        <is>
          <t>1983</t>
        </is>
      </c>
      <c r="O1002" t="inlineStr">
        <is>
          <t>eng</t>
        </is>
      </c>
      <c r="P1002" t="inlineStr">
        <is>
          <t>nyu</t>
        </is>
      </c>
      <c r="R1002" t="inlineStr">
        <is>
          <t xml:space="preserve">DS </t>
        </is>
      </c>
      <c r="S1002" t="n">
        <v>2</v>
      </c>
      <c r="T1002" t="n">
        <v>2</v>
      </c>
      <c r="U1002" t="inlineStr">
        <is>
          <t>1997-02-07</t>
        </is>
      </c>
      <c r="V1002" t="inlineStr">
        <is>
          <t>1997-02-07</t>
        </is>
      </c>
      <c r="W1002" t="inlineStr">
        <is>
          <t>1990-06-20</t>
        </is>
      </c>
      <c r="X1002" t="inlineStr">
        <is>
          <t>1990-06-20</t>
        </is>
      </c>
      <c r="Y1002" t="n">
        <v>337</v>
      </c>
      <c r="Z1002" t="n">
        <v>319</v>
      </c>
      <c r="AA1002" t="n">
        <v>323</v>
      </c>
      <c r="AB1002" t="n">
        <v>1</v>
      </c>
      <c r="AC1002" t="n">
        <v>1</v>
      </c>
      <c r="AD1002" t="n">
        <v>3</v>
      </c>
      <c r="AE1002" t="n">
        <v>3</v>
      </c>
      <c r="AF1002" t="n">
        <v>0</v>
      </c>
      <c r="AG1002" t="n">
        <v>0</v>
      </c>
      <c r="AH1002" t="n">
        <v>1</v>
      </c>
      <c r="AI1002" t="n">
        <v>1</v>
      </c>
      <c r="AJ1002" t="n">
        <v>1</v>
      </c>
      <c r="AK1002" t="n">
        <v>1</v>
      </c>
      <c r="AL1002" t="n">
        <v>0</v>
      </c>
      <c r="AM1002" t="n">
        <v>0</v>
      </c>
      <c r="AN1002" t="n">
        <v>1</v>
      </c>
      <c r="AO1002" t="n">
        <v>1</v>
      </c>
      <c r="AP1002" t="inlineStr">
        <is>
          <t>No</t>
        </is>
      </c>
      <c r="AQ1002" t="inlineStr">
        <is>
          <t>Yes</t>
        </is>
      </c>
      <c r="AR1002">
        <f>HYPERLINK("http://catalog.hathitrust.org/Record/000779910","HathiTrust Record")</f>
        <v/>
      </c>
      <c r="AS1002">
        <f>HYPERLINK("https://creighton-primo.hosted.exlibrisgroup.com/primo-explore/search?tab=default_tab&amp;search_scope=EVERYTHING&amp;vid=01CRU&amp;lang=en_US&amp;offset=0&amp;query=any,contains,991000212649702656","Catalog Record")</f>
        <v/>
      </c>
      <c r="AT1002">
        <f>HYPERLINK("http://www.worldcat.org/oclc/9555744","WorldCat Record")</f>
        <v/>
      </c>
      <c r="AU1002" t="inlineStr">
        <is>
          <t>42995233:eng</t>
        </is>
      </c>
      <c r="AV1002" t="inlineStr">
        <is>
          <t>9555744</t>
        </is>
      </c>
      <c r="AW1002" t="inlineStr">
        <is>
          <t>991000212649702656</t>
        </is>
      </c>
      <c r="AX1002" t="inlineStr">
        <is>
          <t>991000212649702656</t>
        </is>
      </c>
      <c r="AY1002" t="inlineStr">
        <is>
          <t>2268107640002656</t>
        </is>
      </c>
      <c r="AZ1002" t="inlineStr">
        <is>
          <t>BOOK</t>
        </is>
      </c>
      <c r="BB1002" t="inlineStr">
        <is>
          <t>9780876634363</t>
        </is>
      </c>
      <c r="BC1002" t="inlineStr">
        <is>
          <t>32285000210418</t>
        </is>
      </c>
      <c r="BD1002" t="inlineStr">
        <is>
          <t>893708211</t>
        </is>
      </c>
    </row>
    <row r="1003">
      <c r="A1003" t="inlineStr">
        <is>
          <t>No</t>
        </is>
      </c>
      <c r="B1003" t="inlineStr">
        <is>
          <t>DS407 .N26</t>
        </is>
      </c>
      <c r="C1003" t="inlineStr">
        <is>
          <t>0                      DS 0407000N  26</t>
        </is>
      </c>
      <c r="D1003" t="inlineStr">
        <is>
          <t>India : a wounded civilization / V. S. Naipaul.</t>
        </is>
      </c>
      <c r="F1003" t="inlineStr">
        <is>
          <t>No</t>
        </is>
      </c>
      <c r="G1003" t="inlineStr">
        <is>
          <t>1</t>
        </is>
      </c>
      <c r="H1003" t="inlineStr">
        <is>
          <t>No</t>
        </is>
      </c>
      <c r="I1003" t="inlineStr">
        <is>
          <t>No</t>
        </is>
      </c>
      <c r="J1003" t="inlineStr">
        <is>
          <t>0</t>
        </is>
      </c>
      <c r="K1003" t="inlineStr">
        <is>
          <t>Naipaul, V. S. (Vidiadhar Surajprasad), 1932-2018.</t>
        </is>
      </c>
      <c r="L1003" t="inlineStr">
        <is>
          <t>New York : Knopf, 1977.</t>
        </is>
      </c>
      <c r="M1003" t="inlineStr">
        <is>
          <t>1977</t>
        </is>
      </c>
      <c r="N1003" t="inlineStr">
        <is>
          <t>1st ed.</t>
        </is>
      </c>
      <c r="O1003" t="inlineStr">
        <is>
          <t>eng</t>
        </is>
      </c>
      <c r="P1003" t="inlineStr">
        <is>
          <t>nyu</t>
        </is>
      </c>
      <c r="R1003" t="inlineStr">
        <is>
          <t xml:space="preserve">DS </t>
        </is>
      </c>
      <c r="S1003" t="n">
        <v>2</v>
      </c>
      <c r="T1003" t="n">
        <v>2</v>
      </c>
      <c r="U1003" t="inlineStr">
        <is>
          <t>2009-04-05</t>
        </is>
      </c>
      <c r="V1003" t="inlineStr">
        <is>
          <t>2009-04-05</t>
        </is>
      </c>
      <c r="W1003" t="inlineStr">
        <is>
          <t>1994-03-16</t>
        </is>
      </c>
      <c r="X1003" t="inlineStr">
        <is>
          <t>1994-03-16</t>
        </is>
      </c>
      <c r="Y1003" t="n">
        <v>1244</v>
      </c>
      <c r="Z1003" t="n">
        <v>1157</v>
      </c>
      <c r="AA1003" t="n">
        <v>1485</v>
      </c>
      <c r="AB1003" t="n">
        <v>6</v>
      </c>
      <c r="AC1003" t="n">
        <v>6</v>
      </c>
      <c r="AD1003" t="n">
        <v>32</v>
      </c>
      <c r="AE1003" t="n">
        <v>40</v>
      </c>
      <c r="AF1003" t="n">
        <v>11</v>
      </c>
      <c r="AG1003" t="n">
        <v>16</v>
      </c>
      <c r="AH1003" t="n">
        <v>10</v>
      </c>
      <c r="AI1003" t="n">
        <v>11</v>
      </c>
      <c r="AJ1003" t="n">
        <v>16</v>
      </c>
      <c r="AK1003" t="n">
        <v>20</v>
      </c>
      <c r="AL1003" t="n">
        <v>4</v>
      </c>
      <c r="AM1003" t="n">
        <v>4</v>
      </c>
      <c r="AN1003" t="n">
        <v>0</v>
      </c>
      <c r="AO1003" t="n">
        <v>0</v>
      </c>
      <c r="AP1003" t="inlineStr">
        <is>
          <t>No</t>
        </is>
      </c>
      <c r="AQ1003" t="inlineStr">
        <is>
          <t>Yes</t>
        </is>
      </c>
      <c r="AR1003">
        <f>HYPERLINK("http://catalog.hathitrust.org/Record/000251246","HathiTrust Record")</f>
        <v/>
      </c>
      <c r="AS1003">
        <f>HYPERLINK("https://creighton-primo.hosted.exlibrisgroup.com/primo-explore/search?tab=default_tab&amp;search_scope=EVERYTHING&amp;vid=01CRU&amp;lang=en_US&amp;offset=0&amp;query=any,contains,991004313889702656","Catalog Record")</f>
        <v/>
      </c>
      <c r="AT1003">
        <f>HYPERLINK("http://www.worldcat.org/oclc/3002613","WorldCat Record")</f>
        <v/>
      </c>
      <c r="AU1003" t="inlineStr">
        <is>
          <t>3943310594:eng</t>
        </is>
      </c>
      <c r="AV1003" t="inlineStr">
        <is>
          <t>3002613</t>
        </is>
      </c>
      <c r="AW1003" t="inlineStr">
        <is>
          <t>991004313889702656</t>
        </is>
      </c>
      <c r="AX1003" t="inlineStr">
        <is>
          <t>991004313889702656</t>
        </is>
      </c>
      <c r="AY1003" t="inlineStr">
        <is>
          <t>2272161350002656</t>
        </is>
      </c>
      <c r="AZ1003" t="inlineStr">
        <is>
          <t>BOOK</t>
        </is>
      </c>
      <c r="BB1003" t="inlineStr">
        <is>
          <t>9780394402918</t>
        </is>
      </c>
      <c r="BC1003" t="inlineStr">
        <is>
          <t>32285001853885</t>
        </is>
      </c>
      <c r="BD1003" t="inlineStr">
        <is>
          <t>893532250</t>
        </is>
      </c>
    </row>
    <row r="1004">
      <c r="A1004" t="inlineStr">
        <is>
          <t>No</t>
        </is>
      </c>
      <c r="B1004" t="inlineStr">
        <is>
          <t>DS407 .R38</t>
        </is>
      </c>
      <c r="C1004" t="inlineStr">
        <is>
          <t>0                      DS 0407000R  38</t>
        </is>
      </c>
      <c r="D1004" t="inlineStr">
        <is>
          <t>India : a short cultural history.</t>
        </is>
      </c>
      <c r="F1004" t="inlineStr">
        <is>
          <t>No</t>
        </is>
      </c>
      <c r="G1004" t="inlineStr">
        <is>
          <t>1</t>
        </is>
      </c>
      <c r="H1004" t="inlineStr">
        <is>
          <t>No</t>
        </is>
      </c>
      <c r="I1004" t="inlineStr">
        <is>
          <t>No</t>
        </is>
      </c>
      <c r="J1004" t="inlineStr">
        <is>
          <t>0</t>
        </is>
      </c>
      <c r="K1004" t="inlineStr">
        <is>
          <t>Rawlinson, H. G. (Hugh George), 1880-1957.</t>
        </is>
      </c>
      <c r="L1004" t="inlineStr">
        <is>
          <t>New York : F. A. Praeger, [1952]</t>
        </is>
      </c>
      <c r="M1004" t="inlineStr">
        <is>
          <t>1952</t>
        </is>
      </c>
      <c r="O1004" t="inlineStr">
        <is>
          <t>eng</t>
        </is>
      </c>
      <c r="P1004" t="inlineStr">
        <is>
          <t>nyu</t>
        </is>
      </c>
      <c r="Q1004" t="inlineStr">
        <is>
          <t>The Cresset historical series</t>
        </is>
      </c>
      <c r="R1004" t="inlineStr">
        <is>
          <t xml:space="preserve">DS </t>
        </is>
      </c>
      <c r="S1004" t="n">
        <v>12</v>
      </c>
      <c r="T1004" t="n">
        <v>12</v>
      </c>
      <c r="U1004" t="inlineStr">
        <is>
          <t>2000-02-22</t>
        </is>
      </c>
      <c r="V1004" t="inlineStr">
        <is>
          <t>2000-02-22</t>
        </is>
      </c>
      <c r="W1004" t="inlineStr">
        <is>
          <t>1992-05-11</t>
        </is>
      </c>
      <c r="X1004" t="inlineStr">
        <is>
          <t>1992-05-11</t>
        </is>
      </c>
      <c r="Y1004" t="n">
        <v>784</v>
      </c>
      <c r="Z1004" t="n">
        <v>748</v>
      </c>
      <c r="AA1004" t="n">
        <v>1028</v>
      </c>
      <c r="AB1004" t="n">
        <v>8</v>
      </c>
      <c r="AC1004" t="n">
        <v>8</v>
      </c>
      <c r="AD1004" t="n">
        <v>36</v>
      </c>
      <c r="AE1004" t="n">
        <v>46</v>
      </c>
      <c r="AF1004" t="n">
        <v>17</v>
      </c>
      <c r="AG1004" t="n">
        <v>20</v>
      </c>
      <c r="AH1004" t="n">
        <v>4</v>
      </c>
      <c r="AI1004" t="n">
        <v>9</v>
      </c>
      <c r="AJ1004" t="n">
        <v>14</v>
      </c>
      <c r="AK1004" t="n">
        <v>19</v>
      </c>
      <c r="AL1004" t="n">
        <v>7</v>
      </c>
      <c r="AM1004" t="n">
        <v>7</v>
      </c>
      <c r="AN1004" t="n">
        <v>0</v>
      </c>
      <c r="AO1004" t="n">
        <v>0</v>
      </c>
      <c r="AP1004" t="inlineStr">
        <is>
          <t>No</t>
        </is>
      </c>
      <c r="AQ1004" t="inlineStr">
        <is>
          <t>No</t>
        </is>
      </c>
      <c r="AR1004">
        <f>HYPERLINK("http://catalog.hathitrust.org/Record/001250194","HathiTrust Record")</f>
        <v/>
      </c>
      <c r="AS1004">
        <f>HYPERLINK("https://creighton-primo.hosted.exlibrisgroup.com/primo-explore/search?tab=default_tab&amp;search_scope=EVERYTHING&amp;vid=01CRU&amp;lang=en_US&amp;offset=0&amp;query=any,contains,991003175299702656","Catalog Record")</f>
        <v/>
      </c>
      <c r="AT1004">
        <f>HYPERLINK("http://www.worldcat.org/oclc/710636","WorldCat Record")</f>
        <v/>
      </c>
      <c r="AU1004" t="inlineStr">
        <is>
          <t>1348832:eng</t>
        </is>
      </c>
      <c r="AV1004" t="inlineStr">
        <is>
          <t>710636</t>
        </is>
      </c>
      <c r="AW1004" t="inlineStr">
        <is>
          <t>991003175299702656</t>
        </is>
      </c>
      <c r="AX1004" t="inlineStr">
        <is>
          <t>991003175299702656</t>
        </is>
      </c>
      <c r="AY1004" t="inlineStr">
        <is>
          <t>2262492140002656</t>
        </is>
      </c>
      <c r="AZ1004" t="inlineStr">
        <is>
          <t>BOOK</t>
        </is>
      </c>
      <c r="BC1004" t="inlineStr">
        <is>
          <t>32285001116747</t>
        </is>
      </c>
      <c r="BD1004" t="inlineStr">
        <is>
          <t>893409985</t>
        </is>
      </c>
    </row>
    <row r="1005">
      <c r="A1005" t="inlineStr">
        <is>
          <t>No</t>
        </is>
      </c>
      <c r="B1005" t="inlineStr">
        <is>
          <t>DS413 .F58</t>
        </is>
      </c>
      <c r="C1005" t="inlineStr">
        <is>
          <t>0                      DS 0413000F  58</t>
        </is>
      </c>
      <c r="D1005" t="inlineStr">
        <is>
          <t>India of the princes / by Rosita Forbes.</t>
        </is>
      </c>
      <c r="F1005" t="inlineStr">
        <is>
          <t>No</t>
        </is>
      </c>
      <c r="G1005" t="inlineStr">
        <is>
          <t>1</t>
        </is>
      </c>
      <c r="H1005" t="inlineStr">
        <is>
          <t>No</t>
        </is>
      </c>
      <c r="I1005" t="inlineStr">
        <is>
          <t>No</t>
        </is>
      </c>
      <c r="J1005" t="inlineStr">
        <is>
          <t>0</t>
        </is>
      </c>
      <c r="K1005" t="inlineStr">
        <is>
          <t>Forbes, Rosita.</t>
        </is>
      </c>
      <c r="L1005" t="inlineStr">
        <is>
          <t>London : The Book Club, 1939.</t>
        </is>
      </c>
      <c r="M1005" t="inlineStr">
        <is>
          <t>1939</t>
        </is>
      </c>
      <c r="O1005" t="inlineStr">
        <is>
          <t>eng</t>
        </is>
      </c>
      <c r="P1005" t="inlineStr">
        <is>
          <t>enk</t>
        </is>
      </c>
      <c r="R1005" t="inlineStr">
        <is>
          <t xml:space="preserve">DS </t>
        </is>
      </c>
      <c r="S1005" t="n">
        <v>8</v>
      </c>
      <c r="T1005" t="n">
        <v>8</v>
      </c>
      <c r="U1005" t="inlineStr">
        <is>
          <t>2005-02-01</t>
        </is>
      </c>
      <c r="V1005" t="inlineStr">
        <is>
          <t>2005-02-01</t>
        </is>
      </c>
      <c r="W1005" t="inlineStr">
        <is>
          <t>1997-03-06</t>
        </is>
      </c>
      <c r="X1005" t="inlineStr">
        <is>
          <t>1997-03-06</t>
        </is>
      </c>
      <c r="Y1005" t="n">
        <v>102</v>
      </c>
      <c r="Z1005" t="n">
        <v>56</v>
      </c>
      <c r="AA1005" t="n">
        <v>183</v>
      </c>
      <c r="AB1005" t="n">
        <v>1</v>
      </c>
      <c r="AC1005" t="n">
        <v>2</v>
      </c>
      <c r="AD1005" t="n">
        <v>2</v>
      </c>
      <c r="AE1005" t="n">
        <v>5</v>
      </c>
      <c r="AF1005" t="n">
        <v>1</v>
      </c>
      <c r="AG1005" t="n">
        <v>2</v>
      </c>
      <c r="AH1005" t="n">
        <v>0</v>
      </c>
      <c r="AI1005" t="n">
        <v>1</v>
      </c>
      <c r="AJ1005" t="n">
        <v>1</v>
      </c>
      <c r="AK1005" t="n">
        <v>2</v>
      </c>
      <c r="AL1005" t="n">
        <v>0</v>
      </c>
      <c r="AM1005" t="n">
        <v>1</v>
      </c>
      <c r="AN1005" t="n">
        <v>0</v>
      </c>
      <c r="AO1005" t="n">
        <v>0</v>
      </c>
      <c r="AP1005" t="inlineStr">
        <is>
          <t>No</t>
        </is>
      </c>
      <c r="AQ1005" t="inlineStr">
        <is>
          <t>No</t>
        </is>
      </c>
      <c r="AS1005">
        <f>HYPERLINK("https://creighton-primo.hosted.exlibrisgroup.com/primo-explore/search?tab=default_tab&amp;search_scope=EVERYTHING&amp;vid=01CRU&amp;lang=en_US&amp;offset=0&amp;query=any,contains,991004809799702656","Catalog Record")</f>
        <v/>
      </c>
      <c r="AT1005">
        <f>HYPERLINK("http://www.worldcat.org/oclc/5268059","WorldCat Record")</f>
        <v/>
      </c>
      <c r="AU1005" t="inlineStr">
        <is>
          <t>2318622:eng</t>
        </is>
      </c>
      <c r="AV1005" t="inlineStr">
        <is>
          <t>5268059</t>
        </is>
      </c>
      <c r="AW1005" t="inlineStr">
        <is>
          <t>991004809799702656</t>
        </is>
      </c>
      <c r="AX1005" t="inlineStr">
        <is>
          <t>991004809799702656</t>
        </is>
      </c>
      <c r="AY1005" t="inlineStr">
        <is>
          <t>2258342870002656</t>
        </is>
      </c>
      <c r="AZ1005" t="inlineStr">
        <is>
          <t>BOOK</t>
        </is>
      </c>
      <c r="BC1005" t="inlineStr">
        <is>
          <t>32285002456308</t>
        </is>
      </c>
      <c r="BD1005" t="inlineStr">
        <is>
          <t>893411979</t>
        </is>
      </c>
    </row>
    <row r="1006">
      <c r="A1006" t="inlineStr">
        <is>
          <t>No</t>
        </is>
      </c>
      <c r="B1006" t="inlineStr">
        <is>
          <t>DS414 .C36513 1987</t>
        </is>
      </c>
      <c r="C1006" t="inlineStr">
        <is>
          <t>0                      DS 0414000C  36513       1987</t>
        </is>
      </c>
      <c r="D1006" t="inlineStr">
        <is>
          <t>Henri Cartier-Bresson in India / Henri Cartier-Bresson ; foreword by Satyajit Ray ; introduction by Yves Véquaud.</t>
        </is>
      </c>
      <c r="F1006" t="inlineStr">
        <is>
          <t>No</t>
        </is>
      </c>
      <c r="G1006" t="inlineStr">
        <is>
          <t>1</t>
        </is>
      </c>
      <c r="H1006" t="inlineStr">
        <is>
          <t>No</t>
        </is>
      </c>
      <c r="I1006" t="inlineStr">
        <is>
          <t>No</t>
        </is>
      </c>
      <c r="J1006" t="inlineStr">
        <is>
          <t>0</t>
        </is>
      </c>
      <c r="K1006" t="inlineStr">
        <is>
          <t>Cartier-Bresson, Henri, 1908-2004.</t>
        </is>
      </c>
      <c r="L1006" t="inlineStr">
        <is>
          <t>New York, N.Y. : Thames and Hudson, 1987.</t>
        </is>
      </c>
      <c r="M1006" t="inlineStr">
        <is>
          <t>1987</t>
        </is>
      </c>
      <c r="O1006" t="inlineStr">
        <is>
          <t>eng</t>
        </is>
      </c>
      <c r="P1006" t="inlineStr">
        <is>
          <t>nyu</t>
        </is>
      </c>
      <c r="R1006" t="inlineStr">
        <is>
          <t xml:space="preserve">DS </t>
        </is>
      </c>
      <c r="S1006" t="n">
        <v>20</v>
      </c>
      <c r="T1006" t="n">
        <v>20</v>
      </c>
      <c r="U1006" t="inlineStr">
        <is>
          <t>2004-04-28</t>
        </is>
      </c>
      <c r="V1006" t="inlineStr">
        <is>
          <t>2004-04-28</t>
        </is>
      </c>
      <c r="W1006" t="inlineStr">
        <is>
          <t>1990-05-23</t>
        </is>
      </c>
      <c r="X1006" t="inlineStr">
        <is>
          <t>1990-05-23</t>
        </is>
      </c>
      <c r="Y1006" t="n">
        <v>399</v>
      </c>
      <c r="Z1006" t="n">
        <v>311</v>
      </c>
      <c r="AA1006" t="n">
        <v>449</v>
      </c>
      <c r="AB1006" t="n">
        <v>4</v>
      </c>
      <c r="AC1006" t="n">
        <v>5</v>
      </c>
      <c r="AD1006" t="n">
        <v>6</v>
      </c>
      <c r="AE1006" t="n">
        <v>8</v>
      </c>
      <c r="AF1006" t="n">
        <v>3</v>
      </c>
      <c r="AG1006" t="n">
        <v>3</v>
      </c>
      <c r="AH1006" t="n">
        <v>1</v>
      </c>
      <c r="AI1006" t="n">
        <v>2</v>
      </c>
      <c r="AJ1006" t="n">
        <v>2</v>
      </c>
      <c r="AK1006" t="n">
        <v>3</v>
      </c>
      <c r="AL1006" t="n">
        <v>2</v>
      </c>
      <c r="AM1006" t="n">
        <v>3</v>
      </c>
      <c r="AN1006" t="n">
        <v>0</v>
      </c>
      <c r="AO1006" t="n">
        <v>0</v>
      </c>
      <c r="AP1006" t="inlineStr">
        <is>
          <t>No</t>
        </is>
      </c>
      <c r="AQ1006" t="inlineStr">
        <is>
          <t>No</t>
        </is>
      </c>
      <c r="AS1006">
        <f>HYPERLINK("https://creighton-primo.hosted.exlibrisgroup.com/primo-explore/search?tab=default_tab&amp;search_scope=EVERYTHING&amp;vid=01CRU&amp;lang=en_US&amp;offset=0&amp;query=any,contains,991001182179702656","Catalog Record")</f>
        <v/>
      </c>
      <c r="AT1006">
        <f>HYPERLINK("http://www.worldcat.org/oclc/17155033","WorldCat Record")</f>
        <v/>
      </c>
      <c r="AU1006" t="inlineStr">
        <is>
          <t>2999341460:eng</t>
        </is>
      </c>
      <c r="AV1006" t="inlineStr">
        <is>
          <t>17155033</t>
        </is>
      </c>
      <c r="AW1006" t="inlineStr">
        <is>
          <t>991001182179702656</t>
        </is>
      </c>
      <c r="AX1006" t="inlineStr">
        <is>
          <t>991001182179702656</t>
        </is>
      </c>
      <c r="AY1006" t="inlineStr">
        <is>
          <t>2259257410002656</t>
        </is>
      </c>
      <c r="AZ1006" t="inlineStr">
        <is>
          <t>BOOK</t>
        </is>
      </c>
      <c r="BB1006" t="inlineStr">
        <is>
          <t>9780500541241</t>
        </is>
      </c>
      <c r="BC1006" t="inlineStr">
        <is>
          <t>32285000137892</t>
        </is>
      </c>
      <c r="BD1006" t="inlineStr">
        <is>
          <t>893334137</t>
        </is>
      </c>
    </row>
    <row r="1007">
      <c r="A1007" t="inlineStr">
        <is>
          <t>No</t>
        </is>
      </c>
      <c r="B1007" t="inlineStr">
        <is>
          <t>DS414 .E96</t>
        </is>
      </c>
      <c r="C1007" t="inlineStr">
        <is>
          <t>0                      DS 0414000E  96</t>
        </is>
      </c>
      <c r="D1007" t="inlineStr">
        <is>
          <t>An Exploration of India : geographical perspectives on society and culture / edited by David E. Sopher.</t>
        </is>
      </c>
      <c r="F1007" t="inlineStr">
        <is>
          <t>No</t>
        </is>
      </c>
      <c r="G1007" t="inlineStr">
        <is>
          <t>1</t>
        </is>
      </c>
      <c r="H1007" t="inlineStr">
        <is>
          <t>No</t>
        </is>
      </c>
      <c r="I1007" t="inlineStr">
        <is>
          <t>No</t>
        </is>
      </c>
      <c r="J1007" t="inlineStr">
        <is>
          <t>0</t>
        </is>
      </c>
      <c r="L1007" t="inlineStr">
        <is>
          <t>Ithaca, N.Y. : Cornell University Press, 1980.</t>
        </is>
      </c>
      <c r="M1007" t="inlineStr">
        <is>
          <t>1980</t>
        </is>
      </c>
      <c r="O1007" t="inlineStr">
        <is>
          <t>eng</t>
        </is>
      </c>
      <c r="P1007" t="inlineStr">
        <is>
          <t>nyu</t>
        </is>
      </c>
      <c r="R1007" t="inlineStr">
        <is>
          <t xml:space="preserve">DS </t>
        </is>
      </c>
      <c r="S1007" t="n">
        <v>9</v>
      </c>
      <c r="T1007" t="n">
        <v>9</v>
      </c>
      <c r="U1007" t="inlineStr">
        <is>
          <t>2003-09-03</t>
        </is>
      </c>
      <c r="V1007" t="inlineStr">
        <is>
          <t>2003-09-03</t>
        </is>
      </c>
      <c r="W1007" t="inlineStr">
        <is>
          <t>1990-10-08</t>
        </is>
      </c>
      <c r="X1007" t="inlineStr">
        <is>
          <t>1990-10-08</t>
        </is>
      </c>
      <c r="Y1007" t="n">
        <v>388</v>
      </c>
      <c r="Z1007" t="n">
        <v>318</v>
      </c>
      <c r="AA1007" t="n">
        <v>326</v>
      </c>
      <c r="AB1007" t="n">
        <v>5</v>
      </c>
      <c r="AC1007" t="n">
        <v>5</v>
      </c>
      <c r="AD1007" t="n">
        <v>12</v>
      </c>
      <c r="AE1007" t="n">
        <v>12</v>
      </c>
      <c r="AF1007" t="n">
        <v>3</v>
      </c>
      <c r="AG1007" t="n">
        <v>3</v>
      </c>
      <c r="AH1007" t="n">
        <v>2</v>
      </c>
      <c r="AI1007" t="n">
        <v>2</v>
      </c>
      <c r="AJ1007" t="n">
        <v>4</v>
      </c>
      <c r="AK1007" t="n">
        <v>4</v>
      </c>
      <c r="AL1007" t="n">
        <v>4</v>
      </c>
      <c r="AM1007" t="n">
        <v>4</v>
      </c>
      <c r="AN1007" t="n">
        <v>0</v>
      </c>
      <c r="AO1007" t="n">
        <v>0</v>
      </c>
      <c r="AP1007" t="inlineStr">
        <is>
          <t>No</t>
        </is>
      </c>
      <c r="AQ1007" t="inlineStr">
        <is>
          <t>Yes</t>
        </is>
      </c>
      <c r="AR1007">
        <f>HYPERLINK("http://catalog.hathitrust.org/Record/000695621","HathiTrust Record")</f>
        <v/>
      </c>
      <c r="AS1007">
        <f>HYPERLINK("https://creighton-primo.hosted.exlibrisgroup.com/primo-explore/search?tab=default_tab&amp;search_scope=EVERYTHING&amp;vid=01CRU&amp;lang=en_US&amp;offset=0&amp;query=any,contains,991004790309702656","Catalog Record")</f>
        <v/>
      </c>
      <c r="AT1007">
        <f>HYPERLINK("http://www.worldcat.org/oclc/5170922","WorldCat Record")</f>
        <v/>
      </c>
      <c r="AU1007" t="inlineStr">
        <is>
          <t>889884199:eng</t>
        </is>
      </c>
      <c r="AV1007" t="inlineStr">
        <is>
          <t>5170922</t>
        </is>
      </c>
      <c r="AW1007" t="inlineStr">
        <is>
          <t>991004790309702656</t>
        </is>
      </c>
      <c r="AX1007" t="inlineStr">
        <is>
          <t>991004790309702656</t>
        </is>
      </c>
      <c r="AY1007" t="inlineStr">
        <is>
          <t>2259300070002656</t>
        </is>
      </c>
      <c r="AZ1007" t="inlineStr">
        <is>
          <t>BOOK</t>
        </is>
      </c>
      <c r="BB1007" t="inlineStr">
        <is>
          <t>9780801412585</t>
        </is>
      </c>
      <c r="BC1007" t="inlineStr">
        <is>
          <t>32285000336239</t>
        </is>
      </c>
      <c r="BD1007" t="inlineStr">
        <is>
          <t>893325790</t>
        </is>
      </c>
    </row>
    <row r="1008">
      <c r="A1008" t="inlineStr">
        <is>
          <t>No</t>
        </is>
      </c>
      <c r="B1008" t="inlineStr">
        <is>
          <t>DS414 .M52 1985</t>
        </is>
      </c>
      <c r="C1008" t="inlineStr">
        <is>
          <t>0                      DS 0414000M  52          1985</t>
        </is>
      </c>
      <c r="D1008" t="inlineStr">
        <is>
          <t>India of one thousand and one nights / Roland and Sabrina Michaud ; [translated from the French by Mary Feeney].</t>
        </is>
      </c>
      <c r="F1008" t="inlineStr">
        <is>
          <t>No</t>
        </is>
      </c>
      <c r="G1008" t="inlineStr">
        <is>
          <t>1</t>
        </is>
      </c>
      <c r="H1008" t="inlineStr">
        <is>
          <t>No</t>
        </is>
      </c>
      <c r="I1008" t="inlineStr">
        <is>
          <t>No</t>
        </is>
      </c>
      <c r="J1008" t="inlineStr">
        <is>
          <t>0</t>
        </is>
      </c>
      <c r="K1008" t="inlineStr">
        <is>
          <t>Michaud, Roland.</t>
        </is>
      </c>
      <c r="L1008" t="inlineStr">
        <is>
          <t>Boston : Little, Brown, 1985.</t>
        </is>
      </c>
      <c r="M1008" t="inlineStr">
        <is>
          <t>1985</t>
        </is>
      </c>
      <c r="N1008" t="inlineStr">
        <is>
          <t>1st United States ed.</t>
        </is>
      </c>
      <c r="O1008" t="inlineStr">
        <is>
          <t>eng</t>
        </is>
      </c>
      <c r="P1008" t="inlineStr">
        <is>
          <t>mau</t>
        </is>
      </c>
      <c r="R1008" t="inlineStr">
        <is>
          <t xml:space="preserve">DS </t>
        </is>
      </c>
      <c r="S1008" t="n">
        <v>19</v>
      </c>
      <c r="T1008" t="n">
        <v>19</v>
      </c>
      <c r="U1008" t="inlineStr">
        <is>
          <t>2004-04-28</t>
        </is>
      </c>
      <c r="V1008" t="inlineStr">
        <is>
          <t>2004-04-28</t>
        </is>
      </c>
      <c r="W1008" t="inlineStr">
        <is>
          <t>1990-10-08</t>
        </is>
      </c>
      <c r="X1008" t="inlineStr">
        <is>
          <t>1990-10-08</t>
        </is>
      </c>
      <c r="Y1008" t="n">
        <v>114</v>
      </c>
      <c r="Z1008" t="n">
        <v>106</v>
      </c>
      <c r="AA1008" t="n">
        <v>108</v>
      </c>
      <c r="AB1008" t="n">
        <v>1</v>
      </c>
      <c r="AC1008" t="n">
        <v>1</v>
      </c>
      <c r="AD1008" t="n">
        <v>0</v>
      </c>
      <c r="AE1008" t="n">
        <v>0</v>
      </c>
      <c r="AF1008" t="n">
        <v>0</v>
      </c>
      <c r="AG1008" t="n">
        <v>0</v>
      </c>
      <c r="AH1008" t="n">
        <v>0</v>
      </c>
      <c r="AI1008" t="n">
        <v>0</v>
      </c>
      <c r="AJ1008" t="n">
        <v>0</v>
      </c>
      <c r="AK1008" t="n">
        <v>0</v>
      </c>
      <c r="AL1008" t="n">
        <v>0</v>
      </c>
      <c r="AM1008" t="n">
        <v>0</v>
      </c>
      <c r="AN1008" t="n">
        <v>0</v>
      </c>
      <c r="AO1008" t="n">
        <v>0</v>
      </c>
      <c r="AP1008" t="inlineStr">
        <is>
          <t>No</t>
        </is>
      </c>
      <c r="AQ1008" t="inlineStr">
        <is>
          <t>No</t>
        </is>
      </c>
      <c r="AS1008">
        <f>HYPERLINK("https://creighton-primo.hosted.exlibrisgroup.com/primo-explore/search?tab=default_tab&amp;search_scope=EVERYTHING&amp;vid=01CRU&amp;lang=en_US&amp;offset=0&amp;query=any,contains,991000772849702656","Catalog Record")</f>
        <v/>
      </c>
      <c r="AT1008">
        <f>HYPERLINK("http://www.worldcat.org/oclc/13042639","WorldCat Record")</f>
        <v/>
      </c>
      <c r="AU1008" t="inlineStr">
        <is>
          <t>4390265034:eng</t>
        </is>
      </c>
      <c r="AV1008" t="inlineStr">
        <is>
          <t>13042639</t>
        </is>
      </c>
      <c r="AW1008" t="inlineStr">
        <is>
          <t>991000772849702656</t>
        </is>
      </c>
      <c r="AX1008" t="inlineStr">
        <is>
          <t>991000772849702656</t>
        </is>
      </c>
      <c r="AY1008" t="inlineStr">
        <is>
          <t>2269346790002656</t>
        </is>
      </c>
      <c r="AZ1008" t="inlineStr">
        <is>
          <t>BOOK</t>
        </is>
      </c>
      <c r="BB1008" t="inlineStr">
        <is>
          <t>9780821216095</t>
        </is>
      </c>
      <c r="BC1008" t="inlineStr">
        <is>
          <t>32285000336247</t>
        </is>
      </c>
      <c r="BD1008" t="inlineStr">
        <is>
          <t>893771951</t>
        </is>
      </c>
    </row>
    <row r="1009">
      <c r="A1009" t="inlineStr">
        <is>
          <t>No</t>
        </is>
      </c>
      <c r="B1009" t="inlineStr">
        <is>
          <t>DS414.2 .B54 1992</t>
        </is>
      </c>
      <c r="C1009" t="inlineStr">
        <is>
          <t>0                      DS 0414200B  54          1992</t>
        </is>
      </c>
      <c r="D1009" t="inlineStr">
        <is>
          <t>Arrow of the Blue-skinned God : retracing the Ramayana through India / Jonah Blank.</t>
        </is>
      </c>
      <c r="F1009" t="inlineStr">
        <is>
          <t>No</t>
        </is>
      </c>
      <c r="G1009" t="inlineStr">
        <is>
          <t>1</t>
        </is>
      </c>
      <c r="H1009" t="inlineStr">
        <is>
          <t>No</t>
        </is>
      </c>
      <c r="I1009" t="inlineStr">
        <is>
          <t>No</t>
        </is>
      </c>
      <c r="J1009" t="inlineStr">
        <is>
          <t>0</t>
        </is>
      </c>
      <c r="K1009" t="inlineStr">
        <is>
          <t>Blank, Jonah.</t>
        </is>
      </c>
      <c r="L1009" t="inlineStr">
        <is>
          <t>Boston : Houghton Mifflin, 1992.</t>
        </is>
      </c>
      <c r="M1009" t="inlineStr">
        <is>
          <t>1992</t>
        </is>
      </c>
      <c r="O1009" t="inlineStr">
        <is>
          <t>eng</t>
        </is>
      </c>
      <c r="P1009" t="inlineStr">
        <is>
          <t>mau</t>
        </is>
      </c>
      <c r="R1009" t="inlineStr">
        <is>
          <t xml:space="preserve">DS </t>
        </is>
      </c>
      <c r="S1009" t="n">
        <v>20</v>
      </c>
      <c r="T1009" t="n">
        <v>20</v>
      </c>
      <c r="U1009" t="inlineStr">
        <is>
          <t>2007-04-27</t>
        </is>
      </c>
      <c r="V1009" t="inlineStr">
        <is>
          <t>2007-04-27</t>
        </is>
      </c>
      <c r="W1009" t="inlineStr">
        <is>
          <t>1992-10-08</t>
        </is>
      </c>
      <c r="X1009" t="inlineStr">
        <is>
          <t>1992-10-08</t>
        </is>
      </c>
      <c r="Y1009" t="n">
        <v>374</v>
      </c>
      <c r="Z1009" t="n">
        <v>350</v>
      </c>
      <c r="AA1009" t="n">
        <v>482</v>
      </c>
      <c r="AB1009" t="n">
        <v>3</v>
      </c>
      <c r="AC1009" t="n">
        <v>3</v>
      </c>
      <c r="AD1009" t="n">
        <v>4</v>
      </c>
      <c r="AE1009" t="n">
        <v>11</v>
      </c>
      <c r="AF1009" t="n">
        <v>1</v>
      </c>
      <c r="AG1009" t="n">
        <v>3</v>
      </c>
      <c r="AH1009" t="n">
        <v>1</v>
      </c>
      <c r="AI1009" t="n">
        <v>4</v>
      </c>
      <c r="AJ1009" t="n">
        <v>2</v>
      </c>
      <c r="AK1009" t="n">
        <v>8</v>
      </c>
      <c r="AL1009" t="n">
        <v>1</v>
      </c>
      <c r="AM1009" t="n">
        <v>1</v>
      </c>
      <c r="AN1009" t="n">
        <v>0</v>
      </c>
      <c r="AO1009" t="n">
        <v>0</v>
      </c>
      <c r="AP1009" t="inlineStr">
        <is>
          <t>No</t>
        </is>
      </c>
      <c r="AQ1009" t="inlineStr">
        <is>
          <t>No</t>
        </is>
      </c>
      <c r="AS1009">
        <f>HYPERLINK("https://creighton-primo.hosted.exlibrisgroup.com/primo-explore/search?tab=default_tab&amp;search_scope=EVERYTHING&amp;vid=01CRU&amp;lang=en_US&amp;offset=0&amp;query=any,contains,991002027619702656","Catalog Record")</f>
        <v/>
      </c>
      <c r="AT1009">
        <f>HYPERLINK("http://www.worldcat.org/oclc/25789074","WorldCat Record")</f>
        <v/>
      </c>
      <c r="AU1009" t="inlineStr">
        <is>
          <t>50664:eng</t>
        </is>
      </c>
      <c r="AV1009" t="inlineStr">
        <is>
          <t>25789074</t>
        </is>
      </c>
      <c r="AW1009" t="inlineStr">
        <is>
          <t>991002027619702656</t>
        </is>
      </c>
      <c r="AX1009" t="inlineStr">
        <is>
          <t>991002027619702656</t>
        </is>
      </c>
      <c r="AY1009" t="inlineStr">
        <is>
          <t>2254886660002656</t>
        </is>
      </c>
      <c r="AZ1009" t="inlineStr">
        <is>
          <t>BOOK</t>
        </is>
      </c>
      <c r="BB1009" t="inlineStr">
        <is>
          <t>9780395562673</t>
        </is>
      </c>
      <c r="BC1009" t="inlineStr">
        <is>
          <t>32285001316354</t>
        </is>
      </c>
      <c r="BD1009" t="inlineStr">
        <is>
          <t>893773136</t>
        </is>
      </c>
    </row>
    <row r="1010">
      <c r="A1010" t="inlineStr">
        <is>
          <t>No</t>
        </is>
      </c>
      <c r="B1010" t="inlineStr">
        <is>
          <t>DS414.2 .M44 1997</t>
        </is>
      </c>
      <c r="C1010" t="inlineStr">
        <is>
          <t>0                      DS 0414200M  44          1997</t>
        </is>
      </c>
      <c r="D1010" t="inlineStr">
        <is>
          <t>Snakes and ladders : glimpses of India / Gita Mehta.</t>
        </is>
      </c>
      <c r="F1010" t="inlineStr">
        <is>
          <t>No</t>
        </is>
      </c>
      <c r="G1010" t="inlineStr">
        <is>
          <t>1</t>
        </is>
      </c>
      <c r="H1010" t="inlineStr">
        <is>
          <t>No</t>
        </is>
      </c>
      <c r="I1010" t="inlineStr">
        <is>
          <t>No</t>
        </is>
      </c>
      <c r="J1010" t="inlineStr">
        <is>
          <t>0</t>
        </is>
      </c>
      <c r="K1010" t="inlineStr">
        <is>
          <t>Mehta, Gita.</t>
        </is>
      </c>
      <c r="L1010" t="inlineStr">
        <is>
          <t>New York : N.A. Talese, 1997.</t>
        </is>
      </c>
      <c r="M1010" t="inlineStr">
        <is>
          <t>1997</t>
        </is>
      </c>
      <c r="N1010" t="inlineStr">
        <is>
          <t>1st ed.</t>
        </is>
      </c>
      <c r="O1010" t="inlineStr">
        <is>
          <t>eng</t>
        </is>
      </c>
      <c r="P1010" t="inlineStr">
        <is>
          <t>nyu</t>
        </is>
      </c>
      <c r="R1010" t="inlineStr">
        <is>
          <t xml:space="preserve">DS </t>
        </is>
      </c>
      <c r="S1010" t="n">
        <v>6</v>
      </c>
      <c r="T1010" t="n">
        <v>6</v>
      </c>
      <c r="U1010" t="inlineStr">
        <is>
          <t>1999-09-05</t>
        </is>
      </c>
      <c r="V1010" t="inlineStr">
        <is>
          <t>1999-09-05</t>
        </is>
      </c>
      <c r="W1010" t="inlineStr">
        <is>
          <t>1997-07-17</t>
        </is>
      </c>
      <c r="X1010" t="inlineStr">
        <is>
          <t>1997-07-17</t>
        </is>
      </c>
      <c r="Y1010" t="n">
        <v>748</v>
      </c>
      <c r="Z1010" t="n">
        <v>699</v>
      </c>
      <c r="AA1010" t="n">
        <v>718</v>
      </c>
      <c r="AB1010" t="n">
        <v>5</v>
      </c>
      <c r="AC1010" t="n">
        <v>5</v>
      </c>
      <c r="AD1010" t="n">
        <v>15</v>
      </c>
      <c r="AE1010" t="n">
        <v>15</v>
      </c>
      <c r="AF1010" t="n">
        <v>4</v>
      </c>
      <c r="AG1010" t="n">
        <v>4</v>
      </c>
      <c r="AH1010" t="n">
        <v>5</v>
      </c>
      <c r="AI1010" t="n">
        <v>5</v>
      </c>
      <c r="AJ1010" t="n">
        <v>9</v>
      </c>
      <c r="AK1010" t="n">
        <v>9</v>
      </c>
      <c r="AL1010" t="n">
        <v>3</v>
      </c>
      <c r="AM1010" t="n">
        <v>3</v>
      </c>
      <c r="AN1010" t="n">
        <v>0</v>
      </c>
      <c r="AO1010" t="n">
        <v>0</v>
      </c>
      <c r="AP1010" t="inlineStr">
        <is>
          <t>No</t>
        </is>
      </c>
      <c r="AQ1010" t="inlineStr">
        <is>
          <t>Yes</t>
        </is>
      </c>
      <c r="AR1010">
        <f>HYPERLINK("http://catalog.hathitrust.org/Record/003156157","HathiTrust Record")</f>
        <v/>
      </c>
      <c r="AS1010">
        <f>HYPERLINK("https://creighton-primo.hosted.exlibrisgroup.com/primo-explore/search?tab=default_tab&amp;search_scope=EVERYTHING&amp;vid=01CRU&amp;lang=en_US&amp;offset=0&amp;query=any,contains,991002736049702656","Catalog Record")</f>
        <v/>
      </c>
      <c r="AT1010">
        <f>HYPERLINK("http://www.worldcat.org/oclc/35911261","WorldCat Record")</f>
        <v/>
      </c>
      <c r="AU1010" t="inlineStr">
        <is>
          <t>2542065657:eng</t>
        </is>
      </c>
      <c r="AV1010" t="inlineStr">
        <is>
          <t>35911261</t>
        </is>
      </c>
      <c r="AW1010" t="inlineStr">
        <is>
          <t>991002736049702656</t>
        </is>
      </c>
      <c r="AX1010" t="inlineStr">
        <is>
          <t>991002736049702656</t>
        </is>
      </c>
      <c r="AY1010" t="inlineStr">
        <is>
          <t>2262500290002656</t>
        </is>
      </c>
      <c r="AZ1010" t="inlineStr">
        <is>
          <t>BOOK</t>
        </is>
      </c>
      <c r="BB1010" t="inlineStr">
        <is>
          <t>9780385474955</t>
        </is>
      </c>
      <c r="BC1010" t="inlineStr">
        <is>
          <t>32285002882933</t>
        </is>
      </c>
      <c r="BD1010" t="inlineStr">
        <is>
          <t>893341779</t>
        </is>
      </c>
    </row>
    <row r="1011">
      <c r="A1011" t="inlineStr">
        <is>
          <t>No</t>
        </is>
      </c>
      <c r="B1011" t="inlineStr">
        <is>
          <t>DS414.2 .M87 2001</t>
        </is>
      </c>
      <c r="C1011" t="inlineStr">
        <is>
          <t>0                      DS 0414200M  87          2001</t>
        </is>
      </c>
      <c r="D1011" t="inlineStr">
        <is>
          <t>Two wheels in the dust : from Kathmandu to Kandy / Anne Mustoe.</t>
        </is>
      </c>
      <c r="F1011" t="inlineStr">
        <is>
          <t>No</t>
        </is>
      </c>
      <c r="G1011" t="inlineStr">
        <is>
          <t>1</t>
        </is>
      </c>
      <c r="H1011" t="inlineStr">
        <is>
          <t>No</t>
        </is>
      </c>
      <c r="I1011" t="inlineStr">
        <is>
          <t>No</t>
        </is>
      </c>
      <c r="J1011" t="inlineStr">
        <is>
          <t>0</t>
        </is>
      </c>
      <c r="K1011" t="inlineStr">
        <is>
          <t>Mustoe, Anne.</t>
        </is>
      </c>
      <c r="L1011" t="inlineStr">
        <is>
          <t>London : Virgin, 2001.</t>
        </is>
      </c>
      <c r="M1011" t="inlineStr">
        <is>
          <t>2001</t>
        </is>
      </c>
      <c r="O1011" t="inlineStr">
        <is>
          <t>eng</t>
        </is>
      </c>
      <c r="P1011" t="inlineStr">
        <is>
          <t>enk</t>
        </is>
      </c>
      <c r="R1011" t="inlineStr">
        <is>
          <t xml:space="preserve">DS </t>
        </is>
      </c>
      <c r="S1011" t="n">
        <v>4</v>
      </c>
      <c r="T1011" t="n">
        <v>4</v>
      </c>
      <c r="U1011" t="inlineStr">
        <is>
          <t>2009-12-03</t>
        </is>
      </c>
      <c r="V1011" t="inlineStr">
        <is>
          <t>2009-12-03</t>
        </is>
      </c>
      <c r="W1011" t="inlineStr">
        <is>
          <t>2002-01-29</t>
        </is>
      </c>
      <c r="X1011" t="inlineStr">
        <is>
          <t>2002-01-29</t>
        </is>
      </c>
      <c r="Y1011" t="n">
        <v>185</v>
      </c>
      <c r="Z1011" t="n">
        <v>131</v>
      </c>
      <c r="AA1011" t="n">
        <v>146</v>
      </c>
      <c r="AB1011" t="n">
        <v>1</v>
      </c>
      <c r="AC1011" t="n">
        <v>1</v>
      </c>
      <c r="AD1011" t="n">
        <v>1</v>
      </c>
      <c r="AE1011" t="n">
        <v>1</v>
      </c>
      <c r="AF1011" t="n">
        <v>0</v>
      </c>
      <c r="AG1011" t="n">
        <v>0</v>
      </c>
      <c r="AH1011" t="n">
        <v>0</v>
      </c>
      <c r="AI1011" t="n">
        <v>0</v>
      </c>
      <c r="AJ1011" t="n">
        <v>1</v>
      </c>
      <c r="AK1011" t="n">
        <v>1</v>
      </c>
      <c r="AL1011" t="n">
        <v>0</v>
      </c>
      <c r="AM1011" t="n">
        <v>0</v>
      </c>
      <c r="AN1011" t="n">
        <v>0</v>
      </c>
      <c r="AO1011" t="n">
        <v>0</v>
      </c>
      <c r="AP1011" t="inlineStr">
        <is>
          <t>No</t>
        </is>
      </c>
      <c r="AQ1011" t="inlineStr">
        <is>
          <t>No</t>
        </is>
      </c>
      <c r="AS1011">
        <f>HYPERLINK("https://creighton-primo.hosted.exlibrisgroup.com/primo-explore/search?tab=default_tab&amp;search_scope=EVERYTHING&amp;vid=01CRU&amp;lang=en_US&amp;offset=0&amp;query=any,contains,991003684389702656","Catalog Record")</f>
        <v/>
      </c>
      <c r="AT1011">
        <f>HYPERLINK("http://www.worldcat.org/oclc/45580437","WorldCat Record")</f>
        <v/>
      </c>
      <c r="AU1011" t="inlineStr">
        <is>
          <t>836999212:eng</t>
        </is>
      </c>
      <c r="AV1011" t="inlineStr">
        <is>
          <t>45580437</t>
        </is>
      </c>
      <c r="AW1011" t="inlineStr">
        <is>
          <t>991003684389702656</t>
        </is>
      </c>
      <c r="AX1011" t="inlineStr">
        <is>
          <t>991003684389702656</t>
        </is>
      </c>
      <c r="AY1011" t="inlineStr">
        <is>
          <t>2264738490002656</t>
        </is>
      </c>
      <c r="AZ1011" t="inlineStr">
        <is>
          <t>BOOK</t>
        </is>
      </c>
      <c r="BB1011" t="inlineStr">
        <is>
          <t>9781852279264</t>
        </is>
      </c>
      <c r="BC1011" t="inlineStr">
        <is>
          <t>32285004451018</t>
        </is>
      </c>
      <c r="BD1011" t="inlineStr">
        <is>
          <t>893893988</t>
        </is>
      </c>
    </row>
    <row r="1012">
      <c r="A1012" t="inlineStr">
        <is>
          <t>No</t>
        </is>
      </c>
      <c r="B1012" t="inlineStr">
        <is>
          <t>DS414.2 .N35 1991</t>
        </is>
      </c>
      <c r="C1012" t="inlineStr">
        <is>
          <t>0                      DS 0414200N  35          1991</t>
        </is>
      </c>
      <c r="D1012" t="inlineStr">
        <is>
          <t>India : a million mutinies now / V.S. Naipaul.</t>
        </is>
      </c>
      <c r="F1012" t="inlineStr">
        <is>
          <t>No</t>
        </is>
      </c>
      <c r="G1012" t="inlineStr">
        <is>
          <t>1</t>
        </is>
      </c>
      <c r="H1012" t="inlineStr">
        <is>
          <t>No</t>
        </is>
      </c>
      <c r="I1012" t="inlineStr">
        <is>
          <t>No</t>
        </is>
      </c>
      <c r="J1012" t="inlineStr">
        <is>
          <t>0</t>
        </is>
      </c>
      <c r="K1012" t="inlineStr">
        <is>
          <t>Naipaul, V. S. (Vidiadhar Surajprasad), 1932-2018.</t>
        </is>
      </c>
      <c r="L1012" t="inlineStr">
        <is>
          <t>New York, N.Y., U.S.A. : Viking, 1991.</t>
        </is>
      </c>
      <c r="M1012" t="inlineStr">
        <is>
          <t>1991</t>
        </is>
      </c>
      <c r="N1012" t="inlineStr">
        <is>
          <t>1st American ed.</t>
        </is>
      </c>
      <c r="O1012" t="inlineStr">
        <is>
          <t>eng</t>
        </is>
      </c>
      <c r="P1012" t="inlineStr">
        <is>
          <t>nyu</t>
        </is>
      </c>
      <c r="R1012" t="inlineStr">
        <is>
          <t xml:space="preserve">DS </t>
        </is>
      </c>
      <c r="S1012" t="n">
        <v>8</v>
      </c>
      <c r="T1012" t="n">
        <v>8</v>
      </c>
      <c r="U1012" t="inlineStr">
        <is>
          <t>2002-06-27</t>
        </is>
      </c>
      <c r="V1012" t="inlineStr">
        <is>
          <t>2002-06-27</t>
        </is>
      </c>
      <c r="W1012" t="inlineStr">
        <is>
          <t>1992-06-12</t>
        </is>
      </c>
      <c r="X1012" t="inlineStr">
        <is>
          <t>1992-06-12</t>
        </is>
      </c>
      <c r="Y1012" t="n">
        <v>1184</v>
      </c>
      <c r="Z1012" t="n">
        <v>1106</v>
      </c>
      <c r="AA1012" t="n">
        <v>1331</v>
      </c>
      <c r="AB1012" t="n">
        <v>2</v>
      </c>
      <c r="AC1012" t="n">
        <v>4</v>
      </c>
      <c r="AD1012" t="n">
        <v>26</v>
      </c>
      <c r="AE1012" t="n">
        <v>31</v>
      </c>
      <c r="AF1012" t="n">
        <v>12</v>
      </c>
      <c r="AG1012" t="n">
        <v>13</v>
      </c>
      <c r="AH1012" t="n">
        <v>6</v>
      </c>
      <c r="AI1012" t="n">
        <v>8</v>
      </c>
      <c r="AJ1012" t="n">
        <v>16</v>
      </c>
      <c r="AK1012" t="n">
        <v>17</v>
      </c>
      <c r="AL1012" t="n">
        <v>0</v>
      </c>
      <c r="AM1012" t="n">
        <v>2</v>
      </c>
      <c r="AN1012" t="n">
        <v>0</v>
      </c>
      <c r="AO1012" t="n">
        <v>0</v>
      </c>
      <c r="AP1012" t="inlineStr">
        <is>
          <t>No</t>
        </is>
      </c>
      <c r="AQ1012" t="inlineStr">
        <is>
          <t>Yes</t>
        </is>
      </c>
      <c r="AR1012">
        <f>HYPERLINK("http://catalog.hathitrust.org/Record/002525158","HathiTrust Record")</f>
        <v/>
      </c>
      <c r="AS1012">
        <f>HYPERLINK("https://creighton-primo.hosted.exlibrisgroup.com/primo-explore/search?tab=default_tab&amp;search_scope=EVERYTHING&amp;vid=01CRU&amp;lang=en_US&amp;offset=0&amp;query=any,contains,991001767019702656","Catalog Record")</f>
        <v/>
      </c>
      <c r="AT1012">
        <f>HYPERLINK("http://www.worldcat.org/oclc/22310756","WorldCat Record")</f>
        <v/>
      </c>
      <c r="AU1012" t="inlineStr">
        <is>
          <t>24032620:eng</t>
        </is>
      </c>
      <c r="AV1012" t="inlineStr">
        <is>
          <t>22310756</t>
        </is>
      </c>
      <c r="AW1012" t="inlineStr">
        <is>
          <t>991001767019702656</t>
        </is>
      </c>
      <c r="AX1012" t="inlineStr">
        <is>
          <t>991001767019702656</t>
        </is>
      </c>
      <c r="AY1012" t="inlineStr">
        <is>
          <t>2265721020002656</t>
        </is>
      </c>
      <c r="AZ1012" t="inlineStr">
        <is>
          <t>BOOK</t>
        </is>
      </c>
      <c r="BB1012" t="inlineStr">
        <is>
          <t>9780670837021</t>
        </is>
      </c>
      <c r="BC1012" t="inlineStr">
        <is>
          <t>32285001128700</t>
        </is>
      </c>
      <c r="BD1012" t="inlineStr">
        <is>
          <t>893866461</t>
        </is>
      </c>
    </row>
    <row r="1013">
      <c r="A1013" t="inlineStr">
        <is>
          <t>No</t>
        </is>
      </c>
      <c r="B1013" t="inlineStr">
        <is>
          <t>DS414.2 .T46 1985</t>
        </is>
      </c>
      <c r="C1013" t="inlineStr">
        <is>
          <t>0                      DS 0414200T  46          1985</t>
        </is>
      </c>
      <c r="D1013" t="inlineStr">
        <is>
          <t>The imperial way / Paul Theroux and Steve McCurry.</t>
        </is>
      </c>
      <c r="F1013" t="inlineStr">
        <is>
          <t>No</t>
        </is>
      </c>
      <c r="G1013" t="inlineStr">
        <is>
          <t>1</t>
        </is>
      </c>
      <c r="H1013" t="inlineStr">
        <is>
          <t>No</t>
        </is>
      </c>
      <c r="I1013" t="inlineStr">
        <is>
          <t>No</t>
        </is>
      </c>
      <c r="J1013" t="inlineStr">
        <is>
          <t>0</t>
        </is>
      </c>
      <c r="K1013" t="inlineStr">
        <is>
          <t>Theroux, Paul.</t>
        </is>
      </c>
      <c r="L1013" t="inlineStr">
        <is>
          <t>Boston : Houghton Mifflin, 1985.</t>
        </is>
      </c>
      <c r="M1013" t="inlineStr">
        <is>
          <t>1985</t>
        </is>
      </c>
      <c r="O1013" t="inlineStr">
        <is>
          <t>eng</t>
        </is>
      </c>
      <c r="P1013" t="inlineStr">
        <is>
          <t>mau</t>
        </is>
      </c>
      <c r="R1013" t="inlineStr">
        <is>
          <t xml:space="preserve">DS </t>
        </is>
      </c>
      <c r="S1013" t="n">
        <v>5</v>
      </c>
      <c r="T1013" t="n">
        <v>5</v>
      </c>
      <c r="U1013" t="inlineStr">
        <is>
          <t>2004-10-27</t>
        </is>
      </c>
      <c r="V1013" t="inlineStr">
        <is>
          <t>2004-10-27</t>
        </is>
      </c>
      <c r="W1013" t="inlineStr">
        <is>
          <t>1990-10-08</t>
        </is>
      </c>
      <c r="X1013" t="inlineStr">
        <is>
          <t>1990-10-08</t>
        </is>
      </c>
      <c r="Y1013" t="n">
        <v>899</v>
      </c>
      <c r="Z1013" t="n">
        <v>852</v>
      </c>
      <c r="AA1013" t="n">
        <v>858</v>
      </c>
      <c r="AB1013" t="n">
        <v>9</v>
      </c>
      <c r="AC1013" t="n">
        <v>9</v>
      </c>
      <c r="AD1013" t="n">
        <v>6</v>
      </c>
      <c r="AE1013" t="n">
        <v>6</v>
      </c>
      <c r="AF1013" t="n">
        <v>2</v>
      </c>
      <c r="AG1013" t="n">
        <v>2</v>
      </c>
      <c r="AH1013" t="n">
        <v>1</v>
      </c>
      <c r="AI1013" t="n">
        <v>1</v>
      </c>
      <c r="AJ1013" t="n">
        <v>3</v>
      </c>
      <c r="AK1013" t="n">
        <v>3</v>
      </c>
      <c r="AL1013" t="n">
        <v>1</v>
      </c>
      <c r="AM1013" t="n">
        <v>1</v>
      </c>
      <c r="AN1013" t="n">
        <v>0</v>
      </c>
      <c r="AO1013" t="n">
        <v>0</v>
      </c>
      <c r="AP1013" t="inlineStr">
        <is>
          <t>No</t>
        </is>
      </c>
      <c r="AQ1013" t="inlineStr">
        <is>
          <t>Yes</t>
        </is>
      </c>
      <c r="AR1013">
        <f>HYPERLINK("http://catalog.hathitrust.org/Record/000471297","HathiTrust Record")</f>
        <v/>
      </c>
      <c r="AS1013">
        <f>HYPERLINK("https://creighton-primo.hosted.exlibrisgroup.com/primo-explore/search?tab=default_tab&amp;search_scope=EVERYTHING&amp;vid=01CRU&amp;lang=en_US&amp;offset=0&amp;query=any,contains,991000646139702656","Catalog Record")</f>
        <v/>
      </c>
      <c r="AT1013">
        <f>HYPERLINK("http://www.worldcat.org/oclc/12133644","WorldCat Record")</f>
        <v/>
      </c>
      <c r="AU1013" t="inlineStr">
        <is>
          <t>3901037688:eng</t>
        </is>
      </c>
      <c r="AV1013" t="inlineStr">
        <is>
          <t>12133644</t>
        </is>
      </c>
      <c r="AW1013" t="inlineStr">
        <is>
          <t>991000646139702656</t>
        </is>
      </c>
      <c r="AX1013" t="inlineStr">
        <is>
          <t>991000646139702656</t>
        </is>
      </c>
      <c r="AY1013" t="inlineStr">
        <is>
          <t>2263198620002656</t>
        </is>
      </c>
      <c r="AZ1013" t="inlineStr">
        <is>
          <t>BOOK</t>
        </is>
      </c>
      <c r="BB1013" t="inlineStr">
        <is>
          <t>9780395393901</t>
        </is>
      </c>
      <c r="BC1013" t="inlineStr">
        <is>
          <t>32285000336270</t>
        </is>
      </c>
      <c r="BD1013" t="inlineStr">
        <is>
          <t>893321220</t>
        </is>
      </c>
    </row>
    <row r="1014">
      <c r="A1014" t="inlineStr">
        <is>
          <t>No</t>
        </is>
      </c>
      <c r="B1014" t="inlineStr">
        <is>
          <t>DS414.2 .W45 1997</t>
        </is>
      </c>
      <c r="C1014" t="inlineStr">
        <is>
          <t>0                      DS 0414200W  45          1997</t>
        </is>
      </c>
      <c r="D1014" t="inlineStr">
        <is>
          <t>Days and nights on the Grand Trunk Road / Anthony Weller.</t>
        </is>
      </c>
      <c r="F1014" t="inlineStr">
        <is>
          <t>No</t>
        </is>
      </c>
      <c r="G1014" t="inlineStr">
        <is>
          <t>1</t>
        </is>
      </c>
      <c r="H1014" t="inlineStr">
        <is>
          <t>No</t>
        </is>
      </c>
      <c r="I1014" t="inlineStr">
        <is>
          <t>No</t>
        </is>
      </c>
      <c r="J1014" t="inlineStr">
        <is>
          <t>0</t>
        </is>
      </c>
      <c r="K1014" t="inlineStr">
        <is>
          <t>Weller, Anthony, 1957-</t>
        </is>
      </c>
      <c r="L1014" t="inlineStr">
        <is>
          <t>New York : Marlowe, c1997.</t>
        </is>
      </c>
      <c r="M1014" t="inlineStr">
        <is>
          <t>1997</t>
        </is>
      </c>
      <c r="N1014" t="inlineStr">
        <is>
          <t>1st ed.</t>
        </is>
      </c>
      <c r="O1014" t="inlineStr">
        <is>
          <t>eng</t>
        </is>
      </c>
      <c r="P1014" t="inlineStr">
        <is>
          <t>nyu</t>
        </is>
      </c>
      <c r="R1014" t="inlineStr">
        <is>
          <t xml:space="preserve">DS </t>
        </is>
      </c>
      <c r="S1014" t="n">
        <v>4</v>
      </c>
      <c r="T1014" t="n">
        <v>4</v>
      </c>
      <c r="U1014" t="inlineStr">
        <is>
          <t>2009-06-11</t>
        </is>
      </c>
      <c r="V1014" t="inlineStr">
        <is>
          <t>2009-06-11</t>
        </is>
      </c>
      <c r="W1014" t="inlineStr">
        <is>
          <t>1997-11-24</t>
        </is>
      </c>
      <c r="X1014" t="inlineStr">
        <is>
          <t>1997-11-24</t>
        </is>
      </c>
      <c r="Y1014" t="n">
        <v>276</v>
      </c>
      <c r="Z1014" t="n">
        <v>249</v>
      </c>
      <c r="AA1014" t="n">
        <v>255</v>
      </c>
      <c r="AB1014" t="n">
        <v>2</v>
      </c>
      <c r="AC1014" t="n">
        <v>2</v>
      </c>
      <c r="AD1014" t="n">
        <v>6</v>
      </c>
      <c r="AE1014" t="n">
        <v>6</v>
      </c>
      <c r="AF1014" t="n">
        <v>1</v>
      </c>
      <c r="AG1014" t="n">
        <v>1</v>
      </c>
      <c r="AH1014" t="n">
        <v>2</v>
      </c>
      <c r="AI1014" t="n">
        <v>2</v>
      </c>
      <c r="AJ1014" t="n">
        <v>3</v>
      </c>
      <c r="AK1014" t="n">
        <v>3</v>
      </c>
      <c r="AL1014" t="n">
        <v>1</v>
      </c>
      <c r="AM1014" t="n">
        <v>1</v>
      </c>
      <c r="AN1014" t="n">
        <v>0</v>
      </c>
      <c r="AO1014" t="n">
        <v>0</v>
      </c>
      <c r="AP1014" t="inlineStr">
        <is>
          <t>No</t>
        </is>
      </c>
      <c r="AQ1014" t="inlineStr">
        <is>
          <t>No</t>
        </is>
      </c>
      <c r="AS1014">
        <f>HYPERLINK("https://creighton-primo.hosted.exlibrisgroup.com/primo-explore/search?tab=default_tab&amp;search_scope=EVERYTHING&amp;vid=01CRU&amp;lang=en_US&amp;offset=0&amp;query=any,contains,991002819929702656","Catalog Record")</f>
        <v/>
      </c>
      <c r="AT1014">
        <f>HYPERLINK("http://www.worldcat.org/oclc/37044064","WorldCat Record")</f>
        <v/>
      </c>
      <c r="AU1014" t="inlineStr">
        <is>
          <t>1151830989:eng</t>
        </is>
      </c>
      <c r="AV1014" t="inlineStr">
        <is>
          <t>37044064</t>
        </is>
      </c>
      <c r="AW1014" t="inlineStr">
        <is>
          <t>991002819929702656</t>
        </is>
      </c>
      <c r="AX1014" t="inlineStr">
        <is>
          <t>991002819929702656</t>
        </is>
      </c>
      <c r="AY1014" t="inlineStr">
        <is>
          <t>2255300760002656</t>
        </is>
      </c>
      <c r="AZ1014" t="inlineStr">
        <is>
          <t>BOOK</t>
        </is>
      </c>
      <c r="BB1014" t="inlineStr">
        <is>
          <t>9781569247518</t>
        </is>
      </c>
      <c r="BC1014" t="inlineStr">
        <is>
          <t>32285003272936</t>
        </is>
      </c>
      <c r="BD1014" t="inlineStr">
        <is>
          <t>893257758</t>
        </is>
      </c>
    </row>
    <row r="1015">
      <c r="A1015" t="inlineStr">
        <is>
          <t>No</t>
        </is>
      </c>
      <c r="B1015" t="inlineStr">
        <is>
          <t>DS418 .A46</t>
        </is>
      </c>
      <c r="C1015" t="inlineStr">
        <is>
          <t>0                      DS 0418000A  46</t>
        </is>
      </c>
      <c r="D1015" t="inlineStr">
        <is>
          <t>Archaeological remains, monuments &amp; museums.</t>
        </is>
      </c>
      <c r="F1015" t="inlineStr">
        <is>
          <t>Yes</t>
        </is>
      </c>
      <c r="G1015" t="inlineStr">
        <is>
          <t>1</t>
        </is>
      </c>
      <c r="H1015" t="inlineStr">
        <is>
          <t>No</t>
        </is>
      </c>
      <c r="I1015" t="inlineStr">
        <is>
          <t>No</t>
        </is>
      </c>
      <c r="J1015" t="inlineStr">
        <is>
          <t>0</t>
        </is>
      </c>
      <c r="K1015" t="inlineStr">
        <is>
          <t>Archæological Survey of India.</t>
        </is>
      </c>
      <c r="M1015" t="inlineStr">
        <is>
          <t>1964</t>
        </is>
      </c>
      <c r="O1015" t="inlineStr">
        <is>
          <t>eng</t>
        </is>
      </c>
      <c r="P1015" t="inlineStr">
        <is>
          <t xml:space="preserve">ii </t>
        </is>
      </c>
      <c r="R1015" t="inlineStr">
        <is>
          <t xml:space="preserve">DS </t>
        </is>
      </c>
      <c r="S1015" t="n">
        <v>3</v>
      </c>
      <c r="T1015" t="n">
        <v>3</v>
      </c>
      <c r="U1015" t="inlineStr">
        <is>
          <t>2000-03-22</t>
        </is>
      </c>
      <c r="V1015" t="inlineStr">
        <is>
          <t>2000-03-22</t>
        </is>
      </c>
      <c r="W1015" t="inlineStr">
        <is>
          <t>1992-01-22</t>
        </is>
      </c>
      <c r="X1015" t="inlineStr">
        <is>
          <t>1992-01-22</t>
        </is>
      </c>
      <c r="Y1015" t="n">
        <v>162</v>
      </c>
      <c r="Z1015" t="n">
        <v>157</v>
      </c>
      <c r="AA1015" t="n">
        <v>205</v>
      </c>
      <c r="AB1015" t="n">
        <v>2</v>
      </c>
      <c r="AC1015" t="n">
        <v>2</v>
      </c>
      <c r="AD1015" t="n">
        <v>8</v>
      </c>
      <c r="AE1015" t="n">
        <v>10</v>
      </c>
      <c r="AF1015" t="n">
        <v>2</v>
      </c>
      <c r="AG1015" t="n">
        <v>2</v>
      </c>
      <c r="AH1015" t="n">
        <v>1</v>
      </c>
      <c r="AI1015" t="n">
        <v>2</v>
      </c>
      <c r="AJ1015" t="n">
        <v>6</v>
      </c>
      <c r="AK1015" t="n">
        <v>7</v>
      </c>
      <c r="AL1015" t="n">
        <v>1</v>
      </c>
      <c r="AM1015" t="n">
        <v>1</v>
      </c>
      <c r="AN1015" t="n">
        <v>0</v>
      </c>
      <c r="AO1015" t="n">
        <v>0</v>
      </c>
      <c r="AP1015" t="inlineStr">
        <is>
          <t>No</t>
        </is>
      </c>
      <c r="AQ1015" t="inlineStr">
        <is>
          <t>Yes</t>
        </is>
      </c>
      <c r="AR1015">
        <f>HYPERLINK("http://catalog.hathitrust.org/Record/001249877","HathiTrust Record")</f>
        <v/>
      </c>
      <c r="AS1015">
        <f>HYPERLINK("https://creighton-primo.hosted.exlibrisgroup.com/primo-explore/search?tab=default_tab&amp;search_scope=EVERYTHING&amp;vid=01CRU&amp;lang=en_US&amp;offset=0&amp;query=any,contains,991003393819702656","Catalog Record")</f>
        <v/>
      </c>
      <c r="AT1015">
        <f>HYPERLINK("http://www.worldcat.org/oclc/932208","WorldCat Record")</f>
        <v/>
      </c>
      <c r="AU1015" t="inlineStr">
        <is>
          <t>2643463826:eng</t>
        </is>
      </c>
      <c r="AV1015" t="inlineStr">
        <is>
          <t>932208</t>
        </is>
      </c>
      <c r="AW1015" t="inlineStr">
        <is>
          <t>991003393819702656</t>
        </is>
      </c>
      <c r="AX1015" t="inlineStr">
        <is>
          <t>991003393819702656</t>
        </is>
      </c>
      <c r="AY1015" t="inlineStr">
        <is>
          <t>2272359810002656</t>
        </is>
      </c>
      <c r="AZ1015" t="inlineStr">
        <is>
          <t>BOOK</t>
        </is>
      </c>
      <c r="BC1015" t="inlineStr">
        <is>
          <t>32285000898113</t>
        </is>
      </c>
      <c r="BD1015" t="inlineStr">
        <is>
          <t>893531153</t>
        </is>
      </c>
    </row>
    <row r="1016">
      <c r="A1016" t="inlineStr">
        <is>
          <t>No</t>
        </is>
      </c>
      <c r="B1016" t="inlineStr">
        <is>
          <t>DS418 .F24 1975</t>
        </is>
      </c>
      <c r="C1016" t="inlineStr">
        <is>
          <t>0                      DS 0418000F  24          1975</t>
        </is>
      </c>
      <c r="D1016" t="inlineStr">
        <is>
          <t>The roots of ancient India / Walter A. Fairservis, Jr.</t>
        </is>
      </c>
      <c r="F1016" t="inlineStr">
        <is>
          <t>No</t>
        </is>
      </c>
      <c r="G1016" t="inlineStr">
        <is>
          <t>1</t>
        </is>
      </c>
      <c r="H1016" t="inlineStr">
        <is>
          <t>No</t>
        </is>
      </c>
      <c r="I1016" t="inlineStr">
        <is>
          <t>No</t>
        </is>
      </c>
      <c r="J1016" t="inlineStr">
        <is>
          <t>0</t>
        </is>
      </c>
      <c r="K1016" t="inlineStr">
        <is>
          <t>Fairservis, Walter Ashlin, 1921-1994.</t>
        </is>
      </c>
      <c r="L1016" t="inlineStr">
        <is>
          <t>Chicago : University of Chicago Press, 1975.</t>
        </is>
      </c>
      <c r="M1016" t="inlineStr">
        <is>
          <t>1975</t>
        </is>
      </c>
      <c r="N1016" t="inlineStr">
        <is>
          <t>2d ed., rev.</t>
        </is>
      </c>
      <c r="O1016" t="inlineStr">
        <is>
          <t>eng</t>
        </is>
      </c>
      <c r="P1016" t="inlineStr">
        <is>
          <t>ilu</t>
        </is>
      </c>
      <c r="R1016" t="inlineStr">
        <is>
          <t xml:space="preserve">DS </t>
        </is>
      </c>
      <c r="S1016" t="n">
        <v>8</v>
      </c>
      <c r="T1016" t="n">
        <v>8</v>
      </c>
      <c r="U1016" t="inlineStr">
        <is>
          <t>2004-02-04</t>
        </is>
      </c>
      <c r="V1016" t="inlineStr">
        <is>
          <t>2004-02-04</t>
        </is>
      </c>
      <c r="W1016" t="inlineStr">
        <is>
          <t>1992-01-22</t>
        </is>
      </c>
      <c r="X1016" t="inlineStr">
        <is>
          <t>1992-01-22</t>
        </is>
      </c>
      <c r="Y1016" t="n">
        <v>330</v>
      </c>
      <c r="Z1016" t="n">
        <v>266</v>
      </c>
      <c r="AA1016" t="n">
        <v>269</v>
      </c>
      <c r="AB1016" t="n">
        <v>4</v>
      </c>
      <c r="AC1016" t="n">
        <v>4</v>
      </c>
      <c r="AD1016" t="n">
        <v>11</v>
      </c>
      <c r="AE1016" t="n">
        <v>11</v>
      </c>
      <c r="AF1016" t="n">
        <v>3</v>
      </c>
      <c r="AG1016" t="n">
        <v>3</v>
      </c>
      <c r="AH1016" t="n">
        <v>4</v>
      </c>
      <c r="AI1016" t="n">
        <v>4</v>
      </c>
      <c r="AJ1016" t="n">
        <v>3</v>
      </c>
      <c r="AK1016" t="n">
        <v>3</v>
      </c>
      <c r="AL1016" t="n">
        <v>3</v>
      </c>
      <c r="AM1016" t="n">
        <v>3</v>
      </c>
      <c r="AN1016" t="n">
        <v>0</v>
      </c>
      <c r="AO1016" t="n">
        <v>0</v>
      </c>
      <c r="AP1016" t="inlineStr">
        <is>
          <t>No</t>
        </is>
      </c>
      <c r="AQ1016" t="inlineStr">
        <is>
          <t>No</t>
        </is>
      </c>
      <c r="AS1016">
        <f>HYPERLINK("https://creighton-primo.hosted.exlibrisgroup.com/primo-explore/search?tab=default_tab&amp;search_scope=EVERYTHING&amp;vid=01CRU&amp;lang=en_US&amp;offset=0&amp;query=any,contains,991003652389702656","Catalog Record")</f>
        <v/>
      </c>
      <c r="AT1016">
        <f>HYPERLINK("http://www.worldcat.org/oclc/1256128","WorldCat Record")</f>
        <v/>
      </c>
      <c r="AU1016" t="inlineStr">
        <is>
          <t>5608978548:eng</t>
        </is>
      </c>
      <c r="AV1016" t="inlineStr">
        <is>
          <t>1256128</t>
        </is>
      </c>
      <c r="AW1016" t="inlineStr">
        <is>
          <t>991003652389702656</t>
        </is>
      </c>
      <c r="AX1016" t="inlineStr">
        <is>
          <t>991003652389702656</t>
        </is>
      </c>
      <c r="AY1016" t="inlineStr">
        <is>
          <t>2258198000002656</t>
        </is>
      </c>
      <c r="AZ1016" t="inlineStr">
        <is>
          <t>BOOK</t>
        </is>
      </c>
      <c r="BB1016" t="inlineStr">
        <is>
          <t>9780226234298</t>
        </is>
      </c>
      <c r="BC1016" t="inlineStr">
        <is>
          <t>32285000898121</t>
        </is>
      </c>
      <c r="BD1016" t="inlineStr">
        <is>
          <t>893598804</t>
        </is>
      </c>
    </row>
    <row r="1017">
      <c r="A1017" t="inlineStr">
        <is>
          <t>No</t>
        </is>
      </c>
      <c r="B1017" t="inlineStr">
        <is>
          <t>DS418 .F35 1995</t>
        </is>
      </c>
      <c r="C1017" t="inlineStr">
        <is>
          <t>0                      DS 0418000F  35          1995</t>
        </is>
      </c>
      <c r="D1017" t="inlineStr">
        <is>
          <t>In search of the cradle of civilization : new light on ancient India / Georg Feuerstein, Subhash Kak, and David Frawley.</t>
        </is>
      </c>
      <c r="F1017" t="inlineStr">
        <is>
          <t>No</t>
        </is>
      </c>
      <c r="G1017" t="inlineStr">
        <is>
          <t>1</t>
        </is>
      </c>
      <c r="H1017" t="inlineStr">
        <is>
          <t>No</t>
        </is>
      </c>
      <c r="I1017" t="inlineStr">
        <is>
          <t>No</t>
        </is>
      </c>
      <c r="J1017" t="inlineStr">
        <is>
          <t>0</t>
        </is>
      </c>
      <c r="K1017" t="inlineStr">
        <is>
          <t>Feuerstein, Georg.</t>
        </is>
      </c>
      <c r="L1017" t="inlineStr">
        <is>
          <t>Wheaton, IL : Quest Books, 1995.</t>
        </is>
      </c>
      <c r="M1017" t="inlineStr">
        <is>
          <t>1995</t>
        </is>
      </c>
      <c r="N1017" t="inlineStr">
        <is>
          <t>1st Quest ed.</t>
        </is>
      </c>
      <c r="O1017" t="inlineStr">
        <is>
          <t>eng</t>
        </is>
      </c>
      <c r="P1017" t="inlineStr">
        <is>
          <t>ilu</t>
        </is>
      </c>
      <c r="R1017" t="inlineStr">
        <is>
          <t xml:space="preserve">DS </t>
        </is>
      </c>
      <c r="S1017" t="n">
        <v>8</v>
      </c>
      <c r="T1017" t="n">
        <v>8</v>
      </c>
      <c r="U1017" t="inlineStr">
        <is>
          <t>2008-06-27</t>
        </is>
      </c>
      <c r="V1017" t="inlineStr">
        <is>
          <t>2008-06-27</t>
        </is>
      </c>
      <c r="W1017" t="inlineStr">
        <is>
          <t>2000-02-10</t>
        </is>
      </c>
      <c r="X1017" t="inlineStr">
        <is>
          <t>2000-02-10</t>
        </is>
      </c>
      <c r="Y1017" t="n">
        <v>506</v>
      </c>
      <c r="Z1017" t="n">
        <v>454</v>
      </c>
      <c r="AA1017" t="n">
        <v>495</v>
      </c>
      <c r="AB1017" t="n">
        <v>5</v>
      </c>
      <c r="AC1017" t="n">
        <v>5</v>
      </c>
      <c r="AD1017" t="n">
        <v>15</v>
      </c>
      <c r="AE1017" t="n">
        <v>16</v>
      </c>
      <c r="AF1017" t="n">
        <v>5</v>
      </c>
      <c r="AG1017" t="n">
        <v>6</v>
      </c>
      <c r="AH1017" t="n">
        <v>4</v>
      </c>
      <c r="AI1017" t="n">
        <v>4</v>
      </c>
      <c r="AJ1017" t="n">
        <v>8</v>
      </c>
      <c r="AK1017" t="n">
        <v>8</v>
      </c>
      <c r="AL1017" t="n">
        <v>3</v>
      </c>
      <c r="AM1017" t="n">
        <v>3</v>
      </c>
      <c r="AN1017" t="n">
        <v>0</v>
      </c>
      <c r="AO1017" t="n">
        <v>0</v>
      </c>
      <c r="AP1017" t="inlineStr">
        <is>
          <t>No</t>
        </is>
      </c>
      <c r="AQ1017" t="inlineStr">
        <is>
          <t>Yes</t>
        </is>
      </c>
      <c r="AR1017">
        <f>HYPERLINK("http://catalog.hathitrust.org/Record/003022493","HathiTrust Record")</f>
        <v/>
      </c>
      <c r="AS1017">
        <f>HYPERLINK("https://creighton-primo.hosted.exlibrisgroup.com/primo-explore/search?tab=default_tab&amp;search_scope=EVERYTHING&amp;vid=01CRU&amp;lang=en_US&amp;offset=0&amp;query=any,contains,991002459649702656","Catalog Record")</f>
        <v/>
      </c>
      <c r="AT1017">
        <f>HYPERLINK("http://www.worldcat.org/oclc/32051035","WorldCat Record")</f>
        <v/>
      </c>
      <c r="AU1017" t="inlineStr">
        <is>
          <t>1077061:eng</t>
        </is>
      </c>
      <c r="AV1017" t="inlineStr">
        <is>
          <t>32051035</t>
        </is>
      </c>
      <c r="AW1017" t="inlineStr">
        <is>
          <t>991002459649702656</t>
        </is>
      </c>
      <c r="AX1017" t="inlineStr">
        <is>
          <t>991002459649702656</t>
        </is>
      </c>
      <c r="AY1017" t="inlineStr">
        <is>
          <t>2270273570002656</t>
        </is>
      </c>
      <c r="AZ1017" t="inlineStr">
        <is>
          <t>BOOK</t>
        </is>
      </c>
      <c r="BB1017" t="inlineStr">
        <is>
          <t>9780835607209</t>
        </is>
      </c>
      <c r="BC1017" t="inlineStr">
        <is>
          <t>32285003661260</t>
        </is>
      </c>
      <c r="BD1017" t="inlineStr">
        <is>
          <t>893316837</t>
        </is>
      </c>
    </row>
    <row r="1018">
      <c r="A1018" t="inlineStr">
        <is>
          <t>No</t>
        </is>
      </c>
      <c r="B1018" t="inlineStr">
        <is>
          <t>DS42.4 .N6 1963</t>
        </is>
      </c>
      <c r="C1018" t="inlineStr">
        <is>
          <t>0                      DS 0042400N  6           1963</t>
        </is>
      </c>
      <c r="D1018" t="inlineStr">
        <is>
          <t>The modern Middle East.</t>
        </is>
      </c>
      <c r="F1018" t="inlineStr">
        <is>
          <t>No</t>
        </is>
      </c>
      <c r="G1018" t="inlineStr">
        <is>
          <t>1</t>
        </is>
      </c>
      <c r="H1018" t="inlineStr">
        <is>
          <t>No</t>
        </is>
      </c>
      <c r="I1018" t="inlineStr">
        <is>
          <t>No</t>
        </is>
      </c>
      <c r="J1018" t="inlineStr">
        <is>
          <t>0</t>
        </is>
      </c>
      <c r="K1018" t="inlineStr">
        <is>
          <t>Nolte, Richard H. editor.</t>
        </is>
      </c>
      <c r="L1018" t="inlineStr">
        <is>
          <t>New York, Atherton Press, 1963.</t>
        </is>
      </c>
      <c r="M1018" t="inlineStr">
        <is>
          <t>1963</t>
        </is>
      </c>
      <c r="O1018" t="inlineStr">
        <is>
          <t>eng</t>
        </is>
      </c>
      <c r="P1018" t="inlineStr">
        <is>
          <t>nyu</t>
        </is>
      </c>
      <c r="Q1018" t="inlineStr">
        <is>
          <t>The American Association for Middle East Studies series</t>
        </is>
      </c>
      <c r="R1018" t="inlineStr">
        <is>
          <t xml:space="preserve">DS </t>
        </is>
      </c>
      <c r="S1018" t="n">
        <v>2</v>
      </c>
      <c r="T1018" t="n">
        <v>2</v>
      </c>
      <c r="U1018" t="inlineStr">
        <is>
          <t>1997-10-30</t>
        </is>
      </c>
      <c r="V1018" t="inlineStr">
        <is>
          <t>1997-10-30</t>
        </is>
      </c>
      <c r="W1018" t="inlineStr">
        <is>
          <t>1997-02-21</t>
        </is>
      </c>
      <c r="X1018" t="inlineStr">
        <is>
          <t>1997-02-21</t>
        </is>
      </c>
      <c r="Y1018" t="n">
        <v>620</v>
      </c>
      <c r="Z1018" t="n">
        <v>530</v>
      </c>
      <c r="AA1018" t="n">
        <v>538</v>
      </c>
      <c r="AB1018" t="n">
        <v>7</v>
      </c>
      <c r="AC1018" t="n">
        <v>7</v>
      </c>
      <c r="AD1018" t="n">
        <v>27</v>
      </c>
      <c r="AE1018" t="n">
        <v>27</v>
      </c>
      <c r="AF1018" t="n">
        <v>10</v>
      </c>
      <c r="AG1018" t="n">
        <v>10</v>
      </c>
      <c r="AH1018" t="n">
        <v>6</v>
      </c>
      <c r="AI1018" t="n">
        <v>6</v>
      </c>
      <c r="AJ1018" t="n">
        <v>10</v>
      </c>
      <c r="AK1018" t="n">
        <v>10</v>
      </c>
      <c r="AL1018" t="n">
        <v>6</v>
      </c>
      <c r="AM1018" t="n">
        <v>6</v>
      </c>
      <c r="AN1018" t="n">
        <v>0</v>
      </c>
      <c r="AO1018" t="n">
        <v>0</v>
      </c>
      <c r="AP1018" t="inlineStr">
        <is>
          <t>No</t>
        </is>
      </c>
      <c r="AQ1018" t="inlineStr">
        <is>
          <t>Yes</t>
        </is>
      </c>
      <c r="AR1018">
        <f>HYPERLINK("http://catalog.hathitrust.org/Record/001240619","HathiTrust Record")</f>
        <v/>
      </c>
      <c r="AS1018">
        <f>HYPERLINK("https://creighton-primo.hosted.exlibrisgroup.com/primo-explore/search?tab=default_tab&amp;search_scope=EVERYTHING&amp;vid=01CRU&amp;lang=en_US&amp;offset=0&amp;query=any,contains,991002706959702656","Catalog Record")</f>
        <v/>
      </c>
      <c r="AT1018">
        <f>HYPERLINK("http://www.worldcat.org/oclc/407425","WorldCat Record")</f>
        <v/>
      </c>
      <c r="AU1018" t="inlineStr">
        <is>
          <t>1439180:eng</t>
        </is>
      </c>
      <c r="AV1018" t="inlineStr">
        <is>
          <t>407425</t>
        </is>
      </c>
      <c r="AW1018" t="inlineStr">
        <is>
          <t>991002706959702656</t>
        </is>
      </c>
      <c r="AX1018" t="inlineStr">
        <is>
          <t>991002706959702656</t>
        </is>
      </c>
      <c r="AY1018" t="inlineStr">
        <is>
          <t>2261749540002656</t>
        </is>
      </c>
      <c r="AZ1018" t="inlineStr">
        <is>
          <t>BOOK</t>
        </is>
      </c>
      <c r="BC1018" t="inlineStr">
        <is>
          <t>32285002468568</t>
        </is>
      </c>
      <c r="BD1018" t="inlineStr">
        <is>
          <t>893530352</t>
        </is>
      </c>
    </row>
    <row r="1019">
      <c r="A1019" t="inlineStr">
        <is>
          <t>No</t>
        </is>
      </c>
      <c r="B1019" t="inlineStr">
        <is>
          <t>DS42.5 .A55</t>
        </is>
      </c>
      <c r="C1019" t="inlineStr">
        <is>
          <t>0                      DS 0042500A  55</t>
        </is>
      </c>
      <c r="D1019" t="inlineStr">
        <is>
          <t>History, archaeology, and Christian humanism.</t>
        </is>
      </c>
      <c r="F1019" t="inlineStr">
        <is>
          <t>No</t>
        </is>
      </c>
      <c r="G1019" t="inlineStr">
        <is>
          <t>1</t>
        </is>
      </c>
      <c r="H1019" t="inlineStr">
        <is>
          <t>No</t>
        </is>
      </c>
      <c r="I1019" t="inlineStr">
        <is>
          <t>No</t>
        </is>
      </c>
      <c r="J1019" t="inlineStr">
        <is>
          <t>0</t>
        </is>
      </c>
      <c r="K1019" t="inlineStr">
        <is>
          <t>Albright, William Foxwell, 1891-1971.</t>
        </is>
      </c>
      <c r="L1019" t="inlineStr">
        <is>
          <t>New York McGraw-Hill [1964]</t>
        </is>
      </c>
      <c r="M1019" t="inlineStr">
        <is>
          <t>1964</t>
        </is>
      </c>
      <c r="N1019" t="inlineStr">
        <is>
          <t>[1st ed.]</t>
        </is>
      </c>
      <c r="O1019" t="inlineStr">
        <is>
          <t>eng</t>
        </is>
      </c>
      <c r="P1019" t="inlineStr">
        <is>
          <t>nyu</t>
        </is>
      </c>
      <c r="R1019" t="inlineStr">
        <is>
          <t xml:space="preserve">DS </t>
        </is>
      </c>
      <c r="S1019" t="n">
        <v>3</v>
      </c>
      <c r="T1019" t="n">
        <v>3</v>
      </c>
      <c r="U1019" t="inlineStr">
        <is>
          <t>2010-03-31</t>
        </is>
      </c>
      <c r="V1019" t="inlineStr">
        <is>
          <t>2010-03-31</t>
        </is>
      </c>
      <c r="W1019" t="inlineStr">
        <is>
          <t>1997-02-21</t>
        </is>
      </c>
      <c r="X1019" t="inlineStr">
        <is>
          <t>1997-02-21</t>
        </is>
      </c>
      <c r="Y1019" t="n">
        <v>776</v>
      </c>
      <c r="Z1019" t="n">
        <v>678</v>
      </c>
      <c r="AA1019" t="n">
        <v>686</v>
      </c>
      <c r="AB1019" t="n">
        <v>3</v>
      </c>
      <c r="AC1019" t="n">
        <v>3</v>
      </c>
      <c r="AD1019" t="n">
        <v>34</v>
      </c>
      <c r="AE1019" t="n">
        <v>34</v>
      </c>
      <c r="AF1019" t="n">
        <v>13</v>
      </c>
      <c r="AG1019" t="n">
        <v>13</v>
      </c>
      <c r="AH1019" t="n">
        <v>8</v>
      </c>
      <c r="AI1019" t="n">
        <v>8</v>
      </c>
      <c r="AJ1019" t="n">
        <v>22</v>
      </c>
      <c r="AK1019" t="n">
        <v>22</v>
      </c>
      <c r="AL1019" t="n">
        <v>1</v>
      </c>
      <c r="AM1019" t="n">
        <v>1</v>
      </c>
      <c r="AN1019" t="n">
        <v>0</v>
      </c>
      <c r="AO1019" t="n">
        <v>0</v>
      </c>
      <c r="AP1019" t="inlineStr">
        <is>
          <t>No</t>
        </is>
      </c>
      <c r="AQ1019" t="inlineStr">
        <is>
          <t>Yes</t>
        </is>
      </c>
      <c r="AR1019">
        <f>HYPERLINK("http://catalog.hathitrust.org/Record/001240622","HathiTrust Record")</f>
        <v/>
      </c>
      <c r="AS1019">
        <f>HYPERLINK("https://creighton-primo.hosted.exlibrisgroup.com/primo-explore/search?tab=default_tab&amp;search_scope=EVERYTHING&amp;vid=01CRU&amp;lang=en_US&amp;offset=0&amp;query=any,contains,991002678209702656","Catalog Record")</f>
        <v/>
      </c>
      <c r="AT1019">
        <f>HYPERLINK("http://www.worldcat.org/oclc/397592","WorldCat Record")</f>
        <v/>
      </c>
      <c r="AU1019" t="inlineStr">
        <is>
          <t>3857980360:eng</t>
        </is>
      </c>
      <c r="AV1019" t="inlineStr">
        <is>
          <t>397592</t>
        </is>
      </c>
      <c r="AW1019" t="inlineStr">
        <is>
          <t>991002678209702656</t>
        </is>
      </c>
      <c r="AX1019" t="inlineStr">
        <is>
          <t>991002678209702656</t>
        </is>
      </c>
      <c r="AY1019" t="inlineStr">
        <is>
          <t>2261692820002656</t>
        </is>
      </c>
      <c r="AZ1019" t="inlineStr">
        <is>
          <t>BOOK</t>
        </is>
      </c>
      <c r="BC1019" t="inlineStr">
        <is>
          <t>32285002468576</t>
        </is>
      </c>
      <c r="BD1019" t="inlineStr">
        <is>
          <t>893698104</t>
        </is>
      </c>
    </row>
    <row r="1020">
      <c r="A1020" t="inlineStr">
        <is>
          <t>No</t>
        </is>
      </c>
      <c r="B1020" t="inlineStr">
        <is>
          <t>DS421 .G34</t>
        </is>
      </c>
      <c r="C1020" t="inlineStr">
        <is>
          <t>0                      DS 0421000G  34</t>
        </is>
      </c>
      <c r="D1020" t="inlineStr">
        <is>
          <t>The legacy of India, edited by G. T. Garratt; with an introduction by the Marquess of Zetland.</t>
        </is>
      </c>
      <c r="F1020" t="inlineStr">
        <is>
          <t>No</t>
        </is>
      </c>
      <c r="G1020" t="inlineStr">
        <is>
          <t>1</t>
        </is>
      </c>
      <c r="H1020" t="inlineStr">
        <is>
          <t>No</t>
        </is>
      </c>
      <c r="I1020" t="inlineStr">
        <is>
          <t>No</t>
        </is>
      </c>
      <c r="J1020" t="inlineStr">
        <is>
          <t>0</t>
        </is>
      </c>
      <c r="K1020" t="inlineStr">
        <is>
          <t>Garratt, G. T. (Geoffrey Theodore), 1888-1942, editor.</t>
        </is>
      </c>
      <c r="L1020" t="inlineStr">
        <is>
          <t>Oxford, The Clarendon Press, 1937.</t>
        </is>
      </c>
      <c r="M1020" t="inlineStr">
        <is>
          <t>1937</t>
        </is>
      </c>
      <c r="O1020" t="inlineStr">
        <is>
          <t>eng</t>
        </is>
      </c>
      <c r="P1020" t="inlineStr">
        <is>
          <t>enk</t>
        </is>
      </c>
      <c r="R1020" t="inlineStr">
        <is>
          <t xml:space="preserve">DS </t>
        </is>
      </c>
      <c r="S1020" t="n">
        <v>4</v>
      </c>
      <c r="T1020" t="n">
        <v>4</v>
      </c>
      <c r="U1020" t="inlineStr">
        <is>
          <t>1998-04-21</t>
        </is>
      </c>
      <c r="V1020" t="inlineStr">
        <is>
          <t>1998-04-21</t>
        </is>
      </c>
      <c r="W1020" t="inlineStr">
        <is>
          <t>1997-03-06</t>
        </is>
      </c>
      <c r="X1020" t="inlineStr">
        <is>
          <t>1997-03-06</t>
        </is>
      </c>
      <c r="Y1020" t="n">
        <v>777</v>
      </c>
      <c r="Z1020" t="n">
        <v>671</v>
      </c>
      <c r="AA1020" t="n">
        <v>849</v>
      </c>
      <c r="AB1020" t="n">
        <v>3</v>
      </c>
      <c r="AC1020" t="n">
        <v>4</v>
      </c>
      <c r="AD1020" t="n">
        <v>32</v>
      </c>
      <c r="AE1020" t="n">
        <v>36</v>
      </c>
      <c r="AF1020" t="n">
        <v>15</v>
      </c>
      <c r="AG1020" t="n">
        <v>17</v>
      </c>
      <c r="AH1020" t="n">
        <v>7</v>
      </c>
      <c r="AI1020" t="n">
        <v>8</v>
      </c>
      <c r="AJ1020" t="n">
        <v>16</v>
      </c>
      <c r="AK1020" t="n">
        <v>17</v>
      </c>
      <c r="AL1020" t="n">
        <v>2</v>
      </c>
      <c r="AM1020" t="n">
        <v>3</v>
      </c>
      <c r="AN1020" t="n">
        <v>0</v>
      </c>
      <c r="AO1020" t="n">
        <v>0</v>
      </c>
      <c r="AP1020" t="inlineStr">
        <is>
          <t>No</t>
        </is>
      </c>
      <c r="AQ1020" t="inlineStr">
        <is>
          <t>No</t>
        </is>
      </c>
      <c r="AR1020">
        <f>HYPERLINK("http://catalog.hathitrust.org/Record/001249935","HathiTrust Record")</f>
        <v/>
      </c>
      <c r="AS1020">
        <f>HYPERLINK("https://creighton-primo.hosted.exlibrisgroup.com/primo-explore/search?tab=default_tab&amp;search_scope=EVERYTHING&amp;vid=01CRU&amp;lang=en_US&amp;offset=0&amp;query=any,contains,991002716269702656","Catalog Record")</f>
        <v/>
      </c>
      <c r="AT1020">
        <f>HYPERLINK("http://www.worldcat.org/oclc/411364","WorldCat Record")</f>
        <v/>
      </c>
      <c r="AU1020" t="inlineStr">
        <is>
          <t>2542043222:eng</t>
        </is>
      </c>
      <c r="AV1020" t="inlineStr">
        <is>
          <t>411364</t>
        </is>
      </c>
      <c r="AW1020" t="inlineStr">
        <is>
          <t>991002716269702656</t>
        </is>
      </c>
      <c r="AX1020" t="inlineStr">
        <is>
          <t>991002716269702656</t>
        </is>
      </c>
      <c r="AY1020" t="inlineStr">
        <is>
          <t>2265053070002656</t>
        </is>
      </c>
      <c r="AZ1020" t="inlineStr">
        <is>
          <t>BOOK</t>
        </is>
      </c>
      <c r="BC1020" t="inlineStr">
        <is>
          <t>32285002456365</t>
        </is>
      </c>
      <c r="BD1020" t="inlineStr">
        <is>
          <t>893880305</t>
        </is>
      </c>
    </row>
    <row r="1021">
      <c r="A1021" t="inlineStr">
        <is>
          <t>No</t>
        </is>
      </c>
      <c r="B1021" t="inlineStr">
        <is>
          <t>DS421 .J6 1996</t>
        </is>
      </c>
      <c r="C1021" t="inlineStr">
        <is>
          <t>0                      DS 0421000J  6           1996</t>
        </is>
      </c>
      <c r="D1021" t="inlineStr">
        <is>
          <t>Cultural atlas of India : India, Pakistan, Nepal, Bhutan, Bangladesh &amp; Sri Lanka / Gordon Johnson.</t>
        </is>
      </c>
      <c r="F1021" t="inlineStr">
        <is>
          <t>No</t>
        </is>
      </c>
      <c r="G1021" t="inlineStr">
        <is>
          <t>1</t>
        </is>
      </c>
      <c r="H1021" t="inlineStr">
        <is>
          <t>No</t>
        </is>
      </c>
      <c r="I1021" t="inlineStr">
        <is>
          <t>No</t>
        </is>
      </c>
      <c r="J1021" t="inlineStr">
        <is>
          <t>0</t>
        </is>
      </c>
      <c r="K1021" t="inlineStr">
        <is>
          <t>Johnson, Gordon, 1943-</t>
        </is>
      </c>
      <c r="L1021" t="inlineStr">
        <is>
          <t>New York, NY : Facts on File, 1996.</t>
        </is>
      </c>
      <c r="M1021" t="inlineStr">
        <is>
          <t>1996</t>
        </is>
      </c>
      <c r="O1021" t="inlineStr">
        <is>
          <t>eng</t>
        </is>
      </c>
      <c r="P1021" t="inlineStr">
        <is>
          <t>nyu</t>
        </is>
      </c>
      <c r="R1021" t="inlineStr">
        <is>
          <t xml:space="preserve">DS </t>
        </is>
      </c>
      <c r="S1021" t="n">
        <v>4</v>
      </c>
      <c r="T1021" t="n">
        <v>4</v>
      </c>
      <c r="U1021" t="inlineStr">
        <is>
          <t>2009-02-15</t>
        </is>
      </c>
      <c r="V1021" t="inlineStr">
        <is>
          <t>2009-02-15</t>
        </is>
      </c>
      <c r="W1021" t="inlineStr">
        <is>
          <t>2008-06-12</t>
        </is>
      </c>
      <c r="X1021" t="inlineStr">
        <is>
          <t>2008-06-12</t>
        </is>
      </c>
      <c r="Y1021" t="n">
        <v>807</v>
      </c>
      <c r="Z1021" t="n">
        <v>722</v>
      </c>
      <c r="AA1021" t="n">
        <v>724</v>
      </c>
      <c r="AB1021" t="n">
        <v>3</v>
      </c>
      <c r="AC1021" t="n">
        <v>3</v>
      </c>
      <c r="AD1021" t="n">
        <v>16</v>
      </c>
      <c r="AE1021" t="n">
        <v>16</v>
      </c>
      <c r="AF1021" t="n">
        <v>7</v>
      </c>
      <c r="AG1021" t="n">
        <v>7</v>
      </c>
      <c r="AH1021" t="n">
        <v>3</v>
      </c>
      <c r="AI1021" t="n">
        <v>3</v>
      </c>
      <c r="AJ1021" t="n">
        <v>8</v>
      </c>
      <c r="AK1021" t="n">
        <v>8</v>
      </c>
      <c r="AL1021" t="n">
        <v>2</v>
      </c>
      <c r="AM1021" t="n">
        <v>2</v>
      </c>
      <c r="AN1021" t="n">
        <v>0</v>
      </c>
      <c r="AO1021" t="n">
        <v>0</v>
      </c>
      <c r="AP1021" t="inlineStr">
        <is>
          <t>No</t>
        </is>
      </c>
      <c r="AQ1021" t="inlineStr">
        <is>
          <t>No</t>
        </is>
      </c>
      <c r="AS1021">
        <f>HYPERLINK("https://creighton-primo.hosted.exlibrisgroup.com/primo-explore/search?tab=default_tab&amp;search_scope=EVERYTHING&amp;vid=01CRU&amp;lang=en_US&amp;offset=0&amp;query=any,contains,991005234759702656","Catalog Record")</f>
        <v/>
      </c>
      <c r="AT1021">
        <f>HYPERLINK("http://www.worldcat.org/oclc/31078912","WorldCat Record")</f>
        <v/>
      </c>
      <c r="AU1021" t="inlineStr">
        <is>
          <t>10678586077:eng</t>
        </is>
      </c>
      <c r="AV1021" t="inlineStr">
        <is>
          <t>31078912</t>
        </is>
      </c>
      <c r="AW1021" t="inlineStr">
        <is>
          <t>991005234759702656</t>
        </is>
      </c>
      <c r="AX1021" t="inlineStr">
        <is>
          <t>991005234759702656</t>
        </is>
      </c>
      <c r="AY1021" t="inlineStr">
        <is>
          <t>2270931440002656</t>
        </is>
      </c>
      <c r="AZ1021" t="inlineStr">
        <is>
          <t>BOOK</t>
        </is>
      </c>
      <c r="BB1021" t="inlineStr">
        <is>
          <t>9780816030132</t>
        </is>
      </c>
      <c r="BC1021" t="inlineStr">
        <is>
          <t>32285005445159</t>
        </is>
      </c>
      <c r="BD1021" t="inlineStr">
        <is>
          <t>893431098</t>
        </is>
      </c>
    </row>
    <row r="1022">
      <c r="A1022" t="inlineStr">
        <is>
          <t>No</t>
        </is>
      </c>
      <c r="B1022" t="inlineStr">
        <is>
          <t>DS421 .M4 1969</t>
        </is>
      </c>
      <c r="C1022" t="inlineStr">
        <is>
          <t>0                      DS 0421000M  4           1969</t>
        </is>
      </c>
      <c r="D1022" t="inlineStr">
        <is>
          <t>Mother India.</t>
        </is>
      </c>
      <c r="F1022" t="inlineStr">
        <is>
          <t>No</t>
        </is>
      </c>
      <c r="G1022" t="inlineStr">
        <is>
          <t>1</t>
        </is>
      </c>
      <c r="H1022" t="inlineStr">
        <is>
          <t>No</t>
        </is>
      </c>
      <c r="I1022" t="inlineStr">
        <is>
          <t>No</t>
        </is>
      </c>
      <c r="J1022" t="inlineStr">
        <is>
          <t>0</t>
        </is>
      </c>
      <c r="K1022" t="inlineStr">
        <is>
          <t>Mayo, Katherine, 1868?-1940.</t>
        </is>
      </c>
      <c r="L1022" t="inlineStr">
        <is>
          <t>New York : Greenwood Press, [1969, c1927]</t>
        </is>
      </c>
      <c r="M1022" t="inlineStr">
        <is>
          <t>1969</t>
        </is>
      </c>
      <c r="O1022" t="inlineStr">
        <is>
          <t>eng</t>
        </is>
      </c>
      <c r="P1022" t="inlineStr">
        <is>
          <t>nyu</t>
        </is>
      </c>
      <c r="R1022" t="inlineStr">
        <is>
          <t xml:space="preserve">DS </t>
        </is>
      </c>
      <c r="S1022" t="n">
        <v>5</v>
      </c>
      <c r="T1022" t="n">
        <v>5</v>
      </c>
      <c r="U1022" t="inlineStr">
        <is>
          <t>2002-11-08</t>
        </is>
      </c>
      <c r="V1022" t="inlineStr">
        <is>
          <t>2002-11-08</t>
        </is>
      </c>
      <c r="W1022" t="inlineStr">
        <is>
          <t>1993-05-18</t>
        </is>
      </c>
      <c r="X1022" t="inlineStr">
        <is>
          <t>1993-05-18</t>
        </is>
      </c>
      <c r="Y1022" t="n">
        <v>118</v>
      </c>
      <c r="Z1022" t="n">
        <v>104</v>
      </c>
      <c r="AA1022" t="n">
        <v>1046</v>
      </c>
      <c r="AB1022" t="n">
        <v>1</v>
      </c>
      <c r="AC1022" t="n">
        <v>10</v>
      </c>
      <c r="AD1022" t="n">
        <v>0</v>
      </c>
      <c r="AE1022" t="n">
        <v>39</v>
      </c>
      <c r="AF1022" t="n">
        <v>0</v>
      </c>
      <c r="AG1022" t="n">
        <v>16</v>
      </c>
      <c r="AH1022" t="n">
        <v>0</v>
      </c>
      <c r="AI1022" t="n">
        <v>8</v>
      </c>
      <c r="AJ1022" t="n">
        <v>0</v>
      </c>
      <c r="AK1022" t="n">
        <v>19</v>
      </c>
      <c r="AL1022" t="n">
        <v>0</v>
      </c>
      <c r="AM1022" t="n">
        <v>6</v>
      </c>
      <c r="AN1022" t="n">
        <v>0</v>
      </c>
      <c r="AO1022" t="n">
        <v>0</v>
      </c>
      <c r="AP1022" t="inlineStr">
        <is>
          <t>No</t>
        </is>
      </c>
      <c r="AQ1022" t="inlineStr">
        <is>
          <t>No</t>
        </is>
      </c>
      <c r="AS1022">
        <f>HYPERLINK("https://creighton-primo.hosted.exlibrisgroup.com/primo-explore/search?tab=default_tab&amp;search_scope=EVERYTHING&amp;vid=01CRU&amp;lang=en_US&amp;offset=0&amp;query=any,contains,991000216359702656","Catalog Record")</f>
        <v/>
      </c>
      <c r="AT1022">
        <f>HYPERLINK("http://www.worldcat.org/oclc/66931","WorldCat Record")</f>
        <v/>
      </c>
      <c r="AU1022" t="inlineStr">
        <is>
          <t>1233042:eng</t>
        </is>
      </c>
      <c r="AV1022" t="inlineStr">
        <is>
          <t>66931</t>
        </is>
      </c>
      <c r="AW1022" t="inlineStr">
        <is>
          <t>991000216359702656</t>
        </is>
      </c>
      <c r="AX1022" t="inlineStr">
        <is>
          <t>991000216359702656</t>
        </is>
      </c>
      <c r="AY1022" t="inlineStr">
        <is>
          <t>2258660620002656</t>
        </is>
      </c>
      <c r="AZ1022" t="inlineStr">
        <is>
          <t>BOOK</t>
        </is>
      </c>
      <c r="BB1022" t="inlineStr">
        <is>
          <t>9780837123097</t>
        </is>
      </c>
      <c r="BC1022" t="inlineStr">
        <is>
          <t>32285001658573</t>
        </is>
      </c>
      <c r="BD1022" t="inlineStr">
        <is>
          <t>893419302</t>
        </is>
      </c>
    </row>
    <row r="1023">
      <c r="A1023" t="inlineStr">
        <is>
          <t>No</t>
        </is>
      </c>
      <c r="B1023" t="inlineStr">
        <is>
          <t>DS421 .S47 1971</t>
        </is>
      </c>
      <c r="C1023" t="inlineStr">
        <is>
          <t>0                      DS 0421000S  47          1971</t>
        </is>
      </c>
      <c r="D1023" t="inlineStr">
        <is>
          <t>Voiceless India / [by] Gertrude Emerson (Gertrude Sen)</t>
        </is>
      </c>
      <c r="F1023" t="inlineStr">
        <is>
          <t>No</t>
        </is>
      </c>
      <c r="G1023" t="inlineStr">
        <is>
          <t>1</t>
        </is>
      </c>
      <c r="H1023" t="inlineStr">
        <is>
          <t>No</t>
        </is>
      </c>
      <c r="I1023" t="inlineStr">
        <is>
          <t>No</t>
        </is>
      </c>
      <c r="J1023" t="inlineStr">
        <is>
          <t>0</t>
        </is>
      </c>
      <c r="K1023" t="inlineStr">
        <is>
          <t>Sen, Gertrude Emerson, -1982.</t>
        </is>
      </c>
      <c r="L1023" t="inlineStr">
        <is>
          <t>Westport, Conn. : Greenwood Press, [1971]</t>
        </is>
      </c>
      <c r="M1023" t="inlineStr">
        <is>
          <t>1971</t>
        </is>
      </c>
      <c r="O1023" t="inlineStr">
        <is>
          <t>eng</t>
        </is>
      </c>
      <c r="P1023" t="inlineStr">
        <is>
          <t>ctu</t>
        </is>
      </c>
      <c r="R1023" t="inlineStr">
        <is>
          <t xml:space="preserve">DS </t>
        </is>
      </c>
      <c r="S1023" t="n">
        <v>4</v>
      </c>
      <c r="T1023" t="n">
        <v>4</v>
      </c>
      <c r="U1023" t="inlineStr">
        <is>
          <t>1993-09-28</t>
        </is>
      </c>
      <c r="V1023" t="inlineStr">
        <is>
          <t>1993-09-28</t>
        </is>
      </c>
      <c r="W1023" t="inlineStr">
        <is>
          <t>1993-04-26</t>
        </is>
      </c>
      <c r="X1023" t="inlineStr">
        <is>
          <t>1993-04-26</t>
        </is>
      </c>
      <c r="Y1023" t="n">
        <v>123</v>
      </c>
      <c r="Z1023" t="n">
        <v>110</v>
      </c>
      <c r="AA1023" t="n">
        <v>452</v>
      </c>
      <c r="AB1023" t="n">
        <v>1</v>
      </c>
      <c r="AC1023" t="n">
        <v>4</v>
      </c>
      <c r="AD1023" t="n">
        <v>6</v>
      </c>
      <c r="AE1023" t="n">
        <v>20</v>
      </c>
      <c r="AF1023" t="n">
        <v>2</v>
      </c>
      <c r="AG1023" t="n">
        <v>7</v>
      </c>
      <c r="AH1023" t="n">
        <v>1</v>
      </c>
      <c r="AI1023" t="n">
        <v>5</v>
      </c>
      <c r="AJ1023" t="n">
        <v>5</v>
      </c>
      <c r="AK1023" t="n">
        <v>9</v>
      </c>
      <c r="AL1023" t="n">
        <v>0</v>
      </c>
      <c r="AM1023" t="n">
        <v>3</v>
      </c>
      <c r="AN1023" t="n">
        <v>0</v>
      </c>
      <c r="AO1023" t="n">
        <v>0</v>
      </c>
      <c r="AP1023" t="inlineStr">
        <is>
          <t>No</t>
        </is>
      </c>
      <c r="AQ1023" t="inlineStr">
        <is>
          <t>Yes</t>
        </is>
      </c>
      <c r="AR1023">
        <f>HYPERLINK("http://catalog.hathitrust.org/Record/004410293","HathiTrust Record")</f>
        <v/>
      </c>
      <c r="AS1023">
        <f>HYPERLINK("https://creighton-primo.hosted.exlibrisgroup.com/primo-explore/search?tab=default_tab&amp;search_scope=EVERYTHING&amp;vid=01CRU&amp;lang=en_US&amp;offset=0&amp;query=any,contains,991000910439702656","Catalog Record")</f>
        <v/>
      </c>
      <c r="AT1023">
        <f>HYPERLINK("http://www.worldcat.org/oclc/159551","WorldCat Record")</f>
        <v/>
      </c>
      <c r="AU1023" t="inlineStr">
        <is>
          <t>1261447:eng</t>
        </is>
      </c>
      <c r="AV1023" t="inlineStr">
        <is>
          <t>159551</t>
        </is>
      </c>
      <c r="AW1023" t="inlineStr">
        <is>
          <t>991000910439702656</t>
        </is>
      </c>
      <c r="AX1023" t="inlineStr">
        <is>
          <t>991000910439702656</t>
        </is>
      </c>
      <c r="AY1023" t="inlineStr">
        <is>
          <t>2259023400002656</t>
        </is>
      </c>
      <c r="AZ1023" t="inlineStr">
        <is>
          <t>BOOK</t>
        </is>
      </c>
      <c r="BB1023" t="inlineStr">
        <is>
          <t>9780837144818</t>
        </is>
      </c>
      <c r="BC1023" t="inlineStr">
        <is>
          <t>32285001624302</t>
        </is>
      </c>
      <c r="BD1023" t="inlineStr">
        <is>
          <t>893589856</t>
        </is>
      </c>
    </row>
    <row r="1024">
      <c r="A1024" t="inlineStr">
        <is>
          <t>No</t>
        </is>
      </c>
      <c r="B1024" t="inlineStr">
        <is>
          <t>DS421 .W73 1971</t>
        </is>
      </c>
      <c r="C1024" t="inlineStr">
        <is>
          <t>0                      DS 0421000W  73          1971</t>
        </is>
      </c>
      <c r="D1024" t="inlineStr">
        <is>
          <t>Behind mud walls, 1930-1960 / by William H. Wiser and Charlotte Viall Wiser. With a foreword by David G. Mandelbaum.</t>
        </is>
      </c>
      <c r="F1024" t="inlineStr">
        <is>
          <t>No</t>
        </is>
      </c>
      <c r="G1024" t="inlineStr">
        <is>
          <t>1</t>
        </is>
      </c>
      <c r="H1024" t="inlineStr">
        <is>
          <t>No</t>
        </is>
      </c>
      <c r="I1024" t="inlineStr">
        <is>
          <t>No</t>
        </is>
      </c>
      <c r="J1024" t="inlineStr">
        <is>
          <t>0</t>
        </is>
      </c>
      <c r="K1024" t="inlineStr">
        <is>
          <t>Wiser, Charlotte Viall.</t>
        </is>
      </c>
      <c r="L1024" t="inlineStr">
        <is>
          <t>Berkeley : University of California Press, 1971.</t>
        </is>
      </c>
      <c r="M1024" t="inlineStr">
        <is>
          <t>1971</t>
        </is>
      </c>
      <c r="O1024" t="inlineStr">
        <is>
          <t>eng</t>
        </is>
      </c>
      <c r="P1024" t="inlineStr">
        <is>
          <t>cau</t>
        </is>
      </c>
      <c r="R1024" t="inlineStr">
        <is>
          <t xml:space="preserve">DS </t>
        </is>
      </c>
      <c r="S1024" t="n">
        <v>10</v>
      </c>
      <c r="T1024" t="n">
        <v>10</v>
      </c>
      <c r="U1024" t="inlineStr">
        <is>
          <t>2003-11-02</t>
        </is>
      </c>
      <c r="V1024" t="inlineStr">
        <is>
          <t>2003-11-02</t>
        </is>
      </c>
      <c r="W1024" t="inlineStr">
        <is>
          <t>1990-10-08</t>
        </is>
      </c>
      <c r="X1024" t="inlineStr">
        <is>
          <t>1990-10-08</t>
        </is>
      </c>
      <c r="Y1024" t="n">
        <v>399</v>
      </c>
      <c r="Z1024" t="n">
        <v>358</v>
      </c>
      <c r="AA1024" t="n">
        <v>995</v>
      </c>
      <c r="AB1024" t="n">
        <v>4</v>
      </c>
      <c r="AC1024" t="n">
        <v>9</v>
      </c>
      <c r="AD1024" t="n">
        <v>18</v>
      </c>
      <c r="AE1024" t="n">
        <v>42</v>
      </c>
      <c r="AF1024" t="n">
        <v>8</v>
      </c>
      <c r="AG1024" t="n">
        <v>17</v>
      </c>
      <c r="AH1024" t="n">
        <v>3</v>
      </c>
      <c r="AI1024" t="n">
        <v>8</v>
      </c>
      <c r="AJ1024" t="n">
        <v>8</v>
      </c>
      <c r="AK1024" t="n">
        <v>19</v>
      </c>
      <c r="AL1024" t="n">
        <v>3</v>
      </c>
      <c r="AM1024" t="n">
        <v>8</v>
      </c>
      <c r="AN1024" t="n">
        <v>0</v>
      </c>
      <c r="AO1024" t="n">
        <v>0</v>
      </c>
      <c r="AP1024" t="inlineStr">
        <is>
          <t>No</t>
        </is>
      </c>
      <c r="AQ1024" t="inlineStr">
        <is>
          <t>Yes</t>
        </is>
      </c>
      <c r="AR1024">
        <f>HYPERLINK("http://catalog.hathitrust.org/Record/009510717","HathiTrust Record")</f>
        <v/>
      </c>
      <c r="AS1024">
        <f>HYPERLINK("https://creighton-primo.hosted.exlibrisgroup.com/primo-explore/search?tab=default_tab&amp;search_scope=EVERYTHING&amp;vid=01CRU&amp;lang=en_US&amp;offset=0&amp;query=any,contains,991002865759702656","Catalog Record")</f>
        <v/>
      </c>
      <c r="AT1024">
        <f>HYPERLINK("http://www.worldcat.org/oclc/495552","WorldCat Record")</f>
        <v/>
      </c>
      <c r="AU1024" t="inlineStr">
        <is>
          <t>1461036:eng</t>
        </is>
      </c>
      <c r="AV1024" t="inlineStr">
        <is>
          <t>495552</t>
        </is>
      </c>
      <c r="AW1024" t="inlineStr">
        <is>
          <t>991002865759702656</t>
        </is>
      </c>
      <c r="AX1024" t="inlineStr">
        <is>
          <t>991002865759702656</t>
        </is>
      </c>
      <c r="AY1024" t="inlineStr">
        <is>
          <t>2256710120002656</t>
        </is>
      </c>
      <c r="AZ1024" t="inlineStr">
        <is>
          <t>BOOK</t>
        </is>
      </c>
      <c r="BB1024" t="inlineStr">
        <is>
          <t>9780520020931</t>
        </is>
      </c>
      <c r="BC1024" t="inlineStr">
        <is>
          <t>32285000336288</t>
        </is>
      </c>
      <c r="BD1024" t="inlineStr">
        <is>
          <t>893530572</t>
        </is>
      </c>
    </row>
    <row r="1025">
      <c r="A1025" t="inlineStr">
        <is>
          <t>No</t>
        </is>
      </c>
      <c r="B1025" t="inlineStr">
        <is>
          <t>DS422.C3 A83</t>
        </is>
      </c>
      <c r="C1025" t="inlineStr">
        <is>
          <t>0                      DS 0422000C  3                  A  83</t>
        </is>
      </c>
      <c r="D1025" t="inlineStr">
        <is>
          <t>The changing frontiers of caste / foreword by S. C. Dube.</t>
        </is>
      </c>
      <c r="F1025" t="inlineStr">
        <is>
          <t>No</t>
        </is>
      </c>
      <c r="G1025" t="inlineStr">
        <is>
          <t>1</t>
        </is>
      </c>
      <c r="H1025" t="inlineStr">
        <is>
          <t>No</t>
        </is>
      </c>
      <c r="I1025" t="inlineStr">
        <is>
          <t>No</t>
        </is>
      </c>
      <c r="J1025" t="inlineStr">
        <is>
          <t>0</t>
        </is>
      </c>
      <c r="K1025" t="inlineStr">
        <is>
          <t>Atal, Yogesh.</t>
        </is>
      </c>
      <c r="L1025" t="inlineStr">
        <is>
          <t>Delhi : National [Pub. House, 1968]</t>
        </is>
      </c>
      <c r="M1025" t="inlineStr">
        <is>
          <t>1968</t>
        </is>
      </c>
      <c r="O1025" t="inlineStr">
        <is>
          <t>eng</t>
        </is>
      </c>
      <c r="P1025" t="inlineStr">
        <is>
          <t xml:space="preserve">ii </t>
        </is>
      </c>
      <c r="R1025" t="inlineStr">
        <is>
          <t xml:space="preserve">DS </t>
        </is>
      </c>
      <c r="S1025" t="n">
        <v>13</v>
      </c>
      <c r="T1025" t="n">
        <v>13</v>
      </c>
      <c r="U1025" t="inlineStr">
        <is>
          <t>2000-10-12</t>
        </is>
      </c>
      <c r="V1025" t="inlineStr">
        <is>
          <t>2000-10-12</t>
        </is>
      </c>
      <c r="W1025" t="inlineStr">
        <is>
          <t>1991-12-23</t>
        </is>
      </c>
      <c r="X1025" t="inlineStr">
        <is>
          <t>1991-12-23</t>
        </is>
      </c>
      <c r="Y1025" t="n">
        <v>168</v>
      </c>
      <c r="Z1025" t="n">
        <v>123</v>
      </c>
      <c r="AA1025" t="n">
        <v>133</v>
      </c>
      <c r="AB1025" t="n">
        <v>2</v>
      </c>
      <c r="AC1025" t="n">
        <v>2</v>
      </c>
      <c r="AD1025" t="n">
        <v>4</v>
      </c>
      <c r="AE1025" t="n">
        <v>5</v>
      </c>
      <c r="AF1025" t="n">
        <v>0</v>
      </c>
      <c r="AG1025" t="n">
        <v>0</v>
      </c>
      <c r="AH1025" t="n">
        <v>2</v>
      </c>
      <c r="AI1025" t="n">
        <v>2</v>
      </c>
      <c r="AJ1025" t="n">
        <v>1</v>
      </c>
      <c r="AK1025" t="n">
        <v>2</v>
      </c>
      <c r="AL1025" t="n">
        <v>1</v>
      </c>
      <c r="AM1025" t="n">
        <v>1</v>
      </c>
      <c r="AN1025" t="n">
        <v>0</v>
      </c>
      <c r="AO1025" t="n">
        <v>0</v>
      </c>
      <c r="AP1025" t="inlineStr">
        <is>
          <t>No</t>
        </is>
      </c>
      <c r="AQ1025" t="inlineStr">
        <is>
          <t>Yes</t>
        </is>
      </c>
      <c r="AR1025">
        <f>HYPERLINK("http://catalog.hathitrust.org/Record/001867326","HathiTrust Record")</f>
        <v/>
      </c>
      <c r="AS1025">
        <f>HYPERLINK("https://creighton-primo.hosted.exlibrisgroup.com/primo-explore/search?tab=default_tab&amp;search_scope=EVERYTHING&amp;vid=01CRU&amp;lang=en_US&amp;offset=0&amp;query=any,contains,991000512939702656","Catalog Record")</f>
        <v/>
      </c>
      <c r="AT1025">
        <f>HYPERLINK("http://www.worldcat.org/oclc/84336","WorldCat Record")</f>
        <v/>
      </c>
      <c r="AU1025" t="inlineStr">
        <is>
          <t>1274936:eng</t>
        </is>
      </c>
      <c r="AV1025" t="inlineStr">
        <is>
          <t>84336</t>
        </is>
      </c>
      <c r="AW1025" t="inlineStr">
        <is>
          <t>991000512939702656</t>
        </is>
      </c>
      <c r="AX1025" t="inlineStr">
        <is>
          <t>991000512939702656</t>
        </is>
      </c>
      <c r="AY1025" t="inlineStr">
        <is>
          <t>2271154310002656</t>
        </is>
      </c>
      <c r="AZ1025" t="inlineStr">
        <is>
          <t>BOOK</t>
        </is>
      </c>
      <c r="BC1025" t="inlineStr">
        <is>
          <t>32285000879287</t>
        </is>
      </c>
      <c r="BD1025" t="inlineStr">
        <is>
          <t>893884457</t>
        </is>
      </c>
    </row>
    <row r="1026">
      <c r="A1026" t="inlineStr">
        <is>
          <t>No</t>
        </is>
      </c>
      <c r="B1026" t="inlineStr">
        <is>
          <t>DS422.C3 B4</t>
        </is>
      </c>
      <c r="C1026" t="inlineStr">
        <is>
          <t>0                      DS 0422000C  3                  B  4</t>
        </is>
      </c>
      <c r="D1026" t="inlineStr">
        <is>
          <t>Caste, class, and power : changing patterns of stratification in a Tanjore village.</t>
        </is>
      </c>
      <c r="F1026" t="inlineStr">
        <is>
          <t>No</t>
        </is>
      </c>
      <c r="G1026" t="inlineStr">
        <is>
          <t>1</t>
        </is>
      </c>
      <c r="H1026" t="inlineStr">
        <is>
          <t>No</t>
        </is>
      </c>
      <c r="I1026" t="inlineStr">
        <is>
          <t>No</t>
        </is>
      </c>
      <c r="J1026" t="inlineStr">
        <is>
          <t>0</t>
        </is>
      </c>
      <c r="K1026" t="inlineStr">
        <is>
          <t>Béteille, André.</t>
        </is>
      </c>
      <c r="L1026" t="inlineStr">
        <is>
          <t>Berkeley : University of California Press, 1965.</t>
        </is>
      </c>
      <c r="M1026" t="inlineStr">
        <is>
          <t>1965</t>
        </is>
      </c>
      <c r="O1026" t="inlineStr">
        <is>
          <t>eng</t>
        </is>
      </c>
      <c r="P1026" t="inlineStr">
        <is>
          <t>cau</t>
        </is>
      </c>
      <c r="R1026" t="inlineStr">
        <is>
          <t xml:space="preserve">DS </t>
        </is>
      </c>
      <c r="S1026" t="n">
        <v>46</v>
      </c>
      <c r="T1026" t="n">
        <v>46</v>
      </c>
      <c r="U1026" t="inlineStr">
        <is>
          <t>2002-09-08</t>
        </is>
      </c>
      <c r="V1026" t="inlineStr">
        <is>
          <t>2002-09-08</t>
        </is>
      </c>
      <c r="W1026" t="inlineStr">
        <is>
          <t>1990-11-30</t>
        </is>
      </c>
      <c r="X1026" t="inlineStr">
        <is>
          <t>1990-11-30</t>
        </is>
      </c>
      <c r="Y1026" t="n">
        <v>772</v>
      </c>
      <c r="Z1026" t="n">
        <v>624</v>
      </c>
      <c r="AA1026" t="n">
        <v>821</v>
      </c>
      <c r="AB1026" t="n">
        <v>5</v>
      </c>
      <c r="AC1026" t="n">
        <v>5</v>
      </c>
      <c r="AD1026" t="n">
        <v>30</v>
      </c>
      <c r="AE1026" t="n">
        <v>37</v>
      </c>
      <c r="AF1026" t="n">
        <v>12</v>
      </c>
      <c r="AG1026" t="n">
        <v>16</v>
      </c>
      <c r="AH1026" t="n">
        <v>6</v>
      </c>
      <c r="AI1026" t="n">
        <v>7</v>
      </c>
      <c r="AJ1026" t="n">
        <v>13</v>
      </c>
      <c r="AK1026" t="n">
        <v>18</v>
      </c>
      <c r="AL1026" t="n">
        <v>4</v>
      </c>
      <c r="AM1026" t="n">
        <v>4</v>
      </c>
      <c r="AN1026" t="n">
        <v>0</v>
      </c>
      <c r="AO1026" t="n">
        <v>0</v>
      </c>
      <c r="AP1026" t="inlineStr">
        <is>
          <t>No</t>
        </is>
      </c>
      <c r="AQ1026" t="inlineStr">
        <is>
          <t>Yes</t>
        </is>
      </c>
      <c r="AR1026">
        <f>HYPERLINK("http://catalog.hathitrust.org/Record/001250024","HathiTrust Record")</f>
        <v/>
      </c>
      <c r="AS1026">
        <f>HYPERLINK("https://creighton-primo.hosted.exlibrisgroup.com/primo-explore/search?tab=default_tab&amp;search_scope=EVERYTHING&amp;vid=01CRU&amp;lang=en_US&amp;offset=0&amp;query=any,contains,991002715429702656","Catalog Record")</f>
        <v/>
      </c>
      <c r="AT1026">
        <f>HYPERLINK("http://www.worldcat.org/oclc/411150","WorldCat Record")</f>
        <v/>
      </c>
      <c r="AU1026" t="inlineStr">
        <is>
          <t>1090458675:eng</t>
        </is>
      </c>
      <c r="AV1026" t="inlineStr">
        <is>
          <t>411150</t>
        </is>
      </c>
      <c r="AW1026" t="inlineStr">
        <is>
          <t>991002715429702656</t>
        </is>
      </c>
      <c r="AX1026" t="inlineStr">
        <is>
          <t>991002715429702656</t>
        </is>
      </c>
      <c r="AY1026" t="inlineStr">
        <is>
          <t>2265123270002656</t>
        </is>
      </c>
      <c r="AZ1026" t="inlineStr">
        <is>
          <t>BOOK</t>
        </is>
      </c>
      <c r="BC1026" t="inlineStr">
        <is>
          <t>32285000410109</t>
        </is>
      </c>
      <c r="BD1026" t="inlineStr">
        <is>
          <t>893886614</t>
        </is>
      </c>
    </row>
    <row r="1027">
      <c r="A1027" t="inlineStr">
        <is>
          <t>No</t>
        </is>
      </c>
      <c r="B1027" t="inlineStr">
        <is>
          <t>DS422.C3 B6513 1971</t>
        </is>
      </c>
      <c r="C1027" t="inlineStr">
        <is>
          <t>0                      DS 0422000C  3                  B  6513        1971</t>
        </is>
      </c>
      <c r="D1027" t="inlineStr">
        <is>
          <t>Essays on the caste system / translated with an introd. by D. F. Pocock.</t>
        </is>
      </c>
      <c r="F1027" t="inlineStr">
        <is>
          <t>No</t>
        </is>
      </c>
      <c r="G1027" t="inlineStr">
        <is>
          <t>1</t>
        </is>
      </c>
      <c r="H1027" t="inlineStr">
        <is>
          <t>No</t>
        </is>
      </c>
      <c r="I1027" t="inlineStr">
        <is>
          <t>No</t>
        </is>
      </c>
      <c r="J1027" t="inlineStr">
        <is>
          <t>0</t>
        </is>
      </c>
      <c r="K1027" t="inlineStr">
        <is>
          <t>Bouglé, Célestin Charles Alfred, 1870-1940.</t>
        </is>
      </c>
      <c r="L1027" t="inlineStr">
        <is>
          <t>Cambridge, [Eng.] : University Press, 1971.</t>
        </is>
      </c>
      <c r="M1027" t="inlineStr">
        <is>
          <t>1971</t>
        </is>
      </c>
      <c r="O1027" t="inlineStr">
        <is>
          <t>eng</t>
        </is>
      </c>
      <c r="P1027" t="inlineStr">
        <is>
          <t>enk</t>
        </is>
      </c>
      <c r="Q1027" t="inlineStr">
        <is>
          <t>European understanding of India</t>
        </is>
      </c>
      <c r="R1027" t="inlineStr">
        <is>
          <t xml:space="preserve">DS </t>
        </is>
      </c>
      <c r="S1027" t="n">
        <v>43</v>
      </c>
      <c r="T1027" t="n">
        <v>43</v>
      </c>
      <c r="U1027" t="inlineStr">
        <is>
          <t>2005-10-18</t>
        </is>
      </c>
      <c r="V1027" t="inlineStr">
        <is>
          <t>2005-10-18</t>
        </is>
      </c>
      <c r="W1027" t="inlineStr">
        <is>
          <t>1991-12-23</t>
        </is>
      </c>
      <c r="X1027" t="inlineStr">
        <is>
          <t>1991-12-23</t>
        </is>
      </c>
      <c r="Y1027" t="n">
        <v>595</v>
      </c>
      <c r="Z1027" t="n">
        <v>472</v>
      </c>
      <c r="AA1027" t="n">
        <v>503</v>
      </c>
      <c r="AB1027" t="n">
        <v>7</v>
      </c>
      <c r="AC1027" t="n">
        <v>7</v>
      </c>
      <c r="AD1027" t="n">
        <v>26</v>
      </c>
      <c r="AE1027" t="n">
        <v>26</v>
      </c>
      <c r="AF1027" t="n">
        <v>10</v>
      </c>
      <c r="AG1027" t="n">
        <v>10</v>
      </c>
      <c r="AH1027" t="n">
        <v>5</v>
      </c>
      <c r="AI1027" t="n">
        <v>5</v>
      </c>
      <c r="AJ1027" t="n">
        <v>10</v>
      </c>
      <c r="AK1027" t="n">
        <v>10</v>
      </c>
      <c r="AL1027" t="n">
        <v>6</v>
      </c>
      <c r="AM1027" t="n">
        <v>6</v>
      </c>
      <c r="AN1027" t="n">
        <v>0</v>
      </c>
      <c r="AO1027" t="n">
        <v>0</v>
      </c>
      <c r="AP1027" t="inlineStr">
        <is>
          <t>No</t>
        </is>
      </c>
      <c r="AQ1027" t="inlineStr">
        <is>
          <t>No</t>
        </is>
      </c>
      <c r="AS1027">
        <f>HYPERLINK("https://creighton-primo.hosted.exlibrisgroup.com/primo-explore/search?tab=default_tab&amp;search_scope=EVERYTHING&amp;vid=01CRU&amp;lang=en_US&amp;offset=0&amp;query=any,contains,991000913539702656","Catalog Record")</f>
        <v/>
      </c>
      <c r="AT1027">
        <f>HYPERLINK("http://www.worldcat.org/oclc/160094","WorldCat Record")</f>
        <v/>
      </c>
      <c r="AU1027" t="inlineStr">
        <is>
          <t>4776456173:eng</t>
        </is>
      </c>
      <c r="AV1027" t="inlineStr">
        <is>
          <t>160094</t>
        </is>
      </c>
      <c r="AW1027" t="inlineStr">
        <is>
          <t>991000913539702656</t>
        </is>
      </c>
      <c r="AX1027" t="inlineStr">
        <is>
          <t>991000913539702656</t>
        </is>
      </c>
      <c r="AY1027" t="inlineStr">
        <is>
          <t>2267332170002656</t>
        </is>
      </c>
      <c r="AZ1027" t="inlineStr">
        <is>
          <t>BOOK</t>
        </is>
      </c>
      <c r="BB1027" t="inlineStr">
        <is>
          <t>9780521080934</t>
        </is>
      </c>
      <c r="BC1027" t="inlineStr">
        <is>
          <t>32285000879279</t>
        </is>
      </c>
      <c r="BD1027" t="inlineStr">
        <is>
          <t>893315347</t>
        </is>
      </c>
    </row>
    <row r="1028">
      <c r="A1028" t="inlineStr">
        <is>
          <t>No</t>
        </is>
      </c>
      <c r="B1028" t="inlineStr">
        <is>
          <t>DS422.C3 D3613 1999</t>
        </is>
      </c>
      <c r="C1028" t="inlineStr">
        <is>
          <t>0                      DS 0422000C  3                  D  3613        1999</t>
        </is>
      </c>
      <c r="D1028" t="inlineStr">
        <is>
          <t>The untouchables of India / Robert Deliège ; translated from the French by Nora Scott.</t>
        </is>
      </c>
      <c r="F1028" t="inlineStr">
        <is>
          <t>No</t>
        </is>
      </c>
      <c r="G1028" t="inlineStr">
        <is>
          <t>1</t>
        </is>
      </c>
      <c r="H1028" t="inlineStr">
        <is>
          <t>No</t>
        </is>
      </c>
      <c r="I1028" t="inlineStr">
        <is>
          <t>No</t>
        </is>
      </c>
      <c r="J1028" t="inlineStr">
        <is>
          <t>0</t>
        </is>
      </c>
      <c r="K1028" t="inlineStr">
        <is>
          <t>Deliège, Robert.</t>
        </is>
      </c>
      <c r="L1028" t="inlineStr">
        <is>
          <t>Oxford ; New York : Berg, 1999.</t>
        </is>
      </c>
      <c r="M1028" t="inlineStr">
        <is>
          <t>1999</t>
        </is>
      </c>
      <c r="N1028" t="inlineStr">
        <is>
          <t>English ed.</t>
        </is>
      </c>
      <c r="O1028" t="inlineStr">
        <is>
          <t>eng</t>
        </is>
      </c>
      <c r="P1028" t="inlineStr">
        <is>
          <t>enk</t>
        </is>
      </c>
      <c r="R1028" t="inlineStr">
        <is>
          <t xml:space="preserve">DS </t>
        </is>
      </c>
      <c r="S1028" t="n">
        <v>14</v>
      </c>
      <c r="T1028" t="n">
        <v>14</v>
      </c>
      <c r="U1028" t="inlineStr">
        <is>
          <t>2005-10-18</t>
        </is>
      </c>
      <c r="V1028" t="inlineStr">
        <is>
          <t>2005-10-18</t>
        </is>
      </c>
      <c r="W1028" t="inlineStr">
        <is>
          <t>2000-07-31</t>
        </is>
      </c>
      <c r="X1028" t="inlineStr">
        <is>
          <t>2000-07-31</t>
        </is>
      </c>
      <c r="Y1028" t="n">
        <v>518</v>
      </c>
      <c r="Z1028" t="n">
        <v>407</v>
      </c>
      <c r="AA1028" t="n">
        <v>440</v>
      </c>
      <c r="AB1028" t="n">
        <v>6</v>
      </c>
      <c r="AC1028" t="n">
        <v>6</v>
      </c>
      <c r="AD1028" t="n">
        <v>23</v>
      </c>
      <c r="AE1028" t="n">
        <v>24</v>
      </c>
      <c r="AF1028" t="n">
        <v>9</v>
      </c>
      <c r="AG1028" t="n">
        <v>10</v>
      </c>
      <c r="AH1028" t="n">
        <v>3</v>
      </c>
      <c r="AI1028" t="n">
        <v>3</v>
      </c>
      <c r="AJ1028" t="n">
        <v>10</v>
      </c>
      <c r="AK1028" t="n">
        <v>11</v>
      </c>
      <c r="AL1028" t="n">
        <v>5</v>
      </c>
      <c r="AM1028" t="n">
        <v>5</v>
      </c>
      <c r="AN1028" t="n">
        <v>0</v>
      </c>
      <c r="AO1028" t="n">
        <v>0</v>
      </c>
      <c r="AP1028" t="inlineStr">
        <is>
          <t>No</t>
        </is>
      </c>
      <c r="AQ1028" t="inlineStr">
        <is>
          <t>Yes</t>
        </is>
      </c>
      <c r="AR1028">
        <f>HYPERLINK("http://catalog.hathitrust.org/Record/004046764","HathiTrust Record")</f>
        <v/>
      </c>
      <c r="AS1028">
        <f>HYPERLINK("https://creighton-primo.hosted.exlibrisgroup.com/primo-explore/search?tab=default_tab&amp;search_scope=EVERYTHING&amp;vid=01CRU&amp;lang=en_US&amp;offset=0&amp;query=any,contains,991003225049702656","Catalog Record")</f>
        <v/>
      </c>
      <c r="AT1028">
        <f>HYPERLINK("http://www.worldcat.org/oclc/59388903","WorldCat Record")</f>
        <v/>
      </c>
      <c r="AU1028" t="inlineStr">
        <is>
          <t>6359769:eng</t>
        </is>
      </c>
      <c r="AV1028" t="inlineStr">
        <is>
          <t>59388903</t>
        </is>
      </c>
      <c r="AW1028" t="inlineStr">
        <is>
          <t>991003225049702656</t>
        </is>
      </c>
      <c r="AX1028" t="inlineStr">
        <is>
          <t>991003225049702656</t>
        </is>
      </c>
      <c r="AY1028" t="inlineStr">
        <is>
          <t>2268266970002656</t>
        </is>
      </c>
      <c r="AZ1028" t="inlineStr">
        <is>
          <t>BOOK</t>
        </is>
      </c>
      <c r="BB1028" t="inlineStr">
        <is>
          <t>9781859732090</t>
        </is>
      </c>
      <c r="BC1028" t="inlineStr">
        <is>
          <t>32285003743753</t>
        </is>
      </c>
      <c r="BD1028" t="inlineStr">
        <is>
          <t>893893495</t>
        </is>
      </c>
    </row>
    <row r="1029">
      <c r="A1029" t="inlineStr">
        <is>
          <t>No</t>
        </is>
      </c>
      <c r="B1029" t="inlineStr">
        <is>
          <t>DS422.C3 F73</t>
        </is>
      </c>
      <c r="C1029" t="inlineStr">
        <is>
          <t>0                      DS 0422000C  3                  F  73</t>
        </is>
      </c>
      <c r="D1029" t="inlineStr">
        <is>
          <t>Untouchable : an Indian life history / James M. Freeman.</t>
        </is>
      </c>
      <c r="F1029" t="inlineStr">
        <is>
          <t>No</t>
        </is>
      </c>
      <c r="G1029" t="inlineStr">
        <is>
          <t>1</t>
        </is>
      </c>
      <c r="H1029" t="inlineStr">
        <is>
          <t>No</t>
        </is>
      </c>
      <c r="I1029" t="inlineStr">
        <is>
          <t>No</t>
        </is>
      </c>
      <c r="J1029" t="inlineStr">
        <is>
          <t>0</t>
        </is>
      </c>
      <c r="K1029" t="inlineStr">
        <is>
          <t>Freeman, James M., 1936-</t>
        </is>
      </c>
      <c r="L1029" t="inlineStr">
        <is>
          <t>Stanford, Calif. : Stanford University Press, 1979.</t>
        </is>
      </c>
      <c r="M1029" t="inlineStr">
        <is>
          <t>1979</t>
        </is>
      </c>
      <c r="O1029" t="inlineStr">
        <is>
          <t>eng</t>
        </is>
      </c>
      <c r="P1029" t="inlineStr">
        <is>
          <t>cau</t>
        </is>
      </c>
      <c r="R1029" t="inlineStr">
        <is>
          <t xml:space="preserve">DS </t>
        </is>
      </c>
      <c r="S1029" t="n">
        <v>5</v>
      </c>
      <c r="T1029" t="n">
        <v>5</v>
      </c>
      <c r="U1029" t="inlineStr">
        <is>
          <t>2005-09-17</t>
        </is>
      </c>
      <c r="V1029" t="inlineStr">
        <is>
          <t>2005-09-17</t>
        </is>
      </c>
      <c r="W1029" t="inlineStr">
        <is>
          <t>1990-04-25</t>
        </is>
      </c>
      <c r="X1029" t="inlineStr">
        <is>
          <t>1990-04-25</t>
        </is>
      </c>
      <c r="Y1029" t="n">
        <v>855</v>
      </c>
      <c r="Z1029" t="n">
        <v>745</v>
      </c>
      <c r="AA1029" t="n">
        <v>768</v>
      </c>
      <c r="AB1029" t="n">
        <v>6</v>
      </c>
      <c r="AC1029" t="n">
        <v>6</v>
      </c>
      <c r="AD1029" t="n">
        <v>28</v>
      </c>
      <c r="AE1029" t="n">
        <v>28</v>
      </c>
      <c r="AF1029" t="n">
        <v>10</v>
      </c>
      <c r="AG1029" t="n">
        <v>10</v>
      </c>
      <c r="AH1029" t="n">
        <v>4</v>
      </c>
      <c r="AI1029" t="n">
        <v>4</v>
      </c>
      <c r="AJ1029" t="n">
        <v>14</v>
      </c>
      <c r="AK1029" t="n">
        <v>14</v>
      </c>
      <c r="AL1029" t="n">
        <v>4</v>
      </c>
      <c r="AM1029" t="n">
        <v>4</v>
      </c>
      <c r="AN1029" t="n">
        <v>0</v>
      </c>
      <c r="AO1029" t="n">
        <v>0</v>
      </c>
      <c r="AP1029" t="inlineStr">
        <is>
          <t>No</t>
        </is>
      </c>
      <c r="AQ1029" t="inlineStr">
        <is>
          <t>No</t>
        </is>
      </c>
      <c r="AS1029">
        <f>HYPERLINK("https://creighton-primo.hosted.exlibrisgroup.com/primo-explore/search?tab=default_tab&amp;search_scope=EVERYTHING&amp;vid=01CRU&amp;lang=en_US&amp;offset=0&amp;query=any,contains,991004746699702656","Catalog Record")</f>
        <v/>
      </c>
      <c r="AT1029">
        <f>HYPERLINK("http://www.worldcat.org/oclc/4913024","WorldCat Record")</f>
        <v/>
      </c>
      <c r="AU1029" t="inlineStr">
        <is>
          <t>836716508:eng</t>
        </is>
      </c>
      <c r="AV1029" t="inlineStr">
        <is>
          <t>4913024</t>
        </is>
      </c>
      <c r="AW1029" t="inlineStr">
        <is>
          <t>991004746699702656</t>
        </is>
      </c>
      <c r="AX1029" t="inlineStr">
        <is>
          <t>991004746699702656</t>
        </is>
      </c>
      <c r="AY1029" t="inlineStr">
        <is>
          <t>2271340410002656</t>
        </is>
      </c>
      <c r="AZ1029" t="inlineStr">
        <is>
          <t>BOOK</t>
        </is>
      </c>
      <c r="BB1029" t="inlineStr">
        <is>
          <t>9780804710015</t>
        </is>
      </c>
      <c r="BC1029" t="inlineStr">
        <is>
          <t>32285000131861</t>
        </is>
      </c>
      <c r="BD1029" t="inlineStr">
        <is>
          <t>893229780</t>
        </is>
      </c>
    </row>
    <row r="1030">
      <c r="A1030" t="inlineStr">
        <is>
          <t>No</t>
        </is>
      </c>
      <c r="B1030" t="inlineStr">
        <is>
          <t>DS422.C3 H8 1963</t>
        </is>
      </c>
      <c r="C1030" t="inlineStr">
        <is>
          <t>0                      DS 0422000C  3                  H  8           1963</t>
        </is>
      </c>
      <c r="D1030" t="inlineStr">
        <is>
          <t>Caste in India : its nature, function and origins / [by] J.H. Hutton.</t>
        </is>
      </c>
      <c r="F1030" t="inlineStr">
        <is>
          <t>No</t>
        </is>
      </c>
      <c r="G1030" t="inlineStr">
        <is>
          <t>1</t>
        </is>
      </c>
      <c r="H1030" t="inlineStr">
        <is>
          <t>No</t>
        </is>
      </c>
      <c r="I1030" t="inlineStr">
        <is>
          <t>No</t>
        </is>
      </c>
      <c r="J1030" t="inlineStr">
        <is>
          <t>0</t>
        </is>
      </c>
      <c r="K1030" t="inlineStr">
        <is>
          <t>Hutton, J. H. (John Henry), 1885-1968.</t>
        </is>
      </c>
      <c r="L1030" t="inlineStr">
        <is>
          <t>London ; Bombay : Oxford University Press, 1963.</t>
        </is>
      </c>
      <c r="M1030" t="inlineStr">
        <is>
          <t>1963</t>
        </is>
      </c>
      <c r="N1030" t="inlineStr">
        <is>
          <t>4th ed.</t>
        </is>
      </c>
      <c r="O1030" t="inlineStr">
        <is>
          <t>eng</t>
        </is>
      </c>
      <c r="P1030" t="inlineStr">
        <is>
          <t xml:space="preserve">ii </t>
        </is>
      </c>
      <c r="R1030" t="inlineStr">
        <is>
          <t xml:space="preserve">DS </t>
        </is>
      </c>
      <c r="S1030" t="n">
        <v>52</v>
      </c>
      <c r="T1030" t="n">
        <v>52</v>
      </c>
      <c r="U1030" t="inlineStr">
        <is>
          <t>2007-03-25</t>
        </is>
      </c>
      <c r="V1030" t="inlineStr">
        <is>
          <t>2007-03-25</t>
        </is>
      </c>
      <c r="W1030" t="inlineStr">
        <is>
          <t>1992-01-28</t>
        </is>
      </c>
      <c r="X1030" t="inlineStr">
        <is>
          <t>1992-01-28</t>
        </is>
      </c>
      <c r="Y1030" t="n">
        <v>402</v>
      </c>
      <c r="Z1030" t="n">
        <v>327</v>
      </c>
      <c r="AA1030" t="n">
        <v>839</v>
      </c>
      <c r="AB1030" t="n">
        <v>3</v>
      </c>
      <c r="AC1030" t="n">
        <v>5</v>
      </c>
      <c r="AD1030" t="n">
        <v>14</v>
      </c>
      <c r="AE1030" t="n">
        <v>36</v>
      </c>
      <c r="AF1030" t="n">
        <v>7</v>
      </c>
      <c r="AG1030" t="n">
        <v>16</v>
      </c>
      <c r="AH1030" t="n">
        <v>2</v>
      </c>
      <c r="AI1030" t="n">
        <v>7</v>
      </c>
      <c r="AJ1030" t="n">
        <v>6</v>
      </c>
      <c r="AK1030" t="n">
        <v>19</v>
      </c>
      <c r="AL1030" t="n">
        <v>2</v>
      </c>
      <c r="AM1030" t="n">
        <v>4</v>
      </c>
      <c r="AN1030" t="n">
        <v>0</v>
      </c>
      <c r="AO1030" t="n">
        <v>0</v>
      </c>
      <c r="AP1030" t="inlineStr">
        <is>
          <t>No</t>
        </is>
      </c>
      <c r="AQ1030" t="inlineStr">
        <is>
          <t>No</t>
        </is>
      </c>
      <c r="AS1030">
        <f>HYPERLINK("https://creighton-primo.hosted.exlibrisgroup.com/primo-explore/search?tab=default_tab&amp;search_scope=EVERYTHING&amp;vid=01CRU&amp;lang=en_US&amp;offset=0&amp;query=any,contains,991001445759702656","Catalog Record")</f>
        <v/>
      </c>
      <c r="AT1030">
        <f>HYPERLINK("http://www.worldcat.org/oclc/231169","WorldCat Record")</f>
        <v/>
      </c>
      <c r="AU1030" t="inlineStr">
        <is>
          <t>1354884:eng</t>
        </is>
      </c>
      <c r="AV1030" t="inlineStr">
        <is>
          <t>231169</t>
        </is>
      </c>
      <c r="AW1030" t="inlineStr">
        <is>
          <t>991001445759702656</t>
        </is>
      </c>
      <c r="AX1030" t="inlineStr">
        <is>
          <t>991001445759702656</t>
        </is>
      </c>
      <c r="AY1030" t="inlineStr">
        <is>
          <t>2270729470002656</t>
        </is>
      </c>
      <c r="AZ1030" t="inlineStr">
        <is>
          <t>BOOK</t>
        </is>
      </c>
      <c r="BC1030" t="inlineStr">
        <is>
          <t>32285000919703</t>
        </is>
      </c>
      <c r="BD1030" t="inlineStr">
        <is>
          <t>893315786</t>
        </is>
      </c>
    </row>
    <row r="1031">
      <c r="A1031" t="inlineStr">
        <is>
          <t>No</t>
        </is>
      </c>
      <c r="B1031" t="inlineStr">
        <is>
          <t>DS422.C3 J325 2003</t>
        </is>
      </c>
      <c r="C1031" t="inlineStr">
        <is>
          <t>0                      DS 0422000C  3                  J  325         2003</t>
        </is>
      </c>
      <c r="D1031" t="inlineStr">
        <is>
          <t>India's silent revolution : the rise of the low castes in North Indian politics / Christophe Jaffrelot.</t>
        </is>
      </c>
      <c r="F1031" t="inlineStr">
        <is>
          <t>No</t>
        </is>
      </c>
      <c r="G1031" t="inlineStr">
        <is>
          <t>1</t>
        </is>
      </c>
      <c r="H1031" t="inlineStr">
        <is>
          <t>No</t>
        </is>
      </c>
      <c r="I1031" t="inlineStr">
        <is>
          <t>No</t>
        </is>
      </c>
      <c r="J1031" t="inlineStr">
        <is>
          <t>0</t>
        </is>
      </c>
      <c r="K1031" t="inlineStr">
        <is>
          <t>Jaffrelot, Christophe.</t>
        </is>
      </c>
      <c r="L1031" t="inlineStr">
        <is>
          <t>Delhi : Permanent Black, 2003.</t>
        </is>
      </c>
      <c r="M1031" t="inlineStr">
        <is>
          <t>2003</t>
        </is>
      </c>
      <c r="O1031" t="inlineStr">
        <is>
          <t>eng</t>
        </is>
      </c>
      <c r="P1031" t="inlineStr">
        <is>
          <t xml:space="preserve">ii </t>
        </is>
      </c>
      <c r="R1031" t="inlineStr">
        <is>
          <t xml:space="preserve">DS </t>
        </is>
      </c>
      <c r="S1031" t="n">
        <v>1</v>
      </c>
      <c r="T1031" t="n">
        <v>1</v>
      </c>
      <c r="U1031" t="inlineStr">
        <is>
          <t>2005-05-09</t>
        </is>
      </c>
      <c r="V1031" t="inlineStr">
        <is>
          <t>2005-05-09</t>
        </is>
      </c>
      <c r="W1031" t="inlineStr">
        <is>
          <t>2005-05-09</t>
        </is>
      </c>
      <c r="X1031" t="inlineStr">
        <is>
          <t>2005-05-09</t>
        </is>
      </c>
      <c r="Y1031" t="n">
        <v>14</v>
      </c>
      <c r="Z1031" t="n">
        <v>7</v>
      </c>
      <c r="AA1031" t="n">
        <v>367</v>
      </c>
      <c r="AB1031" t="n">
        <v>1</v>
      </c>
      <c r="AC1031" t="n">
        <v>3</v>
      </c>
      <c r="AD1031" t="n">
        <v>0</v>
      </c>
      <c r="AE1031" t="n">
        <v>28</v>
      </c>
      <c r="AF1031" t="n">
        <v>0</v>
      </c>
      <c r="AG1031" t="n">
        <v>11</v>
      </c>
      <c r="AH1031" t="n">
        <v>0</v>
      </c>
      <c r="AI1031" t="n">
        <v>8</v>
      </c>
      <c r="AJ1031" t="n">
        <v>0</v>
      </c>
      <c r="AK1031" t="n">
        <v>15</v>
      </c>
      <c r="AL1031" t="n">
        <v>0</v>
      </c>
      <c r="AM1031" t="n">
        <v>2</v>
      </c>
      <c r="AN1031" t="n">
        <v>0</v>
      </c>
      <c r="AO1031" t="n">
        <v>0</v>
      </c>
      <c r="AP1031" t="inlineStr">
        <is>
          <t>No</t>
        </is>
      </c>
      <c r="AQ1031" t="inlineStr">
        <is>
          <t>No</t>
        </is>
      </c>
      <c r="AS1031">
        <f>HYPERLINK("https://creighton-primo.hosted.exlibrisgroup.com/primo-explore/search?tab=default_tab&amp;search_scope=EVERYTHING&amp;vid=01CRU&amp;lang=en_US&amp;offset=0&amp;query=any,contains,991004543499702656","Catalog Record")</f>
        <v/>
      </c>
      <c r="AT1031">
        <f>HYPERLINK("http://www.worldcat.org/oclc/54811943","WorldCat Record")</f>
        <v/>
      </c>
      <c r="AU1031" t="inlineStr">
        <is>
          <t>24776078:eng</t>
        </is>
      </c>
      <c r="AV1031" t="inlineStr">
        <is>
          <t>54811943</t>
        </is>
      </c>
      <c r="AW1031" t="inlineStr">
        <is>
          <t>991004543499702656</t>
        </is>
      </c>
      <c r="AX1031" t="inlineStr">
        <is>
          <t>991004543499702656</t>
        </is>
      </c>
      <c r="AY1031" t="inlineStr">
        <is>
          <t>2262452830002656</t>
        </is>
      </c>
      <c r="AZ1031" t="inlineStr">
        <is>
          <t>BOOK</t>
        </is>
      </c>
      <c r="BB1031" t="inlineStr">
        <is>
          <t>9788178240503</t>
        </is>
      </c>
      <c r="BC1031" t="inlineStr">
        <is>
          <t>32285005035943</t>
        </is>
      </c>
      <c r="BD1031" t="inlineStr">
        <is>
          <t>893506976</t>
        </is>
      </c>
    </row>
    <row r="1032">
      <c r="A1032" t="inlineStr">
        <is>
          <t>No</t>
        </is>
      </c>
      <c r="B1032" t="inlineStr">
        <is>
          <t>DS422.C3 J83</t>
        </is>
      </c>
      <c r="C1032" t="inlineStr">
        <is>
          <t>0                      DS 0422000C  3                  J  83</t>
        </is>
      </c>
      <c r="D1032" t="inlineStr">
        <is>
          <t>Religion as social vision : the movement against untouchability in 20th century Punjab / Mark Juergensmeyer.</t>
        </is>
      </c>
      <c r="F1032" t="inlineStr">
        <is>
          <t>No</t>
        </is>
      </c>
      <c r="G1032" t="inlineStr">
        <is>
          <t>1</t>
        </is>
      </c>
      <c r="H1032" t="inlineStr">
        <is>
          <t>No</t>
        </is>
      </c>
      <c r="I1032" t="inlineStr">
        <is>
          <t>No</t>
        </is>
      </c>
      <c r="J1032" t="inlineStr">
        <is>
          <t>0</t>
        </is>
      </c>
      <c r="K1032" t="inlineStr">
        <is>
          <t>Juergensmeyer, Mark.</t>
        </is>
      </c>
      <c r="L1032" t="inlineStr">
        <is>
          <t>Berkeley, CA : University of California Press, c1982.</t>
        </is>
      </c>
      <c r="M1032" t="inlineStr">
        <is>
          <t>1982</t>
        </is>
      </c>
      <c r="O1032" t="inlineStr">
        <is>
          <t>eng</t>
        </is>
      </c>
      <c r="P1032" t="inlineStr">
        <is>
          <t>cau</t>
        </is>
      </c>
      <c r="R1032" t="inlineStr">
        <is>
          <t xml:space="preserve">DS </t>
        </is>
      </c>
      <c r="S1032" t="n">
        <v>10</v>
      </c>
      <c r="T1032" t="n">
        <v>10</v>
      </c>
      <c r="U1032" t="inlineStr">
        <is>
          <t>2004-04-14</t>
        </is>
      </c>
      <c r="V1032" t="inlineStr">
        <is>
          <t>2004-04-14</t>
        </is>
      </c>
      <c r="W1032" t="inlineStr">
        <is>
          <t>1990-05-24</t>
        </is>
      </c>
      <c r="X1032" t="inlineStr">
        <is>
          <t>1990-05-24</t>
        </is>
      </c>
      <c r="Y1032" t="n">
        <v>404</v>
      </c>
      <c r="Z1032" t="n">
        <v>308</v>
      </c>
      <c r="AA1032" t="n">
        <v>308</v>
      </c>
      <c r="AB1032" t="n">
        <v>2</v>
      </c>
      <c r="AC1032" t="n">
        <v>2</v>
      </c>
      <c r="AD1032" t="n">
        <v>13</v>
      </c>
      <c r="AE1032" t="n">
        <v>13</v>
      </c>
      <c r="AF1032" t="n">
        <v>0</v>
      </c>
      <c r="AG1032" t="n">
        <v>0</v>
      </c>
      <c r="AH1032" t="n">
        <v>6</v>
      </c>
      <c r="AI1032" t="n">
        <v>6</v>
      </c>
      <c r="AJ1032" t="n">
        <v>9</v>
      </c>
      <c r="AK1032" t="n">
        <v>9</v>
      </c>
      <c r="AL1032" t="n">
        <v>1</v>
      </c>
      <c r="AM1032" t="n">
        <v>1</v>
      </c>
      <c r="AN1032" t="n">
        <v>0</v>
      </c>
      <c r="AO1032" t="n">
        <v>0</v>
      </c>
      <c r="AP1032" t="inlineStr">
        <is>
          <t>No</t>
        </is>
      </c>
      <c r="AQ1032" t="inlineStr">
        <is>
          <t>No</t>
        </is>
      </c>
      <c r="AS1032">
        <f>HYPERLINK("https://creighton-primo.hosted.exlibrisgroup.com/primo-explore/search?tab=default_tab&amp;search_scope=EVERYTHING&amp;vid=01CRU&amp;lang=en_US&amp;offset=0&amp;query=any,contains,991005044659702656","Catalog Record")</f>
        <v/>
      </c>
      <c r="AT1032">
        <f>HYPERLINK("http://www.worldcat.org/oclc/6816028","WorldCat Record")</f>
        <v/>
      </c>
      <c r="AU1032" t="inlineStr">
        <is>
          <t>836664360:eng</t>
        </is>
      </c>
      <c r="AV1032" t="inlineStr">
        <is>
          <t>6816028</t>
        </is>
      </c>
      <c r="AW1032" t="inlineStr">
        <is>
          <t>991005044659702656</t>
        </is>
      </c>
      <c r="AX1032" t="inlineStr">
        <is>
          <t>991005044659702656</t>
        </is>
      </c>
      <c r="AY1032" t="inlineStr">
        <is>
          <t>2258499790002656</t>
        </is>
      </c>
      <c r="AZ1032" t="inlineStr">
        <is>
          <t>BOOK</t>
        </is>
      </c>
      <c r="BB1032" t="inlineStr">
        <is>
          <t>9780520043015</t>
        </is>
      </c>
      <c r="BC1032" t="inlineStr">
        <is>
          <t>32285000165737</t>
        </is>
      </c>
      <c r="BD1032" t="inlineStr">
        <is>
          <t>893430753</t>
        </is>
      </c>
    </row>
    <row r="1033">
      <c r="A1033" t="inlineStr">
        <is>
          <t>No</t>
        </is>
      </c>
      <c r="B1033" t="inlineStr">
        <is>
          <t>DS422.C3 K64 1985</t>
        </is>
      </c>
      <c r="C1033" t="inlineStr">
        <is>
          <t>0                      DS 0422000C  3                  K  64          1985</t>
        </is>
      </c>
      <c r="D1033" t="inlineStr">
        <is>
          <t>Caste in contemporary India : beyond organic solidarity / Pauline Kolenda.</t>
        </is>
      </c>
      <c r="F1033" t="inlineStr">
        <is>
          <t>No</t>
        </is>
      </c>
      <c r="G1033" t="inlineStr">
        <is>
          <t>1</t>
        </is>
      </c>
      <c r="H1033" t="inlineStr">
        <is>
          <t>No</t>
        </is>
      </c>
      <c r="I1033" t="inlineStr">
        <is>
          <t>No</t>
        </is>
      </c>
      <c r="J1033" t="inlineStr">
        <is>
          <t>0</t>
        </is>
      </c>
      <c r="K1033" t="inlineStr">
        <is>
          <t>Kolenda, Pauline.</t>
        </is>
      </c>
      <c r="L1033" t="inlineStr">
        <is>
          <t>Prospect Heights, Ill. : Waveland Press, Inc., 1985.</t>
        </is>
      </c>
      <c r="M1033" t="inlineStr">
        <is>
          <t>1985</t>
        </is>
      </c>
      <c r="O1033" t="inlineStr">
        <is>
          <t>eng</t>
        </is>
      </c>
      <c r="P1033" t="inlineStr">
        <is>
          <t>ilu</t>
        </is>
      </c>
      <c r="R1033" t="inlineStr">
        <is>
          <t xml:space="preserve">DS </t>
        </is>
      </c>
      <c r="S1033" t="n">
        <v>54</v>
      </c>
      <c r="T1033" t="n">
        <v>54</v>
      </c>
      <c r="U1033" t="inlineStr">
        <is>
          <t>2007-03-25</t>
        </is>
      </c>
      <c r="V1033" t="inlineStr">
        <is>
          <t>2007-03-25</t>
        </is>
      </c>
      <c r="W1033" t="inlineStr">
        <is>
          <t>1990-10-08</t>
        </is>
      </c>
      <c r="X1033" t="inlineStr">
        <is>
          <t>1990-10-08</t>
        </is>
      </c>
      <c r="Y1033" t="n">
        <v>190</v>
      </c>
      <c r="Z1033" t="n">
        <v>165</v>
      </c>
      <c r="AA1033" t="n">
        <v>376</v>
      </c>
      <c r="AB1033" t="n">
        <v>1</v>
      </c>
      <c r="AC1033" t="n">
        <v>3</v>
      </c>
      <c r="AD1033" t="n">
        <v>6</v>
      </c>
      <c r="AE1033" t="n">
        <v>13</v>
      </c>
      <c r="AF1033" t="n">
        <v>1</v>
      </c>
      <c r="AG1033" t="n">
        <v>3</v>
      </c>
      <c r="AH1033" t="n">
        <v>5</v>
      </c>
      <c r="AI1033" t="n">
        <v>7</v>
      </c>
      <c r="AJ1033" t="n">
        <v>2</v>
      </c>
      <c r="AK1033" t="n">
        <v>6</v>
      </c>
      <c r="AL1033" t="n">
        <v>0</v>
      </c>
      <c r="AM1033" t="n">
        <v>2</v>
      </c>
      <c r="AN1033" t="n">
        <v>0</v>
      </c>
      <c r="AO1033" t="n">
        <v>0</v>
      </c>
      <c r="AP1033" t="inlineStr">
        <is>
          <t>No</t>
        </is>
      </c>
      <c r="AQ1033" t="inlineStr">
        <is>
          <t>Yes</t>
        </is>
      </c>
      <c r="AR1033">
        <f>HYPERLINK("http://catalog.hathitrust.org/Record/009919507","HathiTrust Record")</f>
        <v/>
      </c>
      <c r="AS1033">
        <f>HYPERLINK("https://creighton-primo.hosted.exlibrisgroup.com/primo-explore/search?tab=default_tab&amp;search_scope=EVERYTHING&amp;vid=01CRU&amp;lang=en_US&amp;offset=0&amp;query=any,contains,991000771469702656","Catalog Record")</f>
        <v/>
      </c>
      <c r="AT1033">
        <f>HYPERLINK("http://www.worldcat.org/oclc/13015613","WorldCat Record")</f>
        <v/>
      </c>
      <c r="AU1033" t="inlineStr">
        <is>
          <t>5544559:eng</t>
        </is>
      </c>
      <c r="AV1033" t="inlineStr">
        <is>
          <t>13015613</t>
        </is>
      </c>
      <c r="AW1033" t="inlineStr">
        <is>
          <t>991000771469702656</t>
        </is>
      </c>
      <c r="AX1033" t="inlineStr">
        <is>
          <t>991000771469702656</t>
        </is>
      </c>
      <c r="AY1033" t="inlineStr">
        <is>
          <t>2263946170002656</t>
        </is>
      </c>
      <c r="AZ1033" t="inlineStr">
        <is>
          <t>BOOK</t>
        </is>
      </c>
      <c r="BB1033" t="inlineStr">
        <is>
          <t>9780881331837</t>
        </is>
      </c>
      <c r="BC1033" t="inlineStr">
        <is>
          <t>32285000336296</t>
        </is>
      </c>
      <c r="BD1033" t="inlineStr">
        <is>
          <t>893778220</t>
        </is>
      </c>
    </row>
    <row r="1034">
      <c r="A1034" t="inlineStr">
        <is>
          <t>No</t>
        </is>
      </c>
      <c r="B1034" t="inlineStr">
        <is>
          <t>DS422.C3 M3</t>
        </is>
      </c>
      <c r="C1034" t="inlineStr">
        <is>
          <t>0                      DS 0422000C  3                  M  3</t>
        </is>
      </c>
      <c r="D1034" t="inlineStr">
        <is>
          <t>Caste and kinship in central India.</t>
        </is>
      </c>
      <c r="F1034" t="inlineStr">
        <is>
          <t>No</t>
        </is>
      </c>
      <c r="G1034" t="inlineStr">
        <is>
          <t>1</t>
        </is>
      </c>
      <c r="H1034" t="inlineStr">
        <is>
          <t>No</t>
        </is>
      </c>
      <c r="I1034" t="inlineStr">
        <is>
          <t>No</t>
        </is>
      </c>
      <c r="J1034" t="inlineStr">
        <is>
          <t>0</t>
        </is>
      </c>
      <c r="K1034" t="inlineStr">
        <is>
          <t>Mayer, Adrian C.</t>
        </is>
      </c>
      <c r="L1034" t="inlineStr">
        <is>
          <t>Berkeley : University of California Press, [c1960]</t>
        </is>
      </c>
      <c r="M1034" t="inlineStr">
        <is>
          <t>1960</t>
        </is>
      </c>
      <c r="O1034" t="inlineStr">
        <is>
          <t>eng</t>
        </is>
      </c>
      <c r="P1034" t="inlineStr">
        <is>
          <t>cau</t>
        </is>
      </c>
      <c r="R1034" t="inlineStr">
        <is>
          <t xml:space="preserve">DS </t>
        </is>
      </c>
      <c r="S1034" t="n">
        <v>23</v>
      </c>
      <c r="T1034" t="n">
        <v>23</v>
      </c>
      <c r="U1034" t="inlineStr">
        <is>
          <t>2002-02-06</t>
        </is>
      </c>
      <c r="V1034" t="inlineStr">
        <is>
          <t>2002-02-06</t>
        </is>
      </c>
      <c r="W1034" t="inlineStr">
        <is>
          <t>1991-12-23</t>
        </is>
      </c>
      <c r="X1034" t="inlineStr">
        <is>
          <t>1991-12-23</t>
        </is>
      </c>
      <c r="Y1034" t="n">
        <v>591</v>
      </c>
      <c r="Z1034" t="n">
        <v>533</v>
      </c>
      <c r="AA1034" t="n">
        <v>762</v>
      </c>
      <c r="AB1034" t="n">
        <v>5</v>
      </c>
      <c r="AC1034" t="n">
        <v>6</v>
      </c>
      <c r="AD1034" t="n">
        <v>18</v>
      </c>
      <c r="AE1034" t="n">
        <v>30</v>
      </c>
      <c r="AF1034" t="n">
        <v>4</v>
      </c>
      <c r="AG1034" t="n">
        <v>12</v>
      </c>
      <c r="AH1034" t="n">
        <v>2</v>
      </c>
      <c r="AI1034" t="n">
        <v>4</v>
      </c>
      <c r="AJ1034" t="n">
        <v>10</v>
      </c>
      <c r="AK1034" t="n">
        <v>15</v>
      </c>
      <c r="AL1034" t="n">
        <v>4</v>
      </c>
      <c r="AM1034" t="n">
        <v>5</v>
      </c>
      <c r="AN1034" t="n">
        <v>0</v>
      </c>
      <c r="AO1034" t="n">
        <v>0</v>
      </c>
      <c r="AP1034" t="inlineStr">
        <is>
          <t>No</t>
        </is>
      </c>
      <c r="AQ1034" t="inlineStr">
        <is>
          <t>No</t>
        </is>
      </c>
      <c r="AS1034">
        <f>HYPERLINK("https://creighton-primo.hosted.exlibrisgroup.com/primo-explore/search?tab=default_tab&amp;search_scope=EVERYTHING&amp;vid=01CRU&amp;lang=en_US&amp;offset=0&amp;query=any,contains,991002715319702656","Catalog Record")</f>
        <v/>
      </c>
      <c r="AT1034">
        <f>HYPERLINK("http://www.worldcat.org/oclc/411100","WorldCat Record")</f>
        <v/>
      </c>
      <c r="AU1034" t="inlineStr">
        <is>
          <t>881361:eng</t>
        </is>
      </c>
      <c r="AV1034" t="inlineStr">
        <is>
          <t>411100</t>
        </is>
      </c>
      <c r="AW1034" t="inlineStr">
        <is>
          <t>991002715319702656</t>
        </is>
      </c>
      <c r="AX1034" t="inlineStr">
        <is>
          <t>991002715319702656</t>
        </is>
      </c>
      <c r="AY1034" t="inlineStr">
        <is>
          <t>2265030560002656</t>
        </is>
      </c>
      <c r="AZ1034" t="inlineStr">
        <is>
          <t>BOOK</t>
        </is>
      </c>
      <c r="BC1034" t="inlineStr">
        <is>
          <t>32285000879261</t>
        </is>
      </c>
      <c r="BD1034" t="inlineStr">
        <is>
          <t>893440431</t>
        </is>
      </c>
    </row>
    <row r="1035">
      <c r="A1035" t="inlineStr">
        <is>
          <t>No</t>
        </is>
      </c>
      <c r="B1035" t="inlineStr">
        <is>
          <t>DS422.C3 U57</t>
        </is>
      </c>
      <c r="C1035" t="inlineStr">
        <is>
          <t>0                      DS 0422000C  3                  U  57</t>
        </is>
      </c>
      <c r="D1035" t="inlineStr">
        <is>
          <t>The Untouchables in contemporary India / J. Michael Mahar, editor. Contributors: S. Chandrasekhar [and others]</t>
        </is>
      </c>
      <c r="F1035" t="inlineStr">
        <is>
          <t>No</t>
        </is>
      </c>
      <c r="G1035" t="inlineStr">
        <is>
          <t>1</t>
        </is>
      </c>
      <c r="H1035" t="inlineStr">
        <is>
          <t>No</t>
        </is>
      </c>
      <c r="I1035" t="inlineStr">
        <is>
          <t>No</t>
        </is>
      </c>
      <c r="J1035" t="inlineStr">
        <is>
          <t>0</t>
        </is>
      </c>
      <c r="L1035" t="inlineStr">
        <is>
          <t>Tucson : University of Arizona Press, [1972]</t>
        </is>
      </c>
      <c r="M1035" t="inlineStr">
        <is>
          <t>1972</t>
        </is>
      </c>
      <c r="O1035" t="inlineStr">
        <is>
          <t>eng</t>
        </is>
      </c>
      <c r="P1035" t="inlineStr">
        <is>
          <t>azu</t>
        </is>
      </c>
      <c r="R1035" t="inlineStr">
        <is>
          <t xml:space="preserve">DS </t>
        </is>
      </c>
      <c r="S1035" t="n">
        <v>5</v>
      </c>
      <c r="T1035" t="n">
        <v>5</v>
      </c>
      <c r="U1035" t="inlineStr">
        <is>
          <t>2005-10-18</t>
        </is>
      </c>
      <c r="V1035" t="inlineStr">
        <is>
          <t>2005-10-18</t>
        </is>
      </c>
      <c r="W1035" t="inlineStr">
        <is>
          <t>1991-10-07</t>
        </is>
      </c>
      <c r="X1035" t="inlineStr">
        <is>
          <t>1991-10-07</t>
        </is>
      </c>
      <c r="Y1035" t="n">
        <v>581</v>
      </c>
      <c r="Z1035" t="n">
        <v>456</v>
      </c>
      <c r="AA1035" t="n">
        <v>474</v>
      </c>
      <c r="AB1035" t="n">
        <v>6</v>
      </c>
      <c r="AC1035" t="n">
        <v>6</v>
      </c>
      <c r="AD1035" t="n">
        <v>19</v>
      </c>
      <c r="AE1035" t="n">
        <v>19</v>
      </c>
      <c r="AF1035" t="n">
        <v>2</v>
      </c>
      <c r="AG1035" t="n">
        <v>2</v>
      </c>
      <c r="AH1035" t="n">
        <v>6</v>
      </c>
      <c r="AI1035" t="n">
        <v>6</v>
      </c>
      <c r="AJ1035" t="n">
        <v>9</v>
      </c>
      <c r="AK1035" t="n">
        <v>9</v>
      </c>
      <c r="AL1035" t="n">
        <v>5</v>
      </c>
      <c r="AM1035" t="n">
        <v>5</v>
      </c>
      <c r="AN1035" t="n">
        <v>0</v>
      </c>
      <c r="AO1035" t="n">
        <v>0</v>
      </c>
      <c r="AP1035" t="inlineStr">
        <is>
          <t>No</t>
        </is>
      </c>
      <c r="AQ1035" t="inlineStr">
        <is>
          <t>Yes</t>
        </is>
      </c>
      <c r="AR1035">
        <f>HYPERLINK("http://catalog.hathitrust.org/Record/001250056","HathiTrust Record")</f>
        <v/>
      </c>
      <c r="AS1035">
        <f>HYPERLINK("https://creighton-primo.hosted.exlibrisgroup.com/primo-explore/search?tab=default_tab&amp;search_scope=EVERYTHING&amp;vid=01CRU&amp;lang=en_US&amp;offset=0&amp;query=any,contains,991002183009702656","Catalog Record")</f>
        <v/>
      </c>
      <c r="AT1035">
        <f>HYPERLINK("http://www.worldcat.org/oclc/279277","WorldCat Record")</f>
        <v/>
      </c>
      <c r="AU1035" t="inlineStr">
        <is>
          <t>365539443:eng</t>
        </is>
      </c>
      <c r="AV1035" t="inlineStr">
        <is>
          <t>279277</t>
        </is>
      </c>
      <c r="AW1035" t="inlineStr">
        <is>
          <t>991002183009702656</t>
        </is>
      </c>
      <c r="AX1035" t="inlineStr">
        <is>
          <t>991002183009702656</t>
        </is>
      </c>
      <c r="AY1035" t="inlineStr">
        <is>
          <t>2261739510002656</t>
        </is>
      </c>
      <c r="AZ1035" t="inlineStr">
        <is>
          <t>BOOK</t>
        </is>
      </c>
      <c r="BB1035" t="inlineStr">
        <is>
          <t>9780816502073</t>
        </is>
      </c>
      <c r="BC1035" t="inlineStr">
        <is>
          <t>32285000763721</t>
        </is>
      </c>
      <c r="BD1035" t="inlineStr">
        <is>
          <t>893414917</t>
        </is>
      </c>
    </row>
    <row r="1036">
      <c r="A1036" t="inlineStr">
        <is>
          <t>No</t>
        </is>
      </c>
      <c r="B1036" t="inlineStr">
        <is>
          <t>DS422.C3 V49613 1997</t>
        </is>
      </c>
      <c r="C1036" t="inlineStr">
        <is>
          <t>0                      DS 0422000C  3                  V  49613       1997</t>
        </is>
      </c>
      <c r="D1036" t="inlineStr">
        <is>
          <t>Viramma, life of an untouchable / Viramma, Josiane Racine and Jean-Luc Racine ; translated by Will Hobson.</t>
        </is>
      </c>
      <c r="F1036" t="inlineStr">
        <is>
          <t>No</t>
        </is>
      </c>
      <c r="G1036" t="inlineStr">
        <is>
          <t>1</t>
        </is>
      </c>
      <c r="H1036" t="inlineStr">
        <is>
          <t>No</t>
        </is>
      </c>
      <c r="I1036" t="inlineStr">
        <is>
          <t>No</t>
        </is>
      </c>
      <c r="J1036" t="inlineStr">
        <is>
          <t>0</t>
        </is>
      </c>
      <c r="K1036" t="inlineStr">
        <is>
          <t>Viramma.</t>
        </is>
      </c>
      <c r="L1036" t="inlineStr">
        <is>
          <t>London ; New York : Verso ; Paris : UNESCO Pub., 1997.</t>
        </is>
      </c>
      <c r="M1036" t="inlineStr">
        <is>
          <t>1997</t>
        </is>
      </c>
      <c r="O1036" t="inlineStr">
        <is>
          <t>eng</t>
        </is>
      </c>
      <c r="P1036" t="inlineStr">
        <is>
          <t>enk</t>
        </is>
      </c>
      <c r="R1036" t="inlineStr">
        <is>
          <t xml:space="preserve">DS </t>
        </is>
      </c>
      <c r="S1036" t="n">
        <v>4</v>
      </c>
      <c r="T1036" t="n">
        <v>4</v>
      </c>
      <c r="U1036" t="inlineStr">
        <is>
          <t>2005-09-17</t>
        </is>
      </c>
      <c r="V1036" t="inlineStr">
        <is>
          <t>2005-09-17</t>
        </is>
      </c>
      <c r="W1036" t="inlineStr">
        <is>
          <t>1998-10-08</t>
        </is>
      </c>
      <c r="X1036" t="inlineStr">
        <is>
          <t>1998-10-08</t>
        </is>
      </c>
      <c r="Y1036" t="n">
        <v>445</v>
      </c>
      <c r="Z1036" t="n">
        <v>384</v>
      </c>
      <c r="AA1036" t="n">
        <v>405</v>
      </c>
      <c r="AB1036" t="n">
        <v>2</v>
      </c>
      <c r="AC1036" t="n">
        <v>2</v>
      </c>
      <c r="AD1036" t="n">
        <v>18</v>
      </c>
      <c r="AE1036" t="n">
        <v>19</v>
      </c>
      <c r="AF1036" t="n">
        <v>9</v>
      </c>
      <c r="AG1036" t="n">
        <v>9</v>
      </c>
      <c r="AH1036" t="n">
        <v>4</v>
      </c>
      <c r="AI1036" t="n">
        <v>5</v>
      </c>
      <c r="AJ1036" t="n">
        <v>9</v>
      </c>
      <c r="AK1036" t="n">
        <v>10</v>
      </c>
      <c r="AL1036" t="n">
        <v>1</v>
      </c>
      <c r="AM1036" t="n">
        <v>1</v>
      </c>
      <c r="AN1036" t="n">
        <v>0</v>
      </c>
      <c r="AO1036" t="n">
        <v>0</v>
      </c>
      <c r="AP1036" t="inlineStr">
        <is>
          <t>No</t>
        </is>
      </c>
      <c r="AQ1036" t="inlineStr">
        <is>
          <t>Yes</t>
        </is>
      </c>
      <c r="AR1036">
        <f>HYPERLINK("http://catalog.hathitrust.org/Record/003957245","HathiTrust Record")</f>
        <v/>
      </c>
      <c r="AS1036">
        <f>HYPERLINK("https://creighton-primo.hosted.exlibrisgroup.com/primo-explore/search?tab=default_tab&amp;search_scope=EVERYTHING&amp;vid=01CRU&amp;lang=en_US&amp;offset=0&amp;query=any,contains,991002878409702656","Catalog Record")</f>
        <v/>
      </c>
      <c r="AT1036">
        <f>HYPERLINK("http://www.worldcat.org/oclc/37935089","WorldCat Record")</f>
        <v/>
      </c>
      <c r="AU1036" t="inlineStr">
        <is>
          <t>695644:eng</t>
        </is>
      </c>
      <c r="AV1036" t="inlineStr">
        <is>
          <t>37935089</t>
        </is>
      </c>
      <c r="AW1036" t="inlineStr">
        <is>
          <t>991002878409702656</t>
        </is>
      </c>
      <c r="AX1036" t="inlineStr">
        <is>
          <t>991002878409702656</t>
        </is>
      </c>
      <c r="AY1036" t="inlineStr">
        <is>
          <t>2266222820002656</t>
        </is>
      </c>
      <c r="AZ1036" t="inlineStr">
        <is>
          <t>BOOK</t>
        </is>
      </c>
      <c r="BB1036" t="inlineStr">
        <is>
          <t>9781859841488</t>
        </is>
      </c>
      <c r="BC1036" t="inlineStr">
        <is>
          <t>32285003473781</t>
        </is>
      </c>
      <c r="BD1036" t="inlineStr">
        <is>
          <t>893428155</t>
        </is>
      </c>
    </row>
    <row r="1037">
      <c r="A1037" t="inlineStr">
        <is>
          <t>No</t>
        </is>
      </c>
      <c r="B1037" t="inlineStr">
        <is>
          <t>DS422.C64 A85 1995</t>
        </is>
      </c>
      <c r="C1037" t="inlineStr">
        <is>
          <t>0                      DS 0422000C  64                 A  85          1995</t>
        </is>
      </c>
      <c r="D1037" t="inlineStr">
        <is>
          <t>Democracy and violence in India and Sri Lanka / Dennis Austin.</t>
        </is>
      </c>
      <c r="F1037" t="inlineStr">
        <is>
          <t>No</t>
        </is>
      </c>
      <c r="G1037" t="inlineStr">
        <is>
          <t>1</t>
        </is>
      </c>
      <c r="H1037" t="inlineStr">
        <is>
          <t>No</t>
        </is>
      </c>
      <c r="I1037" t="inlineStr">
        <is>
          <t>No</t>
        </is>
      </c>
      <c r="J1037" t="inlineStr">
        <is>
          <t>0</t>
        </is>
      </c>
      <c r="K1037" t="inlineStr">
        <is>
          <t>Austin, Dennis, 1922-</t>
        </is>
      </c>
      <c r="L1037" t="inlineStr">
        <is>
          <t>New York, NY : Published in North America for the Royal Institute of International Affairs [by the] Council on Foreign Relations Press, 1995.</t>
        </is>
      </c>
      <c r="M1037" t="inlineStr">
        <is>
          <t>1995</t>
        </is>
      </c>
      <c r="O1037" t="inlineStr">
        <is>
          <t>eng</t>
        </is>
      </c>
      <c r="P1037" t="inlineStr">
        <is>
          <t>nyu</t>
        </is>
      </c>
      <c r="Q1037" t="inlineStr">
        <is>
          <t>Chatham House papers</t>
        </is>
      </c>
      <c r="R1037" t="inlineStr">
        <is>
          <t xml:space="preserve">DS </t>
        </is>
      </c>
      <c r="S1037" t="n">
        <v>25</v>
      </c>
      <c r="T1037" t="n">
        <v>25</v>
      </c>
      <c r="U1037" t="inlineStr">
        <is>
          <t>2007-01-31</t>
        </is>
      </c>
      <c r="V1037" t="inlineStr">
        <is>
          <t>2007-01-31</t>
        </is>
      </c>
      <c r="W1037" t="inlineStr">
        <is>
          <t>1995-03-28</t>
        </is>
      </c>
      <c r="X1037" t="inlineStr">
        <is>
          <t>1995-03-28</t>
        </is>
      </c>
      <c r="Y1037" t="n">
        <v>137</v>
      </c>
      <c r="Z1037" t="n">
        <v>122</v>
      </c>
      <c r="AA1037" t="n">
        <v>172</v>
      </c>
      <c r="AB1037" t="n">
        <v>2</v>
      </c>
      <c r="AC1037" t="n">
        <v>2</v>
      </c>
      <c r="AD1037" t="n">
        <v>9</v>
      </c>
      <c r="AE1037" t="n">
        <v>11</v>
      </c>
      <c r="AF1037" t="n">
        <v>0</v>
      </c>
      <c r="AG1037" t="n">
        <v>0</v>
      </c>
      <c r="AH1037" t="n">
        <v>4</v>
      </c>
      <c r="AI1037" t="n">
        <v>4</v>
      </c>
      <c r="AJ1037" t="n">
        <v>5</v>
      </c>
      <c r="AK1037" t="n">
        <v>5</v>
      </c>
      <c r="AL1037" t="n">
        <v>1</v>
      </c>
      <c r="AM1037" t="n">
        <v>1</v>
      </c>
      <c r="AN1037" t="n">
        <v>0</v>
      </c>
      <c r="AO1037" t="n">
        <v>2</v>
      </c>
      <c r="AP1037" t="inlineStr">
        <is>
          <t>No</t>
        </is>
      </c>
      <c r="AQ1037" t="inlineStr">
        <is>
          <t>Yes</t>
        </is>
      </c>
      <c r="AR1037">
        <f>HYPERLINK("http://catalog.hathitrust.org/Record/007130547","HathiTrust Record")</f>
        <v/>
      </c>
      <c r="AS1037">
        <f>HYPERLINK("https://creighton-primo.hosted.exlibrisgroup.com/primo-explore/search?tab=default_tab&amp;search_scope=EVERYTHING&amp;vid=01CRU&amp;lang=en_US&amp;offset=0&amp;query=any,contains,991002425739702656","Catalog Record")</f>
        <v/>
      </c>
      <c r="AT1037">
        <f>HYPERLINK("http://www.worldcat.org/oclc/31607610","WorldCat Record")</f>
        <v/>
      </c>
      <c r="AU1037" t="inlineStr">
        <is>
          <t>33351557:eng</t>
        </is>
      </c>
      <c r="AV1037" t="inlineStr">
        <is>
          <t>31607610</t>
        </is>
      </c>
      <c r="AW1037" t="inlineStr">
        <is>
          <t>991002425739702656</t>
        </is>
      </c>
      <c r="AX1037" t="inlineStr">
        <is>
          <t>991002425739702656</t>
        </is>
      </c>
      <c r="AY1037" t="inlineStr">
        <is>
          <t>2264794550002656</t>
        </is>
      </c>
      <c r="AZ1037" t="inlineStr">
        <is>
          <t>BOOK</t>
        </is>
      </c>
      <c r="BB1037" t="inlineStr">
        <is>
          <t>9780876091746</t>
        </is>
      </c>
      <c r="BC1037" t="inlineStr">
        <is>
          <t>32285002007564</t>
        </is>
      </c>
      <c r="BD1037" t="inlineStr">
        <is>
          <t>893798573</t>
        </is>
      </c>
    </row>
    <row r="1038">
      <c r="A1038" t="inlineStr">
        <is>
          <t>No</t>
        </is>
      </c>
      <c r="B1038" t="inlineStr">
        <is>
          <t>DS423 .C716 1989</t>
        </is>
      </c>
      <c r="C1038" t="inlineStr">
        <is>
          <t>0                      DS 0423000C  716         1989</t>
        </is>
      </c>
      <c r="D1038" t="inlineStr">
        <is>
          <t>What is civilisation? : and other essays / Ananda K. Coomaraswamy ; foreword by Seyyed Hossein Nasr.</t>
        </is>
      </c>
      <c r="F1038" t="inlineStr">
        <is>
          <t>No</t>
        </is>
      </c>
      <c r="G1038" t="inlineStr">
        <is>
          <t>1</t>
        </is>
      </c>
      <c r="H1038" t="inlineStr">
        <is>
          <t>No</t>
        </is>
      </c>
      <c r="I1038" t="inlineStr">
        <is>
          <t>No</t>
        </is>
      </c>
      <c r="J1038" t="inlineStr">
        <is>
          <t>0</t>
        </is>
      </c>
      <c r="K1038" t="inlineStr">
        <is>
          <t>Coomaraswamy, Ananda K. (Ananda Kentish), 1877-1947.</t>
        </is>
      </c>
      <c r="L1038" t="inlineStr">
        <is>
          <t>New Delhi : Indira Gandhi National Centre for the Arts ; Delhi : Oxford University Press, c1989.</t>
        </is>
      </c>
      <c r="M1038" t="inlineStr">
        <is>
          <t>1989</t>
        </is>
      </c>
      <c r="O1038" t="inlineStr">
        <is>
          <t>eng</t>
        </is>
      </c>
      <c r="P1038" t="inlineStr">
        <is>
          <t xml:space="preserve">ii </t>
        </is>
      </c>
      <c r="R1038" t="inlineStr">
        <is>
          <t xml:space="preserve">DS </t>
        </is>
      </c>
      <c r="S1038" t="n">
        <v>6</v>
      </c>
      <c r="T1038" t="n">
        <v>6</v>
      </c>
      <c r="U1038" t="inlineStr">
        <is>
          <t>1997-02-07</t>
        </is>
      </c>
      <c r="V1038" t="inlineStr">
        <is>
          <t>1997-02-07</t>
        </is>
      </c>
      <c r="W1038" t="inlineStr">
        <is>
          <t>1991-10-31</t>
        </is>
      </c>
      <c r="X1038" t="inlineStr">
        <is>
          <t>1991-10-31</t>
        </is>
      </c>
      <c r="Y1038" t="n">
        <v>87</v>
      </c>
      <c r="Z1038" t="n">
        <v>74</v>
      </c>
      <c r="AA1038" t="n">
        <v>144</v>
      </c>
      <c r="AB1038" t="n">
        <v>1</v>
      </c>
      <c r="AC1038" t="n">
        <v>1</v>
      </c>
      <c r="AD1038" t="n">
        <v>3</v>
      </c>
      <c r="AE1038" t="n">
        <v>5</v>
      </c>
      <c r="AF1038" t="n">
        <v>0</v>
      </c>
      <c r="AG1038" t="n">
        <v>1</v>
      </c>
      <c r="AH1038" t="n">
        <v>2</v>
      </c>
      <c r="AI1038" t="n">
        <v>3</v>
      </c>
      <c r="AJ1038" t="n">
        <v>2</v>
      </c>
      <c r="AK1038" t="n">
        <v>2</v>
      </c>
      <c r="AL1038" t="n">
        <v>0</v>
      </c>
      <c r="AM1038" t="n">
        <v>0</v>
      </c>
      <c r="AN1038" t="n">
        <v>0</v>
      </c>
      <c r="AO1038" t="n">
        <v>0</v>
      </c>
      <c r="AP1038" t="inlineStr">
        <is>
          <t>No</t>
        </is>
      </c>
      <c r="AQ1038" t="inlineStr">
        <is>
          <t>No</t>
        </is>
      </c>
      <c r="AS1038">
        <f>HYPERLINK("https://creighton-primo.hosted.exlibrisgroup.com/primo-explore/search?tab=default_tab&amp;search_scope=EVERYTHING&amp;vid=01CRU&amp;lang=en_US&amp;offset=0&amp;query=any,contains,991001871399702656","Catalog Record")</f>
        <v/>
      </c>
      <c r="AT1038">
        <f>HYPERLINK("http://www.worldcat.org/oclc/23613394","WorldCat Record")</f>
        <v/>
      </c>
      <c r="AU1038" t="inlineStr">
        <is>
          <t>23106580:eng</t>
        </is>
      </c>
      <c r="AV1038" t="inlineStr">
        <is>
          <t>23613394</t>
        </is>
      </c>
      <c r="AW1038" t="inlineStr">
        <is>
          <t>991001871399702656</t>
        </is>
      </c>
      <c r="AX1038" t="inlineStr">
        <is>
          <t>991001871399702656</t>
        </is>
      </c>
      <c r="AY1038" t="inlineStr">
        <is>
          <t>2270226250002656</t>
        </is>
      </c>
      <c r="AZ1038" t="inlineStr">
        <is>
          <t>BOOK</t>
        </is>
      </c>
      <c r="BB1038" t="inlineStr">
        <is>
          <t>9780195623734</t>
        </is>
      </c>
      <c r="BC1038" t="inlineStr">
        <is>
          <t>32285000728682</t>
        </is>
      </c>
      <c r="BD1038" t="inlineStr">
        <is>
          <t>893497500</t>
        </is>
      </c>
    </row>
    <row r="1039">
      <c r="A1039" t="inlineStr">
        <is>
          <t>No</t>
        </is>
      </c>
      <c r="B1039" t="inlineStr">
        <is>
          <t>DS423 .C84</t>
        </is>
      </c>
      <c r="C1039" t="inlineStr">
        <is>
          <t>0                      DS 0423000C  84</t>
        </is>
      </c>
      <c r="D1039" t="inlineStr">
        <is>
          <t>The Cultural heritage of India.</t>
        </is>
      </c>
      <c r="E1039" t="inlineStr">
        <is>
          <t>V.1</t>
        </is>
      </c>
      <c r="F1039" t="inlineStr">
        <is>
          <t>Yes</t>
        </is>
      </c>
      <c r="G1039" t="inlineStr">
        <is>
          <t>1</t>
        </is>
      </c>
      <c r="H1039" t="inlineStr">
        <is>
          <t>No</t>
        </is>
      </c>
      <c r="I1039" t="inlineStr">
        <is>
          <t>No</t>
        </is>
      </c>
      <c r="J1039" t="inlineStr">
        <is>
          <t>0</t>
        </is>
      </c>
      <c r="L1039" t="inlineStr">
        <is>
          <t>Calcutta : The Ramakrishna Mission Institute of Culture, [1958-</t>
        </is>
      </c>
      <c r="M1039" t="inlineStr">
        <is>
          <t>1958</t>
        </is>
      </c>
      <c r="N1039" t="inlineStr">
        <is>
          <t>2nd ed., rev. and enl.</t>
        </is>
      </c>
      <c r="O1039" t="inlineStr">
        <is>
          <t>eng</t>
        </is>
      </c>
      <c r="P1039" t="inlineStr">
        <is>
          <t xml:space="preserve">ii </t>
        </is>
      </c>
      <c r="R1039" t="inlineStr">
        <is>
          <t xml:space="preserve">DS </t>
        </is>
      </c>
      <c r="S1039" t="n">
        <v>2</v>
      </c>
      <c r="T1039" t="n">
        <v>3</v>
      </c>
      <c r="U1039" t="inlineStr">
        <is>
          <t>2002-09-30</t>
        </is>
      </c>
      <c r="V1039" t="inlineStr">
        <is>
          <t>2002-09-30</t>
        </is>
      </c>
      <c r="W1039" t="inlineStr">
        <is>
          <t>1994-02-03</t>
        </is>
      </c>
      <c r="X1039" t="inlineStr">
        <is>
          <t>1994-02-03</t>
        </is>
      </c>
      <c r="Y1039" t="n">
        <v>44</v>
      </c>
      <c r="Z1039" t="n">
        <v>38</v>
      </c>
      <c r="AA1039" t="n">
        <v>49</v>
      </c>
      <c r="AB1039" t="n">
        <v>1</v>
      </c>
      <c r="AC1039" t="n">
        <v>1</v>
      </c>
      <c r="AD1039" t="n">
        <v>3</v>
      </c>
      <c r="AE1039" t="n">
        <v>5</v>
      </c>
      <c r="AF1039" t="n">
        <v>0</v>
      </c>
      <c r="AG1039" t="n">
        <v>1</v>
      </c>
      <c r="AH1039" t="n">
        <v>2</v>
      </c>
      <c r="AI1039" t="n">
        <v>2</v>
      </c>
      <c r="AJ1039" t="n">
        <v>2</v>
      </c>
      <c r="AK1039" t="n">
        <v>3</v>
      </c>
      <c r="AL1039" t="n">
        <v>0</v>
      </c>
      <c r="AM1039" t="n">
        <v>0</v>
      </c>
      <c r="AN1039" t="n">
        <v>0</v>
      </c>
      <c r="AO1039" t="n">
        <v>0</v>
      </c>
      <c r="AP1039" t="inlineStr">
        <is>
          <t>No</t>
        </is>
      </c>
      <c r="AQ1039" t="inlineStr">
        <is>
          <t>No</t>
        </is>
      </c>
      <c r="AS1039">
        <f>HYPERLINK("https://creighton-primo.hosted.exlibrisgroup.com/primo-explore/search?tab=default_tab&amp;search_scope=EVERYTHING&amp;vid=01CRU&amp;lang=en_US&amp;offset=0&amp;query=any,contains,991004718979702656","Catalog Record")</f>
        <v/>
      </c>
      <c r="AT1039">
        <f>HYPERLINK("http://www.worldcat.org/oclc/4789863","WorldCat Record")</f>
        <v/>
      </c>
      <c r="AU1039" t="inlineStr">
        <is>
          <t>5534206486:eng</t>
        </is>
      </c>
      <c r="AV1039" t="inlineStr">
        <is>
          <t>4789863</t>
        </is>
      </c>
      <c r="AW1039" t="inlineStr">
        <is>
          <t>991004718979702656</t>
        </is>
      </c>
      <c r="AX1039" t="inlineStr">
        <is>
          <t>991004718979702656</t>
        </is>
      </c>
      <c r="AY1039" t="inlineStr">
        <is>
          <t>2255674510002656</t>
        </is>
      </c>
      <c r="AZ1039" t="inlineStr">
        <is>
          <t>BOOK</t>
        </is>
      </c>
      <c r="BC1039" t="inlineStr">
        <is>
          <t>32285001836823</t>
        </is>
      </c>
      <c r="BD1039" t="inlineStr">
        <is>
          <t>893424117</t>
        </is>
      </c>
    </row>
    <row r="1040">
      <c r="A1040" t="inlineStr">
        <is>
          <t>No</t>
        </is>
      </c>
      <c r="B1040" t="inlineStr">
        <is>
          <t>DS423 .C84</t>
        </is>
      </c>
      <c r="C1040" t="inlineStr">
        <is>
          <t>0                      DS 0423000C  84</t>
        </is>
      </c>
      <c r="D1040" t="inlineStr">
        <is>
          <t>The Cultural heritage of India.</t>
        </is>
      </c>
      <c r="E1040" t="inlineStr">
        <is>
          <t>V.2</t>
        </is>
      </c>
      <c r="F1040" t="inlineStr">
        <is>
          <t>Yes</t>
        </is>
      </c>
      <c r="G1040" t="inlineStr">
        <is>
          <t>1</t>
        </is>
      </c>
      <c r="H1040" t="inlineStr">
        <is>
          <t>No</t>
        </is>
      </c>
      <c r="I1040" t="inlineStr">
        <is>
          <t>No</t>
        </is>
      </c>
      <c r="J1040" t="inlineStr">
        <is>
          <t>0</t>
        </is>
      </c>
      <c r="L1040" t="inlineStr">
        <is>
          <t>Calcutta : The Ramakrishna Mission Institute of Culture, [1958-</t>
        </is>
      </c>
      <c r="M1040" t="inlineStr">
        <is>
          <t>1958</t>
        </is>
      </c>
      <c r="N1040" t="inlineStr">
        <is>
          <t>2nd ed., rev. and enl.</t>
        </is>
      </c>
      <c r="O1040" t="inlineStr">
        <is>
          <t>eng</t>
        </is>
      </c>
      <c r="P1040" t="inlineStr">
        <is>
          <t xml:space="preserve">ii </t>
        </is>
      </c>
      <c r="R1040" t="inlineStr">
        <is>
          <t xml:space="preserve">DS </t>
        </is>
      </c>
      <c r="S1040" t="n">
        <v>1</v>
      </c>
      <c r="T1040" t="n">
        <v>3</v>
      </c>
      <c r="U1040" t="inlineStr">
        <is>
          <t>1997-12-03</t>
        </is>
      </c>
      <c r="V1040" t="inlineStr">
        <is>
          <t>2002-09-30</t>
        </is>
      </c>
      <c r="W1040" t="inlineStr">
        <is>
          <t>1994-02-03</t>
        </is>
      </c>
      <c r="X1040" t="inlineStr">
        <is>
          <t>1994-02-03</t>
        </is>
      </c>
      <c r="Y1040" t="n">
        <v>44</v>
      </c>
      <c r="Z1040" t="n">
        <v>38</v>
      </c>
      <c r="AA1040" t="n">
        <v>49</v>
      </c>
      <c r="AB1040" t="n">
        <v>1</v>
      </c>
      <c r="AC1040" t="n">
        <v>1</v>
      </c>
      <c r="AD1040" t="n">
        <v>3</v>
      </c>
      <c r="AE1040" t="n">
        <v>5</v>
      </c>
      <c r="AF1040" t="n">
        <v>0</v>
      </c>
      <c r="AG1040" t="n">
        <v>1</v>
      </c>
      <c r="AH1040" t="n">
        <v>2</v>
      </c>
      <c r="AI1040" t="n">
        <v>2</v>
      </c>
      <c r="AJ1040" t="n">
        <v>2</v>
      </c>
      <c r="AK1040" t="n">
        <v>3</v>
      </c>
      <c r="AL1040" t="n">
        <v>0</v>
      </c>
      <c r="AM1040" t="n">
        <v>0</v>
      </c>
      <c r="AN1040" t="n">
        <v>0</v>
      </c>
      <c r="AO1040" t="n">
        <v>0</v>
      </c>
      <c r="AP1040" t="inlineStr">
        <is>
          <t>No</t>
        </is>
      </c>
      <c r="AQ1040" t="inlineStr">
        <is>
          <t>No</t>
        </is>
      </c>
      <c r="AS1040">
        <f>HYPERLINK("https://creighton-primo.hosted.exlibrisgroup.com/primo-explore/search?tab=default_tab&amp;search_scope=EVERYTHING&amp;vid=01CRU&amp;lang=en_US&amp;offset=0&amp;query=any,contains,991004718979702656","Catalog Record")</f>
        <v/>
      </c>
      <c r="AT1040">
        <f>HYPERLINK("http://www.worldcat.org/oclc/4789863","WorldCat Record")</f>
        <v/>
      </c>
      <c r="AU1040" t="inlineStr">
        <is>
          <t>5534206486:eng</t>
        </is>
      </c>
      <c r="AV1040" t="inlineStr">
        <is>
          <t>4789863</t>
        </is>
      </c>
      <c r="AW1040" t="inlineStr">
        <is>
          <t>991004718979702656</t>
        </is>
      </c>
      <c r="AX1040" t="inlineStr">
        <is>
          <t>991004718979702656</t>
        </is>
      </c>
      <c r="AY1040" t="inlineStr">
        <is>
          <t>2255674510002656</t>
        </is>
      </c>
      <c r="AZ1040" t="inlineStr">
        <is>
          <t>BOOK</t>
        </is>
      </c>
      <c r="BC1040" t="inlineStr">
        <is>
          <t>32285001837144</t>
        </is>
      </c>
      <c r="BD1040" t="inlineStr">
        <is>
          <t>893411871</t>
        </is>
      </c>
    </row>
    <row r="1041">
      <c r="A1041" t="inlineStr">
        <is>
          <t>No</t>
        </is>
      </c>
      <c r="B1041" t="inlineStr">
        <is>
          <t>DS423 .C84</t>
        </is>
      </c>
      <c r="C1041" t="inlineStr">
        <is>
          <t>0                      DS 0423000C  84</t>
        </is>
      </c>
      <c r="D1041" t="inlineStr">
        <is>
          <t>The Cultural heritage of India.</t>
        </is>
      </c>
      <c r="E1041" t="inlineStr">
        <is>
          <t>V.3</t>
        </is>
      </c>
      <c r="F1041" t="inlineStr">
        <is>
          <t>Yes</t>
        </is>
      </c>
      <c r="G1041" t="inlineStr">
        <is>
          <t>1</t>
        </is>
      </c>
      <c r="H1041" t="inlineStr">
        <is>
          <t>No</t>
        </is>
      </c>
      <c r="I1041" t="inlineStr">
        <is>
          <t>No</t>
        </is>
      </c>
      <c r="J1041" t="inlineStr">
        <is>
          <t>0</t>
        </is>
      </c>
      <c r="L1041" t="inlineStr">
        <is>
          <t>Calcutta : The Ramakrishna Mission Institute of Culture, [1958-</t>
        </is>
      </c>
      <c r="M1041" t="inlineStr">
        <is>
          <t>1958</t>
        </is>
      </c>
      <c r="N1041" t="inlineStr">
        <is>
          <t>2nd ed., rev. and enl.</t>
        </is>
      </c>
      <c r="O1041" t="inlineStr">
        <is>
          <t>eng</t>
        </is>
      </c>
      <c r="P1041" t="inlineStr">
        <is>
          <t xml:space="preserve">ii </t>
        </is>
      </c>
      <c r="R1041" t="inlineStr">
        <is>
          <t xml:space="preserve">DS </t>
        </is>
      </c>
      <c r="S1041" t="n">
        <v>0</v>
      </c>
      <c r="T1041" t="n">
        <v>3</v>
      </c>
      <c r="V1041" t="inlineStr">
        <is>
          <t>2002-09-30</t>
        </is>
      </c>
      <c r="W1041" t="inlineStr">
        <is>
          <t>1994-02-03</t>
        </is>
      </c>
      <c r="X1041" t="inlineStr">
        <is>
          <t>1994-02-03</t>
        </is>
      </c>
      <c r="Y1041" t="n">
        <v>44</v>
      </c>
      <c r="Z1041" t="n">
        <v>38</v>
      </c>
      <c r="AA1041" t="n">
        <v>49</v>
      </c>
      <c r="AB1041" t="n">
        <v>1</v>
      </c>
      <c r="AC1041" t="n">
        <v>1</v>
      </c>
      <c r="AD1041" t="n">
        <v>3</v>
      </c>
      <c r="AE1041" t="n">
        <v>5</v>
      </c>
      <c r="AF1041" t="n">
        <v>0</v>
      </c>
      <c r="AG1041" t="n">
        <v>1</v>
      </c>
      <c r="AH1041" t="n">
        <v>2</v>
      </c>
      <c r="AI1041" t="n">
        <v>2</v>
      </c>
      <c r="AJ1041" t="n">
        <v>2</v>
      </c>
      <c r="AK1041" t="n">
        <v>3</v>
      </c>
      <c r="AL1041" t="n">
        <v>0</v>
      </c>
      <c r="AM1041" t="n">
        <v>0</v>
      </c>
      <c r="AN1041" t="n">
        <v>0</v>
      </c>
      <c r="AO1041" t="n">
        <v>0</v>
      </c>
      <c r="AP1041" t="inlineStr">
        <is>
          <t>No</t>
        </is>
      </c>
      <c r="AQ1041" t="inlineStr">
        <is>
          <t>No</t>
        </is>
      </c>
      <c r="AS1041">
        <f>HYPERLINK("https://creighton-primo.hosted.exlibrisgroup.com/primo-explore/search?tab=default_tab&amp;search_scope=EVERYTHING&amp;vid=01CRU&amp;lang=en_US&amp;offset=0&amp;query=any,contains,991004718979702656","Catalog Record")</f>
        <v/>
      </c>
      <c r="AT1041">
        <f>HYPERLINK("http://www.worldcat.org/oclc/4789863","WorldCat Record")</f>
        <v/>
      </c>
      <c r="AU1041" t="inlineStr">
        <is>
          <t>5534206486:eng</t>
        </is>
      </c>
      <c r="AV1041" t="inlineStr">
        <is>
          <t>4789863</t>
        </is>
      </c>
      <c r="AW1041" t="inlineStr">
        <is>
          <t>991004718979702656</t>
        </is>
      </c>
      <c r="AX1041" t="inlineStr">
        <is>
          <t>991004718979702656</t>
        </is>
      </c>
      <c r="AY1041" t="inlineStr">
        <is>
          <t>2255674510002656</t>
        </is>
      </c>
      <c r="AZ1041" t="inlineStr">
        <is>
          <t>BOOK</t>
        </is>
      </c>
      <c r="BC1041" t="inlineStr">
        <is>
          <t>32285001837151</t>
        </is>
      </c>
      <c r="BD1041" t="inlineStr">
        <is>
          <t>893411870</t>
        </is>
      </c>
    </row>
    <row r="1042">
      <c r="A1042" t="inlineStr">
        <is>
          <t>No</t>
        </is>
      </c>
      <c r="B1042" t="inlineStr">
        <is>
          <t>DS423 .C84</t>
        </is>
      </c>
      <c r="C1042" t="inlineStr">
        <is>
          <t>0                      DS 0423000C  84</t>
        </is>
      </c>
      <c r="D1042" t="inlineStr">
        <is>
          <t>The Cultural heritage of India.</t>
        </is>
      </c>
      <c r="E1042" t="inlineStr">
        <is>
          <t>V.4</t>
        </is>
      </c>
      <c r="F1042" t="inlineStr">
        <is>
          <t>Yes</t>
        </is>
      </c>
      <c r="G1042" t="inlineStr">
        <is>
          <t>1</t>
        </is>
      </c>
      <c r="H1042" t="inlineStr">
        <is>
          <t>No</t>
        </is>
      </c>
      <c r="I1042" t="inlineStr">
        <is>
          <t>No</t>
        </is>
      </c>
      <c r="J1042" t="inlineStr">
        <is>
          <t>0</t>
        </is>
      </c>
      <c r="L1042" t="inlineStr">
        <is>
          <t>Calcutta : The Ramakrishna Mission Institute of Culture, [1958-</t>
        </is>
      </c>
      <c r="M1042" t="inlineStr">
        <is>
          <t>1958</t>
        </is>
      </c>
      <c r="N1042" t="inlineStr">
        <is>
          <t>2nd ed., rev. and enl.</t>
        </is>
      </c>
      <c r="O1042" t="inlineStr">
        <is>
          <t>eng</t>
        </is>
      </c>
      <c r="P1042" t="inlineStr">
        <is>
          <t xml:space="preserve">ii </t>
        </is>
      </c>
      <c r="R1042" t="inlineStr">
        <is>
          <t xml:space="preserve">DS </t>
        </is>
      </c>
      <c r="S1042" t="n">
        <v>0</v>
      </c>
      <c r="T1042" t="n">
        <v>3</v>
      </c>
      <c r="V1042" t="inlineStr">
        <is>
          <t>2002-09-30</t>
        </is>
      </c>
      <c r="W1042" t="inlineStr">
        <is>
          <t>1994-02-03</t>
        </is>
      </c>
      <c r="X1042" t="inlineStr">
        <is>
          <t>1994-02-03</t>
        </is>
      </c>
      <c r="Y1042" t="n">
        <v>44</v>
      </c>
      <c r="Z1042" t="n">
        <v>38</v>
      </c>
      <c r="AA1042" t="n">
        <v>49</v>
      </c>
      <c r="AB1042" t="n">
        <v>1</v>
      </c>
      <c r="AC1042" t="n">
        <v>1</v>
      </c>
      <c r="AD1042" t="n">
        <v>3</v>
      </c>
      <c r="AE1042" t="n">
        <v>5</v>
      </c>
      <c r="AF1042" t="n">
        <v>0</v>
      </c>
      <c r="AG1042" t="n">
        <v>1</v>
      </c>
      <c r="AH1042" t="n">
        <v>2</v>
      </c>
      <c r="AI1042" t="n">
        <v>2</v>
      </c>
      <c r="AJ1042" t="n">
        <v>2</v>
      </c>
      <c r="AK1042" t="n">
        <v>3</v>
      </c>
      <c r="AL1042" t="n">
        <v>0</v>
      </c>
      <c r="AM1042" t="n">
        <v>0</v>
      </c>
      <c r="AN1042" t="n">
        <v>0</v>
      </c>
      <c r="AO1042" t="n">
        <v>0</v>
      </c>
      <c r="AP1042" t="inlineStr">
        <is>
          <t>No</t>
        </is>
      </c>
      <c r="AQ1042" t="inlineStr">
        <is>
          <t>No</t>
        </is>
      </c>
      <c r="AS1042">
        <f>HYPERLINK("https://creighton-primo.hosted.exlibrisgroup.com/primo-explore/search?tab=default_tab&amp;search_scope=EVERYTHING&amp;vid=01CRU&amp;lang=en_US&amp;offset=0&amp;query=any,contains,991004718979702656","Catalog Record")</f>
        <v/>
      </c>
      <c r="AT1042">
        <f>HYPERLINK("http://www.worldcat.org/oclc/4789863","WorldCat Record")</f>
        <v/>
      </c>
      <c r="AU1042" t="inlineStr">
        <is>
          <t>5534206486:eng</t>
        </is>
      </c>
      <c r="AV1042" t="inlineStr">
        <is>
          <t>4789863</t>
        </is>
      </c>
      <c r="AW1042" t="inlineStr">
        <is>
          <t>991004718979702656</t>
        </is>
      </c>
      <c r="AX1042" t="inlineStr">
        <is>
          <t>991004718979702656</t>
        </is>
      </c>
      <c r="AY1042" t="inlineStr">
        <is>
          <t>2255674510002656</t>
        </is>
      </c>
      <c r="AZ1042" t="inlineStr">
        <is>
          <t>BOOK</t>
        </is>
      </c>
      <c r="BC1042" t="inlineStr">
        <is>
          <t>32285001837169</t>
        </is>
      </c>
      <c r="BD1042" t="inlineStr">
        <is>
          <t>893436663</t>
        </is>
      </c>
    </row>
    <row r="1043">
      <c r="A1043" t="inlineStr">
        <is>
          <t>No</t>
        </is>
      </c>
      <c r="B1043" t="inlineStr">
        <is>
          <t>DS423 .I496 1990</t>
        </is>
      </c>
      <c r="C1043" t="inlineStr">
        <is>
          <t>0                      DS 0423000I  496         1990</t>
        </is>
      </c>
      <c r="D1043" t="inlineStr">
        <is>
          <t>India through Hindu categories / edited by McKim Marriott.</t>
        </is>
      </c>
      <c r="F1043" t="inlineStr">
        <is>
          <t>No</t>
        </is>
      </c>
      <c r="G1043" t="inlineStr">
        <is>
          <t>1</t>
        </is>
      </c>
      <c r="H1043" t="inlineStr">
        <is>
          <t>No</t>
        </is>
      </c>
      <c r="I1043" t="inlineStr">
        <is>
          <t>No</t>
        </is>
      </c>
      <c r="J1043" t="inlineStr">
        <is>
          <t>0</t>
        </is>
      </c>
      <c r="L1043" t="inlineStr">
        <is>
          <t>New Delhi ; Newbury Park, Calif. : Sage Publications, 1990.</t>
        </is>
      </c>
      <c r="M1043" t="inlineStr">
        <is>
          <t>1990</t>
        </is>
      </c>
      <c r="O1043" t="inlineStr">
        <is>
          <t>eng</t>
        </is>
      </c>
      <c r="P1043" t="inlineStr">
        <is>
          <t xml:space="preserve">ii </t>
        </is>
      </c>
      <c r="Q1043" t="inlineStr">
        <is>
          <t>Contributions to Indian sociology. Occasional studies ; 5</t>
        </is>
      </c>
      <c r="R1043" t="inlineStr">
        <is>
          <t xml:space="preserve">DS </t>
        </is>
      </c>
      <c r="S1043" t="n">
        <v>12</v>
      </c>
      <c r="T1043" t="n">
        <v>12</v>
      </c>
      <c r="U1043" t="inlineStr">
        <is>
          <t>2000-10-26</t>
        </is>
      </c>
      <c r="V1043" t="inlineStr">
        <is>
          <t>2000-10-26</t>
        </is>
      </c>
      <c r="W1043" t="inlineStr">
        <is>
          <t>1998-02-05</t>
        </is>
      </c>
      <c r="X1043" t="inlineStr">
        <is>
          <t>1998-02-05</t>
        </is>
      </c>
      <c r="Y1043" t="n">
        <v>368</v>
      </c>
      <c r="Z1043" t="n">
        <v>265</v>
      </c>
      <c r="AA1043" t="n">
        <v>267</v>
      </c>
      <c r="AB1043" t="n">
        <v>1</v>
      </c>
      <c r="AC1043" t="n">
        <v>1</v>
      </c>
      <c r="AD1043" t="n">
        <v>12</v>
      </c>
      <c r="AE1043" t="n">
        <v>12</v>
      </c>
      <c r="AF1043" t="n">
        <v>3</v>
      </c>
      <c r="AG1043" t="n">
        <v>3</v>
      </c>
      <c r="AH1043" t="n">
        <v>3</v>
      </c>
      <c r="AI1043" t="n">
        <v>3</v>
      </c>
      <c r="AJ1043" t="n">
        <v>10</v>
      </c>
      <c r="AK1043" t="n">
        <v>10</v>
      </c>
      <c r="AL1043" t="n">
        <v>0</v>
      </c>
      <c r="AM1043" t="n">
        <v>0</v>
      </c>
      <c r="AN1043" t="n">
        <v>0</v>
      </c>
      <c r="AO1043" t="n">
        <v>0</v>
      </c>
      <c r="AP1043" t="inlineStr">
        <is>
          <t>No</t>
        </is>
      </c>
      <c r="AQ1043" t="inlineStr">
        <is>
          <t>Yes</t>
        </is>
      </c>
      <c r="AR1043">
        <f>HYPERLINK("http://catalog.hathitrust.org/Record/002220445","HathiTrust Record")</f>
        <v/>
      </c>
      <c r="AS1043">
        <f>HYPERLINK("https://creighton-primo.hosted.exlibrisgroup.com/primo-explore/search?tab=default_tab&amp;search_scope=EVERYTHING&amp;vid=01CRU&amp;lang=en_US&amp;offset=0&amp;query=any,contains,991001728619702656","Catalog Record")</f>
        <v/>
      </c>
      <c r="AT1043">
        <f>HYPERLINK("http://www.worldcat.org/oclc/21907375","WorldCat Record")</f>
        <v/>
      </c>
      <c r="AU1043" t="inlineStr">
        <is>
          <t>368252079:eng</t>
        </is>
      </c>
      <c r="AV1043" t="inlineStr">
        <is>
          <t>21907375</t>
        </is>
      </c>
      <c r="AW1043" t="inlineStr">
        <is>
          <t>991001728619702656</t>
        </is>
      </c>
      <c r="AX1043" t="inlineStr">
        <is>
          <t>991001728619702656</t>
        </is>
      </c>
      <c r="AY1043" t="inlineStr">
        <is>
          <t>2272380820002656</t>
        </is>
      </c>
      <c r="AZ1043" t="inlineStr">
        <is>
          <t>BOOK</t>
        </is>
      </c>
      <c r="BB1043" t="inlineStr">
        <is>
          <t>9788170361763</t>
        </is>
      </c>
      <c r="BC1043" t="inlineStr">
        <is>
          <t>32285003312518</t>
        </is>
      </c>
      <c r="BD1043" t="inlineStr">
        <is>
          <t>893522782</t>
        </is>
      </c>
    </row>
    <row r="1044">
      <c r="A1044" t="inlineStr">
        <is>
          <t>No</t>
        </is>
      </c>
      <c r="B1044" t="inlineStr">
        <is>
          <t>DS423 .N37</t>
        </is>
      </c>
      <c r="C1044" t="inlineStr">
        <is>
          <t>0                      DS 0423000N  37</t>
        </is>
      </c>
      <c r="D1044" t="inlineStr">
        <is>
          <t>The elephant and the lotus; essays in philosophy and culture [by] V. S. Naravane. With a foreward by A. L. Basham.</t>
        </is>
      </c>
      <c r="F1044" t="inlineStr">
        <is>
          <t>No</t>
        </is>
      </c>
      <c r="G1044" t="inlineStr">
        <is>
          <t>1</t>
        </is>
      </c>
      <c r="H1044" t="inlineStr">
        <is>
          <t>No</t>
        </is>
      </c>
      <c r="I1044" t="inlineStr">
        <is>
          <t>No</t>
        </is>
      </c>
      <c r="J1044" t="inlineStr">
        <is>
          <t>0</t>
        </is>
      </c>
      <c r="K1044" t="inlineStr">
        <is>
          <t>Naravane, Vishwanath S.</t>
        </is>
      </c>
      <c r="L1044" t="inlineStr">
        <is>
          <t>Bombay, Asia Pub. House [1965]</t>
        </is>
      </c>
      <c r="M1044" t="inlineStr">
        <is>
          <t>1965</t>
        </is>
      </c>
      <c r="O1044" t="inlineStr">
        <is>
          <t>eng</t>
        </is>
      </c>
      <c r="P1044" t="inlineStr">
        <is>
          <t xml:space="preserve">ii </t>
        </is>
      </c>
      <c r="R1044" t="inlineStr">
        <is>
          <t xml:space="preserve">DS </t>
        </is>
      </c>
      <c r="S1044" t="n">
        <v>8</v>
      </c>
      <c r="T1044" t="n">
        <v>8</v>
      </c>
      <c r="U1044" t="inlineStr">
        <is>
          <t>1999-10-02</t>
        </is>
      </c>
      <c r="V1044" t="inlineStr">
        <is>
          <t>1999-10-02</t>
        </is>
      </c>
      <c r="W1044" t="inlineStr">
        <is>
          <t>1996-08-09</t>
        </is>
      </c>
      <c r="X1044" t="inlineStr">
        <is>
          <t>1996-08-09</t>
        </is>
      </c>
      <c r="Y1044" t="n">
        <v>217</v>
      </c>
      <c r="Z1044" t="n">
        <v>187</v>
      </c>
      <c r="AA1044" t="n">
        <v>255</v>
      </c>
      <c r="AB1044" t="n">
        <v>1</v>
      </c>
      <c r="AC1044" t="n">
        <v>2</v>
      </c>
      <c r="AD1044" t="n">
        <v>4</v>
      </c>
      <c r="AE1044" t="n">
        <v>6</v>
      </c>
      <c r="AF1044" t="n">
        <v>1</v>
      </c>
      <c r="AG1044" t="n">
        <v>2</v>
      </c>
      <c r="AH1044" t="n">
        <v>1</v>
      </c>
      <c r="AI1044" t="n">
        <v>1</v>
      </c>
      <c r="AJ1044" t="n">
        <v>2</v>
      </c>
      <c r="AK1044" t="n">
        <v>3</v>
      </c>
      <c r="AL1044" t="n">
        <v>0</v>
      </c>
      <c r="AM1044" t="n">
        <v>1</v>
      </c>
      <c r="AN1044" t="n">
        <v>0</v>
      </c>
      <c r="AO1044" t="n">
        <v>0</v>
      </c>
      <c r="AP1044" t="inlineStr">
        <is>
          <t>No</t>
        </is>
      </c>
      <c r="AQ1044" t="inlineStr">
        <is>
          <t>Yes</t>
        </is>
      </c>
      <c r="AR1044">
        <f>HYPERLINK("http://catalog.hathitrust.org/Record/001250168","HathiTrust Record")</f>
        <v/>
      </c>
      <c r="AS1044">
        <f>HYPERLINK("https://creighton-primo.hosted.exlibrisgroup.com/primo-explore/search?tab=default_tab&amp;search_scope=EVERYTHING&amp;vid=01CRU&amp;lang=en_US&amp;offset=0&amp;query=any,contains,991002715459702656","Catalog Record")</f>
        <v/>
      </c>
      <c r="AT1044">
        <f>HYPERLINK("http://www.worldcat.org/oclc/411154","WorldCat Record")</f>
        <v/>
      </c>
      <c r="AU1044" t="inlineStr">
        <is>
          <t>1456890:eng</t>
        </is>
      </c>
      <c r="AV1044" t="inlineStr">
        <is>
          <t>411154</t>
        </is>
      </c>
      <c r="AW1044" t="inlineStr">
        <is>
          <t>991002715459702656</t>
        </is>
      </c>
      <c r="AX1044" t="inlineStr">
        <is>
          <t>991002715459702656</t>
        </is>
      </c>
      <c r="AY1044" t="inlineStr">
        <is>
          <t>2265123310002656</t>
        </is>
      </c>
      <c r="AZ1044" t="inlineStr">
        <is>
          <t>BOOK</t>
        </is>
      </c>
      <c r="BC1044" t="inlineStr">
        <is>
          <t>32285002272788</t>
        </is>
      </c>
      <c r="BD1044" t="inlineStr">
        <is>
          <t>893329438</t>
        </is>
      </c>
    </row>
    <row r="1045">
      <c r="A1045" t="inlineStr">
        <is>
          <t>No</t>
        </is>
      </c>
      <c r="B1045" t="inlineStr">
        <is>
          <t>DS423 .W45</t>
        </is>
      </c>
      <c r="C1045" t="inlineStr">
        <is>
          <t>0                      DS 0423000W  45</t>
        </is>
      </c>
      <c r="D1045" t="inlineStr">
        <is>
          <t>The history of India, by J. Talboys Wheeler.</t>
        </is>
      </c>
      <c r="E1045" t="inlineStr">
        <is>
          <t>V.2 PT.1</t>
        </is>
      </c>
      <c r="F1045" t="inlineStr">
        <is>
          <t>Yes</t>
        </is>
      </c>
      <c r="G1045" t="inlineStr">
        <is>
          <t>1</t>
        </is>
      </c>
      <c r="H1045" t="inlineStr">
        <is>
          <t>No</t>
        </is>
      </c>
      <c r="I1045" t="inlineStr">
        <is>
          <t>No</t>
        </is>
      </c>
      <c r="J1045" t="inlineStr">
        <is>
          <t>0</t>
        </is>
      </c>
      <c r="K1045" t="inlineStr">
        <is>
          <t>Wheeler, James Talboys, 1824-1897.</t>
        </is>
      </c>
      <c r="L1045" t="inlineStr">
        <is>
          <t>Delhi, Cosmo Publications, 1973-</t>
        </is>
      </c>
      <c r="M1045" t="inlineStr">
        <is>
          <t>1973</t>
        </is>
      </c>
      <c r="O1045" t="inlineStr">
        <is>
          <t>eng</t>
        </is>
      </c>
      <c r="P1045" t="inlineStr">
        <is>
          <t xml:space="preserve">ii </t>
        </is>
      </c>
      <c r="Q1045" t="inlineStr">
        <is>
          <t>Studies in Indian history, 4-5, 7-</t>
        </is>
      </c>
      <c r="R1045" t="inlineStr">
        <is>
          <t xml:space="preserve">DS </t>
        </is>
      </c>
      <c r="S1045" t="n">
        <v>7</v>
      </c>
      <c r="T1045" t="n">
        <v>21</v>
      </c>
      <c r="U1045" t="inlineStr">
        <is>
          <t>2009-09-03</t>
        </is>
      </c>
      <c r="V1045" t="inlineStr">
        <is>
          <t>2009-09-03</t>
        </is>
      </c>
      <c r="W1045" t="inlineStr">
        <is>
          <t>1997-03-06</t>
        </is>
      </c>
      <c r="X1045" t="inlineStr">
        <is>
          <t>1997-03-06</t>
        </is>
      </c>
      <c r="Y1045" t="n">
        <v>97</v>
      </c>
      <c r="Z1045" t="n">
        <v>74</v>
      </c>
      <c r="AA1045" t="n">
        <v>76</v>
      </c>
      <c r="AB1045" t="n">
        <v>2</v>
      </c>
      <c r="AC1045" t="n">
        <v>2</v>
      </c>
      <c r="AD1045" t="n">
        <v>1</v>
      </c>
      <c r="AE1045" t="n">
        <v>1</v>
      </c>
      <c r="AF1045" t="n">
        <v>0</v>
      </c>
      <c r="AG1045" t="n">
        <v>0</v>
      </c>
      <c r="AH1045" t="n">
        <v>0</v>
      </c>
      <c r="AI1045" t="n">
        <v>0</v>
      </c>
      <c r="AJ1045" t="n">
        <v>0</v>
      </c>
      <c r="AK1045" t="n">
        <v>0</v>
      </c>
      <c r="AL1045" t="n">
        <v>1</v>
      </c>
      <c r="AM1045" t="n">
        <v>1</v>
      </c>
      <c r="AN1045" t="n">
        <v>0</v>
      </c>
      <c r="AO1045" t="n">
        <v>0</v>
      </c>
      <c r="AP1045" t="inlineStr">
        <is>
          <t>No</t>
        </is>
      </c>
      <c r="AQ1045" t="inlineStr">
        <is>
          <t>Yes</t>
        </is>
      </c>
      <c r="AR1045">
        <f>HYPERLINK("http://catalog.hathitrust.org/Record/001250756","HathiTrust Record")</f>
        <v/>
      </c>
      <c r="AS1045">
        <f>HYPERLINK("https://creighton-primo.hosted.exlibrisgroup.com/primo-explore/search?tab=default_tab&amp;search_scope=EVERYTHING&amp;vid=01CRU&amp;lang=en_US&amp;offset=0&amp;query=any,contains,991003211839702656","Catalog Record")</f>
        <v/>
      </c>
      <c r="AT1045">
        <f>HYPERLINK("http://www.worldcat.org/oclc/738270","WorldCat Record")</f>
        <v/>
      </c>
      <c r="AU1045" t="inlineStr">
        <is>
          <t>2999527603:eng</t>
        </is>
      </c>
      <c r="AV1045" t="inlineStr">
        <is>
          <t>738270</t>
        </is>
      </c>
      <c r="AW1045" t="inlineStr">
        <is>
          <t>991003211839702656</t>
        </is>
      </c>
      <c r="AX1045" t="inlineStr">
        <is>
          <t>991003211839702656</t>
        </is>
      </c>
      <c r="AY1045" t="inlineStr">
        <is>
          <t>2255534840002656</t>
        </is>
      </c>
      <c r="AZ1045" t="inlineStr">
        <is>
          <t>BOOK</t>
        </is>
      </c>
      <c r="BC1045" t="inlineStr">
        <is>
          <t>32285002456456</t>
        </is>
      </c>
      <c r="BD1045" t="inlineStr">
        <is>
          <t>893422288</t>
        </is>
      </c>
    </row>
    <row r="1046">
      <c r="A1046" t="inlineStr">
        <is>
          <t>No</t>
        </is>
      </c>
      <c r="B1046" t="inlineStr">
        <is>
          <t>DS423 .W45</t>
        </is>
      </c>
      <c r="C1046" t="inlineStr">
        <is>
          <t>0                      DS 0423000W  45</t>
        </is>
      </c>
      <c r="D1046" t="inlineStr">
        <is>
          <t>The history of India, by J. Talboys Wheeler.</t>
        </is>
      </c>
      <c r="E1046" t="inlineStr">
        <is>
          <t>V.2 PT.2</t>
        </is>
      </c>
      <c r="F1046" t="inlineStr">
        <is>
          <t>Yes</t>
        </is>
      </c>
      <c r="G1046" t="inlineStr">
        <is>
          <t>1</t>
        </is>
      </c>
      <c r="H1046" t="inlineStr">
        <is>
          <t>No</t>
        </is>
      </c>
      <c r="I1046" t="inlineStr">
        <is>
          <t>No</t>
        </is>
      </c>
      <c r="J1046" t="inlineStr">
        <is>
          <t>0</t>
        </is>
      </c>
      <c r="K1046" t="inlineStr">
        <is>
          <t>Wheeler, James Talboys, 1824-1897.</t>
        </is>
      </c>
      <c r="L1046" t="inlineStr">
        <is>
          <t>Delhi, Cosmo Publications, 1973-</t>
        </is>
      </c>
      <c r="M1046" t="inlineStr">
        <is>
          <t>1973</t>
        </is>
      </c>
      <c r="O1046" t="inlineStr">
        <is>
          <t>eng</t>
        </is>
      </c>
      <c r="P1046" t="inlineStr">
        <is>
          <t xml:space="preserve">ii </t>
        </is>
      </c>
      <c r="Q1046" t="inlineStr">
        <is>
          <t>Studies in Indian history, 4-5, 7-</t>
        </is>
      </c>
      <c r="R1046" t="inlineStr">
        <is>
          <t xml:space="preserve">DS </t>
        </is>
      </c>
      <c r="S1046" t="n">
        <v>4</v>
      </c>
      <c r="T1046" t="n">
        <v>21</v>
      </c>
      <c r="U1046" t="inlineStr">
        <is>
          <t>2009-09-03</t>
        </is>
      </c>
      <c r="V1046" t="inlineStr">
        <is>
          <t>2009-09-03</t>
        </is>
      </c>
      <c r="W1046" t="inlineStr">
        <is>
          <t>1997-03-06</t>
        </is>
      </c>
      <c r="X1046" t="inlineStr">
        <is>
          <t>1997-03-06</t>
        </is>
      </c>
      <c r="Y1046" t="n">
        <v>97</v>
      </c>
      <c r="Z1046" t="n">
        <v>74</v>
      </c>
      <c r="AA1046" t="n">
        <v>76</v>
      </c>
      <c r="AB1046" t="n">
        <v>2</v>
      </c>
      <c r="AC1046" t="n">
        <v>2</v>
      </c>
      <c r="AD1046" t="n">
        <v>1</v>
      </c>
      <c r="AE1046" t="n">
        <v>1</v>
      </c>
      <c r="AF1046" t="n">
        <v>0</v>
      </c>
      <c r="AG1046" t="n">
        <v>0</v>
      </c>
      <c r="AH1046" t="n">
        <v>0</v>
      </c>
      <c r="AI1046" t="n">
        <v>0</v>
      </c>
      <c r="AJ1046" t="n">
        <v>0</v>
      </c>
      <c r="AK1046" t="n">
        <v>0</v>
      </c>
      <c r="AL1046" t="n">
        <v>1</v>
      </c>
      <c r="AM1046" t="n">
        <v>1</v>
      </c>
      <c r="AN1046" t="n">
        <v>0</v>
      </c>
      <c r="AO1046" t="n">
        <v>0</v>
      </c>
      <c r="AP1046" t="inlineStr">
        <is>
          <t>No</t>
        </is>
      </c>
      <c r="AQ1046" t="inlineStr">
        <is>
          <t>Yes</t>
        </is>
      </c>
      <c r="AR1046">
        <f>HYPERLINK("http://catalog.hathitrust.org/Record/001250756","HathiTrust Record")</f>
        <v/>
      </c>
      <c r="AS1046">
        <f>HYPERLINK("https://creighton-primo.hosted.exlibrisgroup.com/primo-explore/search?tab=default_tab&amp;search_scope=EVERYTHING&amp;vid=01CRU&amp;lang=en_US&amp;offset=0&amp;query=any,contains,991003211839702656","Catalog Record")</f>
        <v/>
      </c>
      <c r="AT1046">
        <f>HYPERLINK("http://www.worldcat.org/oclc/738270","WorldCat Record")</f>
        <v/>
      </c>
      <c r="AU1046" t="inlineStr">
        <is>
          <t>2999527603:eng</t>
        </is>
      </c>
      <c r="AV1046" t="inlineStr">
        <is>
          <t>738270</t>
        </is>
      </c>
      <c r="AW1046" t="inlineStr">
        <is>
          <t>991003211839702656</t>
        </is>
      </c>
      <c r="AX1046" t="inlineStr">
        <is>
          <t>991003211839702656</t>
        </is>
      </c>
      <c r="AY1046" t="inlineStr">
        <is>
          <t>2255534840002656</t>
        </is>
      </c>
      <c r="AZ1046" t="inlineStr">
        <is>
          <t>BOOK</t>
        </is>
      </c>
      <c r="BC1046" t="inlineStr">
        <is>
          <t>32285002456464</t>
        </is>
      </c>
      <c r="BD1046" t="inlineStr">
        <is>
          <t>893422287</t>
        </is>
      </c>
    </row>
    <row r="1047">
      <c r="A1047" t="inlineStr">
        <is>
          <t>No</t>
        </is>
      </c>
      <c r="B1047" t="inlineStr">
        <is>
          <t>DS423 .W45</t>
        </is>
      </c>
      <c r="C1047" t="inlineStr">
        <is>
          <t>0                      DS 0423000W  45</t>
        </is>
      </c>
      <c r="D1047" t="inlineStr">
        <is>
          <t>The history of India, by J. Talboys Wheeler.</t>
        </is>
      </c>
      <c r="E1047" t="inlineStr">
        <is>
          <t>V.1</t>
        </is>
      </c>
      <c r="F1047" t="inlineStr">
        <is>
          <t>Yes</t>
        </is>
      </c>
      <c r="G1047" t="inlineStr">
        <is>
          <t>1</t>
        </is>
      </c>
      <c r="H1047" t="inlineStr">
        <is>
          <t>No</t>
        </is>
      </c>
      <c r="I1047" t="inlineStr">
        <is>
          <t>No</t>
        </is>
      </c>
      <c r="J1047" t="inlineStr">
        <is>
          <t>0</t>
        </is>
      </c>
      <c r="K1047" t="inlineStr">
        <is>
          <t>Wheeler, James Talboys, 1824-1897.</t>
        </is>
      </c>
      <c r="L1047" t="inlineStr">
        <is>
          <t>Delhi, Cosmo Publications, 1973-</t>
        </is>
      </c>
      <c r="M1047" t="inlineStr">
        <is>
          <t>1973</t>
        </is>
      </c>
      <c r="O1047" t="inlineStr">
        <is>
          <t>eng</t>
        </is>
      </c>
      <c r="P1047" t="inlineStr">
        <is>
          <t xml:space="preserve">ii </t>
        </is>
      </c>
      <c r="Q1047" t="inlineStr">
        <is>
          <t>Studies in Indian history, 4-5, 7-</t>
        </is>
      </c>
      <c r="R1047" t="inlineStr">
        <is>
          <t xml:space="preserve">DS </t>
        </is>
      </c>
      <c r="S1047" t="n">
        <v>10</v>
      </c>
      <c r="T1047" t="n">
        <v>21</v>
      </c>
      <c r="U1047" t="inlineStr">
        <is>
          <t>2009-09-03</t>
        </is>
      </c>
      <c r="V1047" t="inlineStr">
        <is>
          <t>2009-09-03</t>
        </is>
      </c>
      <c r="W1047" t="inlineStr">
        <is>
          <t>1997-03-06</t>
        </is>
      </c>
      <c r="X1047" t="inlineStr">
        <is>
          <t>1997-03-06</t>
        </is>
      </c>
      <c r="Y1047" t="n">
        <v>97</v>
      </c>
      <c r="Z1047" t="n">
        <v>74</v>
      </c>
      <c r="AA1047" t="n">
        <v>76</v>
      </c>
      <c r="AB1047" t="n">
        <v>2</v>
      </c>
      <c r="AC1047" t="n">
        <v>2</v>
      </c>
      <c r="AD1047" t="n">
        <v>1</v>
      </c>
      <c r="AE1047" t="n">
        <v>1</v>
      </c>
      <c r="AF1047" t="n">
        <v>0</v>
      </c>
      <c r="AG1047" t="n">
        <v>0</v>
      </c>
      <c r="AH1047" t="n">
        <v>0</v>
      </c>
      <c r="AI1047" t="n">
        <v>0</v>
      </c>
      <c r="AJ1047" t="n">
        <v>0</v>
      </c>
      <c r="AK1047" t="n">
        <v>0</v>
      </c>
      <c r="AL1047" t="n">
        <v>1</v>
      </c>
      <c r="AM1047" t="n">
        <v>1</v>
      </c>
      <c r="AN1047" t="n">
        <v>0</v>
      </c>
      <c r="AO1047" t="n">
        <v>0</v>
      </c>
      <c r="AP1047" t="inlineStr">
        <is>
          <t>No</t>
        </is>
      </c>
      <c r="AQ1047" t="inlineStr">
        <is>
          <t>Yes</t>
        </is>
      </c>
      <c r="AR1047">
        <f>HYPERLINK("http://catalog.hathitrust.org/Record/001250756","HathiTrust Record")</f>
        <v/>
      </c>
      <c r="AS1047">
        <f>HYPERLINK("https://creighton-primo.hosted.exlibrisgroup.com/primo-explore/search?tab=default_tab&amp;search_scope=EVERYTHING&amp;vid=01CRU&amp;lang=en_US&amp;offset=0&amp;query=any,contains,991003211839702656","Catalog Record")</f>
        <v/>
      </c>
      <c r="AT1047">
        <f>HYPERLINK("http://www.worldcat.org/oclc/738270","WorldCat Record")</f>
        <v/>
      </c>
      <c r="AU1047" t="inlineStr">
        <is>
          <t>2999527603:eng</t>
        </is>
      </c>
      <c r="AV1047" t="inlineStr">
        <is>
          <t>738270</t>
        </is>
      </c>
      <c r="AW1047" t="inlineStr">
        <is>
          <t>991003211839702656</t>
        </is>
      </c>
      <c r="AX1047" t="inlineStr">
        <is>
          <t>991003211839702656</t>
        </is>
      </c>
      <c r="AY1047" t="inlineStr">
        <is>
          <t>2255534840002656</t>
        </is>
      </c>
      <c r="AZ1047" t="inlineStr">
        <is>
          <t>BOOK</t>
        </is>
      </c>
      <c r="BC1047" t="inlineStr">
        <is>
          <t>32285002456449</t>
        </is>
      </c>
      <c r="BD1047" t="inlineStr">
        <is>
          <t>893422289</t>
        </is>
      </c>
    </row>
    <row r="1048">
      <c r="A1048" t="inlineStr">
        <is>
          <t>No</t>
        </is>
      </c>
      <c r="B1048" t="inlineStr">
        <is>
          <t>DS423.B33 C8</t>
        </is>
      </c>
      <c r="C1048" t="inlineStr">
        <is>
          <t>0                      DS 0423000B  33                 C  8</t>
        </is>
      </c>
      <c r="D1048" t="inlineStr">
        <is>
          <t>The culture of India / by Tara Ali Baig.</t>
        </is>
      </c>
      <c r="F1048" t="inlineStr">
        <is>
          <t>No</t>
        </is>
      </c>
      <c r="G1048" t="inlineStr">
        <is>
          <t>1</t>
        </is>
      </c>
      <c r="H1048" t="inlineStr">
        <is>
          <t>No</t>
        </is>
      </c>
      <c r="I1048" t="inlineStr">
        <is>
          <t>No</t>
        </is>
      </c>
      <c r="J1048" t="inlineStr">
        <is>
          <t>0</t>
        </is>
      </c>
      <c r="K1048" t="inlineStr">
        <is>
          <t>Baig, Tara Ali.</t>
        </is>
      </c>
      <c r="L1048" t="inlineStr">
        <is>
          <t>Quezon City : University of the Philippines, 1955.</t>
        </is>
      </c>
      <c r="M1048" t="inlineStr">
        <is>
          <t>1955</t>
        </is>
      </c>
      <c r="O1048" t="inlineStr">
        <is>
          <t>eng</t>
        </is>
      </c>
      <c r="P1048" t="inlineStr">
        <is>
          <t xml:space="preserve">ph </t>
        </is>
      </c>
      <c r="R1048" t="inlineStr">
        <is>
          <t xml:space="preserve">DS </t>
        </is>
      </c>
      <c r="S1048" t="n">
        <v>7</v>
      </c>
      <c r="T1048" t="n">
        <v>7</v>
      </c>
      <c r="U1048" t="inlineStr">
        <is>
          <t>2001-03-14</t>
        </is>
      </c>
      <c r="V1048" t="inlineStr">
        <is>
          <t>2001-03-14</t>
        </is>
      </c>
      <c r="W1048" t="inlineStr">
        <is>
          <t>1997-03-06</t>
        </is>
      </c>
      <c r="X1048" t="inlineStr">
        <is>
          <t>1997-03-06</t>
        </is>
      </c>
      <c r="Y1048" t="n">
        <v>61</v>
      </c>
      <c r="Z1048" t="n">
        <v>44</v>
      </c>
      <c r="AA1048" t="n">
        <v>47</v>
      </c>
      <c r="AB1048" t="n">
        <v>1</v>
      </c>
      <c r="AC1048" t="n">
        <v>1</v>
      </c>
      <c r="AD1048" t="n">
        <v>2</v>
      </c>
      <c r="AE1048" t="n">
        <v>2</v>
      </c>
      <c r="AF1048" t="n">
        <v>0</v>
      </c>
      <c r="AG1048" t="n">
        <v>0</v>
      </c>
      <c r="AH1048" t="n">
        <v>0</v>
      </c>
      <c r="AI1048" t="n">
        <v>0</v>
      </c>
      <c r="AJ1048" t="n">
        <v>2</v>
      </c>
      <c r="AK1048" t="n">
        <v>2</v>
      </c>
      <c r="AL1048" t="n">
        <v>0</v>
      </c>
      <c r="AM1048" t="n">
        <v>0</v>
      </c>
      <c r="AN1048" t="n">
        <v>0</v>
      </c>
      <c r="AO1048" t="n">
        <v>0</v>
      </c>
      <c r="AP1048" t="inlineStr">
        <is>
          <t>No</t>
        </is>
      </c>
      <c r="AQ1048" t="inlineStr">
        <is>
          <t>Yes</t>
        </is>
      </c>
      <c r="AR1048">
        <f>HYPERLINK("http://catalog.hathitrust.org/Record/001867242","HathiTrust Record")</f>
        <v/>
      </c>
      <c r="AS1048">
        <f>HYPERLINK("https://creighton-primo.hosted.exlibrisgroup.com/primo-explore/search?tab=default_tab&amp;search_scope=EVERYTHING&amp;vid=01CRU&amp;lang=en_US&amp;offset=0&amp;query=any,contains,991000306259702656","Catalog Record")</f>
        <v/>
      </c>
      <c r="AT1048">
        <f>HYPERLINK("http://www.worldcat.org/oclc/10070793","WorldCat Record")</f>
        <v/>
      </c>
      <c r="AU1048" t="inlineStr">
        <is>
          <t>3037469:eng</t>
        </is>
      </c>
      <c r="AV1048" t="inlineStr">
        <is>
          <t>10070793</t>
        </is>
      </c>
      <c r="AW1048" t="inlineStr">
        <is>
          <t>991000306259702656</t>
        </is>
      </c>
      <c r="AX1048" t="inlineStr">
        <is>
          <t>991000306259702656</t>
        </is>
      </c>
      <c r="AY1048" t="inlineStr">
        <is>
          <t>2264445660002656</t>
        </is>
      </c>
      <c r="AZ1048" t="inlineStr">
        <is>
          <t>BOOK</t>
        </is>
      </c>
      <c r="BC1048" t="inlineStr">
        <is>
          <t>32285002456415</t>
        </is>
      </c>
      <c r="BD1048" t="inlineStr">
        <is>
          <t>893689603</t>
        </is>
      </c>
    </row>
    <row r="1049">
      <c r="A1049" t="inlineStr">
        <is>
          <t>No</t>
        </is>
      </c>
      <c r="B1049" t="inlineStr">
        <is>
          <t>DS425 .A66 1982</t>
        </is>
      </c>
      <c r="C1049" t="inlineStr">
        <is>
          <t>0                      DS 0425000A  66          1982</t>
        </is>
      </c>
      <c r="D1049" t="inlineStr">
        <is>
          <t>The rise of civilization in India and Pakistan / Bridget and Raymond Allchin.</t>
        </is>
      </c>
      <c r="F1049" t="inlineStr">
        <is>
          <t>No</t>
        </is>
      </c>
      <c r="G1049" t="inlineStr">
        <is>
          <t>1</t>
        </is>
      </c>
      <c r="H1049" t="inlineStr">
        <is>
          <t>No</t>
        </is>
      </c>
      <c r="I1049" t="inlineStr">
        <is>
          <t>No</t>
        </is>
      </c>
      <c r="J1049" t="inlineStr">
        <is>
          <t>0</t>
        </is>
      </c>
      <c r="K1049" t="inlineStr">
        <is>
          <t>Allchin, Bridget.</t>
        </is>
      </c>
      <c r="L1049" t="inlineStr">
        <is>
          <t>Cambridge ; New York : Cambridge University Press, 1982.</t>
        </is>
      </c>
      <c r="M1049" t="inlineStr">
        <is>
          <t>1982</t>
        </is>
      </c>
      <c r="O1049" t="inlineStr">
        <is>
          <t>eng</t>
        </is>
      </c>
      <c r="P1049" t="inlineStr">
        <is>
          <t>enk</t>
        </is>
      </c>
      <c r="R1049" t="inlineStr">
        <is>
          <t xml:space="preserve">DS </t>
        </is>
      </c>
      <c r="S1049" t="n">
        <v>16</v>
      </c>
      <c r="T1049" t="n">
        <v>16</v>
      </c>
      <c r="U1049" t="inlineStr">
        <is>
          <t>2007-06-18</t>
        </is>
      </c>
      <c r="V1049" t="inlineStr">
        <is>
          <t>2007-06-18</t>
        </is>
      </c>
      <c r="W1049" t="inlineStr">
        <is>
          <t>1990-10-08</t>
        </is>
      </c>
      <c r="X1049" t="inlineStr">
        <is>
          <t>1990-10-08</t>
        </is>
      </c>
      <c r="Y1049" t="n">
        <v>656</v>
      </c>
      <c r="Z1049" t="n">
        <v>442</v>
      </c>
      <c r="AA1049" t="n">
        <v>446</v>
      </c>
      <c r="AB1049" t="n">
        <v>4</v>
      </c>
      <c r="AC1049" t="n">
        <v>4</v>
      </c>
      <c r="AD1049" t="n">
        <v>18</v>
      </c>
      <c r="AE1049" t="n">
        <v>18</v>
      </c>
      <c r="AF1049" t="n">
        <v>7</v>
      </c>
      <c r="AG1049" t="n">
        <v>7</v>
      </c>
      <c r="AH1049" t="n">
        <v>4</v>
      </c>
      <c r="AI1049" t="n">
        <v>4</v>
      </c>
      <c r="AJ1049" t="n">
        <v>10</v>
      </c>
      <c r="AK1049" t="n">
        <v>10</v>
      </c>
      <c r="AL1049" t="n">
        <v>3</v>
      </c>
      <c r="AM1049" t="n">
        <v>3</v>
      </c>
      <c r="AN1049" t="n">
        <v>0</v>
      </c>
      <c r="AO1049" t="n">
        <v>0</v>
      </c>
      <c r="AP1049" t="inlineStr">
        <is>
          <t>No</t>
        </is>
      </c>
      <c r="AQ1049" t="inlineStr">
        <is>
          <t>No</t>
        </is>
      </c>
      <c r="AS1049">
        <f>HYPERLINK("https://creighton-primo.hosted.exlibrisgroup.com/primo-explore/search?tab=default_tab&amp;search_scope=EVERYTHING&amp;vid=01CRU&amp;lang=en_US&amp;offset=0&amp;query=any,contains,991005393799702656","Catalog Record")</f>
        <v/>
      </c>
      <c r="AT1049">
        <f>HYPERLINK("http://www.worldcat.org/oclc/8193940","WorldCat Record")</f>
        <v/>
      </c>
      <c r="AU1049" t="inlineStr">
        <is>
          <t>505705:eng</t>
        </is>
      </c>
      <c r="AV1049" t="inlineStr">
        <is>
          <t>8193940</t>
        </is>
      </c>
      <c r="AW1049" t="inlineStr">
        <is>
          <t>991005393799702656</t>
        </is>
      </c>
      <c r="AX1049" t="inlineStr">
        <is>
          <t>991005393799702656</t>
        </is>
      </c>
      <c r="AY1049" t="inlineStr">
        <is>
          <t>2266766720002656</t>
        </is>
      </c>
      <c r="AZ1049" t="inlineStr">
        <is>
          <t>BOOK</t>
        </is>
      </c>
      <c r="BB1049" t="inlineStr">
        <is>
          <t>9780521242448</t>
        </is>
      </c>
      <c r="BC1049" t="inlineStr">
        <is>
          <t>32285000336338</t>
        </is>
      </c>
      <c r="BD1049" t="inlineStr">
        <is>
          <t>893326693</t>
        </is>
      </c>
    </row>
    <row r="1050">
      <c r="A1050" t="inlineStr">
        <is>
          <t>No</t>
        </is>
      </c>
      <c r="B1050" t="inlineStr">
        <is>
          <t>DS425 .A953 1965</t>
        </is>
      </c>
      <c r="C1050" t="inlineStr">
        <is>
          <t>0                      DS 0425000A  953         1965</t>
        </is>
      </c>
      <c r="D1050" t="inlineStr">
        <is>
          <t>Daily life in ancient India : from approximately 200 B.C. to 700 A.D. / translated from the French by Simon Watson Taylor.</t>
        </is>
      </c>
      <c r="F1050" t="inlineStr">
        <is>
          <t>No</t>
        </is>
      </c>
      <c r="G1050" t="inlineStr">
        <is>
          <t>1</t>
        </is>
      </c>
      <c r="H1050" t="inlineStr">
        <is>
          <t>No</t>
        </is>
      </c>
      <c r="I1050" t="inlineStr">
        <is>
          <t>No</t>
        </is>
      </c>
      <c r="J1050" t="inlineStr">
        <is>
          <t>0</t>
        </is>
      </c>
      <c r="K1050" t="inlineStr">
        <is>
          <t>Auboyer, Jeannine.</t>
        </is>
      </c>
      <c r="L1050" t="inlineStr">
        <is>
          <t>New York : Macmillan, 1965.</t>
        </is>
      </c>
      <c r="M1050" t="inlineStr">
        <is>
          <t>1965</t>
        </is>
      </c>
      <c r="N1050" t="inlineStr">
        <is>
          <t>[1st American ed.]</t>
        </is>
      </c>
      <c r="O1050" t="inlineStr">
        <is>
          <t>eng</t>
        </is>
      </c>
      <c r="P1050" t="inlineStr">
        <is>
          <t>nyu</t>
        </is>
      </c>
      <c r="Q1050" t="inlineStr">
        <is>
          <t>Daily life series</t>
        </is>
      </c>
      <c r="R1050" t="inlineStr">
        <is>
          <t xml:space="preserve">DS </t>
        </is>
      </c>
      <c r="S1050" t="n">
        <v>13</v>
      </c>
      <c r="T1050" t="n">
        <v>13</v>
      </c>
      <c r="U1050" t="inlineStr">
        <is>
          <t>2009-08-30</t>
        </is>
      </c>
      <c r="V1050" t="inlineStr">
        <is>
          <t>2009-08-30</t>
        </is>
      </c>
      <c r="W1050" t="inlineStr">
        <is>
          <t>1993-03-26</t>
        </is>
      </c>
      <c r="X1050" t="inlineStr">
        <is>
          <t>1993-03-26</t>
        </is>
      </c>
      <c r="Y1050" t="n">
        <v>732</v>
      </c>
      <c r="Z1050" t="n">
        <v>696</v>
      </c>
      <c r="AA1050" t="n">
        <v>797</v>
      </c>
      <c r="AB1050" t="n">
        <v>5</v>
      </c>
      <c r="AC1050" t="n">
        <v>7</v>
      </c>
      <c r="AD1050" t="n">
        <v>19</v>
      </c>
      <c r="AE1050" t="n">
        <v>23</v>
      </c>
      <c r="AF1050" t="n">
        <v>8</v>
      </c>
      <c r="AG1050" t="n">
        <v>9</v>
      </c>
      <c r="AH1050" t="n">
        <v>2</v>
      </c>
      <c r="AI1050" t="n">
        <v>2</v>
      </c>
      <c r="AJ1050" t="n">
        <v>7</v>
      </c>
      <c r="AK1050" t="n">
        <v>10</v>
      </c>
      <c r="AL1050" t="n">
        <v>3</v>
      </c>
      <c r="AM1050" t="n">
        <v>4</v>
      </c>
      <c r="AN1050" t="n">
        <v>0</v>
      </c>
      <c r="AO1050" t="n">
        <v>0</v>
      </c>
      <c r="AP1050" t="inlineStr">
        <is>
          <t>No</t>
        </is>
      </c>
      <c r="AQ1050" t="inlineStr">
        <is>
          <t>Yes</t>
        </is>
      </c>
      <c r="AR1050">
        <f>HYPERLINK("http://catalog.hathitrust.org/Record/001249904","HathiTrust Record")</f>
        <v/>
      </c>
      <c r="AS1050">
        <f>HYPERLINK("https://creighton-primo.hosted.exlibrisgroup.com/primo-explore/search?tab=default_tab&amp;search_scope=EVERYTHING&amp;vid=01CRU&amp;lang=en_US&amp;offset=0&amp;query=any,contains,991003790699702656","Catalog Record")</f>
        <v/>
      </c>
      <c r="AT1050">
        <f>HYPERLINK("http://www.worldcat.org/oclc/1509398","WorldCat Record")</f>
        <v/>
      </c>
      <c r="AU1050" t="inlineStr">
        <is>
          <t>9494196:eng</t>
        </is>
      </c>
      <c r="AV1050" t="inlineStr">
        <is>
          <t>1509398</t>
        </is>
      </c>
      <c r="AW1050" t="inlineStr">
        <is>
          <t>991003790699702656</t>
        </is>
      </c>
      <c r="AX1050" t="inlineStr">
        <is>
          <t>991003790699702656</t>
        </is>
      </c>
      <c r="AY1050" t="inlineStr">
        <is>
          <t>2255716750002656</t>
        </is>
      </c>
      <c r="AZ1050" t="inlineStr">
        <is>
          <t>BOOK</t>
        </is>
      </c>
      <c r="BC1050" t="inlineStr">
        <is>
          <t>32285001591774</t>
        </is>
      </c>
      <c r="BD1050" t="inlineStr">
        <is>
          <t>893617773</t>
        </is>
      </c>
    </row>
    <row r="1051">
      <c r="A1051" t="inlineStr">
        <is>
          <t>No</t>
        </is>
      </c>
      <c r="B1051" t="inlineStr">
        <is>
          <t>DS425 .B33 1959</t>
        </is>
      </c>
      <c r="C1051" t="inlineStr">
        <is>
          <t>0                      DS 0425000B  33          1959</t>
        </is>
      </c>
      <c r="D1051" t="inlineStr">
        <is>
          <t>The wonder that was India : a survey of the culture of the Indian sub-continent before the coming of the Muslims.</t>
        </is>
      </c>
      <c r="F1051" t="inlineStr">
        <is>
          <t>No</t>
        </is>
      </c>
      <c r="G1051" t="inlineStr">
        <is>
          <t>1</t>
        </is>
      </c>
      <c r="H1051" t="inlineStr">
        <is>
          <t>No</t>
        </is>
      </c>
      <c r="I1051" t="inlineStr">
        <is>
          <t>No</t>
        </is>
      </c>
      <c r="J1051" t="inlineStr">
        <is>
          <t>0</t>
        </is>
      </c>
      <c r="K1051" t="inlineStr">
        <is>
          <t>Basham, A. L. (Arthur Llewellyn)</t>
        </is>
      </c>
      <c r="L1051" t="inlineStr">
        <is>
          <t>New York : Grove Press, [1959]</t>
        </is>
      </c>
      <c r="M1051" t="inlineStr">
        <is>
          <t>1959</t>
        </is>
      </c>
      <c r="O1051" t="inlineStr">
        <is>
          <t>eng</t>
        </is>
      </c>
      <c r="P1051" t="inlineStr">
        <is>
          <t>nyu</t>
        </is>
      </c>
      <c r="Q1051" t="inlineStr">
        <is>
          <t>Evergreen encyclopedia ; v. 1 (E-145)</t>
        </is>
      </c>
      <c r="R1051" t="inlineStr">
        <is>
          <t xml:space="preserve">DS </t>
        </is>
      </c>
      <c r="S1051" t="n">
        <v>12</v>
      </c>
      <c r="T1051" t="n">
        <v>12</v>
      </c>
      <c r="U1051" t="inlineStr">
        <is>
          <t>2001-10-29</t>
        </is>
      </c>
      <c r="V1051" t="inlineStr">
        <is>
          <t>2001-10-29</t>
        </is>
      </c>
      <c r="W1051" t="inlineStr">
        <is>
          <t>1993-07-23</t>
        </is>
      </c>
      <c r="X1051" t="inlineStr">
        <is>
          <t>1993-07-23</t>
        </is>
      </c>
      <c r="Y1051" t="n">
        <v>580</v>
      </c>
      <c r="Z1051" t="n">
        <v>532</v>
      </c>
      <c r="AA1051" t="n">
        <v>1663</v>
      </c>
      <c r="AB1051" t="n">
        <v>5</v>
      </c>
      <c r="AC1051" t="n">
        <v>9</v>
      </c>
      <c r="AD1051" t="n">
        <v>21</v>
      </c>
      <c r="AE1051" t="n">
        <v>56</v>
      </c>
      <c r="AF1051" t="n">
        <v>8</v>
      </c>
      <c r="AG1051" t="n">
        <v>23</v>
      </c>
      <c r="AH1051" t="n">
        <v>3</v>
      </c>
      <c r="AI1051" t="n">
        <v>11</v>
      </c>
      <c r="AJ1051" t="n">
        <v>9</v>
      </c>
      <c r="AK1051" t="n">
        <v>24</v>
      </c>
      <c r="AL1051" t="n">
        <v>4</v>
      </c>
      <c r="AM1051" t="n">
        <v>8</v>
      </c>
      <c r="AN1051" t="n">
        <v>0</v>
      </c>
      <c r="AO1051" t="n">
        <v>2</v>
      </c>
      <c r="AP1051" t="inlineStr">
        <is>
          <t>No</t>
        </is>
      </c>
      <c r="AQ1051" t="inlineStr">
        <is>
          <t>Yes</t>
        </is>
      </c>
      <c r="AR1051">
        <f>HYPERLINK("http://catalog.hathitrust.org/Record/001250254","HathiTrust Record")</f>
        <v/>
      </c>
      <c r="AS1051">
        <f>HYPERLINK("https://creighton-primo.hosted.exlibrisgroup.com/primo-explore/search?tab=default_tab&amp;search_scope=EVERYTHING&amp;vid=01CRU&amp;lang=en_US&amp;offset=0&amp;query=any,contains,991005355479702656","Catalog Record")</f>
        <v/>
      </c>
      <c r="AT1051">
        <f>HYPERLINK("http://www.worldcat.org/oclc/445761","WorldCat Record")</f>
        <v/>
      </c>
      <c r="AU1051" t="inlineStr">
        <is>
          <t>1314469:eng</t>
        </is>
      </c>
      <c r="AV1051" t="inlineStr">
        <is>
          <t>445761</t>
        </is>
      </c>
      <c r="AW1051" t="inlineStr">
        <is>
          <t>991005355479702656</t>
        </is>
      </c>
      <c r="AX1051" t="inlineStr">
        <is>
          <t>991005355479702656</t>
        </is>
      </c>
      <c r="AY1051" t="inlineStr">
        <is>
          <t>2263042960002656</t>
        </is>
      </c>
      <c r="AZ1051" t="inlineStr">
        <is>
          <t>BOOK</t>
        </is>
      </c>
      <c r="BC1051" t="inlineStr">
        <is>
          <t>32285001724995</t>
        </is>
      </c>
      <c r="BD1051" t="inlineStr">
        <is>
          <t>893230570</t>
        </is>
      </c>
    </row>
    <row r="1052">
      <c r="A1052" t="inlineStr">
        <is>
          <t>No</t>
        </is>
      </c>
      <c r="B1052" t="inlineStr">
        <is>
          <t>DS425 .B7</t>
        </is>
      </c>
      <c r="C1052" t="inlineStr">
        <is>
          <t>0                      DS 0425000B  7</t>
        </is>
      </c>
      <c r="D1052" t="inlineStr">
        <is>
          <t>Man in the universe; some continuities in Indian thought [by] W. Norman Brown.</t>
        </is>
      </c>
      <c r="F1052" t="inlineStr">
        <is>
          <t>No</t>
        </is>
      </c>
      <c r="G1052" t="inlineStr">
        <is>
          <t>1</t>
        </is>
      </c>
      <c r="H1052" t="inlineStr">
        <is>
          <t>No</t>
        </is>
      </c>
      <c r="I1052" t="inlineStr">
        <is>
          <t>No</t>
        </is>
      </c>
      <c r="J1052" t="inlineStr">
        <is>
          <t>0</t>
        </is>
      </c>
      <c r="K1052" t="inlineStr">
        <is>
          <t>Brown, W. Norman (William Norman), 1892-1975.</t>
        </is>
      </c>
      <c r="L1052" t="inlineStr">
        <is>
          <t>Berkeley, University of California Press, 1966.</t>
        </is>
      </c>
      <c r="M1052" t="inlineStr">
        <is>
          <t>1966</t>
        </is>
      </c>
      <c r="O1052" t="inlineStr">
        <is>
          <t>eng</t>
        </is>
      </c>
      <c r="P1052" t="inlineStr">
        <is>
          <t>cau</t>
        </is>
      </c>
      <c r="Q1052" t="inlineStr">
        <is>
          <t>The Rabindranath Tagore memorial lectures, 4th ser., 1965</t>
        </is>
      </c>
      <c r="R1052" t="inlineStr">
        <is>
          <t xml:space="preserve">DS </t>
        </is>
      </c>
      <c r="S1052" t="n">
        <v>4</v>
      </c>
      <c r="T1052" t="n">
        <v>4</v>
      </c>
      <c r="U1052" t="inlineStr">
        <is>
          <t>2001-04-01</t>
        </is>
      </c>
      <c r="V1052" t="inlineStr">
        <is>
          <t>2001-04-01</t>
        </is>
      </c>
      <c r="W1052" t="inlineStr">
        <is>
          <t>1997-03-06</t>
        </is>
      </c>
      <c r="X1052" t="inlineStr">
        <is>
          <t>1997-03-06</t>
        </is>
      </c>
      <c r="Y1052" t="n">
        <v>683</v>
      </c>
      <c r="Z1052" t="n">
        <v>589</v>
      </c>
      <c r="AA1052" t="n">
        <v>630</v>
      </c>
      <c r="AB1052" t="n">
        <v>4</v>
      </c>
      <c r="AC1052" t="n">
        <v>4</v>
      </c>
      <c r="AD1052" t="n">
        <v>25</v>
      </c>
      <c r="AE1052" t="n">
        <v>26</v>
      </c>
      <c r="AF1052" t="n">
        <v>6</v>
      </c>
      <c r="AG1052" t="n">
        <v>6</v>
      </c>
      <c r="AH1052" t="n">
        <v>6</v>
      </c>
      <c r="AI1052" t="n">
        <v>7</v>
      </c>
      <c r="AJ1052" t="n">
        <v>15</v>
      </c>
      <c r="AK1052" t="n">
        <v>15</v>
      </c>
      <c r="AL1052" t="n">
        <v>3</v>
      </c>
      <c r="AM1052" t="n">
        <v>3</v>
      </c>
      <c r="AN1052" t="n">
        <v>1</v>
      </c>
      <c r="AO1052" t="n">
        <v>1</v>
      </c>
      <c r="AP1052" t="inlineStr">
        <is>
          <t>No</t>
        </is>
      </c>
      <c r="AQ1052" t="inlineStr">
        <is>
          <t>No</t>
        </is>
      </c>
      <c r="AS1052">
        <f>HYPERLINK("https://creighton-primo.hosted.exlibrisgroup.com/primo-explore/search?tab=default_tab&amp;search_scope=EVERYTHING&amp;vid=01CRU&amp;lang=en_US&amp;offset=0&amp;query=any,contains,991002554159702656","Catalog Record")</f>
        <v/>
      </c>
      <c r="AT1052">
        <f>HYPERLINK("http://www.worldcat.org/oclc/370820","WorldCat Record")</f>
        <v/>
      </c>
      <c r="AU1052" t="inlineStr">
        <is>
          <t>198799540:eng</t>
        </is>
      </c>
      <c r="AV1052" t="inlineStr">
        <is>
          <t>370820</t>
        </is>
      </c>
      <c r="AW1052" t="inlineStr">
        <is>
          <t>991002554159702656</t>
        </is>
      </c>
      <c r="AX1052" t="inlineStr">
        <is>
          <t>991002554159702656</t>
        </is>
      </c>
      <c r="AY1052" t="inlineStr">
        <is>
          <t>2259864030002656</t>
        </is>
      </c>
      <c r="AZ1052" t="inlineStr">
        <is>
          <t>BOOK</t>
        </is>
      </c>
      <c r="BC1052" t="inlineStr">
        <is>
          <t>32285002456480</t>
        </is>
      </c>
      <c r="BD1052" t="inlineStr">
        <is>
          <t>893352388</t>
        </is>
      </c>
    </row>
    <row r="1053">
      <c r="A1053" t="inlineStr">
        <is>
          <t>No</t>
        </is>
      </c>
      <c r="B1053" t="inlineStr">
        <is>
          <t>DS425 .C55</t>
        </is>
      </c>
      <c r="C1053" t="inlineStr">
        <is>
          <t>0                      DS 0425000C  55</t>
        </is>
      </c>
      <c r="D1053" t="inlineStr">
        <is>
          <t>Traditional India, edited by O. L. Chavarria-Aguilar.</t>
        </is>
      </c>
      <c r="F1053" t="inlineStr">
        <is>
          <t>No</t>
        </is>
      </c>
      <c r="G1053" t="inlineStr">
        <is>
          <t>1</t>
        </is>
      </c>
      <c r="H1053" t="inlineStr">
        <is>
          <t>No</t>
        </is>
      </c>
      <c r="I1053" t="inlineStr">
        <is>
          <t>No</t>
        </is>
      </c>
      <c r="J1053" t="inlineStr">
        <is>
          <t>0</t>
        </is>
      </c>
      <c r="K1053" t="inlineStr">
        <is>
          <t>Chavarría-Aguilar, Oscar Luis, editor.</t>
        </is>
      </c>
      <c r="L1053" t="inlineStr">
        <is>
          <t>Englewood Cliffs, N.J., Prentice-Hall [1964]</t>
        </is>
      </c>
      <c r="M1053" t="inlineStr">
        <is>
          <t>1964</t>
        </is>
      </c>
      <c r="O1053" t="inlineStr">
        <is>
          <t>eng</t>
        </is>
      </c>
      <c r="P1053" t="inlineStr">
        <is>
          <t>nju</t>
        </is>
      </c>
      <c r="Q1053" t="inlineStr">
        <is>
          <t>A Spectrum book.</t>
        </is>
      </c>
      <c r="R1053" t="inlineStr">
        <is>
          <t xml:space="preserve">DS </t>
        </is>
      </c>
      <c r="S1053" t="n">
        <v>2</v>
      </c>
      <c r="T1053" t="n">
        <v>2</v>
      </c>
      <c r="U1053" t="inlineStr">
        <is>
          <t>2002-04-13</t>
        </is>
      </c>
      <c r="V1053" t="inlineStr">
        <is>
          <t>2002-04-13</t>
        </is>
      </c>
      <c r="W1053" t="inlineStr">
        <is>
          <t>1997-03-06</t>
        </is>
      </c>
      <c r="X1053" t="inlineStr">
        <is>
          <t>1997-03-06</t>
        </is>
      </c>
      <c r="Y1053" t="n">
        <v>731</v>
      </c>
      <c r="Z1053" t="n">
        <v>631</v>
      </c>
      <c r="AA1053" t="n">
        <v>636</v>
      </c>
      <c r="AB1053" t="n">
        <v>6</v>
      </c>
      <c r="AC1053" t="n">
        <v>6</v>
      </c>
      <c r="AD1053" t="n">
        <v>29</v>
      </c>
      <c r="AE1053" t="n">
        <v>29</v>
      </c>
      <c r="AF1053" t="n">
        <v>9</v>
      </c>
      <c r="AG1053" t="n">
        <v>9</v>
      </c>
      <c r="AH1053" t="n">
        <v>6</v>
      </c>
      <c r="AI1053" t="n">
        <v>6</v>
      </c>
      <c r="AJ1053" t="n">
        <v>14</v>
      </c>
      <c r="AK1053" t="n">
        <v>14</v>
      </c>
      <c r="AL1053" t="n">
        <v>5</v>
      </c>
      <c r="AM1053" t="n">
        <v>5</v>
      </c>
      <c r="AN1053" t="n">
        <v>0</v>
      </c>
      <c r="AO1053" t="n">
        <v>0</v>
      </c>
      <c r="AP1053" t="inlineStr">
        <is>
          <t>No</t>
        </is>
      </c>
      <c r="AQ1053" t="inlineStr">
        <is>
          <t>Yes</t>
        </is>
      </c>
      <c r="AR1053">
        <f>HYPERLINK("http://catalog.hathitrust.org/Record/001250264","HathiTrust Record")</f>
        <v/>
      </c>
      <c r="AS1053">
        <f>HYPERLINK("https://creighton-primo.hosted.exlibrisgroup.com/primo-explore/search?tab=default_tab&amp;search_scope=EVERYTHING&amp;vid=01CRU&amp;lang=en_US&amp;offset=0&amp;query=any,contains,991002755699702656","Catalog Record")</f>
        <v/>
      </c>
      <c r="AT1053">
        <f>HYPERLINK("http://www.worldcat.org/oclc/426380","WorldCat Record")</f>
        <v/>
      </c>
      <c r="AU1053" t="inlineStr">
        <is>
          <t>1520016:eng</t>
        </is>
      </c>
      <c r="AV1053" t="inlineStr">
        <is>
          <t>426380</t>
        </is>
      </c>
      <c r="AW1053" t="inlineStr">
        <is>
          <t>991002755699702656</t>
        </is>
      </c>
      <c r="AX1053" t="inlineStr">
        <is>
          <t>991002755699702656</t>
        </is>
      </c>
      <c r="AY1053" t="inlineStr">
        <is>
          <t>2265322590002656</t>
        </is>
      </c>
      <c r="AZ1053" t="inlineStr">
        <is>
          <t>BOOK</t>
        </is>
      </c>
      <c r="BC1053" t="inlineStr">
        <is>
          <t>32285002456498</t>
        </is>
      </c>
      <c r="BD1053" t="inlineStr">
        <is>
          <t>893616534</t>
        </is>
      </c>
    </row>
    <row r="1054">
      <c r="A1054" t="inlineStr">
        <is>
          <t>No</t>
        </is>
      </c>
      <c r="B1054" t="inlineStr">
        <is>
          <t>DS425 .D82 1972</t>
        </is>
      </c>
      <c r="C1054" t="inlineStr">
        <is>
          <t>0                      DS 0425000D  82          1972</t>
        </is>
      </c>
      <c r="D1054" t="inlineStr">
        <is>
          <t>A history of civilisation in ancient India, based on Sanscrit literature.</t>
        </is>
      </c>
      <c r="E1054" t="inlineStr">
        <is>
          <t>V.1</t>
        </is>
      </c>
      <c r="F1054" t="inlineStr">
        <is>
          <t>Yes</t>
        </is>
      </c>
      <c r="G1054" t="inlineStr">
        <is>
          <t>1</t>
        </is>
      </c>
      <c r="H1054" t="inlineStr">
        <is>
          <t>No</t>
        </is>
      </c>
      <c r="I1054" t="inlineStr">
        <is>
          <t>No</t>
        </is>
      </c>
      <c r="J1054" t="inlineStr">
        <is>
          <t>0</t>
        </is>
      </c>
      <c r="K1054" t="inlineStr">
        <is>
          <t>Dutt, Romesh Chunder, 1848-1909.</t>
        </is>
      </c>
      <c r="L1054" t="inlineStr">
        <is>
          <t>Delhi, Vishal Publishers [1972]</t>
        </is>
      </c>
      <c r="M1054" t="inlineStr">
        <is>
          <t>1972</t>
        </is>
      </c>
      <c r="O1054" t="inlineStr">
        <is>
          <t>eng</t>
        </is>
      </c>
      <c r="P1054" t="inlineStr">
        <is>
          <t xml:space="preserve">ii </t>
        </is>
      </c>
      <c r="R1054" t="inlineStr">
        <is>
          <t xml:space="preserve">DS </t>
        </is>
      </c>
      <c r="S1054" t="n">
        <v>7</v>
      </c>
      <c r="T1054" t="n">
        <v>10</v>
      </c>
      <c r="U1054" t="inlineStr">
        <is>
          <t>2009-08-30</t>
        </is>
      </c>
      <c r="V1054" t="inlineStr">
        <is>
          <t>2009-09-03</t>
        </is>
      </c>
      <c r="W1054" t="inlineStr">
        <is>
          <t>1997-03-06</t>
        </is>
      </c>
      <c r="X1054" t="inlineStr">
        <is>
          <t>1997-03-06</t>
        </is>
      </c>
      <c r="Y1054" t="n">
        <v>59</v>
      </c>
      <c r="Z1054" t="n">
        <v>42</v>
      </c>
      <c r="AA1054" t="n">
        <v>115</v>
      </c>
      <c r="AB1054" t="n">
        <v>1</v>
      </c>
      <c r="AC1054" t="n">
        <v>2</v>
      </c>
      <c r="AD1054" t="n">
        <v>1</v>
      </c>
      <c r="AE1054" t="n">
        <v>4</v>
      </c>
      <c r="AF1054" t="n">
        <v>0</v>
      </c>
      <c r="AG1054" t="n">
        <v>1</v>
      </c>
      <c r="AH1054" t="n">
        <v>1</v>
      </c>
      <c r="AI1054" t="n">
        <v>2</v>
      </c>
      <c r="AJ1054" t="n">
        <v>0</v>
      </c>
      <c r="AK1054" t="n">
        <v>0</v>
      </c>
      <c r="AL1054" t="n">
        <v>0</v>
      </c>
      <c r="AM1054" t="n">
        <v>1</v>
      </c>
      <c r="AN1054" t="n">
        <v>0</v>
      </c>
      <c r="AO1054" t="n">
        <v>0</v>
      </c>
      <c r="AP1054" t="inlineStr">
        <is>
          <t>No</t>
        </is>
      </c>
      <c r="AQ1054" t="inlineStr">
        <is>
          <t>Yes</t>
        </is>
      </c>
      <c r="AR1054">
        <f>HYPERLINK("http://catalog.hathitrust.org/Record/012155419","HathiTrust Record")</f>
        <v/>
      </c>
      <c r="AS1054">
        <f>HYPERLINK("https://creighton-primo.hosted.exlibrisgroup.com/primo-explore/search?tab=default_tab&amp;search_scope=EVERYTHING&amp;vid=01CRU&amp;lang=en_US&amp;offset=0&amp;query=any,contains,991002936049702656","Catalog Record")</f>
        <v/>
      </c>
      <c r="AT1054">
        <f>HYPERLINK("http://www.worldcat.org/oclc/533262","WorldCat Record")</f>
        <v/>
      </c>
      <c r="AU1054" t="inlineStr">
        <is>
          <t>10252838689:eng</t>
        </is>
      </c>
      <c r="AV1054" t="inlineStr">
        <is>
          <t>533262</t>
        </is>
      </c>
      <c r="AW1054" t="inlineStr">
        <is>
          <t>991002936049702656</t>
        </is>
      </c>
      <c r="AX1054" t="inlineStr">
        <is>
          <t>991002936049702656</t>
        </is>
      </c>
      <c r="AY1054" t="inlineStr">
        <is>
          <t>2264378150002656</t>
        </is>
      </c>
      <c r="AZ1054" t="inlineStr">
        <is>
          <t>BOOK</t>
        </is>
      </c>
      <c r="BC1054" t="inlineStr">
        <is>
          <t>32285002456506</t>
        </is>
      </c>
      <c r="BD1054" t="inlineStr">
        <is>
          <t>893780416</t>
        </is>
      </c>
    </row>
    <row r="1055">
      <c r="A1055" t="inlineStr">
        <is>
          <t>No</t>
        </is>
      </c>
      <c r="B1055" t="inlineStr">
        <is>
          <t>DS425 .D82 1972</t>
        </is>
      </c>
      <c r="C1055" t="inlineStr">
        <is>
          <t>0                      DS 0425000D  82          1972</t>
        </is>
      </c>
      <c r="D1055" t="inlineStr">
        <is>
          <t>A history of civilisation in ancient India, based on Sanscrit literature.</t>
        </is>
      </c>
      <c r="E1055" t="inlineStr">
        <is>
          <t>V.2</t>
        </is>
      </c>
      <c r="F1055" t="inlineStr">
        <is>
          <t>Yes</t>
        </is>
      </c>
      <c r="G1055" t="inlineStr">
        <is>
          <t>1</t>
        </is>
      </c>
      <c r="H1055" t="inlineStr">
        <is>
          <t>No</t>
        </is>
      </c>
      <c r="I1055" t="inlineStr">
        <is>
          <t>No</t>
        </is>
      </c>
      <c r="J1055" t="inlineStr">
        <is>
          <t>0</t>
        </is>
      </c>
      <c r="K1055" t="inlineStr">
        <is>
          <t>Dutt, Romesh Chunder, 1848-1909.</t>
        </is>
      </c>
      <c r="L1055" t="inlineStr">
        <is>
          <t>Delhi, Vishal Publishers [1972]</t>
        </is>
      </c>
      <c r="M1055" t="inlineStr">
        <is>
          <t>1972</t>
        </is>
      </c>
      <c r="O1055" t="inlineStr">
        <is>
          <t>eng</t>
        </is>
      </c>
      <c r="P1055" t="inlineStr">
        <is>
          <t xml:space="preserve">ii </t>
        </is>
      </c>
      <c r="R1055" t="inlineStr">
        <is>
          <t xml:space="preserve">DS </t>
        </is>
      </c>
      <c r="S1055" t="n">
        <v>3</v>
      </c>
      <c r="T1055" t="n">
        <v>10</v>
      </c>
      <c r="U1055" t="inlineStr">
        <is>
          <t>2009-09-03</t>
        </is>
      </c>
      <c r="V1055" t="inlineStr">
        <is>
          <t>2009-09-03</t>
        </is>
      </c>
      <c r="W1055" t="inlineStr">
        <is>
          <t>1997-03-06</t>
        </is>
      </c>
      <c r="X1055" t="inlineStr">
        <is>
          <t>1997-03-06</t>
        </is>
      </c>
      <c r="Y1055" t="n">
        <v>59</v>
      </c>
      <c r="Z1055" t="n">
        <v>42</v>
      </c>
      <c r="AA1055" t="n">
        <v>115</v>
      </c>
      <c r="AB1055" t="n">
        <v>1</v>
      </c>
      <c r="AC1055" t="n">
        <v>2</v>
      </c>
      <c r="AD1055" t="n">
        <v>1</v>
      </c>
      <c r="AE1055" t="n">
        <v>4</v>
      </c>
      <c r="AF1055" t="n">
        <v>0</v>
      </c>
      <c r="AG1055" t="n">
        <v>1</v>
      </c>
      <c r="AH1055" t="n">
        <v>1</v>
      </c>
      <c r="AI1055" t="n">
        <v>2</v>
      </c>
      <c r="AJ1055" t="n">
        <v>0</v>
      </c>
      <c r="AK1055" t="n">
        <v>0</v>
      </c>
      <c r="AL1055" t="n">
        <v>0</v>
      </c>
      <c r="AM1055" t="n">
        <v>1</v>
      </c>
      <c r="AN1055" t="n">
        <v>0</v>
      </c>
      <c r="AO1055" t="n">
        <v>0</v>
      </c>
      <c r="AP1055" t="inlineStr">
        <is>
          <t>No</t>
        </is>
      </c>
      <c r="AQ1055" t="inlineStr">
        <is>
          <t>Yes</t>
        </is>
      </c>
      <c r="AR1055">
        <f>HYPERLINK("http://catalog.hathitrust.org/Record/012155419","HathiTrust Record")</f>
        <v/>
      </c>
      <c r="AS1055">
        <f>HYPERLINK("https://creighton-primo.hosted.exlibrisgroup.com/primo-explore/search?tab=default_tab&amp;search_scope=EVERYTHING&amp;vid=01CRU&amp;lang=en_US&amp;offset=0&amp;query=any,contains,991002936049702656","Catalog Record")</f>
        <v/>
      </c>
      <c r="AT1055">
        <f>HYPERLINK("http://www.worldcat.org/oclc/533262","WorldCat Record")</f>
        <v/>
      </c>
      <c r="AU1055" t="inlineStr">
        <is>
          <t>10252838689:eng</t>
        </is>
      </c>
      <c r="AV1055" t="inlineStr">
        <is>
          <t>533262</t>
        </is>
      </c>
      <c r="AW1055" t="inlineStr">
        <is>
          <t>991002936049702656</t>
        </is>
      </c>
      <c r="AX1055" t="inlineStr">
        <is>
          <t>991002936049702656</t>
        </is>
      </c>
      <c r="AY1055" t="inlineStr">
        <is>
          <t>2264378150002656</t>
        </is>
      </c>
      <c r="AZ1055" t="inlineStr">
        <is>
          <t>BOOK</t>
        </is>
      </c>
      <c r="BC1055" t="inlineStr">
        <is>
          <t>32285002456514</t>
        </is>
      </c>
      <c r="BD1055" t="inlineStr">
        <is>
          <t>893805231</t>
        </is>
      </c>
    </row>
    <row r="1056">
      <c r="A1056" t="inlineStr">
        <is>
          <t>No</t>
        </is>
      </c>
      <c r="B1056" t="inlineStr">
        <is>
          <t>DS425 .K57</t>
        </is>
      </c>
      <c r="C1056" t="inlineStr">
        <is>
          <t>0                      DS 0425000K  57</t>
        </is>
      </c>
      <c r="D1056" t="inlineStr">
        <is>
          <t>Ancient India : a history of its culture and civilization / by D. D. Kosambi.</t>
        </is>
      </c>
      <c r="F1056" t="inlineStr">
        <is>
          <t>No</t>
        </is>
      </c>
      <c r="G1056" t="inlineStr">
        <is>
          <t>1</t>
        </is>
      </c>
      <c r="H1056" t="inlineStr">
        <is>
          <t>No</t>
        </is>
      </c>
      <c r="I1056" t="inlineStr">
        <is>
          <t>No</t>
        </is>
      </c>
      <c r="J1056" t="inlineStr">
        <is>
          <t>0</t>
        </is>
      </c>
      <c r="K1056" t="inlineStr">
        <is>
          <t>Kosambi, D. D. (Damodar Dharmanand), 1907-1966.</t>
        </is>
      </c>
      <c r="L1056" t="inlineStr">
        <is>
          <t>New York : Pantheon Books, [1966, c1965]</t>
        </is>
      </c>
      <c r="M1056" t="inlineStr">
        <is>
          <t>1966</t>
        </is>
      </c>
      <c r="N1056" t="inlineStr">
        <is>
          <t>[1st American ed.]</t>
        </is>
      </c>
      <c r="O1056" t="inlineStr">
        <is>
          <t>eng</t>
        </is>
      </c>
      <c r="P1056" t="inlineStr">
        <is>
          <t>nyu</t>
        </is>
      </c>
      <c r="R1056" t="inlineStr">
        <is>
          <t xml:space="preserve">DS </t>
        </is>
      </c>
      <c r="S1056" t="n">
        <v>14</v>
      </c>
      <c r="T1056" t="n">
        <v>14</v>
      </c>
      <c r="U1056" t="inlineStr">
        <is>
          <t>2009-08-30</t>
        </is>
      </c>
      <c r="V1056" t="inlineStr">
        <is>
          <t>2009-08-30</t>
        </is>
      </c>
      <c r="W1056" t="inlineStr">
        <is>
          <t>1994-12-20</t>
        </is>
      </c>
      <c r="X1056" t="inlineStr">
        <is>
          <t>1994-12-20</t>
        </is>
      </c>
      <c r="Y1056" t="n">
        <v>437</v>
      </c>
      <c r="Z1056" t="n">
        <v>423</v>
      </c>
      <c r="AA1056" t="n">
        <v>512</v>
      </c>
      <c r="AB1056" t="n">
        <v>3</v>
      </c>
      <c r="AC1056" t="n">
        <v>4</v>
      </c>
      <c r="AD1056" t="n">
        <v>17</v>
      </c>
      <c r="AE1056" t="n">
        <v>21</v>
      </c>
      <c r="AF1056" t="n">
        <v>4</v>
      </c>
      <c r="AG1056" t="n">
        <v>5</v>
      </c>
      <c r="AH1056" t="n">
        <v>4</v>
      </c>
      <c r="AI1056" t="n">
        <v>5</v>
      </c>
      <c r="AJ1056" t="n">
        <v>8</v>
      </c>
      <c r="AK1056" t="n">
        <v>11</v>
      </c>
      <c r="AL1056" t="n">
        <v>2</v>
      </c>
      <c r="AM1056" t="n">
        <v>3</v>
      </c>
      <c r="AN1056" t="n">
        <v>0</v>
      </c>
      <c r="AO1056" t="n">
        <v>0</v>
      </c>
      <c r="AP1056" t="inlineStr">
        <is>
          <t>No</t>
        </is>
      </c>
      <c r="AQ1056" t="inlineStr">
        <is>
          <t>Yes</t>
        </is>
      </c>
      <c r="AR1056">
        <f>HYPERLINK("http://catalog.hathitrust.org/Record/001250286","HathiTrust Record")</f>
        <v/>
      </c>
      <c r="AS1056">
        <f>HYPERLINK("https://creighton-primo.hosted.exlibrisgroup.com/primo-explore/search?tab=default_tab&amp;search_scope=EVERYTHING&amp;vid=01CRU&amp;lang=en_US&amp;offset=0&amp;query=any,contains,991004005469702656","Catalog Record")</f>
        <v/>
      </c>
      <c r="AT1056">
        <f>HYPERLINK("http://www.worldcat.org/oclc/2083327","WorldCat Record")</f>
        <v/>
      </c>
      <c r="AU1056" t="inlineStr">
        <is>
          <t>3943364972:eng</t>
        </is>
      </c>
      <c r="AV1056" t="inlineStr">
        <is>
          <t>2083327</t>
        </is>
      </c>
      <c r="AW1056" t="inlineStr">
        <is>
          <t>991004005469702656</t>
        </is>
      </c>
      <c r="AX1056" t="inlineStr">
        <is>
          <t>991004005469702656</t>
        </is>
      </c>
      <c r="AY1056" t="inlineStr">
        <is>
          <t>2257639280002656</t>
        </is>
      </c>
      <c r="AZ1056" t="inlineStr">
        <is>
          <t>BOOK</t>
        </is>
      </c>
      <c r="BC1056" t="inlineStr">
        <is>
          <t>32285001984953</t>
        </is>
      </c>
      <c r="BD1056" t="inlineStr">
        <is>
          <t>893888214</t>
        </is>
      </c>
    </row>
    <row r="1057">
      <c r="A1057" t="inlineStr">
        <is>
          <t>No</t>
        </is>
      </c>
      <c r="B1057" t="inlineStr">
        <is>
          <t>DS425 .M95 1899</t>
        </is>
      </c>
      <c r="C1057" t="inlineStr">
        <is>
          <t>0                      DS 0425000M  95          1899</t>
        </is>
      </c>
      <c r="D1057" t="inlineStr">
        <is>
          <t>India : what can it teach us? : A course of lectures delivered before the University of Cambridge / by F. Max Müller.</t>
        </is>
      </c>
      <c r="F1057" t="inlineStr">
        <is>
          <t>No</t>
        </is>
      </c>
      <c r="G1057" t="inlineStr">
        <is>
          <t>1</t>
        </is>
      </c>
      <c r="H1057" t="inlineStr">
        <is>
          <t>No</t>
        </is>
      </c>
      <c r="I1057" t="inlineStr">
        <is>
          <t>No</t>
        </is>
      </c>
      <c r="J1057" t="inlineStr">
        <is>
          <t>0</t>
        </is>
      </c>
      <c r="K1057" t="inlineStr">
        <is>
          <t>Müller, F. Max (Friedrich Max), 1823-1900.</t>
        </is>
      </c>
      <c r="L1057" t="inlineStr">
        <is>
          <t>London : Longmans, Green, 1899.</t>
        </is>
      </c>
      <c r="M1057" t="inlineStr">
        <is>
          <t>1899</t>
        </is>
      </c>
      <c r="O1057" t="inlineStr">
        <is>
          <t>eng</t>
        </is>
      </c>
      <c r="P1057" t="inlineStr">
        <is>
          <t>enk</t>
        </is>
      </c>
      <c r="Q1057" t="inlineStr">
        <is>
          <t>Collected works of the Right Hon. F. Max Müller, 8</t>
        </is>
      </c>
      <c r="R1057" t="inlineStr">
        <is>
          <t xml:space="preserve">DS </t>
        </is>
      </c>
      <c r="S1057" t="n">
        <v>2</v>
      </c>
      <c r="T1057" t="n">
        <v>2</v>
      </c>
      <c r="U1057" t="inlineStr">
        <is>
          <t>1997-02-25</t>
        </is>
      </c>
      <c r="V1057" t="inlineStr">
        <is>
          <t>1997-02-25</t>
        </is>
      </c>
      <c r="W1057" t="inlineStr">
        <is>
          <t>1996-05-10</t>
        </is>
      </c>
      <c r="X1057" t="inlineStr">
        <is>
          <t>1996-05-10</t>
        </is>
      </c>
      <c r="Y1057" t="n">
        <v>27</v>
      </c>
      <c r="Z1057" t="n">
        <v>18</v>
      </c>
      <c r="AA1057" t="n">
        <v>25</v>
      </c>
      <c r="AB1057" t="n">
        <v>1</v>
      </c>
      <c r="AC1057" t="n">
        <v>1</v>
      </c>
      <c r="AD1057" t="n">
        <v>2</v>
      </c>
      <c r="AE1057" t="n">
        <v>2</v>
      </c>
      <c r="AF1057" t="n">
        <v>0</v>
      </c>
      <c r="AG1057" t="n">
        <v>0</v>
      </c>
      <c r="AH1057" t="n">
        <v>0</v>
      </c>
      <c r="AI1057" t="n">
        <v>0</v>
      </c>
      <c r="AJ1057" t="n">
        <v>2</v>
      </c>
      <c r="AK1057" t="n">
        <v>2</v>
      </c>
      <c r="AL1057" t="n">
        <v>0</v>
      </c>
      <c r="AM1057" t="n">
        <v>0</v>
      </c>
      <c r="AN1057" t="n">
        <v>0</v>
      </c>
      <c r="AO1057" t="n">
        <v>0</v>
      </c>
      <c r="AP1057" t="inlineStr">
        <is>
          <t>Yes</t>
        </is>
      </c>
      <c r="AQ1057" t="inlineStr">
        <is>
          <t>No</t>
        </is>
      </c>
      <c r="AR1057">
        <f>HYPERLINK("http://catalog.hathitrust.org/Record/012155742","HathiTrust Record")</f>
        <v/>
      </c>
      <c r="AS1057">
        <f>HYPERLINK("https://creighton-primo.hosted.exlibrisgroup.com/primo-explore/search?tab=default_tab&amp;search_scope=EVERYTHING&amp;vid=01CRU&amp;lang=en_US&amp;offset=0&amp;query=any,contains,991004924569702656","Catalog Record")</f>
        <v/>
      </c>
      <c r="AT1057">
        <f>HYPERLINK("http://www.worldcat.org/oclc/6079428","WorldCat Record")</f>
        <v/>
      </c>
      <c r="AU1057" t="inlineStr">
        <is>
          <t>10596202811:eng</t>
        </is>
      </c>
      <c r="AV1057" t="inlineStr">
        <is>
          <t>6079428</t>
        </is>
      </c>
      <c r="AW1057" t="inlineStr">
        <is>
          <t>991004924569702656</t>
        </is>
      </c>
      <c r="AX1057" t="inlineStr">
        <is>
          <t>991004924569702656</t>
        </is>
      </c>
      <c r="AY1057" t="inlineStr">
        <is>
          <t>2269850780002656</t>
        </is>
      </c>
      <c r="AZ1057" t="inlineStr">
        <is>
          <t>BOOK</t>
        </is>
      </c>
      <c r="BC1057" t="inlineStr">
        <is>
          <t>32285002166774</t>
        </is>
      </c>
      <c r="BD1057" t="inlineStr">
        <is>
          <t>893895636</t>
        </is>
      </c>
    </row>
    <row r="1058">
      <c r="A1058" t="inlineStr">
        <is>
          <t>No</t>
        </is>
      </c>
      <c r="B1058" t="inlineStr">
        <is>
          <t>DS427 .I42</t>
        </is>
      </c>
      <c r="C1058" t="inlineStr">
        <is>
          <t>0                      DS 0427000I  42</t>
        </is>
      </c>
      <c r="D1058" t="inlineStr">
        <is>
          <t>Muslim civilization in India / by S. M. Ikram. Edited by Ainslie T. Embree.</t>
        </is>
      </c>
      <c r="F1058" t="inlineStr">
        <is>
          <t>No</t>
        </is>
      </c>
      <c r="G1058" t="inlineStr">
        <is>
          <t>1</t>
        </is>
      </c>
      <c r="H1058" t="inlineStr">
        <is>
          <t>No</t>
        </is>
      </c>
      <c r="I1058" t="inlineStr">
        <is>
          <t>No</t>
        </is>
      </c>
      <c r="J1058" t="inlineStr">
        <is>
          <t>0</t>
        </is>
      </c>
      <c r="K1058" t="inlineStr">
        <is>
          <t>Ikram, S. M. (Sheikh Mohamad), 1908-1973.</t>
        </is>
      </c>
      <c r="L1058" t="inlineStr">
        <is>
          <t>New York : Columbia University Press, 1964.</t>
        </is>
      </c>
      <c r="M1058" t="inlineStr">
        <is>
          <t>1964</t>
        </is>
      </c>
      <c r="O1058" t="inlineStr">
        <is>
          <t>eng</t>
        </is>
      </c>
      <c r="P1058" t="inlineStr">
        <is>
          <t>nyu</t>
        </is>
      </c>
      <c r="R1058" t="inlineStr">
        <is>
          <t xml:space="preserve">DS </t>
        </is>
      </c>
      <c r="S1058" t="n">
        <v>2</v>
      </c>
      <c r="T1058" t="n">
        <v>2</v>
      </c>
      <c r="U1058" t="inlineStr">
        <is>
          <t>1999-11-01</t>
        </is>
      </c>
      <c r="V1058" t="inlineStr">
        <is>
          <t>1999-11-01</t>
        </is>
      </c>
      <c r="W1058" t="inlineStr">
        <is>
          <t>1992-04-02</t>
        </is>
      </c>
      <c r="X1058" t="inlineStr">
        <is>
          <t>1992-04-02</t>
        </is>
      </c>
      <c r="Y1058" t="n">
        <v>1028</v>
      </c>
      <c r="Z1058" t="n">
        <v>893</v>
      </c>
      <c r="AA1058" t="n">
        <v>911</v>
      </c>
      <c r="AB1058" t="n">
        <v>4</v>
      </c>
      <c r="AC1058" t="n">
        <v>4</v>
      </c>
      <c r="AD1058" t="n">
        <v>38</v>
      </c>
      <c r="AE1058" t="n">
        <v>38</v>
      </c>
      <c r="AF1058" t="n">
        <v>19</v>
      </c>
      <c r="AG1058" t="n">
        <v>19</v>
      </c>
      <c r="AH1058" t="n">
        <v>10</v>
      </c>
      <c r="AI1058" t="n">
        <v>10</v>
      </c>
      <c r="AJ1058" t="n">
        <v>17</v>
      </c>
      <c r="AK1058" t="n">
        <v>17</v>
      </c>
      <c r="AL1058" t="n">
        <v>3</v>
      </c>
      <c r="AM1058" t="n">
        <v>3</v>
      </c>
      <c r="AN1058" t="n">
        <v>0</v>
      </c>
      <c r="AO1058" t="n">
        <v>0</v>
      </c>
      <c r="AP1058" t="inlineStr">
        <is>
          <t>No</t>
        </is>
      </c>
      <c r="AQ1058" t="inlineStr">
        <is>
          <t>No</t>
        </is>
      </c>
      <c r="AS1058">
        <f>HYPERLINK("https://creighton-primo.hosted.exlibrisgroup.com/primo-explore/search?tab=default_tab&amp;search_scope=EVERYTHING&amp;vid=01CRU&amp;lang=en_US&amp;offset=0&amp;query=any,contains,991002711419702656","Catalog Record")</f>
        <v/>
      </c>
      <c r="AT1058">
        <f>HYPERLINK("http://www.worldcat.org/oclc/409401","WorldCat Record")</f>
        <v/>
      </c>
      <c r="AU1058" t="inlineStr">
        <is>
          <t>1447066:eng</t>
        </is>
      </c>
      <c r="AV1058" t="inlineStr">
        <is>
          <t>409401</t>
        </is>
      </c>
      <c r="AW1058" t="inlineStr">
        <is>
          <t>991002711419702656</t>
        </is>
      </c>
      <c r="AX1058" t="inlineStr">
        <is>
          <t>991002711419702656</t>
        </is>
      </c>
      <c r="AY1058" t="inlineStr">
        <is>
          <t>2262366090002656</t>
        </is>
      </c>
      <c r="AZ1058" t="inlineStr">
        <is>
          <t>BOOK</t>
        </is>
      </c>
      <c r="BC1058" t="inlineStr">
        <is>
          <t>32285001032928</t>
        </is>
      </c>
      <c r="BD1058" t="inlineStr">
        <is>
          <t>893341754</t>
        </is>
      </c>
    </row>
    <row r="1059">
      <c r="A1059" t="inlineStr">
        <is>
          <t>No</t>
        </is>
      </c>
      <c r="B1059" t="inlineStr">
        <is>
          <t>DS428 .K5 1973</t>
        </is>
      </c>
      <c r="C1059" t="inlineStr">
        <is>
          <t>0                      DS 0428000K  5           1973</t>
        </is>
      </c>
      <c r="D1059" t="inlineStr">
        <is>
          <t>British social life in India, 1608-1937. With an introd. by James Lunt; illustrated by Frank Wilson.</t>
        </is>
      </c>
      <c r="F1059" t="inlineStr">
        <is>
          <t>No</t>
        </is>
      </c>
      <c r="G1059" t="inlineStr">
        <is>
          <t>1</t>
        </is>
      </c>
      <c r="H1059" t="inlineStr">
        <is>
          <t>No</t>
        </is>
      </c>
      <c r="I1059" t="inlineStr">
        <is>
          <t>No</t>
        </is>
      </c>
      <c r="J1059" t="inlineStr">
        <is>
          <t>0</t>
        </is>
      </c>
      <c r="K1059" t="inlineStr">
        <is>
          <t>Kincaid, Dennis, 1905-1937.</t>
        </is>
      </c>
      <c r="L1059" t="inlineStr">
        <is>
          <t>London, Boston, Routledge &amp; K. Paul [1973]</t>
        </is>
      </c>
      <c r="M1059" t="inlineStr">
        <is>
          <t>1973</t>
        </is>
      </c>
      <c r="N1059" t="inlineStr">
        <is>
          <t>[2d ed.]</t>
        </is>
      </c>
      <c r="O1059" t="inlineStr">
        <is>
          <t>eng</t>
        </is>
      </c>
      <c r="P1059" t="inlineStr">
        <is>
          <t>enk</t>
        </is>
      </c>
      <c r="R1059" t="inlineStr">
        <is>
          <t xml:space="preserve">DS </t>
        </is>
      </c>
      <c r="S1059" t="n">
        <v>1</v>
      </c>
      <c r="T1059" t="n">
        <v>1</v>
      </c>
      <c r="U1059" t="inlineStr">
        <is>
          <t>2009-02-15</t>
        </is>
      </c>
      <c r="V1059" t="inlineStr">
        <is>
          <t>2009-02-15</t>
        </is>
      </c>
      <c r="W1059" t="inlineStr">
        <is>
          <t>1997-03-06</t>
        </is>
      </c>
      <c r="X1059" t="inlineStr">
        <is>
          <t>1997-03-06</t>
        </is>
      </c>
      <c r="Y1059" t="n">
        <v>308</v>
      </c>
      <c r="Z1059" t="n">
        <v>169</v>
      </c>
      <c r="AA1059" t="n">
        <v>419</v>
      </c>
      <c r="AB1059" t="n">
        <v>2</v>
      </c>
      <c r="AC1059" t="n">
        <v>5</v>
      </c>
      <c r="AD1059" t="n">
        <v>12</v>
      </c>
      <c r="AE1059" t="n">
        <v>19</v>
      </c>
      <c r="AF1059" t="n">
        <v>3</v>
      </c>
      <c r="AG1059" t="n">
        <v>5</v>
      </c>
      <c r="AH1059" t="n">
        <v>4</v>
      </c>
      <c r="AI1059" t="n">
        <v>5</v>
      </c>
      <c r="AJ1059" t="n">
        <v>5</v>
      </c>
      <c r="AK1059" t="n">
        <v>7</v>
      </c>
      <c r="AL1059" t="n">
        <v>1</v>
      </c>
      <c r="AM1059" t="n">
        <v>4</v>
      </c>
      <c r="AN1059" t="n">
        <v>1</v>
      </c>
      <c r="AO1059" t="n">
        <v>1</v>
      </c>
      <c r="AP1059" t="inlineStr">
        <is>
          <t>No</t>
        </is>
      </c>
      <c r="AQ1059" t="inlineStr">
        <is>
          <t>No</t>
        </is>
      </c>
      <c r="AS1059">
        <f>HYPERLINK("https://creighton-primo.hosted.exlibrisgroup.com/primo-explore/search?tab=default_tab&amp;search_scope=EVERYTHING&amp;vid=01CRU&amp;lang=en_US&amp;offset=0&amp;query=any,contains,991003096799702656","Catalog Record")</f>
        <v/>
      </c>
      <c r="AT1059">
        <f>HYPERLINK("http://www.worldcat.org/oclc/646370","WorldCat Record")</f>
        <v/>
      </c>
      <c r="AU1059" t="inlineStr">
        <is>
          <t>1295436:eng</t>
        </is>
      </c>
      <c r="AV1059" t="inlineStr">
        <is>
          <t>646370</t>
        </is>
      </c>
      <c r="AW1059" t="inlineStr">
        <is>
          <t>991003096799702656</t>
        </is>
      </c>
      <c r="AX1059" t="inlineStr">
        <is>
          <t>991003096799702656</t>
        </is>
      </c>
      <c r="AY1059" t="inlineStr">
        <is>
          <t>2260196960002656</t>
        </is>
      </c>
      <c r="AZ1059" t="inlineStr">
        <is>
          <t>BOOK</t>
        </is>
      </c>
      <c r="BB1059" t="inlineStr">
        <is>
          <t>9780710072849</t>
        </is>
      </c>
      <c r="BC1059" t="inlineStr">
        <is>
          <t>32285002456530</t>
        </is>
      </c>
      <c r="BD1059" t="inlineStr">
        <is>
          <t>893868103</t>
        </is>
      </c>
    </row>
    <row r="1060">
      <c r="A1060" t="inlineStr">
        <is>
          <t>No</t>
        </is>
      </c>
      <c r="B1060" t="inlineStr">
        <is>
          <t>DS428.2 .B73 1985</t>
        </is>
      </c>
      <c r="C1060" t="inlineStr">
        <is>
          <t>0                      DS 0428200B  73          1985</t>
        </is>
      </c>
      <c r="D1060" t="inlineStr">
        <is>
          <t>India, labyrinths in the lotus land / Sasthi Brata.</t>
        </is>
      </c>
      <c r="F1060" t="inlineStr">
        <is>
          <t>No</t>
        </is>
      </c>
      <c r="G1060" t="inlineStr">
        <is>
          <t>1</t>
        </is>
      </c>
      <c r="H1060" t="inlineStr">
        <is>
          <t>No</t>
        </is>
      </c>
      <c r="I1060" t="inlineStr">
        <is>
          <t>No</t>
        </is>
      </c>
      <c r="J1060" t="inlineStr">
        <is>
          <t>0</t>
        </is>
      </c>
      <c r="K1060" t="inlineStr">
        <is>
          <t>Brata, Sasthi.</t>
        </is>
      </c>
      <c r="L1060" t="inlineStr">
        <is>
          <t>New York : Morrow, c1985.</t>
        </is>
      </c>
      <c r="M1060" t="inlineStr">
        <is>
          <t>1985</t>
        </is>
      </c>
      <c r="N1060" t="inlineStr">
        <is>
          <t>1st ed.</t>
        </is>
      </c>
      <c r="O1060" t="inlineStr">
        <is>
          <t>eng</t>
        </is>
      </c>
      <c r="P1060" t="inlineStr">
        <is>
          <t>nyu</t>
        </is>
      </c>
      <c r="R1060" t="inlineStr">
        <is>
          <t xml:space="preserve">DS </t>
        </is>
      </c>
      <c r="S1060" t="n">
        <v>12</v>
      </c>
      <c r="T1060" t="n">
        <v>12</v>
      </c>
      <c r="U1060" t="inlineStr">
        <is>
          <t>2002-04-30</t>
        </is>
      </c>
      <c r="V1060" t="inlineStr">
        <is>
          <t>2002-04-30</t>
        </is>
      </c>
      <c r="W1060" t="inlineStr">
        <is>
          <t>1989-11-29</t>
        </is>
      </c>
      <c r="X1060" t="inlineStr">
        <is>
          <t>1989-11-29</t>
        </is>
      </c>
      <c r="Y1060" t="n">
        <v>507</v>
      </c>
      <c r="Z1060" t="n">
        <v>480</v>
      </c>
      <c r="AA1060" t="n">
        <v>487</v>
      </c>
      <c r="AB1060" t="n">
        <v>3</v>
      </c>
      <c r="AC1060" t="n">
        <v>3</v>
      </c>
      <c r="AD1060" t="n">
        <v>12</v>
      </c>
      <c r="AE1060" t="n">
        <v>12</v>
      </c>
      <c r="AF1060" t="n">
        <v>5</v>
      </c>
      <c r="AG1060" t="n">
        <v>5</v>
      </c>
      <c r="AH1060" t="n">
        <v>3</v>
      </c>
      <c r="AI1060" t="n">
        <v>3</v>
      </c>
      <c r="AJ1060" t="n">
        <v>4</v>
      </c>
      <c r="AK1060" t="n">
        <v>4</v>
      </c>
      <c r="AL1060" t="n">
        <v>2</v>
      </c>
      <c r="AM1060" t="n">
        <v>2</v>
      </c>
      <c r="AN1060" t="n">
        <v>0</v>
      </c>
      <c r="AO1060" t="n">
        <v>0</v>
      </c>
      <c r="AP1060" t="inlineStr">
        <is>
          <t>No</t>
        </is>
      </c>
      <c r="AQ1060" t="inlineStr">
        <is>
          <t>Yes</t>
        </is>
      </c>
      <c r="AR1060">
        <f>HYPERLINK("http://catalog.hathitrust.org/Record/000431684","HathiTrust Record")</f>
        <v/>
      </c>
      <c r="AS1060">
        <f>HYPERLINK("https://creighton-primo.hosted.exlibrisgroup.com/primo-explore/search?tab=default_tab&amp;search_scope=EVERYTHING&amp;vid=01CRU&amp;lang=en_US&amp;offset=0&amp;query=any,contains,991000641269702656","Catalog Record")</f>
        <v/>
      </c>
      <c r="AT1060">
        <f>HYPERLINK("http://www.worldcat.org/oclc/12104363","WorldCat Record")</f>
        <v/>
      </c>
      <c r="AU1060" t="inlineStr">
        <is>
          <t>4815302:eng</t>
        </is>
      </c>
      <c r="AV1060" t="inlineStr">
        <is>
          <t>12104363</t>
        </is>
      </c>
      <c r="AW1060" t="inlineStr">
        <is>
          <t>991000641269702656</t>
        </is>
      </c>
      <c r="AX1060" t="inlineStr">
        <is>
          <t>991000641269702656</t>
        </is>
      </c>
      <c r="AY1060" t="inlineStr">
        <is>
          <t>2260127160002656</t>
        </is>
      </c>
      <c r="AZ1060" t="inlineStr">
        <is>
          <t>BOOK</t>
        </is>
      </c>
      <c r="BB1060" t="inlineStr">
        <is>
          <t>9780688047801</t>
        </is>
      </c>
      <c r="BC1060" t="inlineStr">
        <is>
          <t>32285000016013</t>
        </is>
      </c>
      <c r="BD1060" t="inlineStr">
        <is>
          <t>893589630</t>
        </is>
      </c>
    </row>
    <row r="1061">
      <c r="A1061" t="inlineStr">
        <is>
          <t>No</t>
        </is>
      </c>
      <c r="B1061" t="inlineStr">
        <is>
          <t>DS428.2 .T46 2007</t>
        </is>
      </c>
      <c r="C1061" t="inlineStr">
        <is>
          <t>0                      DS 0428200T  46          2007</t>
        </is>
      </c>
      <c r="D1061" t="inlineStr">
        <is>
          <t>The elephant, the tiger, and the cell phone : reflections on India, the emerging 21st-century power / Shashi Tharoor.</t>
        </is>
      </c>
      <c r="F1061" t="inlineStr">
        <is>
          <t>No</t>
        </is>
      </c>
      <c r="G1061" t="inlineStr">
        <is>
          <t>1</t>
        </is>
      </c>
      <c r="H1061" t="inlineStr">
        <is>
          <t>No</t>
        </is>
      </c>
      <c r="I1061" t="inlineStr">
        <is>
          <t>No</t>
        </is>
      </c>
      <c r="J1061" t="inlineStr">
        <is>
          <t>0</t>
        </is>
      </c>
      <c r="K1061" t="inlineStr">
        <is>
          <t>Tharoor, Shashi, 1956-</t>
        </is>
      </c>
      <c r="L1061" t="inlineStr">
        <is>
          <t>New York : Arcade Pub. : Distributed by Hachette Book Group USA, c2007.</t>
        </is>
      </c>
      <c r="M1061" t="inlineStr">
        <is>
          <t>2007</t>
        </is>
      </c>
      <c r="N1061" t="inlineStr">
        <is>
          <t>1st ed.</t>
        </is>
      </c>
      <c r="O1061" t="inlineStr">
        <is>
          <t>eng</t>
        </is>
      </c>
      <c r="P1061" t="inlineStr">
        <is>
          <t>nyu</t>
        </is>
      </c>
      <c r="R1061" t="inlineStr">
        <is>
          <t xml:space="preserve">DS </t>
        </is>
      </c>
      <c r="S1061" t="n">
        <v>2</v>
      </c>
      <c r="T1061" t="n">
        <v>2</v>
      </c>
      <c r="U1061" t="inlineStr">
        <is>
          <t>2010-10-01</t>
        </is>
      </c>
      <c r="V1061" t="inlineStr">
        <is>
          <t>2010-10-01</t>
        </is>
      </c>
      <c r="W1061" t="inlineStr">
        <is>
          <t>2007-11-15</t>
        </is>
      </c>
      <c r="X1061" t="inlineStr">
        <is>
          <t>2007-11-15</t>
        </is>
      </c>
      <c r="Y1061" t="n">
        <v>728</v>
      </c>
      <c r="Z1061" t="n">
        <v>598</v>
      </c>
      <c r="AA1061" t="n">
        <v>731</v>
      </c>
      <c r="AB1061" t="n">
        <v>4</v>
      </c>
      <c r="AC1061" t="n">
        <v>4</v>
      </c>
      <c r="AD1061" t="n">
        <v>10</v>
      </c>
      <c r="AE1061" t="n">
        <v>11</v>
      </c>
      <c r="AF1061" t="n">
        <v>2</v>
      </c>
      <c r="AG1061" t="n">
        <v>3</v>
      </c>
      <c r="AH1061" t="n">
        <v>5</v>
      </c>
      <c r="AI1061" t="n">
        <v>6</v>
      </c>
      <c r="AJ1061" t="n">
        <v>4</v>
      </c>
      <c r="AK1061" t="n">
        <v>4</v>
      </c>
      <c r="AL1061" t="n">
        <v>2</v>
      </c>
      <c r="AM1061" t="n">
        <v>2</v>
      </c>
      <c r="AN1061" t="n">
        <v>0</v>
      </c>
      <c r="AO1061" t="n">
        <v>0</v>
      </c>
      <c r="AP1061" t="inlineStr">
        <is>
          <t>No</t>
        </is>
      </c>
      <c r="AQ1061" t="inlineStr">
        <is>
          <t>Yes</t>
        </is>
      </c>
      <c r="AR1061">
        <f>HYPERLINK("http://catalog.hathitrust.org/Record/005615986","HathiTrust Record")</f>
        <v/>
      </c>
      <c r="AS1061">
        <f>HYPERLINK("https://creighton-primo.hosted.exlibrisgroup.com/primo-explore/search?tab=default_tab&amp;search_scope=EVERYTHING&amp;vid=01CRU&amp;lang=en_US&amp;offset=0&amp;query=any,contains,991005138139702656","Catalog Record")</f>
        <v/>
      </c>
      <c r="AT1061">
        <f>HYPERLINK("http://www.worldcat.org/oclc/137331516","WorldCat Record")</f>
        <v/>
      </c>
      <c r="AU1061" t="inlineStr">
        <is>
          <t>890534334:eng</t>
        </is>
      </c>
      <c r="AV1061" t="inlineStr">
        <is>
          <t>137331516</t>
        </is>
      </c>
      <c r="AW1061" t="inlineStr">
        <is>
          <t>991005138139702656</t>
        </is>
      </c>
      <c r="AX1061" t="inlineStr">
        <is>
          <t>991005138139702656</t>
        </is>
      </c>
      <c r="AY1061" t="inlineStr">
        <is>
          <t>2260957810002656</t>
        </is>
      </c>
      <c r="AZ1061" t="inlineStr">
        <is>
          <t>BOOK</t>
        </is>
      </c>
      <c r="BB1061" t="inlineStr">
        <is>
          <t>9781559708616</t>
        </is>
      </c>
      <c r="BC1061" t="inlineStr">
        <is>
          <t>32285005367973</t>
        </is>
      </c>
      <c r="BD1061" t="inlineStr">
        <is>
          <t>893412377</t>
        </is>
      </c>
    </row>
    <row r="1062">
      <c r="A1062" t="inlineStr">
        <is>
          <t>No</t>
        </is>
      </c>
      <c r="B1062" t="inlineStr">
        <is>
          <t>DS428.2 .T47 1997</t>
        </is>
      </c>
      <c r="C1062" t="inlineStr">
        <is>
          <t>0                      DS 0428200T  47          1997</t>
        </is>
      </c>
      <c r="D1062" t="inlineStr">
        <is>
          <t>India : from midnight to the millennium / Shashi Tharoor.</t>
        </is>
      </c>
      <c r="F1062" t="inlineStr">
        <is>
          <t>No</t>
        </is>
      </c>
      <c r="G1062" t="inlineStr">
        <is>
          <t>1</t>
        </is>
      </c>
      <c r="H1062" t="inlineStr">
        <is>
          <t>No</t>
        </is>
      </c>
      <c r="I1062" t="inlineStr">
        <is>
          <t>No</t>
        </is>
      </c>
      <c r="J1062" t="inlineStr">
        <is>
          <t>0</t>
        </is>
      </c>
      <c r="K1062" t="inlineStr">
        <is>
          <t>Tharoor, Shashi, 1956-</t>
        </is>
      </c>
      <c r="L1062" t="inlineStr">
        <is>
          <t>New York : Arcade Pub. : Distributed by Little, Brown and Co., c1997.</t>
        </is>
      </c>
      <c r="M1062" t="inlineStr">
        <is>
          <t>1997</t>
        </is>
      </c>
      <c r="N1062" t="inlineStr">
        <is>
          <t>1st ed.</t>
        </is>
      </c>
      <c r="O1062" t="inlineStr">
        <is>
          <t>eng</t>
        </is>
      </c>
      <c r="P1062" t="inlineStr">
        <is>
          <t>nyu</t>
        </is>
      </c>
      <c r="R1062" t="inlineStr">
        <is>
          <t xml:space="preserve">DS </t>
        </is>
      </c>
      <c r="S1062" t="n">
        <v>1</v>
      </c>
      <c r="T1062" t="n">
        <v>1</v>
      </c>
      <c r="U1062" t="inlineStr">
        <is>
          <t>1997-11-21</t>
        </is>
      </c>
      <c r="V1062" t="inlineStr">
        <is>
          <t>1997-11-21</t>
        </is>
      </c>
      <c r="W1062" t="inlineStr">
        <is>
          <t>1997-11-04</t>
        </is>
      </c>
      <c r="X1062" t="inlineStr">
        <is>
          <t>1997-11-04</t>
        </is>
      </c>
      <c r="Y1062" t="n">
        <v>870</v>
      </c>
      <c r="Z1062" t="n">
        <v>795</v>
      </c>
      <c r="AA1062" t="n">
        <v>968</v>
      </c>
      <c r="AB1062" t="n">
        <v>7</v>
      </c>
      <c r="AC1062" t="n">
        <v>8</v>
      </c>
      <c r="AD1062" t="n">
        <v>22</v>
      </c>
      <c r="AE1062" t="n">
        <v>27</v>
      </c>
      <c r="AF1062" t="n">
        <v>9</v>
      </c>
      <c r="AG1062" t="n">
        <v>12</v>
      </c>
      <c r="AH1062" t="n">
        <v>3</v>
      </c>
      <c r="AI1062" t="n">
        <v>3</v>
      </c>
      <c r="AJ1062" t="n">
        <v>12</v>
      </c>
      <c r="AK1062" t="n">
        <v>14</v>
      </c>
      <c r="AL1062" t="n">
        <v>4</v>
      </c>
      <c r="AM1062" t="n">
        <v>5</v>
      </c>
      <c r="AN1062" t="n">
        <v>0</v>
      </c>
      <c r="AO1062" t="n">
        <v>0</v>
      </c>
      <c r="AP1062" t="inlineStr">
        <is>
          <t>No</t>
        </is>
      </c>
      <c r="AQ1062" t="inlineStr">
        <is>
          <t>Yes</t>
        </is>
      </c>
      <c r="AR1062">
        <f>HYPERLINK("http://catalog.hathitrust.org/Record/003170817","HathiTrust Record")</f>
        <v/>
      </c>
      <c r="AS1062">
        <f>HYPERLINK("https://creighton-primo.hosted.exlibrisgroup.com/primo-explore/search?tab=default_tab&amp;search_scope=EVERYTHING&amp;vid=01CRU&amp;lang=en_US&amp;offset=0&amp;query=any,contains,991002789099702656","Catalog Record")</f>
        <v/>
      </c>
      <c r="AT1062">
        <f>HYPERLINK("http://www.worldcat.org/oclc/36640655","WorldCat Record")</f>
        <v/>
      </c>
      <c r="AU1062" t="inlineStr">
        <is>
          <t>27174171:eng</t>
        </is>
      </c>
      <c r="AV1062" t="inlineStr">
        <is>
          <t>36640655</t>
        </is>
      </c>
      <c r="AW1062" t="inlineStr">
        <is>
          <t>991002789099702656</t>
        </is>
      </c>
      <c r="AX1062" t="inlineStr">
        <is>
          <t>991002789099702656</t>
        </is>
      </c>
      <c r="AY1062" t="inlineStr">
        <is>
          <t>2269969970002656</t>
        </is>
      </c>
      <c r="AZ1062" t="inlineStr">
        <is>
          <t>BOOK</t>
        </is>
      </c>
      <c r="BB1062" t="inlineStr">
        <is>
          <t>9781559703840</t>
        </is>
      </c>
      <c r="BC1062" t="inlineStr">
        <is>
          <t>32285003275129</t>
        </is>
      </c>
      <c r="BD1062" t="inlineStr">
        <is>
          <t>893511194</t>
        </is>
      </c>
    </row>
    <row r="1063">
      <c r="A1063" t="inlineStr">
        <is>
          <t>No</t>
        </is>
      </c>
      <c r="B1063" t="inlineStr">
        <is>
          <t>DS43 .H57 1996</t>
        </is>
      </c>
      <c r="C1063" t="inlineStr">
        <is>
          <t>0                      DS 0043000H  57          1996</t>
        </is>
      </c>
      <c r="D1063" t="inlineStr">
        <is>
          <t>Dictionary of the Middle East / Dilip Hiro.</t>
        </is>
      </c>
      <c r="F1063" t="inlineStr">
        <is>
          <t>No</t>
        </is>
      </c>
      <c r="G1063" t="inlineStr">
        <is>
          <t>1</t>
        </is>
      </c>
      <c r="H1063" t="inlineStr">
        <is>
          <t>No</t>
        </is>
      </c>
      <c r="I1063" t="inlineStr">
        <is>
          <t>No</t>
        </is>
      </c>
      <c r="J1063" t="inlineStr">
        <is>
          <t>0</t>
        </is>
      </c>
      <c r="K1063" t="inlineStr">
        <is>
          <t>Hiro, Dilip.</t>
        </is>
      </c>
      <c r="L1063" t="inlineStr">
        <is>
          <t>New York : St. Martin's Press, 1996.</t>
        </is>
      </c>
      <c r="M1063" t="inlineStr">
        <is>
          <t>1996</t>
        </is>
      </c>
      <c r="O1063" t="inlineStr">
        <is>
          <t>eng</t>
        </is>
      </c>
      <c r="P1063" t="inlineStr">
        <is>
          <t>nyu</t>
        </is>
      </c>
      <c r="R1063" t="inlineStr">
        <is>
          <t xml:space="preserve">DS </t>
        </is>
      </c>
      <c r="S1063" t="n">
        <v>1</v>
      </c>
      <c r="T1063" t="n">
        <v>1</v>
      </c>
      <c r="U1063" t="inlineStr">
        <is>
          <t>2006-11-10</t>
        </is>
      </c>
      <c r="V1063" t="inlineStr">
        <is>
          <t>2006-11-10</t>
        </is>
      </c>
      <c r="W1063" t="inlineStr">
        <is>
          <t>1997-01-13</t>
        </is>
      </c>
      <c r="X1063" t="inlineStr">
        <is>
          <t>1997-01-13</t>
        </is>
      </c>
      <c r="Y1063" t="n">
        <v>687</v>
      </c>
      <c r="Z1063" t="n">
        <v>611</v>
      </c>
      <c r="AA1063" t="n">
        <v>666</v>
      </c>
      <c r="AB1063" t="n">
        <v>6</v>
      </c>
      <c r="AC1063" t="n">
        <v>6</v>
      </c>
      <c r="AD1063" t="n">
        <v>25</v>
      </c>
      <c r="AE1063" t="n">
        <v>27</v>
      </c>
      <c r="AF1063" t="n">
        <v>10</v>
      </c>
      <c r="AG1063" t="n">
        <v>10</v>
      </c>
      <c r="AH1063" t="n">
        <v>1</v>
      </c>
      <c r="AI1063" t="n">
        <v>2</v>
      </c>
      <c r="AJ1063" t="n">
        <v>11</v>
      </c>
      <c r="AK1063" t="n">
        <v>13</v>
      </c>
      <c r="AL1063" t="n">
        <v>5</v>
      </c>
      <c r="AM1063" t="n">
        <v>5</v>
      </c>
      <c r="AN1063" t="n">
        <v>0</v>
      </c>
      <c r="AO1063" t="n">
        <v>0</v>
      </c>
      <c r="AP1063" t="inlineStr">
        <is>
          <t>No</t>
        </is>
      </c>
      <c r="AQ1063" t="inlineStr">
        <is>
          <t>No</t>
        </is>
      </c>
      <c r="AS1063">
        <f>HYPERLINK("https://creighton-primo.hosted.exlibrisgroup.com/primo-explore/search?tab=default_tab&amp;search_scope=EVERYTHING&amp;vid=01CRU&amp;lang=en_US&amp;offset=0&amp;query=any,contains,991002741599702656","Catalog Record")</f>
        <v/>
      </c>
      <c r="AT1063">
        <f>HYPERLINK("http://www.worldcat.org/oclc/34076807","WorldCat Record")</f>
        <v/>
      </c>
      <c r="AU1063" t="inlineStr">
        <is>
          <t>609543:eng</t>
        </is>
      </c>
      <c r="AV1063" t="inlineStr">
        <is>
          <t>34076807</t>
        </is>
      </c>
      <c r="AW1063" t="inlineStr">
        <is>
          <t>991002741599702656</t>
        </is>
      </c>
      <c r="AX1063" t="inlineStr">
        <is>
          <t>991002741599702656</t>
        </is>
      </c>
      <c r="AY1063" t="inlineStr">
        <is>
          <t>2269714460002656</t>
        </is>
      </c>
      <c r="AZ1063" t="inlineStr">
        <is>
          <t>BOOK</t>
        </is>
      </c>
      <c r="BB1063" t="inlineStr">
        <is>
          <t>9780312125547</t>
        </is>
      </c>
      <c r="BC1063" t="inlineStr">
        <is>
          <t>32285002406212</t>
        </is>
      </c>
      <c r="BD1063" t="inlineStr">
        <is>
          <t>893504765</t>
        </is>
      </c>
    </row>
    <row r="1064">
      <c r="A1064" t="inlineStr">
        <is>
          <t>No</t>
        </is>
      </c>
      <c r="B1064" t="inlineStr">
        <is>
          <t>DS430 .S28</t>
        </is>
      </c>
      <c r="C1064" t="inlineStr">
        <is>
          <t>0                      DS 0430000S  28</t>
        </is>
      </c>
      <c r="D1064" t="inlineStr">
        <is>
          <t>Ethnic plurality in India / R. A. Schermerhorn.</t>
        </is>
      </c>
      <c r="F1064" t="inlineStr">
        <is>
          <t>No</t>
        </is>
      </c>
      <c r="G1064" t="inlineStr">
        <is>
          <t>1</t>
        </is>
      </c>
      <c r="H1064" t="inlineStr">
        <is>
          <t>No</t>
        </is>
      </c>
      <c r="I1064" t="inlineStr">
        <is>
          <t>No</t>
        </is>
      </c>
      <c r="J1064" t="inlineStr">
        <is>
          <t>0</t>
        </is>
      </c>
      <c r="K1064" t="inlineStr">
        <is>
          <t>Schermerhorn, R. A. (Richard Alonzo), 1903-</t>
        </is>
      </c>
      <c r="L1064" t="inlineStr">
        <is>
          <t>Tucson : University of Arizona Press, c1978.</t>
        </is>
      </c>
      <c r="M1064" t="inlineStr">
        <is>
          <t>1978</t>
        </is>
      </c>
      <c r="O1064" t="inlineStr">
        <is>
          <t>eng</t>
        </is>
      </c>
      <c r="P1064" t="inlineStr">
        <is>
          <t>azu</t>
        </is>
      </c>
      <c r="R1064" t="inlineStr">
        <is>
          <t xml:space="preserve">DS </t>
        </is>
      </c>
      <c r="S1064" t="n">
        <v>10</v>
      </c>
      <c r="T1064" t="n">
        <v>10</v>
      </c>
      <c r="U1064" t="inlineStr">
        <is>
          <t>1999-04-25</t>
        </is>
      </c>
      <c r="V1064" t="inlineStr">
        <is>
          <t>1999-04-25</t>
        </is>
      </c>
      <c r="W1064" t="inlineStr">
        <is>
          <t>1994-02-03</t>
        </is>
      </c>
      <c r="X1064" t="inlineStr">
        <is>
          <t>1994-02-03</t>
        </is>
      </c>
      <c r="Y1064" t="n">
        <v>378</v>
      </c>
      <c r="Z1064" t="n">
        <v>301</v>
      </c>
      <c r="AA1064" t="n">
        <v>303</v>
      </c>
      <c r="AB1064" t="n">
        <v>4</v>
      </c>
      <c r="AC1064" t="n">
        <v>4</v>
      </c>
      <c r="AD1064" t="n">
        <v>13</v>
      </c>
      <c r="AE1064" t="n">
        <v>13</v>
      </c>
      <c r="AF1064" t="n">
        <v>3</v>
      </c>
      <c r="AG1064" t="n">
        <v>3</v>
      </c>
      <c r="AH1064" t="n">
        <v>4</v>
      </c>
      <c r="AI1064" t="n">
        <v>4</v>
      </c>
      <c r="AJ1064" t="n">
        <v>7</v>
      </c>
      <c r="AK1064" t="n">
        <v>7</v>
      </c>
      <c r="AL1064" t="n">
        <v>3</v>
      </c>
      <c r="AM1064" t="n">
        <v>3</v>
      </c>
      <c r="AN1064" t="n">
        <v>0</v>
      </c>
      <c r="AO1064" t="n">
        <v>0</v>
      </c>
      <c r="AP1064" t="inlineStr">
        <is>
          <t>No</t>
        </is>
      </c>
      <c r="AQ1064" t="inlineStr">
        <is>
          <t>Yes</t>
        </is>
      </c>
      <c r="AR1064">
        <f>HYPERLINK("http://catalog.hathitrust.org/Record/000253400","HathiTrust Record")</f>
        <v/>
      </c>
      <c r="AS1064">
        <f>HYPERLINK("https://creighton-primo.hosted.exlibrisgroup.com/primo-explore/search?tab=default_tab&amp;search_scope=EVERYTHING&amp;vid=01CRU&amp;lang=en_US&amp;offset=0&amp;query=any,contains,991004333969702656","Catalog Record")</f>
        <v/>
      </c>
      <c r="AT1064">
        <f>HYPERLINK("http://www.worldcat.org/oclc/3071472","WorldCat Record")</f>
        <v/>
      </c>
      <c r="AU1064" t="inlineStr">
        <is>
          <t>479900:eng</t>
        </is>
      </c>
      <c r="AV1064" t="inlineStr">
        <is>
          <t>3071472</t>
        </is>
      </c>
      <c r="AW1064" t="inlineStr">
        <is>
          <t>991004333969702656</t>
        </is>
      </c>
      <c r="AX1064" t="inlineStr">
        <is>
          <t>991004333969702656</t>
        </is>
      </c>
      <c r="AY1064" t="inlineStr">
        <is>
          <t>2267799800002656</t>
        </is>
      </c>
      <c r="AZ1064" t="inlineStr">
        <is>
          <t>BOOK</t>
        </is>
      </c>
      <c r="BB1064" t="inlineStr">
        <is>
          <t>9780816506125</t>
        </is>
      </c>
      <c r="BC1064" t="inlineStr">
        <is>
          <t>32285001837045</t>
        </is>
      </c>
      <c r="BD1064" t="inlineStr">
        <is>
          <t>893513103</t>
        </is>
      </c>
    </row>
    <row r="1065">
      <c r="A1065" t="inlineStr">
        <is>
          <t>No</t>
        </is>
      </c>
      <c r="B1065" t="inlineStr">
        <is>
          <t>DS432.J25 L9</t>
        </is>
      </c>
      <c r="C1065" t="inlineStr">
        <is>
          <t>0                      DS 0432000J  25                 L  9</t>
        </is>
      </c>
      <c r="D1065" t="inlineStr">
        <is>
          <t>The politics of untouchability : social mobility and social change in a city of India / [by] Owen M. Lynch.</t>
        </is>
      </c>
      <c r="F1065" t="inlineStr">
        <is>
          <t>No</t>
        </is>
      </c>
      <c r="G1065" t="inlineStr">
        <is>
          <t>1</t>
        </is>
      </c>
      <c r="H1065" t="inlineStr">
        <is>
          <t>No</t>
        </is>
      </c>
      <c r="I1065" t="inlineStr">
        <is>
          <t>No</t>
        </is>
      </c>
      <c r="J1065" t="inlineStr">
        <is>
          <t>0</t>
        </is>
      </c>
      <c r="K1065" t="inlineStr">
        <is>
          <t>Lynch, Owen M., 1931-2013.</t>
        </is>
      </c>
      <c r="L1065" t="inlineStr">
        <is>
          <t>New York : Columbia University Press, 1969.</t>
        </is>
      </c>
      <c r="M1065" t="inlineStr">
        <is>
          <t>1969</t>
        </is>
      </c>
      <c r="O1065" t="inlineStr">
        <is>
          <t>eng</t>
        </is>
      </c>
      <c r="P1065" t="inlineStr">
        <is>
          <t>nyu</t>
        </is>
      </c>
      <c r="R1065" t="inlineStr">
        <is>
          <t xml:space="preserve">DS </t>
        </is>
      </c>
      <c r="S1065" t="n">
        <v>11</v>
      </c>
      <c r="T1065" t="n">
        <v>11</v>
      </c>
      <c r="U1065" t="inlineStr">
        <is>
          <t>1999-04-25</t>
        </is>
      </c>
      <c r="V1065" t="inlineStr">
        <is>
          <t>1999-04-25</t>
        </is>
      </c>
      <c r="W1065" t="inlineStr">
        <is>
          <t>1993-02-17</t>
        </is>
      </c>
      <c r="X1065" t="inlineStr">
        <is>
          <t>1993-02-17</t>
        </is>
      </c>
      <c r="Y1065" t="n">
        <v>717</v>
      </c>
      <c r="Z1065" t="n">
        <v>592</v>
      </c>
      <c r="AA1065" t="n">
        <v>599</v>
      </c>
      <c r="AB1065" t="n">
        <v>5</v>
      </c>
      <c r="AC1065" t="n">
        <v>5</v>
      </c>
      <c r="AD1065" t="n">
        <v>27</v>
      </c>
      <c r="AE1065" t="n">
        <v>27</v>
      </c>
      <c r="AF1065" t="n">
        <v>9</v>
      </c>
      <c r="AG1065" t="n">
        <v>9</v>
      </c>
      <c r="AH1065" t="n">
        <v>3</v>
      </c>
      <c r="AI1065" t="n">
        <v>3</v>
      </c>
      <c r="AJ1065" t="n">
        <v>17</v>
      </c>
      <c r="AK1065" t="n">
        <v>17</v>
      </c>
      <c r="AL1065" t="n">
        <v>4</v>
      </c>
      <c r="AM1065" t="n">
        <v>4</v>
      </c>
      <c r="AN1065" t="n">
        <v>0</v>
      </c>
      <c r="AO1065" t="n">
        <v>0</v>
      </c>
      <c r="AP1065" t="inlineStr">
        <is>
          <t>No</t>
        </is>
      </c>
      <c r="AQ1065" t="inlineStr">
        <is>
          <t>Yes</t>
        </is>
      </c>
      <c r="AR1065">
        <f>HYPERLINK("http://catalog.hathitrust.org/Record/001867519","HathiTrust Record")</f>
        <v/>
      </c>
      <c r="AS1065">
        <f>HYPERLINK("https://creighton-primo.hosted.exlibrisgroup.com/primo-explore/search?tab=default_tab&amp;search_scope=EVERYTHING&amp;vid=01CRU&amp;lang=en_US&amp;offset=0&amp;query=any,contains,991000080979702656","Catalog Record")</f>
        <v/>
      </c>
      <c r="AT1065">
        <f>HYPERLINK("http://www.worldcat.org/oclc/31520","WorldCat Record")</f>
        <v/>
      </c>
      <c r="AU1065" t="inlineStr">
        <is>
          <t>233324867:eng</t>
        </is>
      </c>
      <c r="AV1065" t="inlineStr">
        <is>
          <t>31520</t>
        </is>
      </c>
      <c r="AW1065" t="inlineStr">
        <is>
          <t>991000080979702656</t>
        </is>
      </c>
      <c r="AX1065" t="inlineStr">
        <is>
          <t>991000080979702656</t>
        </is>
      </c>
      <c r="AY1065" t="inlineStr">
        <is>
          <t>2261154420002656</t>
        </is>
      </c>
      <c r="AZ1065" t="inlineStr">
        <is>
          <t>BOOK</t>
        </is>
      </c>
      <c r="BC1065" t="inlineStr">
        <is>
          <t>32285001502854</t>
        </is>
      </c>
      <c r="BD1065" t="inlineStr">
        <is>
          <t>893514971</t>
        </is>
      </c>
    </row>
    <row r="1066">
      <c r="A1066" t="inlineStr">
        <is>
          <t>No</t>
        </is>
      </c>
      <c r="B1066" t="inlineStr">
        <is>
          <t>DS432.M65 D34</t>
        </is>
      </c>
      <c r="C1066" t="inlineStr">
        <is>
          <t>0                      DS 0432000M  65                 D  34</t>
        </is>
      </c>
      <c r="D1066" t="inlineStr">
        <is>
          <t>Islamic society on the South Asian frontier : the Māppilas of Malabar, 1498-1922 / by Stephen Frederic Dale.</t>
        </is>
      </c>
      <c r="F1066" t="inlineStr">
        <is>
          <t>No</t>
        </is>
      </c>
      <c r="G1066" t="inlineStr">
        <is>
          <t>1</t>
        </is>
      </c>
      <c r="H1066" t="inlineStr">
        <is>
          <t>No</t>
        </is>
      </c>
      <c r="I1066" t="inlineStr">
        <is>
          <t>No</t>
        </is>
      </c>
      <c r="J1066" t="inlineStr">
        <is>
          <t>0</t>
        </is>
      </c>
      <c r="K1066" t="inlineStr">
        <is>
          <t>Dale, Stephen Frederic.</t>
        </is>
      </c>
      <c r="L1066" t="inlineStr">
        <is>
          <t>Oxford : Clarendon Press ; New York : Oxford University Press, 1980.</t>
        </is>
      </c>
      <c r="M1066" t="inlineStr">
        <is>
          <t>1980</t>
        </is>
      </c>
      <c r="O1066" t="inlineStr">
        <is>
          <t>eng</t>
        </is>
      </c>
      <c r="P1066" t="inlineStr">
        <is>
          <t>enk</t>
        </is>
      </c>
      <c r="R1066" t="inlineStr">
        <is>
          <t xml:space="preserve">DS </t>
        </is>
      </c>
      <c r="S1066" t="n">
        <v>2</v>
      </c>
      <c r="T1066" t="n">
        <v>2</v>
      </c>
      <c r="U1066" t="inlineStr">
        <is>
          <t>2001-03-02</t>
        </is>
      </c>
      <c r="V1066" t="inlineStr">
        <is>
          <t>2001-03-02</t>
        </is>
      </c>
      <c r="W1066" t="inlineStr">
        <is>
          <t>1990-10-08</t>
        </is>
      </c>
      <c r="X1066" t="inlineStr">
        <is>
          <t>1990-10-08</t>
        </is>
      </c>
      <c r="Y1066" t="n">
        <v>268</v>
      </c>
      <c r="Z1066" t="n">
        <v>157</v>
      </c>
      <c r="AA1066" t="n">
        <v>164</v>
      </c>
      <c r="AB1066" t="n">
        <v>2</v>
      </c>
      <c r="AC1066" t="n">
        <v>2</v>
      </c>
      <c r="AD1066" t="n">
        <v>7</v>
      </c>
      <c r="AE1066" t="n">
        <v>7</v>
      </c>
      <c r="AF1066" t="n">
        <v>0</v>
      </c>
      <c r="AG1066" t="n">
        <v>0</v>
      </c>
      <c r="AH1066" t="n">
        <v>4</v>
      </c>
      <c r="AI1066" t="n">
        <v>4</v>
      </c>
      <c r="AJ1066" t="n">
        <v>4</v>
      </c>
      <c r="AK1066" t="n">
        <v>4</v>
      </c>
      <c r="AL1066" t="n">
        <v>1</v>
      </c>
      <c r="AM1066" t="n">
        <v>1</v>
      </c>
      <c r="AN1066" t="n">
        <v>0</v>
      </c>
      <c r="AO1066" t="n">
        <v>0</v>
      </c>
      <c r="AP1066" t="inlineStr">
        <is>
          <t>No</t>
        </is>
      </c>
      <c r="AQ1066" t="inlineStr">
        <is>
          <t>Yes</t>
        </is>
      </c>
      <c r="AR1066">
        <f>HYPERLINK("http://catalog.hathitrust.org/Record/000744845","HathiTrust Record")</f>
        <v/>
      </c>
      <c r="AS1066">
        <f>HYPERLINK("https://creighton-primo.hosted.exlibrisgroup.com/primo-explore/search?tab=default_tab&amp;search_scope=EVERYTHING&amp;vid=01CRU&amp;lang=en_US&amp;offset=0&amp;query=any,contains,991004941529702656","Catalog Record")</f>
        <v/>
      </c>
      <c r="AT1066">
        <f>HYPERLINK("http://www.worldcat.org/oclc/6194476","WorldCat Record")</f>
        <v/>
      </c>
      <c r="AU1066" t="inlineStr">
        <is>
          <t>287788645:eng</t>
        </is>
      </c>
      <c r="AV1066" t="inlineStr">
        <is>
          <t>6194476</t>
        </is>
      </c>
      <c r="AW1066" t="inlineStr">
        <is>
          <t>991004941529702656</t>
        </is>
      </c>
      <c r="AX1066" t="inlineStr">
        <is>
          <t>991004941529702656</t>
        </is>
      </c>
      <c r="AY1066" t="inlineStr">
        <is>
          <t>2262711640002656</t>
        </is>
      </c>
      <c r="AZ1066" t="inlineStr">
        <is>
          <t>BOOK</t>
        </is>
      </c>
      <c r="BB1066" t="inlineStr">
        <is>
          <t>9780198215714</t>
        </is>
      </c>
      <c r="BC1066" t="inlineStr">
        <is>
          <t>32285000336353</t>
        </is>
      </c>
      <c r="BD1066" t="inlineStr">
        <is>
          <t>893707026</t>
        </is>
      </c>
    </row>
    <row r="1067">
      <c r="A1067" t="inlineStr">
        <is>
          <t>No</t>
        </is>
      </c>
      <c r="B1067" t="inlineStr">
        <is>
          <t>DS432.M84 L35 1990</t>
        </is>
      </c>
      <c r="C1067" t="inlineStr">
        <is>
          <t>0                      DS 0432000M  84                 L  35          1990</t>
        </is>
      </c>
      <c r="D1067" t="inlineStr">
        <is>
          <t>Indian Muslims : who are they / K.S. Lal.</t>
        </is>
      </c>
      <c r="F1067" t="inlineStr">
        <is>
          <t>No</t>
        </is>
      </c>
      <c r="G1067" t="inlineStr">
        <is>
          <t>1</t>
        </is>
      </c>
      <c r="H1067" t="inlineStr">
        <is>
          <t>No</t>
        </is>
      </c>
      <c r="I1067" t="inlineStr">
        <is>
          <t>No</t>
        </is>
      </c>
      <c r="J1067" t="inlineStr">
        <is>
          <t>0</t>
        </is>
      </c>
      <c r="K1067" t="inlineStr">
        <is>
          <t>Lal, Kishori Saran, 1920-</t>
        </is>
      </c>
      <c r="L1067" t="inlineStr">
        <is>
          <t>New Delhi : Voice of India, 1990.</t>
        </is>
      </c>
      <c r="M1067" t="inlineStr">
        <is>
          <t>1990</t>
        </is>
      </c>
      <c r="O1067" t="inlineStr">
        <is>
          <t>eng</t>
        </is>
      </c>
      <c r="P1067" t="inlineStr">
        <is>
          <t xml:space="preserve">ii </t>
        </is>
      </c>
      <c r="R1067" t="inlineStr">
        <is>
          <t xml:space="preserve">DS </t>
        </is>
      </c>
      <c r="S1067" t="n">
        <v>14</v>
      </c>
      <c r="T1067" t="n">
        <v>14</v>
      </c>
      <c r="U1067" t="inlineStr">
        <is>
          <t>2003-03-18</t>
        </is>
      </c>
      <c r="V1067" t="inlineStr">
        <is>
          <t>2003-03-18</t>
        </is>
      </c>
      <c r="W1067" t="inlineStr">
        <is>
          <t>1995-12-01</t>
        </is>
      </c>
      <c r="X1067" t="inlineStr">
        <is>
          <t>1995-12-01</t>
        </is>
      </c>
      <c r="Y1067" t="n">
        <v>59</v>
      </c>
      <c r="Z1067" t="n">
        <v>36</v>
      </c>
      <c r="AA1067" t="n">
        <v>37</v>
      </c>
      <c r="AB1067" t="n">
        <v>1</v>
      </c>
      <c r="AC1067" t="n">
        <v>1</v>
      </c>
      <c r="AD1067" t="n">
        <v>0</v>
      </c>
      <c r="AE1067" t="n">
        <v>0</v>
      </c>
      <c r="AF1067" t="n">
        <v>0</v>
      </c>
      <c r="AG1067" t="n">
        <v>0</v>
      </c>
      <c r="AH1067" t="n">
        <v>0</v>
      </c>
      <c r="AI1067" t="n">
        <v>0</v>
      </c>
      <c r="AJ1067" t="n">
        <v>0</v>
      </c>
      <c r="AK1067" t="n">
        <v>0</v>
      </c>
      <c r="AL1067" t="n">
        <v>0</v>
      </c>
      <c r="AM1067" t="n">
        <v>0</v>
      </c>
      <c r="AN1067" t="n">
        <v>0</v>
      </c>
      <c r="AO1067" t="n">
        <v>0</v>
      </c>
      <c r="AP1067" t="inlineStr">
        <is>
          <t>No</t>
        </is>
      </c>
      <c r="AQ1067" t="inlineStr">
        <is>
          <t>Yes</t>
        </is>
      </c>
      <c r="AR1067">
        <f>HYPERLINK("http://catalog.hathitrust.org/Record/002528671","HathiTrust Record")</f>
        <v/>
      </c>
      <c r="AS1067">
        <f>HYPERLINK("https://creighton-primo.hosted.exlibrisgroup.com/primo-explore/search?tab=default_tab&amp;search_scope=EVERYTHING&amp;vid=01CRU&amp;lang=en_US&amp;offset=0&amp;query=any,contains,991001919689702656","Catalog Record")</f>
        <v/>
      </c>
      <c r="AT1067">
        <f>HYPERLINK("http://www.worldcat.org/oclc/24232178","WorldCat Record")</f>
        <v/>
      </c>
      <c r="AU1067" t="inlineStr">
        <is>
          <t>367534063:eng</t>
        </is>
      </c>
      <c r="AV1067" t="inlineStr">
        <is>
          <t>24232178</t>
        </is>
      </c>
      <c r="AW1067" t="inlineStr">
        <is>
          <t>991001919689702656</t>
        </is>
      </c>
      <c r="AX1067" t="inlineStr">
        <is>
          <t>991001919689702656</t>
        </is>
      </c>
      <c r="AY1067" t="inlineStr">
        <is>
          <t>2260736140002656</t>
        </is>
      </c>
      <c r="AZ1067" t="inlineStr">
        <is>
          <t>BOOK</t>
        </is>
      </c>
      <c r="BB1067" t="inlineStr">
        <is>
          <t>9788185990101</t>
        </is>
      </c>
      <c r="BC1067" t="inlineStr">
        <is>
          <t>32285002107703</t>
        </is>
      </c>
      <c r="BD1067" t="inlineStr">
        <is>
          <t>893626866</t>
        </is>
      </c>
    </row>
    <row r="1068">
      <c r="A1068" t="inlineStr">
        <is>
          <t>No</t>
        </is>
      </c>
      <c r="B1068" t="inlineStr">
        <is>
          <t>DS432.M84 M88 2004</t>
        </is>
      </c>
      <c r="C1068" t="inlineStr">
        <is>
          <t>0                      DS 0432000M  84                 M  88          2004</t>
        </is>
      </c>
      <c r="D1068" t="inlineStr">
        <is>
          <t>The Muslims of India : a documentary record / edited by A.G. Noorani.</t>
        </is>
      </c>
      <c r="F1068" t="inlineStr">
        <is>
          <t>No</t>
        </is>
      </c>
      <c r="G1068" t="inlineStr">
        <is>
          <t>1</t>
        </is>
      </c>
      <c r="H1068" t="inlineStr">
        <is>
          <t>No</t>
        </is>
      </c>
      <c r="I1068" t="inlineStr">
        <is>
          <t>No</t>
        </is>
      </c>
      <c r="J1068" t="inlineStr">
        <is>
          <t>0</t>
        </is>
      </c>
      <c r="L1068" t="inlineStr">
        <is>
          <t>New Delhi ; Oxford ; New York : Oxford University Press, 2004.</t>
        </is>
      </c>
      <c r="M1068" t="inlineStr">
        <is>
          <t>2004</t>
        </is>
      </c>
      <c r="O1068" t="inlineStr">
        <is>
          <t>eng</t>
        </is>
      </c>
      <c r="P1068" t="inlineStr">
        <is>
          <t xml:space="preserve">ii </t>
        </is>
      </c>
      <c r="Q1068" t="inlineStr">
        <is>
          <t>Oxford India paperbacks</t>
        </is>
      </c>
      <c r="R1068" t="inlineStr">
        <is>
          <t xml:space="preserve">DS </t>
        </is>
      </c>
      <c r="S1068" t="n">
        <v>1</v>
      </c>
      <c r="T1068" t="n">
        <v>1</v>
      </c>
      <c r="U1068" t="inlineStr">
        <is>
          <t>2006-09-21</t>
        </is>
      </c>
      <c r="V1068" t="inlineStr">
        <is>
          <t>2006-09-21</t>
        </is>
      </c>
      <c r="W1068" t="inlineStr">
        <is>
          <t>2006-09-21</t>
        </is>
      </c>
      <c r="X1068" t="inlineStr">
        <is>
          <t>2006-09-21</t>
        </is>
      </c>
      <c r="Y1068" t="n">
        <v>46</v>
      </c>
      <c r="Z1068" t="n">
        <v>25</v>
      </c>
      <c r="AA1068" t="n">
        <v>201</v>
      </c>
      <c r="AB1068" t="n">
        <v>1</v>
      </c>
      <c r="AC1068" t="n">
        <v>1</v>
      </c>
      <c r="AD1068" t="n">
        <v>2</v>
      </c>
      <c r="AE1068" t="n">
        <v>15</v>
      </c>
      <c r="AF1068" t="n">
        <v>1</v>
      </c>
      <c r="AG1068" t="n">
        <v>4</v>
      </c>
      <c r="AH1068" t="n">
        <v>0</v>
      </c>
      <c r="AI1068" t="n">
        <v>5</v>
      </c>
      <c r="AJ1068" t="n">
        <v>2</v>
      </c>
      <c r="AK1068" t="n">
        <v>9</v>
      </c>
      <c r="AL1068" t="n">
        <v>0</v>
      </c>
      <c r="AM1068" t="n">
        <v>0</v>
      </c>
      <c r="AN1068" t="n">
        <v>0</v>
      </c>
      <c r="AO1068" t="n">
        <v>1</v>
      </c>
      <c r="AP1068" t="inlineStr">
        <is>
          <t>No</t>
        </is>
      </c>
      <c r="AQ1068" t="inlineStr">
        <is>
          <t>No</t>
        </is>
      </c>
      <c r="AS1068">
        <f>HYPERLINK("https://creighton-primo.hosted.exlibrisgroup.com/primo-explore/search?tab=default_tab&amp;search_scope=EVERYTHING&amp;vid=01CRU&amp;lang=en_US&amp;offset=0&amp;query=any,contains,991004921939702656","Catalog Record")</f>
        <v/>
      </c>
      <c r="AT1068">
        <f>HYPERLINK("http://www.worldcat.org/oclc/55904214","WorldCat Record")</f>
        <v/>
      </c>
      <c r="AU1068" t="inlineStr">
        <is>
          <t>795466060:eng</t>
        </is>
      </c>
      <c r="AV1068" t="inlineStr">
        <is>
          <t>55904214</t>
        </is>
      </c>
      <c r="AW1068" t="inlineStr">
        <is>
          <t>991004921939702656</t>
        </is>
      </c>
      <c r="AX1068" t="inlineStr">
        <is>
          <t>991004921939702656</t>
        </is>
      </c>
      <c r="AY1068" t="inlineStr">
        <is>
          <t>2270411010002656</t>
        </is>
      </c>
      <c r="AZ1068" t="inlineStr">
        <is>
          <t>BOOK</t>
        </is>
      </c>
      <c r="BB1068" t="inlineStr">
        <is>
          <t>9780195670561</t>
        </is>
      </c>
      <c r="BC1068" t="inlineStr">
        <is>
          <t>32285005224539</t>
        </is>
      </c>
      <c r="BD1068" t="inlineStr">
        <is>
          <t>893344405</t>
        </is>
      </c>
    </row>
    <row r="1069">
      <c r="A1069" t="inlineStr">
        <is>
          <t>No</t>
        </is>
      </c>
      <c r="B1069" t="inlineStr">
        <is>
          <t>DS432.P3 L85 1996</t>
        </is>
      </c>
      <c r="C1069" t="inlineStr">
        <is>
          <t>0                      DS 0432000P  3                  L  85          1996</t>
        </is>
      </c>
      <c r="D1069" t="inlineStr">
        <is>
          <t>The good Parsi : the fate of a colonial elite in a postcolonial society / T.M. Luhrmann.</t>
        </is>
      </c>
      <c r="F1069" t="inlineStr">
        <is>
          <t>No</t>
        </is>
      </c>
      <c r="G1069" t="inlineStr">
        <is>
          <t>1</t>
        </is>
      </c>
      <c r="H1069" t="inlineStr">
        <is>
          <t>No</t>
        </is>
      </c>
      <c r="I1069" t="inlineStr">
        <is>
          <t>No</t>
        </is>
      </c>
      <c r="J1069" t="inlineStr">
        <is>
          <t>0</t>
        </is>
      </c>
      <c r="K1069" t="inlineStr">
        <is>
          <t>Luhrmann, T. M. (Tanya M.), 1959-</t>
        </is>
      </c>
      <c r="L1069" t="inlineStr">
        <is>
          <t>Cambridge, Mass. : Harvard University Press, 1996.</t>
        </is>
      </c>
      <c r="M1069" t="inlineStr">
        <is>
          <t>1996</t>
        </is>
      </c>
      <c r="O1069" t="inlineStr">
        <is>
          <t>eng</t>
        </is>
      </c>
      <c r="P1069" t="inlineStr">
        <is>
          <t>mau</t>
        </is>
      </c>
      <c r="R1069" t="inlineStr">
        <is>
          <t xml:space="preserve">DS </t>
        </is>
      </c>
      <c r="S1069" t="n">
        <v>3</v>
      </c>
      <c r="T1069" t="n">
        <v>3</v>
      </c>
      <c r="U1069" t="inlineStr">
        <is>
          <t>2004-06-17</t>
        </is>
      </c>
      <c r="V1069" t="inlineStr">
        <is>
          <t>2004-06-17</t>
        </is>
      </c>
      <c r="W1069" t="inlineStr">
        <is>
          <t>1997-01-02</t>
        </is>
      </c>
      <c r="X1069" t="inlineStr">
        <is>
          <t>1997-01-02</t>
        </is>
      </c>
      <c r="Y1069" t="n">
        <v>373</v>
      </c>
      <c r="Z1069" t="n">
        <v>278</v>
      </c>
      <c r="AA1069" t="n">
        <v>279</v>
      </c>
      <c r="AB1069" t="n">
        <v>2</v>
      </c>
      <c r="AC1069" t="n">
        <v>2</v>
      </c>
      <c r="AD1069" t="n">
        <v>13</v>
      </c>
      <c r="AE1069" t="n">
        <v>13</v>
      </c>
      <c r="AF1069" t="n">
        <v>2</v>
      </c>
      <c r="AG1069" t="n">
        <v>2</v>
      </c>
      <c r="AH1069" t="n">
        <v>4</v>
      </c>
      <c r="AI1069" t="n">
        <v>4</v>
      </c>
      <c r="AJ1069" t="n">
        <v>10</v>
      </c>
      <c r="AK1069" t="n">
        <v>10</v>
      </c>
      <c r="AL1069" t="n">
        <v>1</v>
      </c>
      <c r="AM1069" t="n">
        <v>1</v>
      </c>
      <c r="AN1069" t="n">
        <v>0</v>
      </c>
      <c r="AO1069" t="n">
        <v>0</v>
      </c>
      <c r="AP1069" t="inlineStr">
        <is>
          <t>No</t>
        </is>
      </c>
      <c r="AQ1069" t="inlineStr">
        <is>
          <t>Yes</t>
        </is>
      </c>
      <c r="AR1069">
        <f>HYPERLINK("http://catalog.hathitrust.org/Record/003085655","HathiTrust Record")</f>
        <v/>
      </c>
      <c r="AS1069">
        <f>HYPERLINK("https://creighton-primo.hosted.exlibrisgroup.com/primo-explore/search?tab=default_tab&amp;search_scope=EVERYTHING&amp;vid=01CRU&amp;lang=en_US&amp;offset=0&amp;query=any,contains,991002589839702656","Catalog Record")</f>
        <v/>
      </c>
      <c r="AT1069">
        <f>HYPERLINK("http://www.worldcat.org/oclc/33947591","WorldCat Record")</f>
        <v/>
      </c>
      <c r="AU1069" t="inlineStr">
        <is>
          <t>2680431:eng</t>
        </is>
      </c>
      <c r="AV1069" t="inlineStr">
        <is>
          <t>33947591</t>
        </is>
      </c>
      <c r="AW1069" t="inlineStr">
        <is>
          <t>991002589839702656</t>
        </is>
      </c>
      <c r="AX1069" t="inlineStr">
        <is>
          <t>991002589839702656</t>
        </is>
      </c>
      <c r="AY1069" t="inlineStr">
        <is>
          <t>2261979970002656</t>
        </is>
      </c>
      <c r="AZ1069" t="inlineStr">
        <is>
          <t>BOOK</t>
        </is>
      </c>
      <c r="BB1069" t="inlineStr">
        <is>
          <t>9780674356757</t>
        </is>
      </c>
      <c r="BC1069" t="inlineStr">
        <is>
          <t>32285002404514</t>
        </is>
      </c>
      <c r="BD1069" t="inlineStr">
        <is>
          <t>893434052</t>
        </is>
      </c>
    </row>
    <row r="1070">
      <c r="A1070" t="inlineStr">
        <is>
          <t>No</t>
        </is>
      </c>
      <c r="B1070" t="inlineStr">
        <is>
          <t>DS432.S5 M25</t>
        </is>
      </c>
      <c r="C1070" t="inlineStr">
        <is>
          <t>0                      DS 0432000S  5                  M  25</t>
        </is>
      </c>
      <c r="D1070" t="inlineStr">
        <is>
          <t>The evolution of the Sikh community : five essays / W. H. McLeod.</t>
        </is>
      </c>
      <c r="F1070" t="inlineStr">
        <is>
          <t>No</t>
        </is>
      </c>
      <c r="G1070" t="inlineStr">
        <is>
          <t>1</t>
        </is>
      </c>
      <c r="H1070" t="inlineStr">
        <is>
          <t>No</t>
        </is>
      </c>
      <c r="I1070" t="inlineStr">
        <is>
          <t>No</t>
        </is>
      </c>
      <c r="J1070" t="inlineStr">
        <is>
          <t>0</t>
        </is>
      </c>
      <c r="K1070" t="inlineStr">
        <is>
          <t>McLeod, W. H.</t>
        </is>
      </c>
      <c r="L1070" t="inlineStr">
        <is>
          <t>Oxford : Clarendon Press, 1976.</t>
        </is>
      </c>
      <c r="M1070" t="inlineStr">
        <is>
          <t>1976</t>
        </is>
      </c>
      <c r="O1070" t="inlineStr">
        <is>
          <t>eng</t>
        </is>
      </c>
      <c r="P1070" t="inlineStr">
        <is>
          <t>enk</t>
        </is>
      </c>
      <c r="R1070" t="inlineStr">
        <is>
          <t xml:space="preserve">DS </t>
        </is>
      </c>
      <c r="S1070" t="n">
        <v>11</v>
      </c>
      <c r="T1070" t="n">
        <v>11</v>
      </c>
      <c r="U1070" t="inlineStr">
        <is>
          <t>2010-11-09</t>
        </is>
      </c>
      <c r="V1070" t="inlineStr">
        <is>
          <t>2010-11-09</t>
        </is>
      </c>
      <c r="W1070" t="inlineStr">
        <is>
          <t>1997-03-06</t>
        </is>
      </c>
      <c r="X1070" t="inlineStr">
        <is>
          <t>1997-03-06</t>
        </is>
      </c>
      <c r="Y1070" t="n">
        <v>483</v>
      </c>
      <c r="Z1070" t="n">
        <v>357</v>
      </c>
      <c r="AA1070" t="n">
        <v>415</v>
      </c>
      <c r="AB1070" t="n">
        <v>4</v>
      </c>
      <c r="AC1070" t="n">
        <v>4</v>
      </c>
      <c r="AD1070" t="n">
        <v>13</v>
      </c>
      <c r="AE1070" t="n">
        <v>18</v>
      </c>
      <c r="AF1070" t="n">
        <v>4</v>
      </c>
      <c r="AG1070" t="n">
        <v>6</v>
      </c>
      <c r="AH1070" t="n">
        <v>2</v>
      </c>
      <c r="AI1070" t="n">
        <v>4</v>
      </c>
      <c r="AJ1070" t="n">
        <v>7</v>
      </c>
      <c r="AK1070" t="n">
        <v>9</v>
      </c>
      <c r="AL1070" t="n">
        <v>3</v>
      </c>
      <c r="AM1070" t="n">
        <v>3</v>
      </c>
      <c r="AN1070" t="n">
        <v>0</v>
      </c>
      <c r="AO1070" t="n">
        <v>0</v>
      </c>
      <c r="AP1070" t="inlineStr">
        <is>
          <t>No</t>
        </is>
      </c>
      <c r="AQ1070" t="inlineStr">
        <is>
          <t>Yes</t>
        </is>
      </c>
      <c r="AR1070">
        <f>HYPERLINK("http://catalog.hathitrust.org/Record/000727111","HathiTrust Record")</f>
        <v/>
      </c>
      <c r="AS1070">
        <f>HYPERLINK("https://creighton-primo.hosted.exlibrisgroup.com/primo-explore/search?tab=default_tab&amp;search_scope=EVERYTHING&amp;vid=01CRU&amp;lang=en_US&amp;offset=0&amp;query=any,contains,991004027349702656","Catalog Record")</f>
        <v/>
      </c>
      <c r="AT1070">
        <f>HYPERLINK("http://www.worldcat.org/oclc/2140005","WorldCat Record")</f>
        <v/>
      </c>
      <c r="AU1070" t="inlineStr">
        <is>
          <t>416176:eng</t>
        </is>
      </c>
      <c r="AV1070" t="inlineStr">
        <is>
          <t>2140005</t>
        </is>
      </c>
      <c r="AW1070" t="inlineStr">
        <is>
          <t>991004027349702656</t>
        </is>
      </c>
      <c r="AX1070" t="inlineStr">
        <is>
          <t>991004027349702656</t>
        </is>
      </c>
      <c r="AY1070" t="inlineStr">
        <is>
          <t>2258746240002656</t>
        </is>
      </c>
      <c r="AZ1070" t="inlineStr">
        <is>
          <t>BOOK</t>
        </is>
      </c>
      <c r="BB1070" t="inlineStr">
        <is>
          <t>9780198265290</t>
        </is>
      </c>
      <c r="BC1070" t="inlineStr">
        <is>
          <t>32285002456555</t>
        </is>
      </c>
      <c r="BD1070" t="inlineStr">
        <is>
          <t>893881963</t>
        </is>
      </c>
    </row>
    <row r="1071">
      <c r="A1071" t="inlineStr">
        <is>
          <t>No</t>
        </is>
      </c>
      <c r="B1071" t="inlineStr">
        <is>
          <t>DS436 .G7 1965</t>
        </is>
      </c>
      <c r="C1071" t="inlineStr">
        <is>
          <t>0                      DS 0436000G  7           1965</t>
        </is>
      </c>
      <c r="D1071" t="inlineStr">
        <is>
          <t>Modern India / by Sir Percival Griffiths.</t>
        </is>
      </c>
      <c r="F1071" t="inlineStr">
        <is>
          <t>No</t>
        </is>
      </c>
      <c r="G1071" t="inlineStr">
        <is>
          <t>1</t>
        </is>
      </c>
      <c r="H1071" t="inlineStr">
        <is>
          <t>No</t>
        </is>
      </c>
      <c r="I1071" t="inlineStr">
        <is>
          <t>No</t>
        </is>
      </c>
      <c r="J1071" t="inlineStr">
        <is>
          <t>0</t>
        </is>
      </c>
      <c r="K1071" t="inlineStr">
        <is>
          <t>Griffiths, Percival, Sir, 1899-1992.</t>
        </is>
      </c>
      <c r="L1071" t="inlineStr">
        <is>
          <t>New York : F. A. Praeger, [1965]</t>
        </is>
      </c>
      <c r="M1071" t="inlineStr">
        <is>
          <t>1965</t>
        </is>
      </c>
      <c r="N1071" t="inlineStr">
        <is>
          <t>4th ed.</t>
        </is>
      </c>
      <c r="O1071" t="inlineStr">
        <is>
          <t>eng</t>
        </is>
      </c>
      <c r="P1071" t="inlineStr">
        <is>
          <t>nyu</t>
        </is>
      </c>
      <c r="Q1071" t="inlineStr">
        <is>
          <t>Nations of the modern world</t>
        </is>
      </c>
      <c r="R1071" t="inlineStr">
        <is>
          <t xml:space="preserve">DS </t>
        </is>
      </c>
      <c r="S1071" t="n">
        <v>1</v>
      </c>
      <c r="T1071" t="n">
        <v>1</v>
      </c>
      <c r="U1071" t="inlineStr">
        <is>
          <t>1993-04-07</t>
        </is>
      </c>
      <c r="V1071" t="inlineStr">
        <is>
          <t>1993-04-07</t>
        </is>
      </c>
      <c r="W1071" t="inlineStr">
        <is>
          <t>1992-01-28</t>
        </is>
      </c>
      <c r="X1071" t="inlineStr">
        <is>
          <t>1992-01-28</t>
        </is>
      </c>
      <c r="Y1071" t="n">
        <v>690</v>
      </c>
      <c r="Z1071" t="n">
        <v>652</v>
      </c>
      <c r="AA1071" t="n">
        <v>1047</v>
      </c>
      <c r="AB1071" t="n">
        <v>5</v>
      </c>
      <c r="AC1071" t="n">
        <v>9</v>
      </c>
      <c r="AD1071" t="n">
        <v>22</v>
      </c>
      <c r="AE1071" t="n">
        <v>45</v>
      </c>
      <c r="AF1071" t="n">
        <v>11</v>
      </c>
      <c r="AG1071" t="n">
        <v>18</v>
      </c>
      <c r="AH1071" t="n">
        <v>4</v>
      </c>
      <c r="AI1071" t="n">
        <v>8</v>
      </c>
      <c r="AJ1071" t="n">
        <v>7</v>
      </c>
      <c r="AK1071" t="n">
        <v>16</v>
      </c>
      <c r="AL1071" t="n">
        <v>3</v>
      </c>
      <c r="AM1071" t="n">
        <v>6</v>
      </c>
      <c r="AN1071" t="n">
        <v>0</v>
      </c>
      <c r="AO1071" t="n">
        <v>5</v>
      </c>
      <c r="AP1071" t="inlineStr">
        <is>
          <t>No</t>
        </is>
      </c>
      <c r="AQ1071" t="inlineStr">
        <is>
          <t>Yes</t>
        </is>
      </c>
      <c r="AR1071">
        <f>HYPERLINK("http://catalog.hathitrust.org/Record/001252177","HathiTrust Record")</f>
        <v/>
      </c>
      <c r="AS1071">
        <f>HYPERLINK("https://creighton-primo.hosted.exlibrisgroup.com/primo-explore/search?tab=default_tab&amp;search_scope=EVERYTHING&amp;vid=01CRU&amp;lang=en_US&amp;offset=0&amp;query=any,contains,991002713629702656","Catalog Record")</f>
        <v/>
      </c>
      <c r="AT1071">
        <f>HYPERLINK("http://www.worldcat.org/oclc/410685","WorldCat Record")</f>
        <v/>
      </c>
      <c r="AU1071" t="inlineStr">
        <is>
          <t>1454660:eng</t>
        </is>
      </c>
      <c r="AV1071" t="inlineStr">
        <is>
          <t>410685</t>
        </is>
      </c>
      <c r="AW1071" t="inlineStr">
        <is>
          <t>991002713629702656</t>
        </is>
      </c>
      <c r="AX1071" t="inlineStr">
        <is>
          <t>991002713629702656</t>
        </is>
      </c>
      <c r="AY1071" t="inlineStr">
        <is>
          <t>2262579790002656</t>
        </is>
      </c>
      <c r="AZ1071" t="inlineStr">
        <is>
          <t>BOOK</t>
        </is>
      </c>
      <c r="BC1071" t="inlineStr">
        <is>
          <t>32285000919695</t>
        </is>
      </c>
      <c r="BD1071" t="inlineStr">
        <is>
          <t>893523962</t>
        </is>
      </c>
    </row>
    <row r="1072">
      <c r="A1072" t="inlineStr">
        <is>
          <t>No</t>
        </is>
      </c>
      <c r="B1072" t="inlineStr">
        <is>
          <t>DS436 .N3</t>
        </is>
      </c>
      <c r="C1072" t="inlineStr">
        <is>
          <t>0                      DS 0436000N  3</t>
        </is>
      </c>
      <c r="D1072" t="inlineStr">
        <is>
          <t>India : a short introductory history.</t>
        </is>
      </c>
      <c r="F1072" t="inlineStr">
        <is>
          <t>No</t>
        </is>
      </c>
      <c r="G1072" t="inlineStr">
        <is>
          <t>1</t>
        </is>
      </c>
      <c r="H1072" t="inlineStr">
        <is>
          <t>No</t>
        </is>
      </c>
      <c r="I1072" t="inlineStr">
        <is>
          <t>No</t>
        </is>
      </c>
      <c r="J1072" t="inlineStr">
        <is>
          <t>0</t>
        </is>
      </c>
      <c r="K1072" t="inlineStr">
        <is>
          <t>Naidis, Mark.</t>
        </is>
      </c>
      <c r="L1072" t="inlineStr">
        <is>
          <t>New York : Macmillan, [1966]</t>
        </is>
      </c>
      <c r="M1072" t="inlineStr">
        <is>
          <t>1966</t>
        </is>
      </c>
      <c r="O1072" t="inlineStr">
        <is>
          <t>eng</t>
        </is>
      </c>
      <c r="P1072" t="inlineStr">
        <is>
          <t>nyu</t>
        </is>
      </c>
      <c r="R1072" t="inlineStr">
        <is>
          <t xml:space="preserve">DS </t>
        </is>
      </c>
      <c r="S1072" t="n">
        <v>2</v>
      </c>
      <c r="T1072" t="n">
        <v>2</v>
      </c>
      <c r="U1072" t="inlineStr">
        <is>
          <t>1996-02-26</t>
        </is>
      </c>
      <c r="V1072" t="inlineStr">
        <is>
          <t>1996-02-26</t>
        </is>
      </c>
      <c r="W1072" t="inlineStr">
        <is>
          <t>1994-04-29</t>
        </is>
      </c>
      <c r="X1072" t="inlineStr">
        <is>
          <t>1994-04-29</t>
        </is>
      </c>
      <c r="Y1072" t="n">
        <v>443</v>
      </c>
      <c r="Z1072" t="n">
        <v>384</v>
      </c>
      <c r="AA1072" t="n">
        <v>392</v>
      </c>
      <c r="AB1072" t="n">
        <v>4</v>
      </c>
      <c r="AC1072" t="n">
        <v>4</v>
      </c>
      <c r="AD1072" t="n">
        <v>16</v>
      </c>
      <c r="AE1072" t="n">
        <v>16</v>
      </c>
      <c r="AF1072" t="n">
        <v>4</v>
      </c>
      <c r="AG1072" t="n">
        <v>4</v>
      </c>
      <c r="AH1072" t="n">
        <v>2</v>
      </c>
      <c r="AI1072" t="n">
        <v>2</v>
      </c>
      <c r="AJ1072" t="n">
        <v>9</v>
      </c>
      <c r="AK1072" t="n">
        <v>9</v>
      </c>
      <c r="AL1072" t="n">
        <v>3</v>
      </c>
      <c r="AM1072" t="n">
        <v>3</v>
      </c>
      <c r="AN1072" t="n">
        <v>0</v>
      </c>
      <c r="AO1072" t="n">
        <v>0</v>
      </c>
      <c r="AP1072" t="inlineStr">
        <is>
          <t>No</t>
        </is>
      </c>
      <c r="AQ1072" t="inlineStr">
        <is>
          <t>Yes</t>
        </is>
      </c>
      <c r="AR1072">
        <f>HYPERLINK("http://catalog.hathitrust.org/Record/006658643","HathiTrust Record")</f>
        <v/>
      </c>
      <c r="AS1072">
        <f>HYPERLINK("https://creighton-primo.hosted.exlibrisgroup.com/primo-explore/search?tab=default_tab&amp;search_scope=EVERYTHING&amp;vid=01CRU&amp;lang=en_US&amp;offset=0&amp;query=any,contains,991002715349702656","Catalog Record")</f>
        <v/>
      </c>
      <c r="AT1072">
        <f>HYPERLINK("http://www.worldcat.org/oclc/411116","WorldCat Record")</f>
        <v/>
      </c>
      <c r="AU1072" t="inlineStr">
        <is>
          <t>1456736:eng</t>
        </is>
      </c>
      <c r="AV1072" t="inlineStr">
        <is>
          <t>411116</t>
        </is>
      </c>
      <c r="AW1072" t="inlineStr">
        <is>
          <t>991002715349702656</t>
        </is>
      </c>
      <c r="AX1072" t="inlineStr">
        <is>
          <t>991002715349702656</t>
        </is>
      </c>
      <c r="AY1072" t="inlineStr">
        <is>
          <t>2265045930002656</t>
        </is>
      </c>
      <c r="AZ1072" t="inlineStr">
        <is>
          <t>BOOK</t>
        </is>
      </c>
      <c r="BC1072" t="inlineStr">
        <is>
          <t>32285001894954</t>
        </is>
      </c>
      <c r="BD1072" t="inlineStr">
        <is>
          <t>893798917</t>
        </is>
      </c>
    </row>
    <row r="1073">
      <c r="A1073" t="inlineStr">
        <is>
          <t>No</t>
        </is>
      </c>
      <c r="B1073" t="inlineStr">
        <is>
          <t>DS436 .S68 1972</t>
        </is>
      </c>
      <c r="C1073" t="inlineStr">
        <is>
          <t>0                      DS 0436000S  68          1972</t>
        </is>
      </c>
      <c r="D1073" t="inlineStr">
        <is>
          <t>India : a modern history / by Percival Spear.</t>
        </is>
      </c>
      <c r="F1073" t="inlineStr">
        <is>
          <t>No</t>
        </is>
      </c>
      <c r="G1073" t="inlineStr">
        <is>
          <t>1</t>
        </is>
      </c>
      <c r="H1073" t="inlineStr">
        <is>
          <t>No</t>
        </is>
      </c>
      <c r="I1073" t="inlineStr">
        <is>
          <t>No</t>
        </is>
      </c>
      <c r="J1073" t="inlineStr">
        <is>
          <t>0</t>
        </is>
      </c>
      <c r="K1073" t="inlineStr">
        <is>
          <t>Spear, Percival, 1901-1982.</t>
        </is>
      </c>
      <c r="L1073" t="inlineStr">
        <is>
          <t>Ann Arbor : University of Michigan Press, [1972]</t>
        </is>
      </c>
      <c r="M1073" t="inlineStr">
        <is>
          <t>1972</t>
        </is>
      </c>
      <c r="N1073" t="inlineStr">
        <is>
          <t>New ed., rev. and enl.</t>
        </is>
      </c>
      <c r="O1073" t="inlineStr">
        <is>
          <t>eng</t>
        </is>
      </c>
      <c r="P1073" t="inlineStr">
        <is>
          <t>miu</t>
        </is>
      </c>
      <c r="Q1073" t="inlineStr">
        <is>
          <t>University of Michigan history of the modern world</t>
        </is>
      </c>
      <c r="R1073" t="inlineStr">
        <is>
          <t xml:space="preserve">DS </t>
        </is>
      </c>
      <c r="S1073" t="n">
        <v>3</v>
      </c>
      <c r="T1073" t="n">
        <v>3</v>
      </c>
      <c r="U1073" t="inlineStr">
        <is>
          <t>2007-04-02</t>
        </is>
      </c>
      <c r="V1073" t="inlineStr">
        <is>
          <t>2007-04-02</t>
        </is>
      </c>
      <c r="W1073" t="inlineStr">
        <is>
          <t>1991-10-31</t>
        </is>
      </c>
      <c r="X1073" t="inlineStr">
        <is>
          <t>1991-10-31</t>
        </is>
      </c>
      <c r="Y1073" t="n">
        <v>739</v>
      </c>
      <c r="Z1073" t="n">
        <v>640</v>
      </c>
      <c r="AA1073" t="n">
        <v>1731</v>
      </c>
      <c r="AB1073" t="n">
        <v>10</v>
      </c>
      <c r="AC1073" t="n">
        <v>14</v>
      </c>
      <c r="AD1073" t="n">
        <v>27</v>
      </c>
      <c r="AE1073" t="n">
        <v>55</v>
      </c>
      <c r="AF1073" t="n">
        <v>8</v>
      </c>
      <c r="AG1073" t="n">
        <v>24</v>
      </c>
      <c r="AH1073" t="n">
        <v>6</v>
      </c>
      <c r="AI1073" t="n">
        <v>9</v>
      </c>
      <c r="AJ1073" t="n">
        <v>11</v>
      </c>
      <c r="AK1073" t="n">
        <v>23</v>
      </c>
      <c r="AL1073" t="n">
        <v>8</v>
      </c>
      <c r="AM1073" t="n">
        <v>12</v>
      </c>
      <c r="AN1073" t="n">
        <v>0</v>
      </c>
      <c r="AO1073" t="n">
        <v>0</v>
      </c>
      <c r="AP1073" t="inlineStr">
        <is>
          <t>No</t>
        </is>
      </c>
      <c r="AQ1073" t="inlineStr">
        <is>
          <t>No</t>
        </is>
      </c>
      <c r="AS1073">
        <f>HYPERLINK("https://creighton-primo.hosted.exlibrisgroup.com/primo-explore/search?tab=default_tab&amp;search_scope=EVERYTHING&amp;vid=01CRU&amp;lang=en_US&amp;offset=0&amp;query=any,contains,991003583539702656","Catalog Record")</f>
        <v/>
      </c>
      <c r="AT1073">
        <f>HYPERLINK("http://www.worldcat.org/oclc/1164714","WorldCat Record")</f>
        <v/>
      </c>
      <c r="AU1073" t="inlineStr">
        <is>
          <t>1455114:eng</t>
        </is>
      </c>
      <c r="AV1073" t="inlineStr">
        <is>
          <t>1164714</t>
        </is>
      </c>
      <c r="AW1073" t="inlineStr">
        <is>
          <t>991003583539702656</t>
        </is>
      </c>
      <c r="AX1073" t="inlineStr">
        <is>
          <t>991003583539702656</t>
        </is>
      </c>
      <c r="AY1073" t="inlineStr">
        <is>
          <t>2262920410002656</t>
        </is>
      </c>
      <c r="AZ1073" t="inlineStr">
        <is>
          <t>BOOK</t>
        </is>
      </c>
      <c r="BB1073" t="inlineStr">
        <is>
          <t>9780472071401</t>
        </is>
      </c>
      <c r="BC1073" t="inlineStr">
        <is>
          <t>32285000802651</t>
        </is>
      </c>
      <c r="BD1073" t="inlineStr">
        <is>
          <t>893705386</t>
        </is>
      </c>
    </row>
    <row r="1074">
      <c r="A1074" t="inlineStr">
        <is>
          <t>No</t>
        </is>
      </c>
      <c r="B1074" t="inlineStr">
        <is>
          <t>DS44 .B59 2003</t>
        </is>
      </c>
      <c r="C1074" t="inlineStr">
        <is>
          <t>0                      DS 0044000B  59          2003</t>
        </is>
      </c>
      <c r="D1074" t="inlineStr">
        <is>
          <t>The empire of the Raj : India, Eastern Africa and the Middle East, 1858-1947 / Robert J. Blyth.</t>
        </is>
      </c>
      <c r="F1074" t="inlineStr">
        <is>
          <t>No</t>
        </is>
      </c>
      <c r="G1074" t="inlineStr">
        <is>
          <t>1</t>
        </is>
      </c>
      <c r="H1074" t="inlineStr">
        <is>
          <t>No</t>
        </is>
      </c>
      <c r="I1074" t="inlineStr">
        <is>
          <t>No</t>
        </is>
      </c>
      <c r="J1074" t="inlineStr">
        <is>
          <t>0</t>
        </is>
      </c>
      <c r="K1074" t="inlineStr">
        <is>
          <t>Blyth, Robert J., 1971-</t>
        </is>
      </c>
      <c r="L1074" t="inlineStr">
        <is>
          <t>Houndmills, Basingstoke, Hampshire ; New York : Palgrave Macmillan, 2003.</t>
        </is>
      </c>
      <c r="M1074" t="inlineStr">
        <is>
          <t>2003</t>
        </is>
      </c>
      <c r="O1074" t="inlineStr">
        <is>
          <t>eng</t>
        </is>
      </c>
      <c r="P1074" t="inlineStr">
        <is>
          <t>enk</t>
        </is>
      </c>
      <c r="Q1074" t="inlineStr">
        <is>
          <t>Cambridge imperial and post-colonial studies series</t>
        </is>
      </c>
      <c r="R1074" t="inlineStr">
        <is>
          <t xml:space="preserve">DS </t>
        </is>
      </c>
      <c r="S1074" t="n">
        <v>2</v>
      </c>
      <c r="T1074" t="n">
        <v>2</v>
      </c>
      <c r="U1074" t="inlineStr">
        <is>
          <t>2004-05-18</t>
        </is>
      </c>
      <c r="V1074" t="inlineStr">
        <is>
          <t>2004-05-18</t>
        </is>
      </c>
      <c r="W1074" t="inlineStr">
        <is>
          <t>2004-05-04</t>
        </is>
      </c>
      <c r="X1074" t="inlineStr">
        <is>
          <t>2004-05-04</t>
        </is>
      </c>
      <c r="Y1074" t="n">
        <v>210</v>
      </c>
      <c r="Z1074" t="n">
        <v>141</v>
      </c>
      <c r="AA1074" t="n">
        <v>241</v>
      </c>
      <c r="AB1074" t="n">
        <v>2</v>
      </c>
      <c r="AC1074" t="n">
        <v>3</v>
      </c>
      <c r="AD1074" t="n">
        <v>6</v>
      </c>
      <c r="AE1074" t="n">
        <v>9</v>
      </c>
      <c r="AF1074" t="n">
        <v>0</v>
      </c>
      <c r="AG1074" t="n">
        <v>2</v>
      </c>
      <c r="AH1074" t="n">
        <v>3</v>
      </c>
      <c r="AI1074" t="n">
        <v>3</v>
      </c>
      <c r="AJ1074" t="n">
        <v>4</v>
      </c>
      <c r="AK1074" t="n">
        <v>5</v>
      </c>
      <c r="AL1074" t="n">
        <v>1</v>
      </c>
      <c r="AM1074" t="n">
        <v>2</v>
      </c>
      <c r="AN1074" t="n">
        <v>0</v>
      </c>
      <c r="AO1074" t="n">
        <v>0</v>
      </c>
      <c r="AP1074" t="inlineStr">
        <is>
          <t>No</t>
        </is>
      </c>
      <c r="AQ1074" t="inlineStr">
        <is>
          <t>No</t>
        </is>
      </c>
      <c r="AS1074">
        <f>HYPERLINK("https://creighton-primo.hosted.exlibrisgroup.com/primo-explore/search?tab=default_tab&amp;search_scope=EVERYTHING&amp;vid=01CRU&amp;lang=en_US&amp;offset=0&amp;query=any,contains,991004264619702656","Catalog Record")</f>
        <v/>
      </c>
      <c r="AT1074">
        <f>HYPERLINK("http://www.worldcat.org/oclc/50476828","WorldCat Record")</f>
        <v/>
      </c>
      <c r="AU1074" t="inlineStr">
        <is>
          <t>792929728:eng</t>
        </is>
      </c>
      <c r="AV1074" t="inlineStr">
        <is>
          <t>50476828</t>
        </is>
      </c>
      <c r="AW1074" t="inlineStr">
        <is>
          <t>991004264619702656</t>
        </is>
      </c>
      <c r="AX1074" t="inlineStr">
        <is>
          <t>991004264619702656</t>
        </is>
      </c>
      <c r="AY1074" t="inlineStr">
        <is>
          <t>2255490630002656</t>
        </is>
      </c>
      <c r="AZ1074" t="inlineStr">
        <is>
          <t>BOOK</t>
        </is>
      </c>
      <c r="BB1074" t="inlineStr">
        <is>
          <t>9780333914755</t>
        </is>
      </c>
      <c r="BC1074" t="inlineStr">
        <is>
          <t>32285004903422</t>
        </is>
      </c>
      <c r="BD1074" t="inlineStr">
        <is>
          <t>893506644</t>
        </is>
      </c>
    </row>
    <row r="1075">
      <c r="A1075" t="inlineStr">
        <is>
          <t>No</t>
        </is>
      </c>
      <c r="B1075" t="inlineStr">
        <is>
          <t>DS44 .C73 2002</t>
        </is>
      </c>
      <c r="C1075" t="inlineStr">
        <is>
          <t>0                      DS 0044000C  73          2002</t>
        </is>
      </c>
      <c r="D1075" t="inlineStr">
        <is>
          <t>Cradle &amp; crucible : history and faith in the Middle East / introduction by Daniel Schorr ; with David Fromkin ... [et al.].</t>
        </is>
      </c>
      <c r="F1075" t="inlineStr">
        <is>
          <t>No</t>
        </is>
      </c>
      <c r="G1075" t="inlineStr">
        <is>
          <t>1</t>
        </is>
      </c>
      <c r="H1075" t="inlineStr">
        <is>
          <t>No</t>
        </is>
      </c>
      <c r="I1075" t="inlineStr">
        <is>
          <t>No</t>
        </is>
      </c>
      <c r="J1075" t="inlineStr">
        <is>
          <t>0</t>
        </is>
      </c>
      <c r="L1075" t="inlineStr">
        <is>
          <t>Washington, D.C. : National Geographic, c2002.</t>
        </is>
      </c>
      <c r="M1075" t="inlineStr">
        <is>
          <t>2002</t>
        </is>
      </c>
      <c r="O1075" t="inlineStr">
        <is>
          <t>eng</t>
        </is>
      </c>
      <c r="P1075" t="inlineStr">
        <is>
          <t>dcu</t>
        </is>
      </c>
      <c r="R1075" t="inlineStr">
        <is>
          <t xml:space="preserve">DS </t>
        </is>
      </c>
      <c r="S1075" t="n">
        <v>5</v>
      </c>
      <c r="T1075" t="n">
        <v>5</v>
      </c>
      <c r="U1075" t="inlineStr">
        <is>
          <t>2009-03-16</t>
        </is>
      </c>
      <c r="V1075" t="inlineStr">
        <is>
          <t>2009-03-16</t>
        </is>
      </c>
      <c r="W1075" t="inlineStr">
        <is>
          <t>2003-01-29</t>
        </is>
      </c>
      <c r="X1075" t="inlineStr">
        <is>
          <t>2003-01-29</t>
        </is>
      </c>
      <c r="Y1075" t="n">
        <v>582</v>
      </c>
      <c r="Z1075" t="n">
        <v>512</v>
      </c>
      <c r="AA1075" t="n">
        <v>570</v>
      </c>
      <c r="AB1075" t="n">
        <v>4</v>
      </c>
      <c r="AC1075" t="n">
        <v>4</v>
      </c>
      <c r="AD1075" t="n">
        <v>12</v>
      </c>
      <c r="AE1075" t="n">
        <v>13</v>
      </c>
      <c r="AF1075" t="n">
        <v>6</v>
      </c>
      <c r="AG1075" t="n">
        <v>6</v>
      </c>
      <c r="AH1075" t="n">
        <v>4</v>
      </c>
      <c r="AI1075" t="n">
        <v>4</v>
      </c>
      <c r="AJ1075" t="n">
        <v>3</v>
      </c>
      <c r="AK1075" t="n">
        <v>4</v>
      </c>
      <c r="AL1075" t="n">
        <v>3</v>
      </c>
      <c r="AM1075" t="n">
        <v>3</v>
      </c>
      <c r="AN1075" t="n">
        <v>0</v>
      </c>
      <c r="AO1075" t="n">
        <v>0</v>
      </c>
      <c r="AP1075" t="inlineStr">
        <is>
          <t>No</t>
        </is>
      </c>
      <c r="AQ1075" t="inlineStr">
        <is>
          <t>No</t>
        </is>
      </c>
      <c r="AS1075">
        <f>HYPERLINK("https://creighton-primo.hosted.exlibrisgroup.com/primo-explore/search?tab=default_tab&amp;search_scope=EVERYTHING&amp;vid=01CRU&amp;lang=en_US&amp;offset=0&amp;query=any,contains,991003968299702656","Catalog Record")</f>
        <v/>
      </c>
      <c r="AT1075">
        <f>HYPERLINK("http://www.worldcat.org/oclc/50476900","WorldCat Record")</f>
        <v/>
      </c>
      <c r="AU1075" t="inlineStr">
        <is>
          <t>837998547:eng</t>
        </is>
      </c>
      <c r="AV1075" t="inlineStr">
        <is>
          <t>50476900</t>
        </is>
      </c>
      <c r="AW1075" t="inlineStr">
        <is>
          <t>991003968299702656</t>
        </is>
      </c>
      <c r="AX1075" t="inlineStr">
        <is>
          <t>991003968299702656</t>
        </is>
      </c>
      <c r="AY1075" t="inlineStr">
        <is>
          <t>2255550060002656</t>
        </is>
      </c>
      <c r="AZ1075" t="inlineStr">
        <is>
          <t>BOOK</t>
        </is>
      </c>
      <c r="BB1075" t="inlineStr">
        <is>
          <t>9780792269151</t>
        </is>
      </c>
      <c r="BC1075" t="inlineStr">
        <is>
          <t>32285004696091</t>
        </is>
      </c>
      <c r="BD1075" t="inlineStr">
        <is>
          <t>893337194</t>
        </is>
      </c>
    </row>
    <row r="1076">
      <c r="A1076" t="inlineStr">
        <is>
          <t>No</t>
        </is>
      </c>
      <c r="B1076" t="inlineStr">
        <is>
          <t>DS44 .F63</t>
        </is>
      </c>
      <c r="C1076" t="inlineStr">
        <is>
          <t>0                      DS 0044000F  63</t>
        </is>
      </c>
      <c r="D1076" t="inlineStr">
        <is>
          <t>Focus on the Middle East. Edited by Alice Taylor.</t>
        </is>
      </c>
      <c r="F1076" t="inlineStr">
        <is>
          <t>No</t>
        </is>
      </c>
      <c r="G1076" t="inlineStr">
        <is>
          <t>1</t>
        </is>
      </c>
      <c r="H1076" t="inlineStr">
        <is>
          <t>No</t>
        </is>
      </c>
      <c r="I1076" t="inlineStr">
        <is>
          <t>No</t>
        </is>
      </c>
      <c r="J1076" t="inlineStr">
        <is>
          <t>0</t>
        </is>
      </c>
      <c r="L1076" t="inlineStr">
        <is>
          <t>New York, Praeger Publishers [1971]</t>
        </is>
      </c>
      <c r="M1076" t="inlineStr">
        <is>
          <t>1971</t>
        </is>
      </c>
      <c r="O1076" t="inlineStr">
        <is>
          <t>eng</t>
        </is>
      </c>
      <c r="P1076" t="inlineStr">
        <is>
          <t>nyu</t>
        </is>
      </c>
      <c r="Q1076" t="inlineStr">
        <is>
          <t>Focus series</t>
        </is>
      </c>
      <c r="R1076" t="inlineStr">
        <is>
          <t xml:space="preserve">DS </t>
        </is>
      </c>
      <c r="S1076" t="n">
        <v>3</v>
      </c>
      <c r="T1076" t="n">
        <v>3</v>
      </c>
      <c r="U1076" t="inlineStr">
        <is>
          <t>2009-03-16</t>
        </is>
      </c>
      <c r="V1076" t="inlineStr">
        <is>
          <t>2009-03-16</t>
        </is>
      </c>
      <c r="W1076" t="inlineStr">
        <is>
          <t>1997-02-21</t>
        </is>
      </c>
      <c r="X1076" t="inlineStr">
        <is>
          <t>1997-02-21</t>
        </is>
      </c>
      <c r="Y1076" t="n">
        <v>504</v>
      </c>
      <c r="Z1076" t="n">
        <v>450</v>
      </c>
      <c r="AA1076" t="n">
        <v>453</v>
      </c>
      <c r="AB1076" t="n">
        <v>5</v>
      </c>
      <c r="AC1076" t="n">
        <v>5</v>
      </c>
      <c r="AD1076" t="n">
        <v>18</v>
      </c>
      <c r="AE1076" t="n">
        <v>18</v>
      </c>
      <c r="AF1076" t="n">
        <v>6</v>
      </c>
      <c r="AG1076" t="n">
        <v>6</v>
      </c>
      <c r="AH1076" t="n">
        <v>7</v>
      </c>
      <c r="AI1076" t="n">
        <v>7</v>
      </c>
      <c r="AJ1076" t="n">
        <v>6</v>
      </c>
      <c r="AK1076" t="n">
        <v>6</v>
      </c>
      <c r="AL1076" t="n">
        <v>4</v>
      </c>
      <c r="AM1076" t="n">
        <v>4</v>
      </c>
      <c r="AN1076" t="n">
        <v>0</v>
      </c>
      <c r="AO1076" t="n">
        <v>0</v>
      </c>
      <c r="AP1076" t="inlineStr">
        <is>
          <t>No</t>
        </is>
      </c>
      <c r="AQ1076" t="inlineStr">
        <is>
          <t>Yes</t>
        </is>
      </c>
      <c r="AR1076">
        <f>HYPERLINK("http://catalog.hathitrust.org/Record/001240639","HathiTrust Record")</f>
        <v/>
      </c>
      <c r="AS1076">
        <f>HYPERLINK("https://creighton-primo.hosted.exlibrisgroup.com/primo-explore/search?tab=default_tab&amp;search_scope=EVERYTHING&amp;vid=01CRU&amp;lang=en_US&amp;offset=0&amp;query=any,contains,991001288579702656","Catalog Record")</f>
        <v/>
      </c>
      <c r="AT1076">
        <f>HYPERLINK("http://www.worldcat.org/oclc/217381","WorldCat Record")</f>
        <v/>
      </c>
      <c r="AU1076" t="inlineStr">
        <is>
          <t>366186857:eng</t>
        </is>
      </c>
      <c r="AV1076" t="inlineStr">
        <is>
          <t>217381</t>
        </is>
      </c>
      <c r="AW1076" t="inlineStr">
        <is>
          <t>991001288579702656</t>
        </is>
      </c>
      <c r="AX1076" t="inlineStr">
        <is>
          <t>991001288579702656</t>
        </is>
      </c>
      <c r="AY1076" t="inlineStr">
        <is>
          <t>2259489790002656</t>
        </is>
      </c>
      <c r="AZ1076" t="inlineStr">
        <is>
          <t>BOOK</t>
        </is>
      </c>
      <c r="BC1076" t="inlineStr">
        <is>
          <t>32285002468626</t>
        </is>
      </c>
      <c r="BD1076" t="inlineStr">
        <is>
          <t>893250133</t>
        </is>
      </c>
    </row>
    <row r="1077">
      <c r="A1077" t="inlineStr">
        <is>
          <t>No</t>
        </is>
      </c>
      <c r="B1077" t="inlineStr">
        <is>
          <t>DS44 .K43 2003</t>
        </is>
      </c>
      <c r="C1077" t="inlineStr">
        <is>
          <t>0                      DS 0044000K  43          2003</t>
        </is>
      </c>
      <c r="D1077" t="inlineStr">
        <is>
          <t>Sowing the wind : the seeds of conflict in the Middle East / John Keay.</t>
        </is>
      </c>
      <c r="F1077" t="inlineStr">
        <is>
          <t>No</t>
        </is>
      </c>
      <c r="G1077" t="inlineStr">
        <is>
          <t>1</t>
        </is>
      </c>
      <c r="H1077" t="inlineStr">
        <is>
          <t>No</t>
        </is>
      </c>
      <c r="I1077" t="inlineStr">
        <is>
          <t>No</t>
        </is>
      </c>
      <c r="J1077" t="inlineStr">
        <is>
          <t>0</t>
        </is>
      </c>
      <c r="K1077" t="inlineStr">
        <is>
          <t>Keay, John.</t>
        </is>
      </c>
      <c r="L1077" t="inlineStr">
        <is>
          <t>New York : Norton, 2003.</t>
        </is>
      </c>
      <c r="M1077" t="inlineStr">
        <is>
          <t>2003</t>
        </is>
      </c>
      <c r="N1077" t="inlineStr">
        <is>
          <t>1st American ed.</t>
        </is>
      </c>
      <c r="O1077" t="inlineStr">
        <is>
          <t>eng</t>
        </is>
      </c>
      <c r="P1077" t="inlineStr">
        <is>
          <t>nyu</t>
        </is>
      </c>
      <c r="R1077" t="inlineStr">
        <is>
          <t xml:space="preserve">DS </t>
        </is>
      </c>
      <c r="S1077" t="n">
        <v>3</v>
      </c>
      <c r="T1077" t="n">
        <v>3</v>
      </c>
      <c r="U1077" t="inlineStr">
        <is>
          <t>2006-08-09</t>
        </is>
      </c>
      <c r="V1077" t="inlineStr">
        <is>
          <t>2006-08-09</t>
        </is>
      </c>
      <c r="W1077" t="inlineStr">
        <is>
          <t>2003-12-11</t>
        </is>
      </c>
      <c r="X1077" t="inlineStr">
        <is>
          <t>2003-12-11</t>
        </is>
      </c>
      <c r="Y1077" t="n">
        <v>841</v>
      </c>
      <c r="Z1077" t="n">
        <v>765</v>
      </c>
      <c r="AA1077" t="n">
        <v>791</v>
      </c>
      <c r="AB1077" t="n">
        <v>7</v>
      </c>
      <c r="AC1077" t="n">
        <v>7</v>
      </c>
      <c r="AD1077" t="n">
        <v>25</v>
      </c>
      <c r="AE1077" t="n">
        <v>25</v>
      </c>
      <c r="AF1077" t="n">
        <v>8</v>
      </c>
      <c r="AG1077" t="n">
        <v>8</v>
      </c>
      <c r="AH1077" t="n">
        <v>4</v>
      </c>
      <c r="AI1077" t="n">
        <v>4</v>
      </c>
      <c r="AJ1077" t="n">
        <v>10</v>
      </c>
      <c r="AK1077" t="n">
        <v>10</v>
      </c>
      <c r="AL1077" t="n">
        <v>5</v>
      </c>
      <c r="AM1077" t="n">
        <v>5</v>
      </c>
      <c r="AN1077" t="n">
        <v>1</v>
      </c>
      <c r="AO1077" t="n">
        <v>1</v>
      </c>
      <c r="AP1077" t="inlineStr">
        <is>
          <t>No</t>
        </is>
      </c>
      <c r="AQ1077" t="inlineStr">
        <is>
          <t>No</t>
        </is>
      </c>
      <c r="AS1077">
        <f>HYPERLINK("https://creighton-primo.hosted.exlibrisgroup.com/primo-explore/search?tab=default_tab&amp;search_scope=EVERYTHING&amp;vid=01CRU&amp;lang=en_US&amp;offset=0&amp;query=any,contains,991004175889702656","Catalog Record")</f>
        <v/>
      </c>
      <c r="AT1077">
        <f>HYPERLINK("http://www.worldcat.org/oclc/52334902","WorldCat Record")</f>
        <v/>
      </c>
      <c r="AU1077" t="inlineStr">
        <is>
          <t>690433:eng</t>
        </is>
      </c>
      <c r="AV1077" t="inlineStr">
        <is>
          <t>52334902</t>
        </is>
      </c>
      <c r="AW1077" t="inlineStr">
        <is>
          <t>991004175889702656</t>
        </is>
      </c>
      <c r="AX1077" t="inlineStr">
        <is>
          <t>991004175889702656</t>
        </is>
      </c>
      <c r="AY1077" t="inlineStr">
        <is>
          <t>2256673240002656</t>
        </is>
      </c>
      <c r="AZ1077" t="inlineStr">
        <is>
          <t>BOOK</t>
        </is>
      </c>
      <c r="BB1077" t="inlineStr">
        <is>
          <t>9780393058499</t>
        </is>
      </c>
      <c r="BC1077" t="inlineStr">
        <is>
          <t>32285004845896</t>
        </is>
      </c>
      <c r="BD1077" t="inlineStr">
        <is>
          <t>893325028</t>
        </is>
      </c>
    </row>
    <row r="1078">
      <c r="A1078" t="inlineStr">
        <is>
          <t>No</t>
        </is>
      </c>
      <c r="B1078" t="inlineStr">
        <is>
          <t>DS44 .L56 1963a</t>
        </is>
      </c>
      <c r="C1078" t="inlineStr">
        <is>
          <t>0                      DS 0044000L  56          1963a</t>
        </is>
      </c>
      <c r="D1078" t="inlineStr">
        <is>
          <t>The Middle East: a social geography.</t>
        </is>
      </c>
      <c r="F1078" t="inlineStr">
        <is>
          <t>No</t>
        </is>
      </c>
      <c r="G1078" t="inlineStr">
        <is>
          <t>1</t>
        </is>
      </c>
      <c r="H1078" t="inlineStr">
        <is>
          <t>No</t>
        </is>
      </c>
      <c r="I1078" t="inlineStr">
        <is>
          <t>No</t>
        </is>
      </c>
      <c r="J1078" t="inlineStr">
        <is>
          <t>0</t>
        </is>
      </c>
      <c r="K1078" t="inlineStr">
        <is>
          <t>Longrigg, Stephen Hemsley.</t>
        </is>
      </c>
      <c r="L1078" t="inlineStr">
        <is>
          <t>Chicago, Aldine Pub. Co. [1964, c1963]</t>
        </is>
      </c>
      <c r="M1078" t="inlineStr">
        <is>
          <t>1964</t>
        </is>
      </c>
      <c r="O1078" t="inlineStr">
        <is>
          <t>eng</t>
        </is>
      </c>
      <c r="P1078" t="inlineStr">
        <is>
          <t>ilu</t>
        </is>
      </c>
      <c r="R1078" t="inlineStr">
        <is>
          <t xml:space="preserve">DS </t>
        </is>
      </c>
      <c r="S1078" t="n">
        <v>1</v>
      </c>
      <c r="T1078" t="n">
        <v>1</v>
      </c>
      <c r="U1078" t="inlineStr">
        <is>
          <t>2009-02-16</t>
        </is>
      </c>
      <c r="V1078" t="inlineStr">
        <is>
          <t>2009-02-16</t>
        </is>
      </c>
      <c r="W1078" t="inlineStr">
        <is>
          <t>1997-02-21</t>
        </is>
      </c>
      <c r="X1078" t="inlineStr">
        <is>
          <t>1997-02-21</t>
        </is>
      </c>
      <c r="Y1078" t="n">
        <v>414</v>
      </c>
      <c r="Z1078" t="n">
        <v>408</v>
      </c>
      <c r="AA1078" t="n">
        <v>947</v>
      </c>
      <c r="AB1078" t="n">
        <v>5</v>
      </c>
      <c r="AC1078" t="n">
        <v>7</v>
      </c>
      <c r="AD1078" t="n">
        <v>22</v>
      </c>
      <c r="AE1078" t="n">
        <v>43</v>
      </c>
      <c r="AF1078" t="n">
        <v>6</v>
      </c>
      <c r="AG1078" t="n">
        <v>17</v>
      </c>
      <c r="AH1078" t="n">
        <v>6</v>
      </c>
      <c r="AI1078" t="n">
        <v>9</v>
      </c>
      <c r="AJ1078" t="n">
        <v>11</v>
      </c>
      <c r="AK1078" t="n">
        <v>21</v>
      </c>
      <c r="AL1078" t="n">
        <v>4</v>
      </c>
      <c r="AM1078" t="n">
        <v>6</v>
      </c>
      <c r="AN1078" t="n">
        <v>0</v>
      </c>
      <c r="AO1078" t="n">
        <v>0</v>
      </c>
      <c r="AP1078" t="inlineStr">
        <is>
          <t>Yes</t>
        </is>
      </c>
      <c r="AQ1078" t="inlineStr">
        <is>
          <t>Yes</t>
        </is>
      </c>
      <c r="AR1078">
        <f>HYPERLINK("http://catalog.hathitrust.org/Record/001240643","HathiTrust Record")</f>
        <v/>
      </c>
      <c r="AS1078">
        <f>HYPERLINK("https://creighton-primo.hosted.exlibrisgroup.com/primo-explore/search?tab=default_tab&amp;search_scope=EVERYTHING&amp;vid=01CRU&amp;lang=en_US&amp;offset=0&amp;query=any,contains,991000994569702656","Catalog Record")</f>
        <v/>
      </c>
      <c r="AT1078">
        <f>HYPERLINK("http://www.worldcat.org/oclc/15132199","WorldCat Record")</f>
        <v/>
      </c>
      <c r="AU1078" t="inlineStr">
        <is>
          <t>1248008:eng</t>
        </is>
      </c>
      <c r="AV1078" t="inlineStr">
        <is>
          <t>15132199</t>
        </is>
      </c>
      <c r="AW1078" t="inlineStr">
        <is>
          <t>991000994569702656</t>
        </is>
      </c>
      <c r="AX1078" t="inlineStr">
        <is>
          <t>991000994569702656</t>
        </is>
      </c>
      <c r="AY1078" t="inlineStr">
        <is>
          <t>2255150650002656</t>
        </is>
      </c>
      <c r="AZ1078" t="inlineStr">
        <is>
          <t>BOOK</t>
        </is>
      </c>
      <c r="BC1078" t="inlineStr">
        <is>
          <t>32285002468634</t>
        </is>
      </c>
      <c r="BD1078" t="inlineStr">
        <is>
          <t>893327776</t>
        </is>
      </c>
    </row>
    <row r="1079">
      <c r="A1079" t="inlineStr">
        <is>
          <t>No</t>
        </is>
      </c>
      <c r="B1079" t="inlineStr">
        <is>
          <t>DS44 .M5 1973</t>
        </is>
      </c>
      <c r="C1079" t="inlineStr">
        <is>
          <t>0                      DS 0044000M  5           1973</t>
        </is>
      </c>
      <c r="D1079" t="inlineStr">
        <is>
          <t>The Middle East; a political and economic survey.</t>
        </is>
      </c>
      <c r="F1079" t="inlineStr">
        <is>
          <t>No</t>
        </is>
      </c>
      <c r="G1079" t="inlineStr">
        <is>
          <t>1</t>
        </is>
      </c>
      <c r="H1079" t="inlineStr">
        <is>
          <t>No</t>
        </is>
      </c>
      <c r="I1079" t="inlineStr">
        <is>
          <t>No</t>
        </is>
      </c>
      <c r="J1079" t="inlineStr">
        <is>
          <t>0</t>
        </is>
      </c>
      <c r="L1079" t="inlineStr">
        <is>
          <t>London, New York, Oxford University Press, 1973.</t>
        </is>
      </c>
      <c r="M1079" t="inlineStr">
        <is>
          <t>1973</t>
        </is>
      </c>
      <c r="N1079" t="inlineStr">
        <is>
          <t>4th ed., edited by Peter Mansfield.</t>
        </is>
      </c>
      <c r="O1079" t="inlineStr">
        <is>
          <t>eng</t>
        </is>
      </c>
      <c r="P1079" t="inlineStr">
        <is>
          <t>enk</t>
        </is>
      </c>
      <c r="R1079" t="inlineStr">
        <is>
          <t xml:space="preserve">DS </t>
        </is>
      </c>
      <c r="S1079" t="n">
        <v>3</v>
      </c>
      <c r="T1079" t="n">
        <v>3</v>
      </c>
      <c r="U1079" t="inlineStr">
        <is>
          <t>2009-02-16</t>
        </is>
      </c>
      <c r="V1079" t="inlineStr">
        <is>
          <t>2009-02-16</t>
        </is>
      </c>
      <c r="W1079" t="inlineStr">
        <is>
          <t>1997-02-21</t>
        </is>
      </c>
      <c r="X1079" t="inlineStr">
        <is>
          <t>1997-02-21</t>
        </is>
      </c>
      <c r="Y1079" t="n">
        <v>616</v>
      </c>
      <c r="Z1079" t="n">
        <v>462</v>
      </c>
      <c r="AA1079" t="n">
        <v>694</v>
      </c>
      <c r="AB1079" t="n">
        <v>5</v>
      </c>
      <c r="AC1079" t="n">
        <v>6</v>
      </c>
      <c r="AD1079" t="n">
        <v>21</v>
      </c>
      <c r="AE1079" t="n">
        <v>33</v>
      </c>
      <c r="AF1079" t="n">
        <v>5</v>
      </c>
      <c r="AG1079" t="n">
        <v>12</v>
      </c>
      <c r="AH1079" t="n">
        <v>5</v>
      </c>
      <c r="AI1079" t="n">
        <v>8</v>
      </c>
      <c r="AJ1079" t="n">
        <v>11</v>
      </c>
      <c r="AK1079" t="n">
        <v>16</v>
      </c>
      <c r="AL1079" t="n">
        <v>4</v>
      </c>
      <c r="AM1079" t="n">
        <v>5</v>
      </c>
      <c r="AN1079" t="n">
        <v>1</v>
      </c>
      <c r="AO1079" t="n">
        <v>1</v>
      </c>
      <c r="AP1079" t="inlineStr">
        <is>
          <t>No</t>
        </is>
      </c>
      <c r="AQ1079" t="inlineStr">
        <is>
          <t>Yes</t>
        </is>
      </c>
      <c r="AR1079">
        <f>HYPERLINK("http://catalog.hathitrust.org/Record/000710588","HathiTrust Record")</f>
        <v/>
      </c>
      <c r="AS1079">
        <f>HYPERLINK("https://creighton-primo.hosted.exlibrisgroup.com/primo-explore/search?tab=default_tab&amp;search_scope=EVERYTHING&amp;vid=01CRU&amp;lang=en_US&amp;offset=0&amp;query=any,contains,991003070259702656","Catalog Record")</f>
        <v/>
      </c>
      <c r="AT1079">
        <f>HYPERLINK("http://www.worldcat.org/oclc/624466","WorldCat Record")</f>
        <v/>
      </c>
      <c r="AU1079" t="inlineStr">
        <is>
          <t>348825519:eng</t>
        </is>
      </c>
      <c r="AV1079" t="inlineStr">
        <is>
          <t>624466</t>
        </is>
      </c>
      <c r="AW1079" t="inlineStr">
        <is>
          <t>991003070259702656</t>
        </is>
      </c>
      <c r="AX1079" t="inlineStr">
        <is>
          <t>991003070259702656</t>
        </is>
      </c>
      <c r="AY1079" t="inlineStr">
        <is>
          <t>2258640700002656</t>
        </is>
      </c>
      <c r="AZ1079" t="inlineStr">
        <is>
          <t>BOOK</t>
        </is>
      </c>
      <c r="BB1079" t="inlineStr">
        <is>
          <t>9780192159335</t>
        </is>
      </c>
      <c r="BC1079" t="inlineStr">
        <is>
          <t>32285002468642</t>
        </is>
      </c>
      <c r="BD1079" t="inlineStr">
        <is>
          <t>893323733</t>
        </is>
      </c>
    </row>
    <row r="1080">
      <c r="A1080" t="inlineStr">
        <is>
          <t>No</t>
        </is>
      </c>
      <c r="B1080" t="inlineStr">
        <is>
          <t>DS44 .M65 1957</t>
        </is>
      </c>
      <c r="C1080" t="inlineStr">
        <is>
          <t>0                      DS 0044000M  65          1957</t>
        </is>
      </c>
      <c r="D1080" t="inlineStr">
        <is>
          <t>Islam inflamed : a Middle East picture / by James Morris.</t>
        </is>
      </c>
      <c r="F1080" t="inlineStr">
        <is>
          <t>No</t>
        </is>
      </c>
      <c r="G1080" t="inlineStr">
        <is>
          <t>1</t>
        </is>
      </c>
      <c r="H1080" t="inlineStr">
        <is>
          <t>No</t>
        </is>
      </c>
      <c r="I1080" t="inlineStr">
        <is>
          <t>No</t>
        </is>
      </c>
      <c r="J1080" t="inlineStr">
        <is>
          <t>0</t>
        </is>
      </c>
      <c r="K1080" t="inlineStr">
        <is>
          <t>Morris, Jan, 1926-</t>
        </is>
      </c>
      <c r="L1080" t="inlineStr">
        <is>
          <t>[New York] : Pantheon Books, c1957</t>
        </is>
      </c>
      <c r="M1080" t="inlineStr">
        <is>
          <t>1957</t>
        </is>
      </c>
      <c r="O1080" t="inlineStr">
        <is>
          <t>eng</t>
        </is>
      </c>
      <c r="P1080" t="inlineStr">
        <is>
          <t>nyu</t>
        </is>
      </c>
      <c r="R1080" t="inlineStr">
        <is>
          <t xml:space="preserve">DS </t>
        </is>
      </c>
      <c r="S1080" t="n">
        <v>3</v>
      </c>
      <c r="T1080" t="n">
        <v>3</v>
      </c>
      <c r="U1080" t="inlineStr">
        <is>
          <t>2009-02-16</t>
        </is>
      </c>
      <c r="V1080" t="inlineStr">
        <is>
          <t>2009-02-16</t>
        </is>
      </c>
      <c r="W1080" t="inlineStr">
        <is>
          <t>1990-09-13</t>
        </is>
      </c>
      <c r="X1080" t="inlineStr">
        <is>
          <t>1990-09-13</t>
        </is>
      </c>
      <c r="Y1080" t="n">
        <v>512</v>
      </c>
      <c r="Z1080" t="n">
        <v>468</v>
      </c>
      <c r="AA1080" t="n">
        <v>476</v>
      </c>
      <c r="AB1080" t="n">
        <v>3</v>
      </c>
      <c r="AC1080" t="n">
        <v>3</v>
      </c>
      <c r="AD1080" t="n">
        <v>15</v>
      </c>
      <c r="AE1080" t="n">
        <v>15</v>
      </c>
      <c r="AF1080" t="n">
        <v>6</v>
      </c>
      <c r="AG1080" t="n">
        <v>6</v>
      </c>
      <c r="AH1080" t="n">
        <v>2</v>
      </c>
      <c r="AI1080" t="n">
        <v>2</v>
      </c>
      <c r="AJ1080" t="n">
        <v>9</v>
      </c>
      <c r="AK1080" t="n">
        <v>9</v>
      </c>
      <c r="AL1080" t="n">
        <v>1</v>
      </c>
      <c r="AM1080" t="n">
        <v>1</v>
      </c>
      <c r="AN1080" t="n">
        <v>0</v>
      </c>
      <c r="AO1080" t="n">
        <v>0</v>
      </c>
      <c r="AP1080" t="inlineStr">
        <is>
          <t>No</t>
        </is>
      </c>
      <c r="AQ1080" t="inlineStr">
        <is>
          <t>Yes</t>
        </is>
      </c>
      <c r="AR1080">
        <f>HYPERLINK("http://catalog.hathitrust.org/Record/001240645","HathiTrust Record")</f>
        <v/>
      </c>
      <c r="AS1080">
        <f>HYPERLINK("https://creighton-primo.hosted.exlibrisgroup.com/primo-explore/search?tab=default_tab&amp;search_scope=EVERYTHING&amp;vid=01CRU&amp;lang=en_US&amp;offset=0&amp;query=any,contains,991002675909702656","Catalog Record")</f>
        <v/>
      </c>
      <c r="AT1080">
        <f>HYPERLINK("http://www.worldcat.org/oclc/396966","WorldCat Record")</f>
        <v/>
      </c>
      <c r="AU1080" t="inlineStr">
        <is>
          <t>797014942:eng</t>
        </is>
      </c>
      <c r="AV1080" t="inlineStr">
        <is>
          <t>396966</t>
        </is>
      </c>
      <c r="AW1080" t="inlineStr">
        <is>
          <t>991002675909702656</t>
        </is>
      </c>
      <c r="AX1080" t="inlineStr">
        <is>
          <t>991002675909702656</t>
        </is>
      </c>
      <c r="AY1080" t="inlineStr">
        <is>
          <t>2261211210002656</t>
        </is>
      </c>
      <c r="AZ1080" t="inlineStr">
        <is>
          <t>BOOK</t>
        </is>
      </c>
      <c r="BC1080" t="inlineStr">
        <is>
          <t>32285000291657</t>
        </is>
      </c>
      <c r="BD1080" t="inlineStr">
        <is>
          <t>893610130</t>
        </is>
      </c>
    </row>
    <row r="1081">
      <c r="A1081" t="inlineStr">
        <is>
          <t>No</t>
        </is>
      </c>
      <c r="B1081" t="inlineStr">
        <is>
          <t>DS44 .P65 1998</t>
        </is>
      </c>
      <c r="C1081" t="inlineStr">
        <is>
          <t>0                      DS 0044000P  65          1998</t>
        </is>
      </c>
      <c r="D1081" t="inlineStr">
        <is>
          <t>Political cartoons in the Middle East / Fatma M*ge G*cek, ed.</t>
        </is>
      </c>
      <c r="F1081" t="inlineStr">
        <is>
          <t>No</t>
        </is>
      </c>
      <c r="G1081" t="inlineStr">
        <is>
          <t>1</t>
        </is>
      </c>
      <c r="H1081" t="inlineStr">
        <is>
          <t>No</t>
        </is>
      </c>
      <c r="I1081" t="inlineStr">
        <is>
          <t>No</t>
        </is>
      </c>
      <c r="J1081" t="inlineStr">
        <is>
          <t>0</t>
        </is>
      </c>
      <c r="L1081" t="inlineStr">
        <is>
          <t>Princeton, N.J. : Markus Wiener Publishers, 1998.</t>
        </is>
      </c>
      <c r="M1081" t="inlineStr">
        <is>
          <t>1998</t>
        </is>
      </c>
      <c r="O1081" t="inlineStr">
        <is>
          <t>eng</t>
        </is>
      </c>
      <c r="P1081" t="inlineStr">
        <is>
          <t>nju</t>
        </is>
      </c>
      <c r="R1081" t="inlineStr">
        <is>
          <t xml:space="preserve">DS </t>
        </is>
      </c>
      <c r="S1081" t="n">
        <v>2</v>
      </c>
      <c r="T1081" t="n">
        <v>2</v>
      </c>
      <c r="U1081" t="inlineStr">
        <is>
          <t>2001-05-10</t>
        </is>
      </c>
      <c r="V1081" t="inlineStr">
        <is>
          <t>2001-05-10</t>
        </is>
      </c>
      <c r="W1081" t="inlineStr">
        <is>
          <t>2001-05-01</t>
        </is>
      </c>
      <c r="X1081" t="inlineStr">
        <is>
          <t>2001-05-01</t>
        </is>
      </c>
      <c r="Y1081" t="n">
        <v>178</v>
      </c>
      <c r="Z1081" t="n">
        <v>142</v>
      </c>
      <c r="AA1081" t="n">
        <v>146</v>
      </c>
      <c r="AB1081" t="n">
        <v>2</v>
      </c>
      <c r="AC1081" t="n">
        <v>2</v>
      </c>
      <c r="AD1081" t="n">
        <v>6</v>
      </c>
      <c r="AE1081" t="n">
        <v>6</v>
      </c>
      <c r="AF1081" t="n">
        <v>2</v>
      </c>
      <c r="AG1081" t="n">
        <v>2</v>
      </c>
      <c r="AH1081" t="n">
        <v>2</v>
      </c>
      <c r="AI1081" t="n">
        <v>2</v>
      </c>
      <c r="AJ1081" t="n">
        <v>3</v>
      </c>
      <c r="AK1081" t="n">
        <v>3</v>
      </c>
      <c r="AL1081" t="n">
        <v>1</v>
      </c>
      <c r="AM1081" t="n">
        <v>1</v>
      </c>
      <c r="AN1081" t="n">
        <v>0</v>
      </c>
      <c r="AO1081" t="n">
        <v>0</v>
      </c>
      <c r="AP1081" t="inlineStr">
        <is>
          <t>No</t>
        </is>
      </c>
      <c r="AQ1081" t="inlineStr">
        <is>
          <t>No</t>
        </is>
      </c>
      <c r="AS1081">
        <f>HYPERLINK("https://creighton-primo.hosted.exlibrisgroup.com/primo-explore/search?tab=default_tab&amp;search_scope=EVERYTHING&amp;vid=01CRU&amp;lang=en_US&amp;offset=0&amp;query=any,contains,991003510279702656","Catalog Record")</f>
        <v/>
      </c>
      <c r="AT1081">
        <f>HYPERLINK("http://www.worldcat.org/oclc/37379893","WorldCat Record")</f>
        <v/>
      </c>
      <c r="AU1081" t="inlineStr">
        <is>
          <t>669260:eng</t>
        </is>
      </c>
      <c r="AV1081" t="inlineStr">
        <is>
          <t>37379893</t>
        </is>
      </c>
      <c r="AW1081" t="inlineStr">
        <is>
          <t>991003510279702656</t>
        </is>
      </c>
      <c r="AX1081" t="inlineStr">
        <is>
          <t>991003510279702656</t>
        </is>
      </c>
      <c r="AY1081" t="inlineStr">
        <is>
          <t>2262970450002656</t>
        </is>
      </c>
      <c r="AZ1081" t="inlineStr">
        <is>
          <t>BOOK</t>
        </is>
      </c>
      <c r="BB1081" t="inlineStr">
        <is>
          <t>9781558761568</t>
        </is>
      </c>
      <c r="BC1081" t="inlineStr">
        <is>
          <t>32285004315445</t>
        </is>
      </c>
      <c r="BD1081" t="inlineStr">
        <is>
          <t>893611119</t>
        </is>
      </c>
    </row>
    <row r="1082">
      <c r="A1082" t="inlineStr">
        <is>
          <t>No</t>
        </is>
      </c>
      <c r="B1082" t="inlineStr">
        <is>
          <t>DS44 .R67 2003</t>
        </is>
      </c>
      <c r="C1082" t="inlineStr">
        <is>
          <t>0                      DS 0044000R  67          2003</t>
        </is>
      </c>
      <c r="D1082" t="inlineStr">
        <is>
          <t>Nation-building : a Middle East recovery program / Jerry M. Rosenberg.</t>
        </is>
      </c>
      <c r="F1082" t="inlineStr">
        <is>
          <t>No</t>
        </is>
      </c>
      <c r="G1082" t="inlineStr">
        <is>
          <t>1</t>
        </is>
      </c>
      <c r="H1082" t="inlineStr">
        <is>
          <t>No</t>
        </is>
      </c>
      <c r="I1082" t="inlineStr">
        <is>
          <t>No</t>
        </is>
      </c>
      <c r="J1082" t="inlineStr">
        <is>
          <t>0</t>
        </is>
      </c>
      <c r="K1082" t="inlineStr">
        <is>
          <t>Rosenberg, Jerry Martin.</t>
        </is>
      </c>
      <c r="L1082" t="inlineStr">
        <is>
          <t>Lanham, Md. : University Press of America, c2003.</t>
        </is>
      </c>
      <c r="M1082" t="inlineStr">
        <is>
          <t>2003</t>
        </is>
      </c>
      <c r="O1082" t="inlineStr">
        <is>
          <t>eng</t>
        </is>
      </c>
      <c r="P1082" t="inlineStr">
        <is>
          <t>mdu</t>
        </is>
      </c>
      <c r="R1082" t="inlineStr">
        <is>
          <t xml:space="preserve">DS </t>
        </is>
      </c>
      <c r="S1082" t="n">
        <v>6</v>
      </c>
      <c r="T1082" t="n">
        <v>6</v>
      </c>
      <c r="U1082" t="inlineStr">
        <is>
          <t>2010-09-13</t>
        </is>
      </c>
      <c r="V1082" t="inlineStr">
        <is>
          <t>2010-09-13</t>
        </is>
      </c>
      <c r="W1082" t="inlineStr">
        <is>
          <t>2003-10-02</t>
        </is>
      </c>
      <c r="X1082" t="inlineStr">
        <is>
          <t>2003-10-02</t>
        </is>
      </c>
      <c r="Y1082" t="n">
        <v>139</v>
      </c>
      <c r="Z1082" t="n">
        <v>103</v>
      </c>
      <c r="AA1082" t="n">
        <v>105</v>
      </c>
      <c r="AB1082" t="n">
        <v>1</v>
      </c>
      <c r="AC1082" t="n">
        <v>1</v>
      </c>
      <c r="AD1082" t="n">
        <v>4</v>
      </c>
      <c r="AE1082" t="n">
        <v>4</v>
      </c>
      <c r="AF1082" t="n">
        <v>0</v>
      </c>
      <c r="AG1082" t="n">
        <v>0</v>
      </c>
      <c r="AH1082" t="n">
        <v>2</v>
      </c>
      <c r="AI1082" t="n">
        <v>2</v>
      </c>
      <c r="AJ1082" t="n">
        <v>3</v>
      </c>
      <c r="AK1082" t="n">
        <v>3</v>
      </c>
      <c r="AL1082" t="n">
        <v>0</v>
      </c>
      <c r="AM1082" t="n">
        <v>0</v>
      </c>
      <c r="AN1082" t="n">
        <v>0</v>
      </c>
      <c r="AO1082" t="n">
        <v>0</v>
      </c>
      <c r="AP1082" t="inlineStr">
        <is>
          <t>No</t>
        </is>
      </c>
      <c r="AQ1082" t="inlineStr">
        <is>
          <t>Yes</t>
        </is>
      </c>
      <c r="AR1082">
        <f>HYPERLINK("http://catalog.hathitrust.org/Record/004342254","HathiTrust Record")</f>
        <v/>
      </c>
      <c r="AS1082">
        <f>HYPERLINK("https://creighton-primo.hosted.exlibrisgroup.com/primo-explore/search?tab=default_tab&amp;search_scope=EVERYTHING&amp;vid=01CRU&amp;lang=en_US&amp;offset=0&amp;query=any,contains,991004149509702656","Catalog Record")</f>
        <v/>
      </c>
      <c r="AT1082">
        <f>HYPERLINK("http://www.worldcat.org/oclc/52539957","WorldCat Record")</f>
        <v/>
      </c>
      <c r="AU1082" t="inlineStr">
        <is>
          <t>755070:eng</t>
        </is>
      </c>
      <c r="AV1082" t="inlineStr">
        <is>
          <t>52539957</t>
        </is>
      </c>
      <c r="AW1082" t="inlineStr">
        <is>
          <t>991004149509702656</t>
        </is>
      </c>
      <c r="AX1082" t="inlineStr">
        <is>
          <t>991004149509702656</t>
        </is>
      </c>
      <c r="AY1082" t="inlineStr">
        <is>
          <t>2266279460002656</t>
        </is>
      </c>
      <c r="AZ1082" t="inlineStr">
        <is>
          <t>BOOK</t>
        </is>
      </c>
      <c r="BB1082" t="inlineStr">
        <is>
          <t>9780761825739</t>
        </is>
      </c>
      <c r="BC1082" t="inlineStr">
        <is>
          <t>32285004791553</t>
        </is>
      </c>
      <c r="BD1082" t="inlineStr">
        <is>
          <t>893800648</t>
        </is>
      </c>
    </row>
    <row r="1083">
      <c r="A1083" t="inlineStr">
        <is>
          <t>No</t>
        </is>
      </c>
      <c r="B1083" t="inlineStr">
        <is>
          <t>DS447 .C7 1968</t>
        </is>
      </c>
      <c r="C1083" t="inlineStr">
        <is>
          <t>0                      DS 0447000C  7           1968</t>
        </is>
      </c>
      <c r="D1083" t="inlineStr">
        <is>
          <t>The development of self-government in India, 1858-1914.</t>
        </is>
      </c>
      <c r="F1083" t="inlineStr">
        <is>
          <t>No</t>
        </is>
      </c>
      <c r="G1083" t="inlineStr">
        <is>
          <t>1</t>
        </is>
      </c>
      <c r="H1083" t="inlineStr">
        <is>
          <t>No</t>
        </is>
      </c>
      <c r="I1083" t="inlineStr">
        <is>
          <t>No</t>
        </is>
      </c>
      <c r="J1083" t="inlineStr">
        <is>
          <t>0</t>
        </is>
      </c>
      <c r="K1083" t="inlineStr">
        <is>
          <t>Cross, Cecil Merne Putnam.</t>
        </is>
      </c>
      <c r="L1083" t="inlineStr">
        <is>
          <t>New York : Greenwood Press, [1968, c1922]</t>
        </is>
      </c>
      <c r="M1083" t="inlineStr">
        <is>
          <t>1968</t>
        </is>
      </c>
      <c r="O1083" t="inlineStr">
        <is>
          <t>eng</t>
        </is>
      </c>
      <c r="P1083" t="inlineStr">
        <is>
          <t>nyu</t>
        </is>
      </c>
      <c r="R1083" t="inlineStr">
        <is>
          <t xml:space="preserve">DS </t>
        </is>
      </c>
      <c r="S1083" t="n">
        <v>5</v>
      </c>
      <c r="T1083" t="n">
        <v>5</v>
      </c>
      <c r="U1083" t="inlineStr">
        <is>
          <t>2000-04-25</t>
        </is>
      </c>
      <c r="V1083" t="inlineStr">
        <is>
          <t>2000-04-25</t>
        </is>
      </c>
      <c r="W1083" t="inlineStr">
        <is>
          <t>1992-01-28</t>
        </is>
      </c>
      <c r="X1083" t="inlineStr">
        <is>
          <t>1992-01-28</t>
        </is>
      </c>
      <c r="Y1083" t="n">
        <v>285</v>
      </c>
      <c r="Z1083" t="n">
        <v>252</v>
      </c>
      <c r="AA1083" t="n">
        <v>327</v>
      </c>
      <c r="AB1083" t="n">
        <v>2</v>
      </c>
      <c r="AC1083" t="n">
        <v>2</v>
      </c>
      <c r="AD1083" t="n">
        <v>11</v>
      </c>
      <c r="AE1083" t="n">
        <v>11</v>
      </c>
      <c r="AF1083" t="n">
        <v>2</v>
      </c>
      <c r="AG1083" t="n">
        <v>2</v>
      </c>
      <c r="AH1083" t="n">
        <v>6</v>
      </c>
      <c r="AI1083" t="n">
        <v>6</v>
      </c>
      <c r="AJ1083" t="n">
        <v>6</v>
      </c>
      <c r="AK1083" t="n">
        <v>6</v>
      </c>
      <c r="AL1083" t="n">
        <v>1</v>
      </c>
      <c r="AM1083" t="n">
        <v>1</v>
      </c>
      <c r="AN1083" t="n">
        <v>0</v>
      </c>
      <c r="AO1083" t="n">
        <v>0</v>
      </c>
      <c r="AP1083" t="inlineStr">
        <is>
          <t>No</t>
        </is>
      </c>
      <c r="AQ1083" t="inlineStr">
        <is>
          <t>Yes</t>
        </is>
      </c>
      <c r="AR1083">
        <f>HYPERLINK("http://catalog.hathitrust.org/Record/007880205","HathiTrust Record")</f>
        <v/>
      </c>
      <c r="AS1083">
        <f>HYPERLINK("https://creighton-primo.hosted.exlibrisgroup.com/primo-explore/search?tab=default_tab&amp;search_scope=EVERYTHING&amp;vid=01CRU&amp;lang=en_US&amp;offset=0&amp;query=any,contains,991005435129702656","Catalog Record")</f>
        <v/>
      </c>
      <c r="AT1083">
        <f>HYPERLINK("http://www.worldcat.org/oclc/2835","WorldCat Record")</f>
        <v/>
      </c>
      <c r="AU1083" t="inlineStr">
        <is>
          <t>1126030:eng</t>
        </is>
      </c>
      <c r="AV1083" t="inlineStr">
        <is>
          <t>2835</t>
        </is>
      </c>
      <c r="AW1083" t="inlineStr">
        <is>
          <t>991005435129702656</t>
        </is>
      </c>
      <c r="AX1083" t="inlineStr">
        <is>
          <t>991005435129702656</t>
        </is>
      </c>
      <c r="AY1083" t="inlineStr">
        <is>
          <t>2262890440002656</t>
        </is>
      </c>
      <c r="AZ1083" t="inlineStr">
        <is>
          <t>BOOK</t>
        </is>
      </c>
      <c r="BC1083" t="inlineStr">
        <is>
          <t>32285000919661</t>
        </is>
      </c>
      <c r="BD1083" t="inlineStr">
        <is>
          <t>893242746</t>
        </is>
      </c>
    </row>
    <row r="1084">
      <c r="A1084" t="inlineStr">
        <is>
          <t>No</t>
        </is>
      </c>
      <c r="B1084" t="inlineStr">
        <is>
          <t>DS447 .K3</t>
        </is>
      </c>
      <c r="C1084" t="inlineStr">
        <is>
          <t>0                      DS 0447000K  3</t>
        </is>
      </c>
      <c r="D1084" t="inlineStr">
        <is>
          <t>Continuity and change in Indian politics; a study of the political philosophy of the Indian national movement, 1885-1921 [by] K. P. Karunakaran.</t>
        </is>
      </c>
      <c r="F1084" t="inlineStr">
        <is>
          <t>No</t>
        </is>
      </c>
      <c r="G1084" t="inlineStr">
        <is>
          <t>1</t>
        </is>
      </c>
      <c r="H1084" t="inlineStr">
        <is>
          <t>No</t>
        </is>
      </c>
      <c r="I1084" t="inlineStr">
        <is>
          <t>No</t>
        </is>
      </c>
      <c r="J1084" t="inlineStr">
        <is>
          <t>0</t>
        </is>
      </c>
      <c r="K1084" t="inlineStr">
        <is>
          <t>Karunakaran, Kotta P., 1925-</t>
        </is>
      </c>
      <c r="L1084" t="inlineStr">
        <is>
          <t>[New Delhi] People's Pub. House [1964]</t>
        </is>
      </c>
      <c r="M1084" t="inlineStr">
        <is>
          <t>1964</t>
        </is>
      </c>
      <c r="O1084" t="inlineStr">
        <is>
          <t>eng</t>
        </is>
      </c>
      <c r="P1084" t="inlineStr">
        <is>
          <t xml:space="preserve">ii </t>
        </is>
      </c>
      <c r="R1084" t="inlineStr">
        <is>
          <t xml:space="preserve">DS </t>
        </is>
      </c>
      <c r="S1084" t="n">
        <v>3</v>
      </c>
      <c r="T1084" t="n">
        <v>3</v>
      </c>
      <c r="U1084" t="inlineStr">
        <is>
          <t>2000-04-25</t>
        </is>
      </c>
      <c r="V1084" t="inlineStr">
        <is>
          <t>2000-04-25</t>
        </is>
      </c>
      <c r="W1084" t="inlineStr">
        <is>
          <t>1997-03-10</t>
        </is>
      </c>
      <c r="X1084" t="inlineStr">
        <is>
          <t>1997-03-10</t>
        </is>
      </c>
      <c r="Y1084" t="n">
        <v>195</v>
      </c>
      <c r="Z1084" t="n">
        <v>178</v>
      </c>
      <c r="AA1084" t="n">
        <v>274</v>
      </c>
      <c r="AB1084" t="n">
        <v>2</v>
      </c>
      <c r="AC1084" t="n">
        <v>3</v>
      </c>
      <c r="AD1084" t="n">
        <v>7</v>
      </c>
      <c r="AE1084" t="n">
        <v>14</v>
      </c>
      <c r="AF1084" t="n">
        <v>2</v>
      </c>
      <c r="AG1084" t="n">
        <v>3</v>
      </c>
      <c r="AH1084" t="n">
        <v>2</v>
      </c>
      <c r="AI1084" t="n">
        <v>5</v>
      </c>
      <c r="AJ1084" t="n">
        <v>4</v>
      </c>
      <c r="AK1084" t="n">
        <v>7</v>
      </c>
      <c r="AL1084" t="n">
        <v>1</v>
      </c>
      <c r="AM1084" t="n">
        <v>2</v>
      </c>
      <c r="AN1084" t="n">
        <v>0</v>
      </c>
      <c r="AO1084" t="n">
        <v>0</v>
      </c>
      <c r="AP1084" t="inlineStr">
        <is>
          <t>No</t>
        </is>
      </c>
      <c r="AQ1084" t="inlineStr">
        <is>
          <t>Yes</t>
        </is>
      </c>
      <c r="AR1084">
        <f>HYPERLINK("http://catalog.hathitrust.org/Record/001250853","HathiTrust Record")</f>
        <v/>
      </c>
      <c r="AS1084">
        <f>HYPERLINK("https://creighton-primo.hosted.exlibrisgroup.com/primo-explore/search?tab=default_tab&amp;search_scope=EVERYTHING&amp;vid=01CRU&amp;lang=en_US&amp;offset=0&amp;query=any,contains,991004537909702656","Catalog Record")</f>
        <v/>
      </c>
      <c r="AT1084">
        <f>HYPERLINK("http://www.worldcat.org/oclc/3877783","WorldCat Record")</f>
        <v/>
      </c>
      <c r="AU1084" t="inlineStr">
        <is>
          <t>1207534:eng</t>
        </is>
      </c>
      <c r="AV1084" t="inlineStr">
        <is>
          <t>3877783</t>
        </is>
      </c>
      <c r="AW1084" t="inlineStr">
        <is>
          <t>991004537909702656</t>
        </is>
      </c>
      <c r="AX1084" t="inlineStr">
        <is>
          <t>991004537909702656</t>
        </is>
      </c>
      <c r="AY1084" t="inlineStr">
        <is>
          <t>2272322450002656</t>
        </is>
      </c>
      <c r="AZ1084" t="inlineStr">
        <is>
          <t>BOOK</t>
        </is>
      </c>
      <c r="BC1084" t="inlineStr">
        <is>
          <t>32285002456738</t>
        </is>
      </c>
      <c r="BD1084" t="inlineStr">
        <is>
          <t>893343957</t>
        </is>
      </c>
    </row>
    <row r="1085">
      <c r="A1085" t="inlineStr">
        <is>
          <t>No</t>
        </is>
      </c>
      <c r="B1085" t="inlineStr">
        <is>
          <t>DS448 .B75</t>
        </is>
      </c>
      <c r="C1085" t="inlineStr">
        <is>
          <t>0                      DS 0448000B  75</t>
        </is>
      </c>
      <c r="D1085" t="inlineStr">
        <is>
          <t>Mainsprings of Indian and Pakistani foreign policies / S. M. Burke.</t>
        </is>
      </c>
      <c r="F1085" t="inlineStr">
        <is>
          <t>No</t>
        </is>
      </c>
      <c r="G1085" t="inlineStr">
        <is>
          <t>1</t>
        </is>
      </c>
      <c r="H1085" t="inlineStr">
        <is>
          <t>No</t>
        </is>
      </c>
      <c r="I1085" t="inlineStr">
        <is>
          <t>No</t>
        </is>
      </c>
      <c r="J1085" t="inlineStr">
        <is>
          <t>0</t>
        </is>
      </c>
      <c r="K1085" t="inlineStr">
        <is>
          <t>Burke, S. M.</t>
        </is>
      </c>
      <c r="L1085" t="inlineStr">
        <is>
          <t>Minneapolis : University of Minnesota Press, [1974]</t>
        </is>
      </c>
      <c r="M1085" t="inlineStr">
        <is>
          <t>1974</t>
        </is>
      </c>
      <c r="O1085" t="inlineStr">
        <is>
          <t>eng</t>
        </is>
      </c>
      <c r="P1085" t="inlineStr">
        <is>
          <t>mnu</t>
        </is>
      </c>
      <c r="R1085" t="inlineStr">
        <is>
          <t xml:space="preserve">DS </t>
        </is>
      </c>
      <c r="S1085" t="n">
        <v>3</v>
      </c>
      <c r="T1085" t="n">
        <v>3</v>
      </c>
      <c r="U1085" t="inlineStr">
        <is>
          <t>2007-04-23</t>
        </is>
      </c>
      <c r="V1085" t="inlineStr">
        <is>
          <t>2007-04-23</t>
        </is>
      </c>
      <c r="W1085" t="inlineStr">
        <is>
          <t>1992-04-07</t>
        </is>
      </c>
      <c r="X1085" t="inlineStr">
        <is>
          <t>1992-04-07</t>
        </is>
      </c>
      <c r="Y1085" t="n">
        <v>390</v>
      </c>
      <c r="Z1085" t="n">
        <v>309</v>
      </c>
      <c r="AA1085" t="n">
        <v>752</v>
      </c>
      <c r="AB1085" t="n">
        <v>3</v>
      </c>
      <c r="AC1085" t="n">
        <v>6</v>
      </c>
      <c r="AD1085" t="n">
        <v>15</v>
      </c>
      <c r="AE1085" t="n">
        <v>35</v>
      </c>
      <c r="AF1085" t="n">
        <v>3</v>
      </c>
      <c r="AG1085" t="n">
        <v>14</v>
      </c>
      <c r="AH1085" t="n">
        <v>6</v>
      </c>
      <c r="AI1085" t="n">
        <v>9</v>
      </c>
      <c r="AJ1085" t="n">
        <v>6</v>
      </c>
      <c r="AK1085" t="n">
        <v>12</v>
      </c>
      <c r="AL1085" t="n">
        <v>2</v>
      </c>
      <c r="AM1085" t="n">
        <v>5</v>
      </c>
      <c r="AN1085" t="n">
        <v>0</v>
      </c>
      <c r="AO1085" t="n">
        <v>1</v>
      </c>
      <c r="AP1085" t="inlineStr">
        <is>
          <t>No</t>
        </is>
      </c>
      <c r="AQ1085" t="inlineStr">
        <is>
          <t>No</t>
        </is>
      </c>
      <c r="AS1085">
        <f>HYPERLINK("https://creighton-primo.hosted.exlibrisgroup.com/primo-explore/search?tab=default_tab&amp;search_scope=EVERYTHING&amp;vid=01CRU&amp;lang=en_US&amp;offset=0&amp;query=any,contains,991003518949702656","Catalog Record")</f>
        <v/>
      </c>
      <c r="AT1085">
        <f>HYPERLINK("http://www.worldcat.org/oclc/1078251","WorldCat Record")</f>
        <v/>
      </c>
      <c r="AU1085" t="inlineStr">
        <is>
          <t>2040272:eng</t>
        </is>
      </c>
      <c r="AV1085" t="inlineStr">
        <is>
          <t>1078251</t>
        </is>
      </c>
      <c r="AW1085" t="inlineStr">
        <is>
          <t>991003518949702656</t>
        </is>
      </c>
      <c r="AX1085" t="inlineStr">
        <is>
          <t>991003518949702656</t>
        </is>
      </c>
      <c r="AY1085" t="inlineStr">
        <is>
          <t>2258694150002656</t>
        </is>
      </c>
      <c r="AZ1085" t="inlineStr">
        <is>
          <t>BOOK</t>
        </is>
      </c>
      <c r="BB1085" t="inlineStr">
        <is>
          <t>9780816607204</t>
        </is>
      </c>
      <c r="BC1085" t="inlineStr">
        <is>
          <t>32285001055119</t>
        </is>
      </c>
      <c r="BD1085" t="inlineStr">
        <is>
          <t>893240290</t>
        </is>
      </c>
    </row>
    <row r="1086">
      <c r="A1086" t="inlineStr">
        <is>
          <t>No</t>
        </is>
      </c>
      <c r="B1086" t="inlineStr">
        <is>
          <t>DS448 .N354 2003</t>
        </is>
      </c>
      <c r="C1086" t="inlineStr">
        <is>
          <t>0                      DS 0448000N  354         2003</t>
        </is>
      </c>
      <c r="D1086" t="inlineStr">
        <is>
          <t>India in the world order : searching for major power status / Baldev Raj Nayar, T.V. Paul.</t>
        </is>
      </c>
      <c r="F1086" t="inlineStr">
        <is>
          <t>No</t>
        </is>
      </c>
      <c r="G1086" t="inlineStr">
        <is>
          <t>1</t>
        </is>
      </c>
      <c r="H1086" t="inlineStr">
        <is>
          <t>No</t>
        </is>
      </c>
      <c r="I1086" t="inlineStr">
        <is>
          <t>No</t>
        </is>
      </c>
      <c r="J1086" t="inlineStr">
        <is>
          <t>0</t>
        </is>
      </c>
      <c r="K1086" t="inlineStr">
        <is>
          <t>Nayar, Baldev Raj.</t>
        </is>
      </c>
      <c r="L1086" t="inlineStr">
        <is>
          <t>New York : Cambridge University Press, 2003.</t>
        </is>
      </c>
      <c r="M1086" t="inlineStr">
        <is>
          <t>2003</t>
        </is>
      </c>
      <c r="O1086" t="inlineStr">
        <is>
          <t>eng</t>
        </is>
      </c>
      <c r="P1086" t="inlineStr">
        <is>
          <t>nyu</t>
        </is>
      </c>
      <c r="Q1086" t="inlineStr">
        <is>
          <t>Contemporary South Asia ; 9</t>
        </is>
      </c>
      <c r="R1086" t="inlineStr">
        <is>
          <t xml:space="preserve">DS </t>
        </is>
      </c>
      <c r="S1086" t="n">
        <v>1</v>
      </c>
      <c r="T1086" t="n">
        <v>1</v>
      </c>
      <c r="U1086" t="inlineStr">
        <is>
          <t>2003-03-06</t>
        </is>
      </c>
      <c r="V1086" t="inlineStr">
        <is>
          <t>2003-03-06</t>
        </is>
      </c>
      <c r="W1086" t="inlineStr">
        <is>
          <t>2003-03-06</t>
        </is>
      </c>
      <c r="X1086" t="inlineStr">
        <is>
          <t>2003-03-06</t>
        </is>
      </c>
      <c r="Y1086" t="n">
        <v>354</v>
      </c>
      <c r="Z1086" t="n">
        <v>260</v>
      </c>
      <c r="AA1086" t="n">
        <v>272</v>
      </c>
      <c r="AB1086" t="n">
        <v>4</v>
      </c>
      <c r="AC1086" t="n">
        <v>4</v>
      </c>
      <c r="AD1086" t="n">
        <v>20</v>
      </c>
      <c r="AE1086" t="n">
        <v>20</v>
      </c>
      <c r="AF1086" t="n">
        <v>6</v>
      </c>
      <c r="AG1086" t="n">
        <v>6</v>
      </c>
      <c r="AH1086" t="n">
        <v>6</v>
      </c>
      <c r="AI1086" t="n">
        <v>6</v>
      </c>
      <c r="AJ1086" t="n">
        <v>10</v>
      </c>
      <c r="AK1086" t="n">
        <v>10</v>
      </c>
      <c r="AL1086" t="n">
        <v>3</v>
      </c>
      <c r="AM1086" t="n">
        <v>3</v>
      </c>
      <c r="AN1086" t="n">
        <v>0</v>
      </c>
      <c r="AO1086" t="n">
        <v>0</v>
      </c>
      <c r="AP1086" t="inlineStr">
        <is>
          <t>No</t>
        </is>
      </c>
      <c r="AQ1086" t="inlineStr">
        <is>
          <t>No</t>
        </is>
      </c>
      <c r="AS1086">
        <f>HYPERLINK("https://creighton-primo.hosted.exlibrisgroup.com/primo-explore/search?tab=default_tab&amp;search_scope=EVERYTHING&amp;vid=01CRU&amp;lang=en_US&amp;offset=0&amp;query=any,contains,991004004079702656","Catalog Record")</f>
        <v/>
      </c>
      <c r="AT1086">
        <f>HYPERLINK("http://www.worldcat.org/oclc/50291202","WorldCat Record")</f>
        <v/>
      </c>
      <c r="AU1086" t="inlineStr">
        <is>
          <t>908596:eng</t>
        </is>
      </c>
      <c r="AV1086" t="inlineStr">
        <is>
          <t>50291202</t>
        </is>
      </c>
      <c r="AW1086" t="inlineStr">
        <is>
          <t>991004004079702656</t>
        </is>
      </c>
      <c r="AX1086" t="inlineStr">
        <is>
          <t>991004004079702656</t>
        </is>
      </c>
      <c r="AY1086" t="inlineStr">
        <is>
          <t>2270218720002656</t>
        </is>
      </c>
      <c r="AZ1086" t="inlineStr">
        <is>
          <t>BOOK</t>
        </is>
      </c>
      <c r="BB1086" t="inlineStr">
        <is>
          <t>9780521528757</t>
        </is>
      </c>
      <c r="BC1086" t="inlineStr">
        <is>
          <t>32285004683412</t>
        </is>
      </c>
      <c r="BD1086" t="inlineStr">
        <is>
          <t>893331094</t>
        </is>
      </c>
    </row>
    <row r="1087">
      <c r="A1087" t="inlineStr">
        <is>
          <t>No</t>
        </is>
      </c>
      <c r="B1087" t="inlineStr">
        <is>
          <t>DS448 .P38</t>
        </is>
      </c>
      <c r="C1087" t="inlineStr">
        <is>
          <t>0                      DS 0448000P  38</t>
        </is>
      </c>
      <c r="D1087" t="inlineStr">
        <is>
          <t>Foundations of Pakistan : All-India Muslim League documents, 1906-1947 / edited by Syed Sharifuddin Pirzada.</t>
        </is>
      </c>
      <c r="F1087" t="inlineStr">
        <is>
          <t>No</t>
        </is>
      </c>
      <c r="G1087" t="inlineStr">
        <is>
          <t>1</t>
        </is>
      </c>
      <c r="H1087" t="inlineStr">
        <is>
          <t>Yes</t>
        </is>
      </c>
      <c r="I1087" t="inlineStr">
        <is>
          <t>No</t>
        </is>
      </c>
      <c r="J1087" t="inlineStr">
        <is>
          <t>0</t>
        </is>
      </c>
      <c r="K1087" t="inlineStr">
        <is>
          <t>Pirzada, Syed Sharifuddin, 1923-</t>
        </is>
      </c>
      <c r="L1087" t="inlineStr">
        <is>
          <t>Karachi : National Pub. House, [1969-</t>
        </is>
      </c>
      <c r="M1087" t="inlineStr">
        <is>
          <t>1969</t>
        </is>
      </c>
      <c r="O1087" t="inlineStr">
        <is>
          <t>eng</t>
        </is>
      </c>
      <c r="P1087" t="inlineStr">
        <is>
          <t xml:space="preserve">pk </t>
        </is>
      </c>
      <c r="R1087" t="inlineStr">
        <is>
          <t xml:space="preserve">DS </t>
        </is>
      </c>
      <c r="S1087" t="n">
        <v>1</v>
      </c>
      <c r="T1087" t="n">
        <v>2</v>
      </c>
      <c r="U1087" t="inlineStr">
        <is>
          <t>2006-10-04</t>
        </is>
      </c>
      <c r="V1087" t="inlineStr">
        <is>
          <t>2006-10-04</t>
        </is>
      </c>
      <c r="W1087" t="inlineStr">
        <is>
          <t>1992-03-09</t>
        </is>
      </c>
      <c r="X1087" t="inlineStr">
        <is>
          <t>1993-08-30</t>
        </is>
      </c>
      <c r="Y1087" t="n">
        <v>306</v>
      </c>
      <c r="Z1087" t="n">
        <v>271</v>
      </c>
      <c r="AA1087" t="n">
        <v>280</v>
      </c>
      <c r="AB1087" t="n">
        <v>3</v>
      </c>
      <c r="AC1087" t="n">
        <v>3</v>
      </c>
      <c r="AD1087" t="n">
        <v>13</v>
      </c>
      <c r="AE1087" t="n">
        <v>13</v>
      </c>
      <c r="AF1087" t="n">
        <v>1</v>
      </c>
      <c r="AG1087" t="n">
        <v>1</v>
      </c>
      <c r="AH1087" t="n">
        <v>4</v>
      </c>
      <c r="AI1087" t="n">
        <v>4</v>
      </c>
      <c r="AJ1087" t="n">
        <v>9</v>
      </c>
      <c r="AK1087" t="n">
        <v>9</v>
      </c>
      <c r="AL1087" t="n">
        <v>2</v>
      </c>
      <c r="AM1087" t="n">
        <v>2</v>
      </c>
      <c r="AN1087" t="n">
        <v>0</v>
      </c>
      <c r="AO1087" t="n">
        <v>0</v>
      </c>
      <c r="AP1087" t="inlineStr">
        <is>
          <t>No</t>
        </is>
      </c>
      <c r="AQ1087" t="inlineStr">
        <is>
          <t>Yes</t>
        </is>
      </c>
      <c r="AR1087">
        <f>HYPERLINK("http://catalog.hathitrust.org/Record/001266429","HathiTrust Record")</f>
        <v/>
      </c>
      <c r="AS1087">
        <f>HYPERLINK("https://creighton-primo.hosted.exlibrisgroup.com/primo-explore/search?tab=default_tab&amp;search_scope=EVERYTHING&amp;vid=01CRU&amp;lang=en_US&amp;offset=0&amp;query=any,contains,991000798679702656","Catalog Record")</f>
        <v/>
      </c>
      <c r="AT1087">
        <f>HYPERLINK("http://www.worldcat.org/oclc/138080","WorldCat Record")</f>
        <v/>
      </c>
      <c r="AU1087" t="inlineStr">
        <is>
          <t>3772441858:eng</t>
        </is>
      </c>
      <c r="AV1087" t="inlineStr">
        <is>
          <t>138080</t>
        </is>
      </c>
      <c r="AW1087" t="inlineStr">
        <is>
          <t>991000798679702656</t>
        </is>
      </c>
      <c r="AX1087" t="inlineStr">
        <is>
          <t>991000798679702656</t>
        </is>
      </c>
      <c r="AY1087" t="inlineStr">
        <is>
          <t>2262362800002656</t>
        </is>
      </c>
      <c r="AZ1087" t="inlineStr">
        <is>
          <t>BOOK</t>
        </is>
      </c>
      <c r="BC1087" t="inlineStr">
        <is>
          <t>32285000993112</t>
        </is>
      </c>
      <c r="BD1087" t="inlineStr">
        <is>
          <t>893522022</t>
        </is>
      </c>
    </row>
    <row r="1088">
      <c r="A1088" t="inlineStr">
        <is>
          <t>No</t>
        </is>
      </c>
      <c r="B1088" t="inlineStr">
        <is>
          <t>DS448 .P38 V.2</t>
        </is>
      </c>
      <c r="C1088" t="inlineStr">
        <is>
          <t>0                      DS 0448000P  38                                                      V.2</t>
        </is>
      </c>
      <c r="D1088" t="inlineStr">
        <is>
          <t>Foundations of Pakistan : All-India Muslim League documents, 1906-1947 / edited by Syed Sharifuddin Pirzada.</t>
        </is>
      </c>
      <c r="E1088" t="inlineStr">
        <is>
          <t>V.2*</t>
        </is>
      </c>
      <c r="F1088" t="inlineStr">
        <is>
          <t>No</t>
        </is>
      </c>
      <c r="G1088" t="inlineStr">
        <is>
          <t>1</t>
        </is>
      </c>
      <c r="H1088" t="inlineStr">
        <is>
          <t>No</t>
        </is>
      </c>
      <c r="I1088" t="inlineStr">
        <is>
          <t>No</t>
        </is>
      </c>
      <c r="J1088" t="inlineStr">
        <is>
          <t>0</t>
        </is>
      </c>
      <c r="K1088" t="inlineStr">
        <is>
          <t>Pirzada, Syed Sharifuddin, 1923-</t>
        </is>
      </c>
      <c r="L1088" t="inlineStr">
        <is>
          <t>Karachi : National Pub. House, [1969-</t>
        </is>
      </c>
      <c r="M1088" t="inlineStr">
        <is>
          <t>1969</t>
        </is>
      </c>
      <c r="O1088" t="inlineStr">
        <is>
          <t>eng</t>
        </is>
      </c>
      <c r="P1088" t="inlineStr">
        <is>
          <t xml:space="preserve">pk </t>
        </is>
      </c>
      <c r="R1088" t="inlineStr">
        <is>
          <t xml:space="preserve">DS </t>
        </is>
      </c>
      <c r="S1088" t="n">
        <v>1</v>
      </c>
      <c r="T1088" t="n">
        <v>2</v>
      </c>
      <c r="U1088" t="inlineStr">
        <is>
          <t>2006-10-04</t>
        </is>
      </c>
      <c r="V1088" t="inlineStr">
        <is>
          <t>2006-10-04</t>
        </is>
      </c>
      <c r="W1088" t="inlineStr">
        <is>
          <t>1993-08-30</t>
        </is>
      </c>
      <c r="X1088" t="inlineStr">
        <is>
          <t>1993-08-30</t>
        </is>
      </c>
      <c r="Y1088" t="n">
        <v>306</v>
      </c>
      <c r="Z1088" t="n">
        <v>271</v>
      </c>
      <c r="AA1088" t="n">
        <v>280</v>
      </c>
      <c r="AB1088" t="n">
        <v>3</v>
      </c>
      <c r="AC1088" t="n">
        <v>3</v>
      </c>
      <c r="AD1088" t="n">
        <v>13</v>
      </c>
      <c r="AE1088" t="n">
        <v>13</v>
      </c>
      <c r="AF1088" t="n">
        <v>1</v>
      </c>
      <c r="AG1088" t="n">
        <v>1</v>
      </c>
      <c r="AH1088" t="n">
        <v>4</v>
      </c>
      <c r="AI1088" t="n">
        <v>4</v>
      </c>
      <c r="AJ1088" t="n">
        <v>9</v>
      </c>
      <c r="AK1088" t="n">
        <v>9</v>
      </c>
      <c r="AL1088" t="n">
        <v>2</v>
      </c>
      <c r="AM1088" t="n">
        <v>2</v>
      </c>
      <c r="AN1088" t="n">
        <v>0</v>
      </c>
      <c r="AO1088" t="n">
        <v>0</v>
      </c>
      <c r="AP1088" t="inlineStr">
        <is>
          <t>No</t>
        </is>
      </c>
      <c r="AQ1088" t="inlineStr">
        <is>
          <t>Yes</t>
        </is>
      </c>
      <c r="AR1088">
        <f>HYPERLINK("http://catalog.hathitrust.org/Record/001266429","HathiTrust Record")</f>
        <v/>
      </c>
      <c r="AS1088">
        <f>HYPERLINK("https://creighton-primo.hosted.exlibrisgroup.com/primo-explore/search?tab=default_tab&amp;search_scope=EVERYTHING&amp;vid=01CRU&amp;lang=en_US&amp;offset=0&amp;query=any,contains,991000798679702656","Catalog Record")</f>
        <v/>
      </c>
      <c r="AT1088">
        <f>HYPERLINK("http://www.worldcat.org/oclc/138080","WorldCat Record")</f>
        <v/>
      </c>
      <c r="AU1088" t="inlineStr">
        <is>
          <t>3772441858:eng</t>
        </is>
      </c>
      <c r="AV1088" t="inlineStr">
        <is>
          <t>138080</t>
        </is>
      </c>
      <c r="AW1088" t="inlineStr">
        <is>
          <t>991000798679702656</t>
        </is>
      </c>
      <c r="AX1088" t="inlineStr">
        <is>
          <t>991000798679702656</t>
        </is>
      </c>
      <c r="AY1088" t="inlineStr">
        <is>
          <t>2262362800002656</t>
        </is>
      </c>
      <c r="AZ1088" t="inlineStr">
        <is>
          <t>BOOK</t>
        </is>
      </c>
      <c r="BC1088" t="inlineStr">
        <is>
          <t>32285001762680</t>
        </is>
      </c>
      <c r="BD1088" t="inlineStr">
        <is>
          <t>893502817</t>
        </is>
      </c>
    </row>
    <row r="1089">
      <c r="A1089" t="inlineStr">
        <is>
          <t>No</t>
        </is>
      </c>
      <c r="B1089" t="inlineStr">
        <is>
          <t>DS448 .S487</t>
        </is>
      </c>
      <c r="C1089" t="inlineStr">
        <is>
          <t>0                      DS 0448000S  487</t>
        </is>
      </c>
      <c r="D1089" t="inlineStr">
        <is>
          <t>India, China and Pakistan.</t>
        </is>
      </c>
      <c r="F1089" t="inlineStr">
        <is>
          <t>No</t>
        </is>
      </c>
      <c r="G1089" t="inlineStr">
        <is>
          <t>1</t>
        </is>
      </c>
      <c r="H1089" t="inlineStr">
        <is>
          <t>No</t>
        </is>
      </c>
      <c r="I1089" t="inlineStr">
        <is>
          <t>No</t>
        </is>
      </c>
      <c r="J1089" t="inlineStr">
        <is>
          <t>0</t>
        </is>
      </c>
      <c r="K1089" t="inlineStr">
        <is>
          <t>Sherwani, Latif Ahmed.</t>
        </is>
      </c>
      <c r="L1089" t="inlineStr">
        <is>
          <t>Karachi : Council for Pakistan Studies, [1967]</t>
        </is>
      </c>
      <c r="M1089" t="inlineStr">
        <is>
          <t>1967</t>
        </is>
      </c>
      <c r="O1089" t="inlineStr">
        <is>
          <t>eng</t>
        </is>
      </c>
      <c r="P1089" t="inlineStr">
        <is>
          <t xml:space="preserve">pk </t>
        </is>
      </c>
      <c r="R1089" t="inlineStr">
        <is>
          <t xml:space="preserve">DS </t>
        </is>
      </c>
      <c r="S1089" t="n">
        <v>4</v>
      </c>
      <c r="T1089" t="n">
        <v>4</v>
      </c>
      <c r="U1089" t="inlineStr">
        <is>
          <t>2007-04-23</t>
        </is>
      </c>
      <c r="V1089" t="inlineStr">
        <is>
          <t>2007-04-23</t>
        </is>
      </c>
      <c r="W1089" t="inlineStr">
        <is>
          <t>1992-11-10</t>
        </is>
      </c>
      <c r="X1089" t="inlineStr">
        <is>
          <t>1992-11-10</t>
        </is>
      </c>
      <c r="Y1089" t="n">
        <v>290</v>
      </c>
      <c r="Z1089" t="n">
        <v>262</v>
      </c>
      <c r="AA1089" t="n">
        <v>264</v>
      </c>
      <c r="AB1089" t="n">
        <v>3</v>
      </c>
      <c r="AC1089" t="n">
        <v>3</v>
      </c>
      <c r="AD1089" t="n">
        <v>14</v>
      </c>
      <c r="AE1089" t="n">
        <v>14</v>
      </c>
      <c r="AF1089" t="n">
        <v>2</v>
      </c>
      <c r="AG1089" t="n">
        <v>2</v>
      </c>
      <c r="AH1089" t="n">
        <v>6</v>
      </c>
      <c r="AI1089" t="n">
        <v>6</v>
      </c>
      <c r="AJ1089" t="n">
        <v>8</v>
      </c>
      <c r="AK1089" t="n">
        <v>8</v>
      </c>
      <c r="AL1089" t="n">
        <v>2</v>
      </c>
      <c r="AM1089" t="n">
        <v>2</v>
      </c>
      <c r="AN1089" t="n">
        <v>0</v>
      </c>
      <c r="AO1089" t="n">
        <v>0</v>
      </c>
      <c r="AP1089" t="inlineStr">
        <is>
          <t>No</t>
        </is>
      </c>
      <c r="AQ1089" t="inlineStr">
        <is>
          <t>Yes</t>
        </is>
      </c>
      <c r="AR1089">
        <f>HYPERLINK("http://catalog.hathitrust.org/Record/001250950","HathiTrust Record")</f>
        <v/>
      </c>
      <c r="AS1089">
        <f>HYPERLINK("https://creighton-primo.hosted.exlibrisgroup.com/primo-explore/search?tab=default_tab&amp;search_scope=EVERYTHING&amp;vid=01CRU&amp;lang=en_US&amp;offset=0&amp;query=any,contains,991002823559702656","Catalog Record")</f>
        <v/>
      </c>
      <c r="AT1089">
        <f>HYPERLINK("http://www.worldcat.org/oclc/473339","WorldCat Record")</f>
        <v/>
      </c>
      <c r="AU1089" t="inlineStr">
        <is>
          <t>1539238:eng</t>
        </is>
      </c>
      <c r="AV1089" t="inlineStr">
        <is>
          <t>473339</t>
        </is>
      </c>
      <c r="AW1089" t="inlineStr">
        <is>
          <t>991002823559702656</t>
        </is>
      </c>
      <c r="AX1089" t="inlineStr">
        <is>
          <t>991002823559702656</t>
        </is>
      </c>
      <c r="AY1089" t="inlineStr">
        <is>
          <t>2255533150002656</t>
        </is>
      </c>
      <c r="AZ1089" t="inlineStr">
        <is>
          <t>BOOK</t>
        </is>
      </c>
      <c r="BC1089" t="inlineStr">
        <is>
          <t>32285001384360</t>
        </is>
      </c>
      <c r="BD1089" t="inlineStr">
        <is>
          <t>893704571</t>
        </is>
      </c>
    </row>
    <row r="1090">
      <c r="A1090" t="inlineStr">
        <is>
          <t>No</t>
        </is>
      </c>
      <c r="B1090" t="inlineStr">
        <is>
          <t>DS450.C5 M4 1974</t>
        </is>
      </c>
      <c r="C1090" t="inlineStr">
        <is>
          <t>0                      DS 0450000C  5                  M  4           1974</t>
        </is>
      </c>
      <c r="D1090" t="inlineStr">
        <is>
          <t>The McMahon Line and after: a study of the triangular contest on Indias̓ North-eastern frontier between Britain, China, and Tibet, 1904-47 / Parshotam Mehra.-</t>
        </is>
      </c>
      <c r="F1090" t="inlineStr">
        <is>
          <t>No</t>
        </is>
      </c>
      <c r="G1090" t="inlineStr">
        <is>
          <t>1</t>
        </is>
      </c>
      <c r="H1090" t="inlineStr">
        <is>
          <t>No</t>
        </is>
      </c>
      <c r="I1090" t="inlineStr">
        <is>
          <t>No</t>
        </is>
      </c>
      <c r="J1090" t="inlineStr">
        <is>
          <t>0</t>
        </is>
      </c>
      <c r="K1090" t="inlineStr">
        <is>
          <t>Mehra, Parshotam.</t>
        </is>
      </c>
      <c r="L1090" t="inlineStr">
        <is>
          <t>Columbia, Missouri : South Asia Books, 1976, c1974.</t>
        </is>
      </c>
      <c r="M1090" t="inlineStr">
        <is>
          <t>1976</t>
        </is>
      </c>
      <c r="O1090" t="inlineStr">
        <is>
          <t>eng</t>
        </is>
      </c>
      <c r="P1090" t="inlineStr">
        <is>
          <t>mou</t>
        </is>
      </c>
      <c r="R1090" t="inlineStr">
        <is>
          <t xml:space="preserve">DS </t>
        </is>
      </c>
      <c r="S1090" t="n">
        <v>1</v>
      </c>
      <c r="T1090" t="n">
        <v>1</v>
      </c>
      <c r="U1090" t="inlineStr">
        <is>
          <t>2008-04-28</t>
        </is>
      </c>
      <c r="V1090" t="inlineStr">
        <is>
          <t>2008-04-28</t>
        </is>
      </c>
      <c r="W1090" t="inlineStr">
        <is>
          <t>1996-08-09</t>
        </is>
      </c>
      <c r="X1090" t="inlineStr">
        <is>
          <t>1996-08-09</t>
        </is>
      </c>
      <c r="Y1090" t="n">
        <v>102</v>
      </c>
      <c r="Z1090" t="n">
        <v>96</v>
      </c>
      <c r="AA1090" t="n">
        <v>187</v>
      </c>
      <c r="AB1090" t="n">
        <v>2</v>
      </c>
      <c r="AC1090" t="n">
        <v>3</v>
      </c>
      <c r="AD1090" t="n">
        <v>6</v>
      </c>
      <c r="AE1090" t="n">
        <v>8</v>
      </c>
      <c r="AF1090" t="n">
        <v>1</v>
      </c>
      <c r="AG1090" t="n">
        <v>2</v>
      </c>
      <c r="AH1090" t="n">
        <v>2</v>
      </c>
      <c r="AI1090" t="n">
        <v>3</v>
      </c>
      <c r="AJ1090" t="n">
        <v>4</v>
      </c>
      <c r="AK1090" t="n">
        <v>4</v>
      </c>
      <c r="AL1090" t="n">
        <v>1</v>
      </c>
      <c r="AM1090" t="n">
        <v>2</v>
      </c>
      <c r="AN1090" t="n">
        <v>0</v>
      </c>
      <c r="AO1090" t="n">
        <v>0</v>
      </c>
      <c r="AP1090" t="inlineStr">
        <is>
          <t>No</t>
        </is>
      </c>
      <c r="AQ1090" t="inlineStr">
        <is>
          <t>No</t>
        </is>
      </c>
      <c r="AS1090">
        <f>HYPERLINK("https://creighton-primo.hosted.exlibrisgroup.com/primo-explore/search?tab=default_tab&amp;search_scope=EVERYTHING&amp;vid=01CRU&amp;lang=en_US&amp;offset=0&amp;query=any,contains,991004110309702656","Catalog Record")</f>
        <v/>
      </c>
      <c r="AT1090">
        <f>HYPERLINK("http://www.worldcat.org/oclc/2395655","WorldCat Record")</f>
        <v/>
      </c>
      <c r="AU1090" t="inlineStr">
        <is>
          <t>878477726:eng</t>
        </is>
      </c>
      <c r="AV1090" t="inlineStr">
        <is>
          <t>2395655</t>
        </is>
      </c>
      <c r="AW1090" t="inlineStr">
        <is>
          <t>991004110309702656</t>
        </is>
      </c>
      <c r="AX1090" t="inlineStr">
        <is>
          <t>991004110309702656</t>
        </is>
      </c>
      <c r="AY1090" t="inlineStr">
        <is>
          <t>2271672430002656</t>
        </is>
      </c>
      <c r="AZ1090" t="inlineStr">
        <is>
          <t>BOOK</t>
        </is>
      </c>
      <c r="BC1090" t="inlineStr">
        <is>
          <t>32285002272820</t>
        </is>
      </c>
      <c r="BD1090" t="inlineStr">
        <is>
          <t>893687377</t>
        </is>
      </c>
    </row>
    <row r="1091">
      <c r="A1091" t="inlineStr">
        <is>
          <t>No</t>
        </is>
      </c>
      <c r="B1091" t="inlineStr">
        <is>
          <t>DS450.C5 V3</t>
        </is>
      </c>
      <c r="C1091" t="inlineStr">
        <is>
          <t>0                      DS 0450000C  5                  V  3</t>
        </is>
      </c>
      <c r="D1091" t="inlineStr">
        <is>
          <t>Struggle for the Himalayas; a study in Sino-Indian relations.</t>
        </is>
      </c>
      <c r="F1091" t="inlineStr">
        <is>
          <t>No</t>
        </is>
      </c>
      <c r="G1091" t="inlineStr">
        <is>
          <t>1</t>
        </is>
      </c>
      <c r="H1091" t="inlineStr">
        <is>
          <t>No</t>
        </is>
      </c>
      <c r="I1091" t="inlineStr">
        <is>
          <t>No</t>
        </is>
      </c>
      <c r="J1091" t="inlineStr">
        <is>
          <t>0</t>
        </is>
      </c>
      <c r="K1091" t="inlineStr">
        <is>
          <t>Varma, S. P. (Shanti Prasad), 1910-</t>
        </is>
      </c>
      <c r="L1091" t="inlineStr">
        <is>
          <t>Jullundur, University Publishers [1965]</t>
        </is>
      </c>
      <c r="M1091" t="inlineStr">
        <is>
          <t>1965</t>
        </is>
      </c>
      <c r="O1091" t="inlineStr">
        <is>
          <t>eng</t>
        </is>
      </c>
      <c r="P1091" t="inlineStr">
        <is>
          <t xml:space="preserve">ii </t>
        </is>
      </c>
      <c r="R1091" t="inlineStr">
        <is>
          <t xml:space="preserve">DS </t>
        </is>
      </c>
      <c r="S1091" t="n">
        <v>3</v>
      </c>
      <c r="T1091" t="n">
        <v>3</v>
      </c>
      <c r="U1091" t="inlineStr">
        <is>
          <t>1999-10-21</t>
        </is>
      </c>
      <c r="V1091" t="inlineStr">
        <is>
          <t>1999-10-21</t>
        </is>
      </c>
      <c r="W1091" t="inlineStr">
        <is>
          <t>1997-03-10</t>
        </is>
      </c>
      <c r="X1091" t="inlineStr">
        <is>
          <t>1997-03-10</t>
        </is>
      </c>
      <c r="Y1091" t="n">
        <v>283</v>
      </c>
      <c r="Z1091" t="n">
        <v>267</v>
      </c>
      <c r="AA1091" t="n">
        <v>365</v>
      </c>
      <c r="AB1091" t="n">
        <v>3</v>
      </c>
      <c r="AC1091" t="n">
        <v>4</v>
      </c>
      <c r="AD1091" t="n">
        <v>14</v>
      </c>
      <c r="AE1091" t="n">
        <v>18</v>
      </c>
      <c r="AF1091" t="n">
        <v>2</v>
      </c>
      <c r="AG1091" t="n">
        <v>4</v>
      </c>
      <c r="AH1091" t="n">
        <v>4</v>
      </c>
      <c r="AI1091" t="n">
        <v>6</v>
      </c>
      <c r="AJ1091" t="n">
        <v>9</v>
      </c>
      <c r="AK1091" t="n">
        <v>9</v>
      </c>
      <c r="AL1091" t="n">
        <v>2</v>
      </c>
      <c r="AM1091" t="n">
        <v>3</v>
      </c>
      <c r="AN1091" t="n">
        <v>0</v>
      </c>
      <c r="AO1091" t="n">
        <v>0</v>
      </c>
      <c r="AP1091" t="inlineStr">
        <is>
          <t>No</t>
        </is>
      </c>
      <c r="AQ1091" t="inlineStr">
        <is>
          <t>Yes</t>
        </is>
      </c>
      <c r="AR1091">
        <f>HYPERLINK("http://catalog.hathitrust.org/Record/001252314","HathiTrust Record")</f>
        <v/>
      </c>
      <c r="AS1091">
        <f>HYPERLINK("https://creighton-primo.hosted.exlibrisgroup.com/primo-explore/search?tab=default_tab&amp;search_scope=EVERYTHING&amp;vid=01CRU&amp;lang=en_US&amp;offset=0&amp;query=any,contains,991004400529702656","Catalog Record")</f>
        <v/>
      </c>
      <c r="AT1091">
        <f>HYPERLINK("http://www.worldcat.org/oclc/3296265","WorldCat Record")</f>
        <v/>
      </c>
      <c r="AU1091" t="inlineStr">
        <is>
          <t>1361120:eng</t>
        </is>
      </c>
      <c r="AV1091" t="inlineStr">
        <is>
          <t>3296265</t>
        </is>
      </c>
      <c r="AW1091" t="inlineStr">
        <is>
          <t>991004400529702656</t>
        </is>
      </c>
      <c r="AX1091" t="inlineStr">
        <is>
          <t>991004400529702656</t>
        </is>
      </c>
      <c r="AY1091" t="inlineStr">
        <is>
          <t>2258624090002656</t>
        </is>
      </c>
      <c r="AZ1091" t="inlineStr">
        <is>
          <t>BOOK</t>
        </is>
      </c>
      <c r="BC1091" t="inlineStr">
        <is>
          <t>32285002456837</t>
        </is>
      </c>
      <c r="BD1091" t="inlineStr">
        <is>
          <t>893593645</t>
        </is>
      </c>
    </row>
    <row r="1092">
      <c r="A1092" t="inlineStr">
        <is>
          <t>No</t>
        </is>
      </c>
      <c r="B1092" t="inlineStr">
        <is>
          <t>DS450.C6 I523 2004</t>
        </is>
      </c>
      <c r="C1092" t="inlineStr">
        <is>
          <t>0                      DS 0450000C  6                  I  523         2004</t>
        </is>
      </c>
      <c r="D1092" t="inlineStr">
        <is>
          <t>The India-China relationship : what the United States needs to know / Francine R. Frankel and Harry Hardling, editors.</t>
        </is>
      </c>
      <c r="F1092" t="inlineStr">
        <is>
          <t>No</t>
        </is>
      </c>
      <c r="G1092" t="inlineStr">
        <is>
          <t>1</t>
        </is>
      </c>
      <c r="H1092" t="inlineStr">
        <is>
          <t>No</t>
        </is>
      </c>
      <c r="I1092" t="inlineStr">
        <is>
          <t>No</t>
        </is>
      </c>
      <c r="J1092" t="inlineStr">
        <is>
          <t>0</t>
        </is>
      </c>
      <c r="L1092" t="inlineStr">
        <is>
          <t>New York : Columbia University Press, 2004.</t>
        </is>
      </c>
      <c r="M1092" t="inlineStr">
        <is>
          <t>2004</t>
        </is>
      </c>
      <c r="O1092" t="inlineStr">
        <is>
          <t>eng</t>
        </is>
      </c>
      <c r="P1092" t="inlineStr">
        <is>
          <t>nyu</t>
        </is>
      </c>
      <c r="R1092" t="inlineStr">
        <is>
          <t xml:space="preserve">DS </t>
        </is>
      </c>
      <c r="S1092" t="n">
        <v>2</v>
      </c>
      <c r="T1092" t="n">
        <v>2</v>
      </c>
      <c r="U1092" t="inlineStr">
        <is>
          <t>2006-11-28</t>
        </is>
      </c>
      <c r="V1092" t="inlineStr">
        <is>
          <t>2006-11-28</t>
        </is>
      </c>
      <c r="W1092" t="inlineStr">
        <is>
          <t>2004-06-14</t>
        </is>
      </c>
      <c r="X1092" t="inlineStr">
        <is>
          <t>2004-06-14</t>
        </is>
      </c>
      <c r="Y1092" t="n">
        <v>430</v>
      </c>
      <c r="Z1092" t="n">
        <v>345</v>
      </c>
      <c r="AA1092" t="n">
        <v>345</v>
      </c>
      <c r="AB1092" t="n">
        <v>2</v>
      </c>
      <c r="AC1092" t="n">
        <v>2</v>
      </c>
      <c r="AD1092" t="n">
        <v>24</v>
      </c>
      <c r="AE1092" t="n">
        <v>24</v>
      </c>
      <c r="AF1092" t="n">
        <v>12</v>
      </c>
      <c r="AG1092" t="n">
        <v>12</v>
      </c>
      <c r="AH1092" t="n">
        <v>7</v>
      </c>
      <c r="AI1092" t="n">
        <v>7</v>
      </c>
      <c r="AJ1092" t="n">
        <v>11</v>
      </c>
      <c r="AK1092" t="n">
        <v>11</v>
      </c>
      <c r="AL1092" t="n">
        <v>1</v>
      </c>
      <c r="AM1092" t="n">
        <v>1</v>
      </c>
      <c r="AN1092" t="n">
        <v>0</v>
      </c>
      <c r="AO1092" t="n">
        <v>0</v>
      </c>
      <c r="AP1092" t="inlineStr">
        <is>
          <t>No</t>
        </is>
      </c>
      <c r="AQ1092" t="inlineStr">
        <is>
          <t>No</t>
        </is>
      </c>
      <c r="AS1092">
        <f>HYPERLINK("https://creighton-primo.hosted.exlibrisgroup.com/primo-explore/search?tab=default_tab&amp;search_scope=EVERYTHING&amp;vid=01CRU&amp;lang=en_US&amp;offset=0&amp;query=any,contains,991004293649702656","Catalog Record")</f>
        <v/>
      </c>
      <c r="AT1092">
        <f>HYPERLINK("http://www.worldcat.org/oclc/53223660","WorldCat Record")</f>
        <v/>
      </c>
      <c r="AU1092" t="inlineStr">
        <is>
          <t>864066610:eng</t>
        </is>
      </c>
      <c r="AV1092" t="inlineStr">
        <is>
          <t>53223660</t>
        </is>
      </c>
      <c r="AW1092" t="inlineStr">
        <is>
          <t>991004293649702656</t>
        </is>
      </c>
      <c r="AX1092" t="inlineStr">
        <is>
          <t>991004293649702656</t>
        </is>
      </c>
      <c r="AY1092" t="inlineStr">
        <is>
          <t>2263789870002656</t>
        </is>
      </c>
      <c r="AZ1092" t="inlineStr">
        <is>
          <t>BOOK</t>
        </is>
      </c>
      <c r="BB1092" t="inlineStr">
        <is>
          <t>9780231132367</t>
        </is>
      </c>
      <c r="BC1092" t="inlineStr">
        <is>
          <t>32285004909668</t>
        </is>
      </c>
      <c r="BD1092" t="inlineStr">
        <is>
          <t>893605848</t>
        </is>
      </c>
    </row>
    <row r="1093">
      <c r="A1093" t="inlineStr">
        <is>
          <t>No</t>
        </is>
      </c>
      <c r="B1093" t="inlineStr">
        <is>
          <t>DS450.G7 L56</t>
        </is>
      </c>
      <c r="C1093" t="inlineStr">
        <is>
          <t>0                      DS 0450000G  7                  L  56</t>
        </is>
      </c>
      <c r="D1093" t="inlineStr">
        <is>
          <t>The erosion of a relationship : India and Britain since 1960 / Michael Lipton and John Firn.</t>
        </is>
      </c>
      <c r="F1093" t="inlineStr">
        <is>
          <t>No</t>
        </is>
      </c>
      <c r="G1093" t="inlineStr">
        <is>
          <t>1</t>
        </is>
      </c>
      <c r="H1093" t="inlineStr">
        <is>
          <t>No</t>
        </is>
      </c>
      <c r="I1093" t="inlineStr">
        <is>
          <t>No</t>
        </is>
      </c>
      <c r="J1093" t="inlineStr">
        <is>
          <t>0</t>
        </is>
      </c>
      <c r="K1093" t="inlineStr">
        <is>
          <t>Lipton, Michael, 1937-</t>
        </is>
      </c>
      <c r="L1093" t="inlineStr">
        <is>
          <t>London ; New York : Oxford University Press for the Royal Institute of International Affairs, 1975.</t>
        </is>
      </c>
      <c r="M1093" t="inlineStr">
        <is>
          <t>1975</t>
        </is>
      </c>
      <c r="O1093" t="inlineStr">
        <is>
          <t>eng</t>
        </is>
      </c>
      <c r="P1093" t="inlineStr">
        <is>
          <t>enk</t>
        </is>
      </c>
      <c r="R1093" t="inlineStr">
        <is>
          <t xml:space="preserve">DS </t>
        </is>
      </c>
      <c r="S1093" t="n">
        <v>2</v>
      </c>
      <c r="T1093" t="n">
        <v>2</v>
      </c>
      <c r="U1093" t="inlineStr">
        <is>
          <t>1999-01-13</t>
        </is>
      </c>
      <c r="V1093" t="inlineStr">
        <is>
          <t>1999-01-13</t>
        </is>
      </c>
      <c r="W1093" t="inlineStr">
        <is>
          <t>1997-03-10</t>
        </is>
      </c>
      <c r="X1093" t="inlineStr">
        <is>
          <t>1997-03-10</t>
        </is>
      </c>
      <c r="Y1093" t="n">
        <v>332</v>
      </c>
      <c r="Z1093" t="n">
        <v>221</v>
      </c>
      <c r="AA1093" t="n">
        <v>229</v>
      </c>
      <c r="AB1093" t="n">
        <v>3</v>
      </c>
      <c r="AC1093" t="n">
        <v>3</v>
      </c>
      <c r="AD1093" t="n">
        <v>8</v>
      </c>
      <c r="AE1093" t="n">
        <v>8</v>
      </c>
      <c r="AF1093" t="n">
        <v>0</v>
      </c>
      <c r="AG1093" t="n">
        <v>0</v>
      </c>
      <c r="AH1093" t="n">
        <v>4</v>
      </c>
      <c r="AI1093" t="n">
        <v>4</v>
      </c>
      <c r="AJ1093" t="n">
        <v>4</v>
      </c>
      <c r="AK1093" t="n">
        <v>4</v>
      </c>
      <c r="AL1093" t="n">
        <v>2</v>
      </c>
      <c r="AM1093" t="n">
        <v>2</v>
      </c>
      <c r="AN1093" t="n">
        <v>0</v>
      </c>
      <c r="AO1093" t="n">
        <v>0</v>
      </c>
      <c r="AP1093" t="inlineStr">
        <is>
          <t>No</t>
        </is>
      </c>
      <c r="AQ1093" t="inlineStr">
        <is>
          <t>Yes</t>
        </is>
      </c>
      <c r="AR1093">
        <f>HYPERLINK("http://catalog.hathitrust.org/Record/001250991","HathiTrust Record")</f>
        <v/>
      </c>
      <c r="AS1093">
        <f>HYPERLINK("https://creighton-primo.hosted.exlibrisgroup.com/primo-explore/search?tab=default_tab&amp;search_scope=EVERYTHING&amp;vid=01CRU&amp;lang=en_US&amp;offset=0&amp;query=any,contains,991004030839702656","Catalog Record")</f>
        <v/>
      </c>
      <c r="AT1093">
        <f>HYPERLINK("http://www.worldcat.org/oclc/2152502","WorldCat Record")</f>
        <v/>
      </c>
      <c r="AU1093" t="inlineStr">
        <is>
          <t>3802702:eng</t>
        </is>
      </c>
      <c r="AV1093" t="inlineStr">
        <is>
          <t>2152502</t>
        </is>
      </c>
      <c r="AW1093" t="inlineStr">
        <is>
          <t>991004030839702656</t>
        </is>
      </c>
      <c r="AX1093" t="inlineStr">
        <is>
          <t>991004030839702656</t>
        </is>
      </c>
      <c r="AY1093" t="inlineStr">
        <is>
          <t>2258377690002656</t>
        </is>
      </c>
      <c r="AZ1093" t="inlineStr">
        <is>
          <t>BOOK</t>
        </is>
      </c>
      <c r="BB1093" t="inlineStr">
        <is>
          <t>9780192183101</t>
        </is>
      </c>
      <c r="BC1093" t="inlineStr">
        <is>
          <t>32285002456852</t>
        </is>
      </c>
      <c r="BD1093" t="inlineStr">
        <is>
          <t>893417140</t>
        </is>
      </c>
    </row>
    <row r="1094">
      <c r="A1094" t="inlineStr">
        <is>
          <t>No</t>
        </is>
      </c>
      <c r="B1094" t="inlineStr">
        <is>
          <t>DS450.L29 K494 1992</t>
        </is>
      </c>
      <c r="C1094" t="inlineStr">
        <is>
          <t>0                      DS 0450000L  29                 K  494         1992</t>
        </is>
      </c>
      <c r="D1094" t="inlineStr">
        <is>
          <t>Glimpses of Hindu America : story of India's relations with Latin America / N.M. Khilnani.</t>
        </is>
      </c>
      <c r="F1094" t="inlineStr">
        <is>
          <t>No</t>
        </is>
      </c>
      <c r="G1094" t="inlineStr">
        <is>
          <t>1</t>
        </is>
      </c>
      <c r="H1094" t="inlineStr">
        <is>
          <t>No</t>
        </is>
      </c>
      <c r="I1094" t="inlineStr">
        <is>
          <t>No</t>
        </is>
      </c>
      <c r="J1094" t="inlineStr">
        <is>
          <t>0</t>
        </is>
      </c>
      <c r="K1094" t="inlineStr">
        <is>
          <t>Khilnani, N. M.</t>
        </is>
      </c>
      <c r="L1094" t="inlineStr">
        <is>
          <t>New Delhi : Anmol Publications, c1992.</t>
        </is>
      </c>
      <c r="M1094" t="inlineStr">
        <is>
          <t>1992</t>
        </is>
      </c>
      <c r="O1094" t="inlineStr">
        <is>
          <t>eng</t>
        </is>
      </c>
      <c r="P1094" t="inlineStr">
        <is>
          <t xml:space="preserve">ii </t>
        </is>
      </c>
      <c r="R1094" t="inlineStr">
        <is>
          <t xml:space="preserve">DS </t>
        </is>
      </c>
      <c r="S1094" t="n">
        <v>1</v>
      </c>
      <c r="T1094" t="n">
        <v>1</v>
      </c>
      <c r="U1094" t="inlineStr">
        <is>
          <t>2000-10-06</t>
        </is>
      </c>
      <c r="V1094" t="inlineStr">
        <is>
          <t>2000-10-06</t>
        </is>
      </c>
      <c r="W1094" t="inlineStr">
        <is>
          <t>1993-07-06</t>
        </is>
      </c>
      <c r="X1094" t="inlineStr">
        <is>
          <t>1993-07-06</t>
        </is>
      </c>
      <c r="Y1094" t="n">
        <v>36</v>
      </c>
      <c r="Z1094" t="n">
        <v>26</v>
      </c>
      <c r="AA1094" t="n">
        <v>28</v>
      </c>
      <c r="AB1094" t="n">
        <v>1</v>
      </c>
      <c r="AC1094" t="n">
        <v>1</v>
      </c>
      <c r="AD1094" t="n">
        <v>0</v>
      </c>
      <c r="AE1094" t="n">
        <v>0</v>
      </c>
      <c r="AF1094" t="n">
        <v>0</v>
      </c>
      <c r="AG1094" t="n">
        <v>0</v>
      </c>
      <c r="AH1094" t="n">
        <v>0</v>
      </c>
      <c r="AI1094" t="n">
        <v>0</v>
      </c>
      <c r="AJ1094" t="n">
        <v>0</v>
      </c>
      <c r="AK1094" t="n">
        <v>0</v>
      </c>
      <c r="AL1094" t="n">
        <v>0</v>
      </c>
      <c r="AM1094" t="n">
        <v>0</v>
      </c>
      <c r="AN1094" t="n">
        <v>0</v>
      </c>
      <c r="AO1094" t="n">
        <v>0</v>
      </c>
      <c r="AP1094" t="inlineStr">
        <is>
          <t>No</t>
        </is>
      </c>
      <c r="AQ1094" t="inlineStr">
        <is>
          <t>Yes</t>
        </is>
      </c>
      <c r="AR1094">
        <f>HYPERLINK("http://catalog.hathitrust.org/Record/002622550","HathiTrust Record")</f>
        <v/>
      </c>
      <c r="AS1094">
        <f>HYPERLINK("https://creighton-primo.hosted.exlibrisgroup.com/primo-explore/search?tab=default_tab&amp;search_scope=EVERYTHING&amp;vid=01CRU&amp;lang=en_US&amp;offset=0&amp;query=any,contains,991002126309702656","Catalog Record")</f>
        <v/>
      </c>
      <c r="AT1094">
        <f>HYPERLINK("http://www.worldcat.org/oclc/27232571","WorldCat Record")</f>
        <v/>
      </c>
      <c r="AU1094" t="inlineStr">
        <is>
          <t>476483133:eng</t>
        </is>
      </c>
      <c r="AV1094" t="inlineStr">
        <is>
          <t>27232571</t>
        </is>
      </c>
      <c r="AW1094" t="inlineStr">
        <is>
          <t>991002126309702656</t>
        </is>
      </c>
      <c r="AX1094" t="inlineStr">
        <is>
          <t>991002126309702656</t>
        </is>
      </c>
      <c r="AY1094" t="inlineStr">
        <is>
          <t>2259938030002656</t>
        </is>
      </c>
      <c r="AZ1094" t="inlineStr">
        <is>
          <t>BOOK</t>
        </is>
      </c>
      <c r="BC1094" t="inlineStr">
        <is>
          <t>32285001701597</t>
        </is>
      </c>
      <c r="BD1094" t="inlineStr">
        <is>
          <t>893626967</t>
        </is>
      </c>
    </row>
    <row r="1095">
      <c r="A1095" t="inlineStr">
        <is>
          <t>No</t>
        </is>
      </c>
      <c r="B1095" t="inlineStr">
        <is>
          <t>DS450.P18 G36 2001</t>
        </is>
      </c>
      <c r="C1095" t="inlineStr">
        <is>
          <t>0                      DS 0450000P  18                 G  36          2001</t>
        </is>
      </c>
      <c r="D1095" t="inlineStr">
        <is>
          <t>Conflict unending : India-Pakistan tensions since 1947 / Sumit Ganguly.</t>
        </is>
      </c>
      <c r="F1095" t="inlineStr">
        <is>
          <t>No</t>
        </is>
      </c>
      <c r="G1095" t="inlineStr">
        <is>
          <t>1</t>
        </is>
      </c>
      <c r="H1095" t="inlineStr">
        <is>
          <t>No</t>
        </is>
      </c>
      <c r="I1095" t="inlineStr">
        <is>
          <t>No</t>
        </is>
      </c>
      <c r="J1095" t="inlineStr">
        <is>
          <t>0</t>
        </is>
      </c>
      <c r="K1095" t="inlineStr">
        <is>
          <t>Ganguly, Sumit.</t>
        </is>
      </c>
      <c r="L1095" t="inlineStr">
        <is>
          <t>Washington, D.C. : Woodrow Wilson Center Press ; New York : Columbia University Press, c2001.</t>
        </is>
      </c>
      <c r="M1095" t="inlineStr">
        <is>
          <t>2001</t>
        </is>
      </c>
      <c r="O1095" t="inlineStr">
        <is>
          <t>eng</t>
        </is>
      </c>
      <c r="P1095" t="inlineStr">
        <is>
          <t>dcu</t>
        </is>
      </c>
      <c r="R1095" t="inlineStr">
        <is>
          <t xml:space="preserve">DS </t>
        </is>
      </c>
      <c r="S1095" t="n">
        <v>10</v>
      </c>
      <c r="T1095" t="n">
        <v>10</v>
      </c>
      <c r="U1095" t="inlineStr">
        <is>
          <t>2007-04-23</t>
        </is>
      </c>
      <c r="V1095" t="inlineStr">
        <is>
          <t>2007-04-23</t>
        </is>
      </c>
      <c r="W1095" t="inlineStr">
        <is>
          <t>2002-08-22</t>
        </is>
      </c>
      <c r="X1095" t="inlineStr">
        <is>
          <t>2002-08-22</t>
        </is>
      </c>
      <c r="Y1095" t="n">
        <v>290</v>
      </c>
      <c r="Z1095" t="n">
        <v>215</v>
      </c>
      <c r="AA1095" t="n">
        <v>591</v>
      </c>
      <c r="AB1095" t="n">
        <v>2</v>
      </c>
      <c r="AC1095" t="n">
        <v>4</v>
      </c>
      <c r="AD1095" t="n">
        <v>13</v>
      </c>
      <c r="AE1095" t="n">
        <v>28</v>
      </c>
      <c r="AF1095" t="n">
        <v>5</v>
      </c>
      <c r="AG1095" t="n">
        <v>12</v>
      </c>
      <c r="AH1095" t="n">
        <v>2</v>
      </c>
      <c r="AI1095" t="n">
        <v>7</v>
      </c>
      <c r="AJ1095" t="n">
        <v>6</v>
      </c>
      <c r="AK1095" t="n">
        <v>13</v>
      </c>
      <c r="AL1095" t="n">
        <v>1</v>
      </c>
      <c r="AM1095" t="n">
        <v>3</v>
      </c>
      <c r="AN1095" t="n">
        <v>0</v>
      </c>
      <c r="AO1095" t="n">
        <v>0</v>
      </c>
      <c r="AP1095" t="inlineStr">
        <is>
          <t>No</t>
        </is>
      </c>
      <c r="AQ1095" t="inlineStr">
        <is>
          <t>No</t>
        </is>
      </c>
      <c r="AS1095">
        <f>HYPERLINK("https://creighton-primo.hosted.exlibrisgroup.com/primo-explore/search?tab=default_tab&amp;search_scope=EVERYTHING&amp;vid=01CRU&amp;lang=en_US&amp;offset=0&amp;query=any,contains,991003849829702656","Catalog Record")</f>
        <v/>
      </c>
      <c r="AT1095">
        <f>HYPERLINK("http://www.worldcat.org/oclc/49276905","WorldCat Record")</f>
        <v/>
      </c>
      <c r="AU1095" t="inlineStr">
        <is>
          <t>837144993:eng</t>
        </is>
      </c>
      <c r="AV1095" t="inlineStr">
        <is>
          <t>49276905</t>
        </is>
      </c>
      <c r="AW1095" t="inlineStr">
        <is>
          <t>991003849829702656</t>
        </is>
      </c>
      <c r="AX1095" t="inlineStr">
        <is>
          <t>991003849829702656</t>
        </is>
      </c>
      <c r="AY1095" t="inlineStr">
        <is>
          <t>2255095370002656</t>
        </is>
      </c>
      <c r="AZ1095" t="inlineStr">
        <is>
          <t>BOOK</t>
        </is>
      </c>
      <c r="BB1095" t="inlineStr">
        <is>
          <t>9780231123686</t>
        </is>
      </c>
      <c r="BC1095" t="inlineStr">
        <is>
          <t>32285004644554</t>
        </is>
      </c>
      <c r="BD1095" t="inlineStr">
        <is>
          <t>893605280</t>
        </is>
      </c>
    </row>
    <row r="1096">
      <c r="A1096" t="inlineStr">
        <is>
          <t>No</t>
        </is>
      </c>
      <c r="B1096" t="inlineStr">
        <is>
          <t>DS450.P18 K89 2006</t>
        </is>
      </c>
      <c r="C1096" t="inlineStr">
        <is>
          <t>0                      DS 0450000P  18                 K  89          2006</t>
        </is>
      </c>
      <c r="D1096" t="inlineStr">
        <is>
          <t>India-Pakistan negotiations : is past still prologue? / Dennis Kux.</t>
        </is>
      </c>
      <c r="F1096" t="inlineStr">
        <is>
          <t>No</t>
        </is>
      </c>
      <c r="G1096" t="inlineStr">
        <is>
          <t>1</t>
        </is>
      </c>
      <c r="H1096" t="inlineStr">
        <is>
          <t>No</t>
        </is>
      </c>
      <c r="I1096" t="inlineStr">
        <is>
          <t>No</t>
        </is>
      </c>
      <c r="J1096" t="inlineStr">
        <is>
          <t>0</t>
        </is>
      </c>
      <c r="K1096" t="inlineStr">
        <is>
          <t>Kux, Dennis, 1931-</t>
        </is>
      </c>
      <c r="L1096" t="inlineStr">
        <is>
          <t>Washington, D.C. : United States Institute of Peace Press, 2006.</t>
        </is>
      </c>
      <c r="M1096" t="inlineStr">
        <is>
          <t>2006</t>
        </is>
      </c>
      <c r="N1096" t="inlineStr">
        <is>
          <t>1st ed.</t>
        </is>
      </c>
      <c r="O1096" t="inlineStr">
        <is>
          <t>eng</t>
        </is>
      </c>
      <c r="P1096" t="inlineStr">
        <is>
          <t>dcu</t>
        </is>
      </c>
      <c r="Q1096" t="inlineStr">
        <is>
          <t>Perspectives series</t>
        </is>
      </c>
      <c r="R1096" t="inlineStr">
        <is>
          <t xml:space="preserve">DS </t>
        </is>
      </c>
      <c r="S1096" t="n">
        <v>1</v>
      </c>
      <c r="T1096" t="n">
        <v>1</v>
      </c>
      <c r="U1096" t="inlineStr">
        <is>
          <t>2007-09-17</t>
        </is>
      </c>
      <c r="V1096" t="inlineStr">
        <is>
          <t>2007-09-17</t>
        </is>
      </c>
      <c r="W1096" t="inlineStr">
        <is>
          <t>2007-09-17</t>
        </is>
      </c>
      <c r="X1096" t="inlineStr">
        <is>
          <t>2007-09-17</t>
        </is>
      </c>
      <c r="Y1096" t="n">
        <v>129</v>
      </c>
      <c r="Z1096" t="n">
        <v>98</v>
      </c>
      <c r="AA1096" t="n">
        <v>98</v>
      </c>
      <c r="AB1096" t="n">
        <v>1</v>
      </c>
      <c r="AC1096" t="n">
        <v>1</v>
      </c>
      <c r="AD1096" t="n">
        <v>5</v>
      </c>
      <c r="AE1096" t="n">
        <v>5</v>
      </c>
      <c r="AF1096" t="n">
        <v>1</v>
      </c>
      <c r="AG1096" t="n">
        <v>1</v>
      </c>
      <c r="AH1096" t="n">
        <v>3</v>
      </c>
      <c r="AI1096" t="n">
        <v>3</v>
      </c>
      <c r="AJ1096" t="n">
        <v>2</v>
      </c>
      <c r="AK1096" t="n">
        <v>2</v>
      </c>
      <c r="AL1096" t="n">
        <v>0</v>
      </c>
      <c r="AM1096" t="n">
        <v>0</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HYPERLINK("https://creighton-primo.hosted.exlibrisgroup.com/primo-explore/search?tab=default_tab&amp;search_scope=EVERYTHING&amp;vid=01CRU&amp;lang=en_US&amp;offset=0&amp;query=any,contains,991005112709702656","Catalog Record")</f>
        <v/>
      </c>
      <c r="AT1096">
        <f>HYPERLINK("http://www.worldcat.org/oclc/62897597","WorldCat Record")</f>
        <v/>
      </c>
      <c r="AU1096" t="inlineStr">
        <is>
          <t>368220302:eng</t>
        </is>
      </c>
      <c r="AV1096" t="inlineStr">
        <is>
          <t>62897597</t>
        </is>
      </c>
      <c r="AW1096" t="inlineStr">
        <is>
          <t>991005112709702656</t>
        </is>
      </c>
      <c r="AX1096" t="inlineStr">
        <is>
          <t>991005112709702656</t>
        </is>
      </c>
      <c r="AY1096" t="inlineStr">
        <is>
          <t>2268209670002656</t>
        </is>
      </c>
      <c r="AZ1096" t="inlineStr">
        <is>
          <t>BOOK</t>
        </is>
      </c>
      <c r="BB1096" t="inlineStr">
        <is>
          <t>9781929223879</t>
        </is>
      </c>
      <c r="BC1096" t="inlineStr">
        <is>
          <t>32285005325401</t>
        </is>
      </c>
      <c r="BD1096" t="inlineStr">
        <is>
          <t>893876959</t>
        </is>
      </c>
    </row>
    <row r="1097">
      <c r="A1097" t="inlineStr">
        <is>
          <t>No</t>
        </is>
      </c>
      <c r="B1097" t="inlineStr">
        <is>
          <t>DS450.P18 S28 2005</t>
        </is>
      </c>
      <c r="C1097" t="inlineStr">
        <is>
          <t>0                      DS 0450000P  18                 S  28          2005</t>
        </is>
      </c>
      <c r="D1097" t="inlineStr">
        <is>
          <t>Uneasy neighbors : India, Pakistan, and US foreign policy / Kanishkan Sathasivam.</t>
        </is>
      </c>
      <c r="F1097" t="inlineStr">
        <is>
          <t>No</t>
        </is>
      </c>
      <c r="G1097" t="inlineStr">
        <is>
          <t>1</t>
        </is>
      </c>
      <c r="H1097" t="inlineStr">
        <is>
          <t>No</t>
        </is>
      </c>
      <c r="I1097" t="inlineStr">
        <is>
          <t>No</t>
        </is>
      </c>
      <c r="J1097" t="inlineStr">
        <is>
          <t>0</t>
        </is>
      </c>
      <c r="K1097" t="inlineStr">
        <is>
          <t>Sathasivam, Kanishkan.</t>
        </is>
      </c>
      <c r="L1097" t="inlineStr">
        <is>
          <t>Aldershot, England ; Burlington, VT : Ashgate, c2005.</t>
        </is>
      </c>
      <c r="M1097" t="inlineStr">
        <is>
          <t>2005</t>
        </is>
      </c>
      <c r="O1097" t="inlineStr">
        <is>
          <t>eng</t>
        </is>
      </c>
      <c r="P1097" t="inlineStr">
        <is>
          <t>enk</t>
        </is>
      </c>
      <c r="Q1097" t="inlineStr">
        <is>
          <t>US foreign policy and conflict in the Islamic world</t>
        </is>
      </c>
      <c r="R1097" t="inlineStr">
        <is>
          <t xml:space="preserve">DS </t>
        </is>
      </c>
      <c r="S1097" t="n">
        <v>1</v>
      </c>
      <c r="T1097" t="n">
        <v>1</v>
      </c>
      <c r="U1097" t="inlineStr">
        <is>
          <t>2009-01-02</t>
        </is>
      </c>
      <c r="V1097" t="inlineStr">
        <is>
          <t>2009-01-02</t>
        </is>
      </c>
      <c r="W1097" t="inlineStr">
        <is>
          <t>2009-01-02</t>
        </is>
      </c>
      <c r="X1097" t="inlineStr">
        <is>
          <t>2009-01-02</t>
        </is>
      </c>
      <c r="Y1097" t="n">
        <v>207</v>
      </c>
      <c r="Z1097" t="n">
        <v>148</v>
      </c>
      <c r="AA1097" t="n">
        <v>170</v>
      </c>
      <c r="AB1097" t="n">
        <v>1</v>
      </c>
      <c r="AC1097" t="n">
        <v>1</v>
      </c>
      <c r="AD1097" t="n">
        <v>9</v>
      </c>
      <c r="AE1097" t="n">
        <v>9</v>
      </c>
      <c r="AF1097" t="n">
        <v>3</v>
      </c>
      <c r="AG1097" t="n">
        <v>3</v>
      </c>
      <c r="AH1097" t="n">
        <v>4</v>
      </c>
      <c r="AI1097" t="n">
        <v>4</v>
      </c>
      <c r="AJ1097" t="n">
        <v>4</v>
      </c>
      <c r="AK1097" t="n">
        <v>4</v>
      </c>
      <c r="AL1097" t="n">
        <v>0</v>
      </c>
      <c r="AM1097" t="n">
        <v>0</v>
      </c>
      <c r="AN1097" t="n">
        <v>0</v>
      </c>
      <c r="AO1097" t="n">
        <v>0</v>
      </c>
      <c r="AP1097" t="inlineStr">
        <is>
          <t>No</t>
        </is>
      </c>
      <c r="AQ1097" t="inlineStr">
        <is>
          <t>Yes</t>
        </is>
      </c>
      <c r="AR1097">
        <f>HYPERLINK("http://catalog.hathitrust.org/Record/005059000","HathiTrust Record")</f>
        <v/>
      </c>
      <c r="AS1097">
        <f>HYPERLINK("https://creighton-primo.hosted.exlibrisgroup.com/primo-explore/search?tab=default_tab&amp;search_scope=EVERYTHING&amp;vid=01CRU&amp;lang=en_US&amp;offset=0&amp;query=any,contains,991005285439702656","Catalog Record")</f>
        <v/>
      </c>
      <c r="AT1097">
        <f>HYPERLINK("http://www.worldcat.org/oclc/57414548","WorldCat Record")</f>
        <v/>
      </c>
      <c r="AU1097" t="inlineStr">
        <is>
          <t>945605:eng</t>
        </is>
      </c>
      <c r="AV1097" t="inlineStr">
        <is>
          <t>57414548</t>
        </is>
      </c>
      <c r="AW1097" t="inlineStr">
        <is>
          <t>991005285439702656</t>
        </is>
      </c>
      <c r="AX1097" t="inlineStr">
        <is>
          <t>991005285439702656</t>
        </is>
      </c>
      <c r="AY1097" t="inlineStr">
        <is>
          <t>2270341810002656</t>
        </is>
      </c>
      <c r="AZ1097" t="inlineStr">
        <is>
          <t>BOOK</t>
        </is>
      </c>
      <c r="BB1097" t="inlineStr">
        <is>
          <t>9780754637622</t>
        </is>
      </c>
      <c r="BC1097" t="inlineStr">
        <is>
          <t>32285005475156</t>
        </is>
      </c>
      <c r="BD1097" t="inlineStr">
        <is>
          <t>893533498</t>
        </is>
      </c>
    </row>
    <row r="1098">
      <c r="A1098" t="inlineStr">
        <is>
          <t>No</t>
        </is>
      </c>
      <c r="B1098" t="inlineStr">
        <is>
          <t>DS450.T5 N67 v...</t>
        </is>
      </c>
      <c r="C1098" t="inlineStr">
        <is>
          <t>0                      DS 0450000T  5                  N  67                                v...</t>
        </is>
      </c>
      <c r="D1098" t="inlineStr">
        <is>
          <t>The North-eastern frontier : a documentary study of the internecine rivalry between India, Tibet, and China / Parshotam Mehra.</t>
        </is>
      </c>
      <c r="E1098" t="inlineStr">
        <is>
          <t>V. 2</t>
        </is>
      </c>
      <c r="F1098" t="inlineStr">
        <is>
          <t>No</t>
        </is>
      </c>
      <c r="G1098" t="inlineStr">
        <is>
          <t>1</t>
        </is>
      </c>
      <c r="H1098" t="inlineStr">
        <is>
          <t>No</t>
        </is>
      </c>
      <c r="I1098" t="inlineStr">
        <is>
          <t>No</t>
        </is>
      </c>
      <c r="J1098" t="inlineStr">
        <is>
          <t>0</t>
        </is>
      </c>
      <c r="L1098" t="inlineStr">
        <is>
          <t>Delhi : Oxford University Press, 1979-</t>
        </is>
      </c>
      <c r="M1098" t="inlineStr">
        <is>
          <t>1979</t>
        </is>
      </c>
      <c r="O1098" t="inlineStr">
        <is>
          <t>eng</t>
        </is>
      </c>
      <c r="P1098" t="inlineStr">
        <is>
          <t xml:space="preserve">ii </t>
        </is>
      </c>
      <c r="R1098" t="inlineStr">
        <is>
          <t xml:space="preserve">DS </t>
        </is>
      </c>
      <c r="S1098" t="n">
        <v>1</v>
      </c>
      <c r="T1098" t="n">
        <v>1</v>
      </c>
      <c r="U1098" t="inlineStr">
        <is>
          <t>2008-04-28</t>
        </is>
      </c>
      <c r="V1098" t="inlineStr">
        <is>
          <t>2008-04-28</t>
        </is>
      </c>
      <c r="W1098" t="inlineStr">
        <is>
          <t>1990-10-08</t>
        </is>
      </c>
      <c r="X1098" t="inlineStr">
        <is>
          <t>1990-10-08</t>
        </is>
      </c>
      <c r="Y1098" t="n">
        <v>204</v>
      </c>
      <c r="Z1098" t="n">
        <v>146</v>
      </c>
      <c r="AA1098" t="n">
        <v>149</v>
      </c>
      <c r="AB1098" t="n">
        <v>2</v>
      </c>
      <c r="AC1098" t="n">
        <v>2</v>
      </c>
      <c r="AD1098" t="n">
        <v>4</v>
      </c>
      <c r="AE1098" t="n">
        <v>4</v>
      </c>
      <c r="AF1098" t="n">
        <v>0</v>
      </c>
      <c r="AG1098" t="n">
        <v>0</v>
      </c>
      <c r="AH1098" t="n">
        <v>2</v>
      </c>
      <c r="AI1098" t="n">
        <v>2</v>
      </c>
      <c r="AJ1098" t="n">
        <v>2</v>
      </c>
      <c r="AK1098" t="n">
        <v>2</v>
      </c>
      <c r="AL1098" t="n">
        <v>1</v>
      </c>
      <c r="AM1098" t="n">
        <v>1</v>
      </c>
      <c r="AN1098" t="n">
        <v>0</v>
      </c>
      <c r="AO1098" t="n">
        <v>0</v>
      </c>
      <c r="AP1098" t="inlineStr">
        <is>
          <t>No</t>
        </is>
      </c>
      <c r="AQ1098" t="inlineStr">
        <is>
          <t>Yes</t>
        </is>
      </c>
      <c r="AR1098">
        <f>HYPERLINK("http://catalog.hathitrust.org/Record/000742877","HathiTrust Record")</f>
        <v/>
      </c>
      <c r="AS1098">
        <f>HYPERLINK("https://creighton-primo.hosted.exlibrisgroup.com/primo-explore/search?tab=default_tab&amp;search_scope=EVERYTHING&amp;vid=01CRU&amp;lang=en_US&amp;offset=0&amp;query=any,contains,991004918159702656","Catalog Record")</f>
        <v/>
      </c>
      <c r="AT1098">
        <f>HYPERLINK("http://www.worldcat.org/oclc/6029842","WorldCat Record")</f>
        <v/>
      </c>
      <c r="AU1098" t="inlineStr">
        <is>
          <t>5342811660:eng</t>
        </is>
      </c>
      <c r="AV1098" t="inlineStr">
        <is>
          <t>6029842</t>
        </is>
      </c>
      <c r="AW1098" t="inlineStr">
        <is>
          <t>991004918159702656</t>
        </is>
      </c>
      <c r="AX1098" t="inlineStr">
        <is>
          <t>991004918159702656</t>
        </is>
      </c>
      <c r="AY1098" t="inlineStr">
        <is>
          <t>2270304860002656</t>
        </is>
      </c>
      <c r="AZ1098" t="inlineStr">
        <is>
          <t>BOOK</t>
        </is>
      </c>
      <c r="BC1098" t="inlineStr">
        <is>
          <t>32285000336403</t>
        </is>
      </c>
      <c r="BD1098" t="inlineStr">
        <is>
          <t>893350502</t>
        </is>
      </c>
    </row>
    <row r="1099">
      <c r="A1099" t="inlineStr">
        <is>
          <t>No</t>
        </is>
      </c>
      <c r="B1099" t="inlineStr">
        <is>
          <t>DS451 .P46 1962</t>
        </is>
      </c>
      <c r="C1099" t="inlineStr">
        <is>
          <t>0                      DS 0451000P  46          1962</t>
        </is>
      </c>
      <c r="D1099" t="inlineStr">
        <is>
          <t>Prehistoric India to 1000 B.C.</t>
        </is>
      </c>
      <c r="F1099" t="inlineStr">
        <is>
          <t>No</t>
        </is>
      </c>
      <c r="G1099" t="inlineStr">
        <is>
          <t>1</t>
        </is>
      </c>
      <c r="H1099" t="inlineStr">
        <is>
          <t>No</t>
        </is>
      </c>
      <c r="I1099" t="inlineStr">
        <is>
          <t>No</t>
        </is>
      </c>
      <c r="J1099" t="inlineStr">
        <is>
          <t>0</t>
        </is>
      </c>
      <c r="K1099" t="inlineStr">
        <is>
          <t>Piggott, Stuart.</t>
        </is>
      </c>
      <c r="L1099" t="inlineStr">
        <is>
          <t>London : Cassel, [1962]</t>
        </is>
      </c>
      <c r="M1099" t="inlineStr">
        <is>
          <t>1962</t>
        </is>
      </c>
      <c r="O1099" t="inlineStr">
        <is>
          <t>eng</t>
        </is>
      </c>
      <c r="P1099" t="inlineStr">
        <is>
          <t>enk</t>
        </is>
      </c>
      <c r="Q1099" t="inlineStr">
        <is>
          <t>The Belle sauvage library</t>
        </is>
      </c>
      <c r="R1099" t="inlineStr">
        <is>
          <t xml:space="preserve">DS </t>
        </is>
      </c>
      <c r="S1099" t="n">
        <v>5</v>
      </c>
      <c r="T1099" t="n">
        <v>5</v>
      </c>
      <c r="U1099" t="inlineStr">
        <is>
          <t>2009-09-04</t>
        </is>
      </c>
      <c r="V1099" t="inlineStr">
        <is>
          <t>2009-09-04</t>
        </is>
      </c>
      <c r="W1099" t="inlineStr">
        <is>
          <t>1994-02-03</t>
        </is>
      </c>
      <c r="X1099" t="inlineStr">
        <is>
          <t>1994-02-03</t>
        </is>
      </c>
      <c r="Y1099" t="n">
        <v>418</v>
      </c>
      <c r="Z1099" t="n">
        <v>350</v>
      </c>
      <c r="AA1099" t="n">
        <v>728</v>
      </c>
      <c r="AB1099" t="n">
        <v>1</v>
      </c>
      <c r="AC1099" t="n">
        <v>2</v>
      </c>
      <c r="AD1099" t="n">
        <v>12</v>
      </c>
      <c r="AE1099" t="n">
        <v>26</v>
      </c>
      <c r="AF1099" t="n">
        <v>6</v>
      </c>
      <c r="AG1099" t="n">
        <v>12</v>
      </c>
      <c r="AH1099" t="n">
        <v>2</v>
      </c>
      <c r="AI1099" t="n">
        <v>6</v>
      </c>
      <c r="AJ1099" t="n">
        <v>6</v>
      </c>
      <c r="AK1099" t="n">
        <v>13</v>
      </c>
      <c r="AL1099" t="n">
        <v>0</v>
      </c>
      <c r="AM1099" t="n">
        <v>1</v>
      </c>
      <c r="AN1099" t="n">
        <v>0</v>
      </c>
      <c r="AO1099" t="n">
        <v>0</v>
      </c>
      <c r="AP1099" t="inlineStr">
        <is>
          <t>No</t>
        </is>
      </c>
      <c r="AQ1099" t="inlineStr">
        <is>
          <t>Yes</t>
        </is>
      </c>
      <c r="AR1099">
        <f>HYPERLINK("http://catalog.hathitrust.org/Record/001867847","HathiTrust Record")</f>
        <v/>
      </c>
      <c r="AS1099">
        <f>HYPERLINK("https://creighton-primo.hosted.exlibrisgroup.com/primo-explore/search?tab=default_tab&amp;search_scope=EVERYTHING&amp;vid=01CRU&amp;lang=en_US&amp;offset=0&amp;query=any,contains,991000913039702656","Catalog Record")</f>
        <v/>
      </c>
      <c r="AT1099">
        <f>HYPERLINK("http://www.worldcat.org/oclc/409395","WorldCat Record")</f>
        <v/>
      </c>
      <c r="AU1099" t="inlineStr">
        <is>
          <t>1447044:eng</t>
        </is>
      </c>
      <c r="AV1099" t="inlineStr">
        <is>
          <t>409395</t>
        </is>
      </c>
      <c r="AW1099" t="inlineStr">
        <is>
          <t>991000913039702656</t>
        </is>
      </c>
      <c r="AX1099" t="inlineStr">
        <is>
          <t>991000913039702656</t>
        </is>
      </c>
      <c r="AY1099" t="inlineStr">
        <is>
          <t>2267228690002656</t>
        </is>
      </c>
      <c r="AZ1099" t="inlineStr">
        <is>
          <t>BOOK</t>
        </is>
      </c>
      <c r="BC1099" t="inlineStr">
        <is>
          <t>32285001837037</t>
        </is>
      </c>
      <c r="BD1099" t="inlineStr">
        <is>
          <t>893614607</t>
        </is>
      </c>
    </row>
    <row r="1100">
      <c r="A1100" t="inlineStr">
        <is>
          <t>No</t>
        </is>
      </c>
      <c r="B1100" t="inlineStr">
        <is>
          <t>DS451 .R2 1974</t>
        </is>
      </c>
      <c r="C1100" t="inlineStr">
        <is>
          <t>0                      DS 0451000R  2           1974</t>
        </is>
      </c>
      <c r="D1100" t="inlineStr">
        <is>
          <t>Ancient India from the earliest times to the first century A.D. / by E. J. Rapson.</t>
        </is>
      </c>
      <c r="F1100" t="inlineStr">
        <is>
          <t>No</t>
        </is>
      </c>
      <c r="G1100" t="inlineStr">
        <is>
          <t>1</t>
        </is>
      </c>
      <c r="H1100" t="inlineStr">
        <is>
          <t>No</t>
        </is>
      </c>
      <c r="I1100" t="inlineStr">
        <is>
          <t>No</t>
        </is>
      </c>
      <c r="J1100" t="inlineStr">
        <is>
          <t>0</t>
        </is>
      </c>
      <c r="K1100" t="inlineStr">
        <is>
          <t>Rapson, E. J. (Edward James), 1861-1937.</t>
        </is>
      </c>
      <c r="L1100" t="inlineStr">
        <is>
          <t>Chicago : Ares Publishers, 1974.</t>
        </is>
      </c>
      <c r="M1100" t="inlineStr">
        <is>
          <t>1974</t>
        </is>
      </c>
      <c r="O1100" t="inlineStr">
        <is>
          <t>eng</t>
        </is>
      </c>
      <c r="P1100" t="inlineStr">
        <is>
          <t>ilu</t>
        </is>
      </c>
      <c r="R1100" t="inlineStr">
        <is>
          <t xml:space="preserve">DS </t>
        </is>
      </c>
      <c r="S1100" t="n">
        <v>17</v>
      </c>
      <c r="T1100" t="n">
        <v>17</v>
      </c>
      <c r="U1100" t="inlineStr">
        <is>
          <t>2009-09-04</t>
        </is>
      </c>
      <c r="V1100" t="inlineStr">
        <is>
          <t>2009-09-04</t>
        </is>
      </c>
      <c r="W1100" t="inlineStr">
        <is>
          <t>1990-10-08</t>
        </is>
      </c>
      <c r="X1100" t="inlineStr">
        <is>
          <t>1990-10-08</t>
        </is>
      </c>
      <c r="Y1100" t="n">
        <v>109</v>
      </c>
      <c r="Z1100" t="n">
        <v>90</v>
      </c>
      <c r="AA1100" t="n">
        <v>237</v>
      </c>
      <c r="AB1100" t="n">
        <v>2</v>
      </c>
      <c r="AC1100" t="n">
        <v>4</v>
      </c>
      <c r="AD1100" t="n">
        <v>4</v>
      </c>
      <c r="AE1100" t="n">
        <v>9</v>
      </c>
      <c r="AF1100" t="n">
        <v>1</v>
      </c>
      <c r="AG1100" t="n">
        <v>1</v>
      </c>
      <c r="AH1100" t="n">
        <v>1</v>
      </c>
      <c r="AI1100" t="n">
        <v>4</v>
      </c>
      <c r="AJ1100" t="n">
        <v>1</v>
      </c>
      <c r="AK1100" t="n">
        <v>2</v>
      </c>
      <c r="AL1100" t="n">
        <v>1</v>
      </c>
      <c r="AM1100" t="n">
        <v>3</v>
      </c>
      <c r="AN1100" t="n">
        <v>0</v>
      </c>
      <c r="AO1100" t="n">
        <v>0</v>
      </c>
      <c r="AP1100" t="inlineStr">
        <is>
          <t>No</t>
        </is>
      </c>
      <c r="AQ1100" t="inlineStr">
        <is>
          <t>Yes</t>
        </is>
      </c>
      <c r="AR1100">
        <f>HYPERLINK("http://catalog.hathitrust.org/Record/007134379","HathiTrust Record")</f>
        <v/>
      </c>
      <c r="AS1100">
        <f>HYPERLINK("https://creighton-primo.hosted.exlibrisgroup.com/primo-explore/search?tab=default_tab&amp;search_scope=EVERYTHING&amp;vid=01CRU&amp;lang=en_US&amp;offset=0&amp;query=any,contains,991003635079702656","Catalog Record")</f>
        <v/>
      </c>
      <c r="AT1100">
        <f>HYPERLINK("http://www.worldcat.org/oclc/1229606","WorldCat Record")</f>
        <v/>
      </c>
      <c r="AU1100" t="inlineStr">
        <is>
          <t>1459217:eng</t>
        </is>
      </c>
      <c r="AV1100" t="inlineStr">
        <is>
          <t>1229606</t>
        </is>
      </c>
      <c r="AW1100" t="inlineStr">
        <is>
          <t>991003635079702656</t>
        </is>
      </c>
      <c r="AX1100" t="inlineStr">
        <is>
          <t>991003635079702656</t>
        </is>
      </c>
      <c r="AY1100" t="inlineStr">
        <is>
          <t>2265214910002656</t>
        </is>
      </c>
      <c r="AZ1100" t="inlineStr">
        <is>
          <t>BOOK</t>
        </is>
      </c>
      <c r="BB1100" t="inlineStr">
        <is>
          <t>9780890050293</t>
        </is>
      </c>
      <c r="BC1100" t="inlineStr">
        <is>
          <t>32285000336411</t>
        </is>
      </c>
      <c r="BD1100" t="inlineStr">
        <is>
          <t>893410486</t>
        </is>
      </c>
    </row>
    <row r="1101">
      <c r="A1101" t="inlineStr">
        <is>
          <t>No</t>
        </is>
      </c>
      <c r="B1101" t="inlineStr">
        <is>
          <t>DS451 .T3 1951</t>
        </is>
      </c>
      <c r="C1101" t="inlineStr">
        <is>
          <t>0                      DS 0451000T  3           1951</t>
        </is>
      </c>
      <c r="D1101" t="inlineStr">
        <is>
          <t>The Greeks in Bactria &amp; India.</t>
        </is>
      </c>
      <c r="F1101" t="inlineStr">
        <is>
          <t>No</t>
        </is>
      </c>
      <c r="G1101" t="inlineStr">
        <is>
          <t>1</t>
        </is>
      </c>
      <c r="H1101" t="inlineStr">
        <is>
          <t>No</t>
        </is>
      </c>
      <c r="I1101" t="inlineStr">
        <is>
          <t>No</t>
        </is>
      </c>
      <c r="J1101" t="inlineStr">
        <is>
          <t>0</t>
        </is>
      </c>
      <c r="K1101" t="inlineStr">
        <is>
          <t>Tarn, W. W. (William Woodthorpe), 1869-1957.</t>
        </is>
      </c>
      <c r="L1101" t="inlineStr">
        <is>
          <t>Cambridge, [Eng.] : University Press, c1951, 1966 printing.</t>
        </is>
      </c>
      <c r="M1101" t="inlineStr">
        <is>
          <t>1951</t>
        </is>
      </c>
      <c r="N1101" t="inlineStr">
        <is>
          <t>[2d ed.]</t>
        </is>
      </c>
      <c r="O1101" t="inlineStr">
        <is>
          <t>eng</t>
        </is>
      </c>
      <c r="P1101" t="inlineStr">
        <is>
          <t>enk</t>
        </is>
      </c>
      <c r="R1101" t="inlineStr">
        <is>
          <t xml:space="preserve">DS </t>
        </is>
      </c>
      <c r="S1101" t="n">
        <v>5</v>
      </c>
      <c r="T1101" t="n">
        <v>5</v>
      </c>
      <c r="U1101" t="inlineStr">
        <is>
          <t>2007-06-19</t>
        </is>
      </c>
      <c r="V1101" t="inlineStr">
        <is>
          <t>2007-06-19</t>
        </is>
      </c>
      <c r="W1101" t="inlineStr">
        <is>
          <t>1993-06-08</t>
        </is>
      </c>
      <c r="X1101" t="inlineStr">
        <is>
          <t>1993-06-08</t>
        </is>
      </c>
      <c r="Y1101" t="n">
        <v>505</v>
      </c>
      <c r="Z1101" t="n">
        <v>412</v>
      </c>
      <c r="AA1101" t="n">
        <v>636</v>
      </c>
      <c r="AB1101" t="n">
        <v>4</v>
      </c>
      <c r="AC1101" t="n">
        <v>4</v>
      </c>
      <c r="AD1101" t="n">
        <v>21</v>
      </c>
      <c r="AE1101" t="n">
        <v>29</v>
      </c>
      <c r="AF1101" t="n">
        <v>9</v>
      </c>
      <c r="AG1101" t="n">
        <v>15</v>
      </c>
      <c r="AH1101" t="n">
        <v>5</v>
      </c>
      <c r="AI1101" t="n">
        <v>6</v>
      </c>
      <c r="AJ1101" t="n">
        <v>11</v>
      </c>
      <c r="AK1101" t="n">
        <v>16</v>
      </c>
      <c r="AL1101" t="n">
        <v>3</v>
      </c>
      <c r="AM1101" t="n">
        <v>3</v>
      </c>
      <c r="AN1101" t="n">
        <v>0</v>
      </c>
      <c r="AO1101" t="n">
        <v>0</v>
      </c>
      <c r="AP1101" t="inlineStr">
        <is>
          <t>No</t>
        </is>
      </c>
      <c r="AQ1101" t="inlineStr">
        <is>
          <t>Yes</t>
        </is>
      </c>
      <c r="AR1101">
        <f>HYPERLINK("http://catalog.hathitrust.org/Record/000611529","HathiTrust Record")</f>
        <v/>
      </c>
      <c r="AS1101">
        <f>HYPERLINK("https://creighton-primo.hosted.exlibrisgroup.com/primo-explore/search?tab=default_tab&amp;search_scope=EVERYTHING&amp;vid=01CRU&amp;lang=en_US&amp;offset=0&amp;query=any,contains,991002717609702656","Catalog Record")</f>
        <v/>
      </c>
      <c r="AT1101">
        <f>HYPERLINK("http://www.worldcat.org/oclc/411708","WorldCat Record")</f>
        <v/>
      </c>
      <c r="AU1101" t="inlineStr">
        <is>
          <t>1459195:eng</t>
        </is>
      </c>
      <c r="AV1101" t="inlineStr">
        <is>
          <t>411708</t>
        </is>
      </c>
      <c r="AW1101" t="inlineStr">
        <is>
          <t>991002717609702656</t>
        </is>
      </c>
      <c r="AX1101" t="inlineStr">
        <is>
          <t>991002717609702656</t>
        </is>
      </c>
      <c r="AY1101" t="inlineStr">
        <is>
          <t>2264723000002656</t>
        </is>
      </c>
      <c r="AZ1101" t="inlineStr">
        <is>
          <t>BOOK</t>
        </is>
      </c>
      <c r="BC1101" t="inlineStr">
        <is>
          <t>32285001719730</t>
        </is>
      </c>
      <c r="BD1101" t="inlineStr">
        <is>
          <t>893610193</t>
        </is>
      </c>
    </row>
    <row r="1102">
      <c r="A1102" t="inlineStr">
        <is>
          <t>No</t>
        </is>
      </c>
      <c r="B1102" t="inlineStr">
        <is>
          <t>DS452 .A7</t>
        </is>
      </c>
      <c r="C1102" t="inlineStr">
        <is>
          <t>0                      DS 0452000A  7</t>
        </is>
      </c>
      <c r="D1102" t="inlineStr">
        <is>
          <t>An advanced history of Muslim rule in Indo-Pakistan / by Md. Arshad.</t>
        </is>
      </c>
      <c r="F1102" t="inlineStr">
        <is>
          <t>No</t>
        </is>
      </c>
      <c r="G1102" t="inlineStr">
        <is>
          <t>1</t>
        </is>
      </c>
      <c r="H1102" t="inlineStr">
        <is>
          <t>No</t>
        </is>
      </c>
      <c r="I1102" t="inlineStr">
        <is>
          <t>No</t>
        </is>
      </c>
      <c r="J1102" t="inlineStr">
        <is>
          <t>0</t>
        </is>
      </c>
      <c r="K1102" t="inlineStr">
        <is>
          <t>Ashraf, M. Arshad.</t>
        </is>
      </c>
      <c r="L1102" t="inlineStr">
        <is>
          <t>Dacca : Ideal Publications, [1967]</t>
        </is>
      </c>
      <c r="M1102" t="inlineStr">
        <is>
          <t>1967</t>
        </is>
      </c>
      <c r="N1102" t="inlineStr">
        <is>
          <t>[1st ed.]</t>
        </is>
      </c>
      <c r="O1102" t="inlineStr">
        <is>
          <t>eng</t>
        </is>
      </c>
      <c r="P1102" t="inlineStr">
        <is>
          <t xml:space="preserve">pk </t>
        </is>
      </c>
      <c r="R1102" t="inlineStr">
        <is>
          <t xml:space="preserve">DS </t>
        </is>
      </c>
      <c r="S1102" t="n">
        <v>8</v>
      </c>
      <c r="T1102" t="n">
        <v>8</v>
      </c>
      <c r="U1102" t="inlineStr">
        <is>
          <t>1999-10-04</t>
        </is>
      </c>
      <c r="V1102" t="inlineStr">
        <is>
          <t>1999-10-04</t>
        </is>
      </c>
      <c r="W1102" t="inlineStr">
        <is>
          <t>1992-03-09</t>
        </is>
      </c>
      <c r="X1102" t="inlineStr">
        <is>
          <t>1992-03-09</t>
        </is>
      </c>
      <c r="Y1102" t="n">
        <v>264</v>
      </c>
      <c r="Z1102" t="n">
        <v>262</v>
      </c>
      <c r="AA1102" t="n">
        <v>267</v>
      </c>
      <c r="AB1102" t="n">
        <v>3</v>
      </c>
      <c r="AC1102" t="n">
        <v>3</v>
      </c>
      <c r="AD1102" t="n">
        <v>16</v>
      </c>
      <c r="AE1102" t="n">
        <v>16</v>
      </c>
      <c r="AF1102" t="n">
        <v>3</v>
      </c>
      <c r="AG1102" t="n">
        <v>3</v>
      </c>
      <c r="AH1102" t="n">
        <v>5</v>
      </c>
      <c r="AI1102" t="n">
        <v>5</v>
      </c>
      <c r="AJ1102" t="n">
        <v>10</v>
      </c>
      <c r="AK1102" t="n">
        <v>10</v>
      </c>
      <c r="AL1102" t="n">
        <v>2</v>
      </c>
      <c r="AM1102" t="n">
        <v>2</v>
      </c>
      <c r="AN1102" t="n">
        <v>0</v>
      </c>
      <c r="AO1102" t="n">
        <v>0</v>
      </c>
      <c r="AP1102" t="inlineStr">
        <is>
          <t>No</t>
        </is>
      </c>
      <c r="AQ1102" t="inlineStr">
        <is>
          <t>Yes</t>
        </is>
      </c>
      <c r="AR1102">
        <f>HYPERLINK("http://catalog.hathitrust.org/Record/001251150","HathiTrust Record")</f>
        <v/>
      </c>
      <c r="AS1102">
        <f>HYPERLINK("https://creighton-primo.hosted.exlibrisgroup.com/primo-explore/search?tab=default_tab&amp;search_scope=EVERYTHING&amp;vid=01CRU&amp;lang=en_US&amp;offset=0&amp;query=any,contains,991003392229702656","Catalog Record")</f>
        <v/>
      </c>
      <c r="AT1102">
        <f>HYPERLINK("http://www.worldcat.org/oclc/930576","WorldCat Record")</f>
        <v/>
      </c>
      <c r="AU1102" t="inlineStr">
        <is>
          <t>308806821:eng</t>
        </is>
      </c>
      <c r="AV1102" t="inlineStr">
        <is>
          <t>930576</t>
        </is>
      </c>
      <c r="AW1102" t="inlineStr">
        <is>
          <t>991003392229702656</t>
        </is>
      </c>
      <c r="AX1102" t="inlineStr">
        <is>
          <t>991003392229702656</t>
        </is>
      </c>
      <c r="AY1102" t="inlineStr">
        <is>
          <t>2269480090002656</t>
        </is>
      </c>
      <c r="AZ1102" t="inlineStr">
        <is>
          <t>BOOK</t>
        </is>
      </c>
      <c r="BC1102" t="inlineStr">
        <is>
          <t>32285000993104</t>
        </is>
      </c>
      <c r="BD1102" t="inlineStr">
        <is>
          <t>893604756</t>
        </is>
      </c>
    </row>
    <row r="1103">
      <c r="A1103" t="inlineStr">
        <is>
          <t>No</t>
        </is>
      </c>
      <c r="B1103" t="inlineStr">
        <is>
          <t>DS452 .A84 2006</t>
        </is>
      </c>
      <c r="C1103" t="inlineStr">
        <is>
          <t>0                      DS 0452000A  84          2006</t>
        </is>
      </c>
      <c r="D1103" t="inlineStr">
        <is>
          <t>India before Europe / Catherine B. Asher and Cynthia Talbot.</t>
        </is>
      </c>
      <c r="F1103" t="inlineStr">
        <is>
          <t>No</t>
        </is>
      </c>
      <c r="G1103" t="inlineStr">
        <is>
          <t>1</t>
        </is>
      </c>
      <c r="H1103" t="inlineStr">
        <is>
          <t>No</t>
        </is>
      </c>
      <c r="I1103" t="inlineStr">
        <is>
          <t>No</t>
        </is>
      </c>
      <c r="J1103" t="inlineStr">
        <is>
          <t>0</t>
        </is>
      </c>
      <c r="K1103" t="inlineStr">
        <is>
          <t>Asher, Catherine B. (Catherine Blanshard), 1946-</t>
        </is>
      </c>
      <c r="L1103" t="inlineStr">
        <is>
          <t>New York : Cambridge University Press, 2006.</t>
        </is>
      </c>
      <c r="M1103" t="inlineStr">
        <is>
          <t>2006</t>
        </is>
      </c>
      <c r="O1103" t="inlineStr">
        <is>
          <t>eng</t>
        </is>
      </c>
      <c r="P1103" t="inlineStr">
        <is>
          <t>nyu</t>
        </is>
      </c>
      <c r="R1103" t="inlineStr">
        <is>
          <t xml:space="preserve">DS </t>
        </is>
      </c>
      <c r="S1103" t="n">
        <v>5</v>
      </c>
      <c r="T1103" t="n">
        <v>5</v>
      </c>
      <c r="U1103" t="inlineStr">
        <is>
          <t>2009-04-03</t>
        </is>
      </c>
      <c r="V1103" t="inlineStr">
        <is>
          <t>2009-04-03</t>
        </is>
      </c>
      <c r="W1103" t="inlineStr">
        <is>
          <t>2006-11-14</t>
        </is>
      </c>
      <c r="X1103" t="inlineStr">
        <is>
          <t>2006-11-14</t>
        </is>
      </c>
      <c r="Y1103" t="n">
        <v>670</v>
      </c>
      <c r="Z1103" t="n">
        <v>562</v>
      </c>
      <c r="AA1103" t="n">
        <v>623</v>
      </c>
      <c r="AB1103" t="n">
        <v>4</v>
      </c>
      <c r="AC1103" t="n">
        <v>4</v>
      </c>
      <c r="AD1103" t="n">
        <v>35</v>
      </c>
      <c r="AE1103" t="n">
        <v>36</v>
      </c>
      <c r="AF1103" t="n">
        <v>14</v>
      </c>
      <c r="AG1103" t="n">
        <v>15</v>
      </c>
      <c r="AH1103" t="n">
        <v>10</v>
      </c>
      <c r="AI1103" t="n">
        <v>10</v>
      </c>
      <c r="AJ1103" t="n">
        <v>16</v>
      </c>
      <c r="AK1103" t="n">
        <v>17</v>
      </c>
      <c r="AL1103" t="n">
        <v>3</v>
      </c>
      <c r="AM1103" t="n">
        <v>3</v>
      </c>
      <c r="AN1103" t="n">
        <v>0</v>
      </c>
      <c r="AO1103" t="n">
        <v>0</v>
      </c>
      <c r="AP1103" t="inlineStr">
        <is>
          <t>No</t>
        </is>
      </c>
      <c r="AQ1103" t="inlineStr">
        <is>
          <t>No</t>
        </is>
      </c>
      <c r="AS1103">
        <f>HYPERLINK("https://creighton-primo.hosted.exlibrisgroup.com/primo-explore/search?tab=default_tab&amp;search_scope=EVERYTHING&amp;vid=01CRU&amp;lang=en_US&amp;offset=0&amp;query=any,contains,991004948669702656","Catalog Record")</f>
        <v/>
      </c>
      <c r="AT1103">
        <f>HYPERLINK("http://www.worldcat.org/oclc/61303480","WorldCat Record")</f>
        <v/>
      </c>
      <c r="AU1103" t="inlineStr">
        <is>
          <t>14838821:eng</t>
        </is>
      </c>
      <c r="AV1103" t="inlineStr">
        <is>
          <t>61303480</t>
        </is>
      </c>
      <c r="AW1103" t="inlineStr">
        <is>
          <t>991004948669702656</t>
        </is>
      </c>
      <c r="AX1103" t="inlineStr">
        <is>
          <t>991004948669702656</t>
        </is>
      </c>
      <c r="AY1103" t="inlineStr">
        <is>
          <t>2254990410002656</t>
        </is>
      </c>
      <c r="AZ1103" t="inlineStr">
        <is>
          <t>BOOK</t>
        </is>
      </c>
      <c r="BB1103" t="inlineStr">
        <is>
          <t>9780521005395</t>
        </is>
      </c>
      <c r="BC1103" t="inlineStr">
        <is>
          <t>32285005238828</t>
        </is>
      </c>
      <c r="BD1103" t="inlineStr">
        <is>
          <t>893905138</t>
        </is>
      </c>
    </row>
    <row r="1104">
      <c r="A1104" t="inlineStr">
        <is>
          <t>No</t>
        </is>
      </c>
      <c r="B1104" t="inlineStr">
        <is>
          <t>DS452 .S7</t>
        </is>
      </c>
      <c r="C1104" t="inlineStr">
        <is>
          <t>0                      DS 0452000S  7</t>
        </is>
      </c>
      <c r="D1104" t="inlineStr">
        <is>
          <t>The history of India, 1000 A.D.-1707 A.D., by Ashirbadilal Srivastava.</t>
        </is>
      </c>
      <c r="F1104" t="inlineStr">
        <is>
          <t>No</t>
        </is>
      </c>
      <c r="G1104" t="inlineStr">
        <is>
          <t>1</t>
        </is>
      </c>
      <c r="H1104" t="inlineStr">
        <is>
          <t>No</t>
        </is>
      </c>
      <c r="I1104" t="inlineStr">
        <is>
          <t>No</t>
        </is>
      </c>
      <c r="J1104" t="inlineStr">
        <is>
          <t>0</t>
        </is>
      </c>
      <c r="K1104" t="inlineStr">
        <is>
          <t>Srivastava, Ashirbadi Lal.</t>
        </is>
      </c>
      <c r="L1104" t="inlineStr">
        <is>
          <t>Agra, Shiva Lal Agarwala [1964]</t>
        </is>
      </c>
      <c r="M1104" t="inlineStr">
        <is>
          <t>1964</t>
        </is>
      </c>
      <c r="N1104" t="inlineStr">
        <is>
          <t>[1st ed.]</t>
        </is>
      </c>
      <c r="O1104" t="inlineStr">
        <is>
          <t>eng</t>
        </is>
      </c>
      <c r="P1104" t="inlineStr">
        <is>
          <t xml:space="preserve">ii </t>
        </is>
      </c>
      <c r="R1104" t="inlineStr">
        <is>
          <t xml:space="preserve">DS </t>
        </is>
      </c>
      <c r="S1104" t="n">
        <v>3</v>
      </c>
      <c r="T1104" t="n">
        <v>3</v>
      </c>
      <c r="U1104" t="inlineStr">
        <is>
          <t>1999-10-04</t>
        </is>
      </c>
      <c r="V1104" t="inlineStr">
        <is>
          <t>1999-10-04</t>
        </is>
      </c>
      <c r="W1104" t="inlineStr">
        <is>
          <t>1997-03-10</t>
        </is>
      </c>
      <c r="X1104" t="inlineStr">
        <is>
          <t>1997-03-10</t>
        </is>
      </c>
      <c r="Y1104" t="n">
        <v>259</v>
      </c>
      <c r="Z1104" t="n">
        <v>253</v>
      </c>
      <c r="AA1104" t="n">
        <v>256</v>
      </c>
      <c r="AB1104" t="n">
        <v>3</v>
      </c>
      <c r="AC1104" t="n">
        <v>3</v>
      </c>
      <c r="AD1104" t="n">
        <v>15</v>
      </c>
      <c r="AE1104" t="n">
        <v>15</v>
      </c>
      <c r="AF1104" t="n">
        <v>4</v>
      </c>
      <c r="AG1104" t="n">
        <v>4</v>
      </c>
      <c r="AH1104" t="n">
        <v>4</v>
      </c>
      <c r="AI1104" t="n">
        <v>4</v>
      </c>
      <c r="AJ1104" t="n">
        <v>9</v>
      </c>
      <c r="AK1104" t="n">
        <v>9</v>
      </c>
      <c r="AL1104" t="n">
        <v>2</v>
      </c>
      <c r="AM1104" t="n">
        <v>2</v>
      </c>
      <c r="AN1104" t="n">
        <v>0</v>
      </c>
      <c r="AO1104" t="n">
        <v>0</v>
      </c>
      <c r="AP1104" t="inlineStr">
        <is>
          <t>No</t>
        </is>
      </c>
      <c r="AQ1104" t="inlineStr">
        <is>
          <t>Yes</t>
        </is>
      </c>
      <c r="AR1104">
        <f>HYPERLINK("http://catalog.hathitrust.org/Record/001251176","HathiTrust Record")</f>
        <v/>
      </c>
      <c r="AS1104">
        <f>HYPERLINK("https://creighton-primo.hosted.exlibrisgroup.com/primo-explore/search?tab=default_tab&amp;search_scope=EVERYTHING&amp;vid=01CRU&amp;lang=en_US&amp;offset=0&amp;query=any,contains,991003446099702656","Catalog Record")</f>
        <v/>
      </c>
      <c r="AT1104">
        <f>HYPERLINK("http://www.worldcat.org/oclc/981516","WorldCat Record")</f>
        <v/>
      </c>
      <c r="AU1104" t="inlineStr">
        <is>
          <t>1946999:eng</t>
        </is>
      </c>
      <c r="AV1104" t="inlineStr">
        <is>
          <t>981516</t>
        </is>
      </c>
      <c r="AW1104" t="inlineStr">
        <is>
          <t>991003446099702656</t>
        </is>
      </c>
      <c r="AX1104" t="inlineStr">
        <is>
          <t>991003446099702656</t>
        </is>
      </c>
      <c r="AY1104" t="inlineStr">
        <is>
          <t>2269764330002656</t>
        </is>
      </c>
      <c r="AZ1104" t="inlineStr">
        <is>
          <t>BOOK</t>
        </is>
      </c>
      <c r="BC1104" t="inlineStr">
        <is>
          <t>32285002456910</t>
        </is>
      </c>
      <c r="BD1104" t="inlineStr">
        <is>
          <t>893692718</t>
        </is>
      </c>
    </row>
    <row r="1105">
      <c r="A1105" t="inlineStr">
        <is>
          <t>No</t>
        </is>
      </c>
      <c r="B1105" t="inlineStr">
        <is>
          <t>DS461 .E4 1976</t>
        </is>
      </c>
      <c r="C1105" t="inlineStr">
        <is>
          <t>0                      DS 0461000E  4           1976</t>
        </is>
      </c>
      <c r="D1105" t="inlineStr">
        <is>
          <t>Mughal rule in India / by S. M. Edwardes and H. L. O. Garrett.</t>
        </is>
      </c>
      <c r="F1105" t="inlineStr">
        <is>
          <t>No</t>
        </is>
      </c>
      <c r="G1105" t="inlineStr">
        <is>
          <t>1</t>
        </is>
      </c>
      <c r="H1105" t="inlineStr">
        <is>
          <t>No</t>
        </is>
      </c>
      <c r="I1105" t="inlineStr">
        <is>
          <t>No</t>
        </is>
      </c>
      <c r="J1105" t="inlineStr">
        <is>
          <t>0</t>
        </is>
      </c>
      <c r="K1105" t="inlineStr">
        <is>
          <t>Edwardes, S. M. (Stephen Meredyth), 1873-1927.</t>
        </is>
      </c>
      <c r="L1105" t="inlineStr">
        <is>
          <t>New York : AMS Press, 1976.</t>
        </is>
      </c>
      <c r="M1105" t="inlineStr">
        <is>
          <t>1976</t>
        </is>
      </c>
      <c r="O1105" t="inlineStr">
        <is>
          <t>eng</t>
        </is>
      </c>
      <c r="P1105" t="inlineStr">
        <is>
          <t>nyu</t>
        </is>
      </c>
      <c r="R1105" t="inlineStr">
        <is>
          <t xml:space="preserve">DS </t>
        </is>
      </c>
      <c r="S1105" t="n">
        <v>12</v>
      </c>
      <c r="T1105" t="n">
        <v>12</v>
      </c>
      <c r="U1105" t="inlineStr">
        <is>
          <t>2000-03-22</t>
        </is>
      </c>
      <c r="V1105" t="inlineStr">
        <is>
          <t>2000-03-22</t>
        </is>
      </c>
      <c r="W1105" t="inlineStr">
        <is>
          <t>1992-04-02</t>
        </is>
      </c>
      <c r="X1105" t="inlineStr">
        <is>
          <t>1992-04-02</t>
        </is>
      </c>
      <c r="Y1105" t="n">
        <v>79</v>
      </c>
      <c r="Z1105" t="n">
        <v>71</v>
      </c>
      <c r="AA1105" t="n">
        <v>285</v>
      </c>
      <c r="AB1105" t="n">
        <v>1</v>
      </c>
      <c r="AC1105" t="n">
        <v>2</v>
      </c>
      <c r="AD1105" t="n">
        <v>6</v>
      </c>
      <c r="AE1105" t="n">
        <v>12</v>
      </c>
      <c r="AF1105" t="n">
        <v>4</v>
      </c>
      <c r="AG1105" t="n">
        <v>6</v>
      </c>
      <c r="AH1105" t="n">
        <v>1</v>
      </c>
      <c r="AI1105" t="n">
        <v>2</v>
      </c>
      <c r="AJ1105" t="n">
        <v>3</v>
      </c>
      <c r="AK1105" t="n">
        <v>7</v>
      </c>
      <c r="AL1105" t="n">
        <v>0</v>
      </c>
      <c r="AM1105" t="n">
        <v>1</v>
      </c>
      <c r="AN1105" t="n">
        <v>0</v>
      </c>
      <c r="AO1105" t="n">
        <v>0</v>
      </c>
      <c r="AP1105" t="inlineStr">
        <is>
          <t>No</t>
        </is>
      </c>
      <c r="AQ1105" t="inlineStr">
        <is>
          <t>Yes</t>
        </is>
      </c>
      <c r="AR1105">
        <f>HYPERLINK("http://catalog.hathitrust.org/Record/004410753","HathiTrust Record")</f>
        <v/>
      </c>
      <c r="AS1105">
        <f>HYPERLINK("https://creighton-primo.hosted.exlibrisgroup.com/primo-explore/search?tab=default_tab&amp;search_scope=EVERYTHING&amp;vid=01CRU&amp;lang=en_US&amp;offset=0&amp;query=any,contains,991004107099702656","Catalog Record")</f>
        <v/>
      </c>
      <c r="AT1105">
        <f>HYPERLINK("http://www.worldcat.org/oclc/2387788","WorldCat Record")</f>
        <v/>
      </c>
      <c r="AU1105" t="inlineStr">
        <is>
          <t>475250:eng</t>
        </is>
      </c>
      <c r="AV1105" t="inlineStr">
        <is>
          <t>2387788</t>
        </is>
      </c>
      <c r="AW1105" t="inlineStr">
        <is>
          <t>991004107099702656</t>
        </is>
      </c>
      <c r="AX1105" t="inlineStr">
        <is>
          <t>991004107099702656</t>
        </is>
      </c>
      <c r="AY1105" t="inlineStr">
        <is>
          <t>2258663160002656</t>
        </is>
      </c>
      <c r="AZ1105" t="inlineStr">
        <is>
          <t>BOOK</t>
        </is>
      </c>
      <c r="BB1105" t="inlineStr">
        <is>
          <t>9780404145378</t>
        </is>
      </c>
      <c r="BC1105" t="inlineStr">
        <is>
          <t>32285001032910</t>
        </is>
      </c>
      <c r="BD1105" t="inlineStr">
        <is>
          <t>893531985</t>
        </is>
      </c>
    </row>
    <row r="1106">
      <c r="A1106" t="inlineStr">
        <is>
          <t>No</t>
        </is>
      </c>
      <c r="B1106" t="inlineStr">
        <is>
          <t>DS461 .G3 1971</t>
        </is>
      </c>
      <c r="C1106" t="inlineStr">
        <is>
          <t>0                      DS 0461000G  3           1971</t>
        </is>
      </c>
      <c r="D1106" t="inlineStr">
        <is>
          <t>The great Moghuls / [by] Bamber Gascoigne. Photos. by Christina Gascoigne.</t>
        </is>
      </c>
      <c r="F1106" t="inlineStr">
        <is>
          <t>No</t>
        </is>
      </c>
      <c r="G1106" t="inlineStr">
        <is>
          <t>1</t>
        </is>
      </c>
      <c r="H1106" t="inlineStr">
        <is>
          <t>No</t>
        </is>
      </c>
      <c r="I1106" t="inlineStr">
        <is>
          <t>No</t>
        </is>
      </c>
      <c r="J1106" t="inlineStr">
        <is>
          <t>0</t>
        </is>
      </c>
      <c r="K1106" t="inlineStr">
        <is>
          <t>Gascoigne, Bamber.</t>
        </is>
      </c>
      <c r="L1106" t="inlineStr">
        <is>
          <t>New York : Harper &amp; Row, [1971]</t>
        </is>
      </c>
      <c r="M1106" t="inlineStr">
        <is>
          <t>1971</t>
        </is>
      </c>
      <c r="N1106" t="inlineStr">
        <is>
          <t>[1st U.S. ed.]</t>
        </is>
      </c>
      <c r="O1106" t="inlineStr">
        <is>
          <t>eng</t>
        </is>
      </c>
      <c r="P1106" t="inlineStr">
        <is>
          <t>nyu</t>
        </is>
      </c>
      <c r="R1106" t="inlineStr">
        <is>
          <t xml:space="preserve">DS </t>
        </is>
      </c>
      <c r="S1106" t="n">
        <v>34</v>
      </c>
      <c r="T1106" t="n">
        <v>34</v>
      </c>
      <c r="U1106" t="inlineStr">
        <is>
          <t>2008-04-28</t>
        </is>
      </c>
      <c r="V1106" t="inlineStr">
        <is>
          <t>2008-04-28</t>
        </is>
      </c>
      <c r="W1106" t="inlineStr">
        <is>
          <t>1992-04-02</t>
        </is>
      </c>
      <c r="X1106" t="inlineStr">
        <is>
          <t>1992-04-02</t>
        </is>
      </c>
      <c r="Y1106" t="n">
        <v>668</v>
      </c>
      <c r="Z1106" t="n">
        <v>640</v>
      </c>
      <c r="AA1106" t="n">
        <v>756</v>
      </c>
      <c r="AB1106" t="n">
        <v>5</v>
      </c>
      <c r="AC1106" t="n">
        <v>5</v>
      </c>
      <c r="AD1106" t="n">
        <v>19</v>
      </c>
      <c r="AE1106" t="n">
        <v>22</v>
      </c>
      <c r="AF1106" t="n">
        <v>5</v>
      </c>
      <c r="AG1106" t="n">
        <v>6</v>
      </c>
      <c r="AH1106" t="n">
        <v>5</v>
      </c>
      <c r="AI1106" t="n">
        <v>7</v>
      </c>
      <c r="AJ1106" t="n">
        <v>10</v>
      </c>
      <c r="AK1106" t="n">
        <v>10</v>
      </c>
      <c r="AL1106" t="n">
        <v>4</v>
      </c>
      <c r="AM1106" t="n">
        <v>4</v>
      </c>
      <c r="AN1106" t="n">
        <v>0</v>
      </c>
      <c r="AO1106" t="n">
        <v>0</v>
      </c>
      <c r="AP1106" t="inlineStr">
        <is>
          <t>No</t>
        </is>
      </c>
      <c r="AQ1106" t="inlineStr">
        <is>
          <t>Yes</t>
        </is>
      </c>
      <c r="AR1106">
        <f>HYPERLINK("http://catalog.hathitrust.org/Record/001251230","HathiTrust Record")</f>
        <v/>
      </c>
      <c r="AS1106">
        <f>HYPERLINK("https://creighton-primo.hosted.exlibrisgroup.com/primo-explore/search?tab=default_tab&amp;search_scope=EVERYTHING&amp;vid=01CRU&amp;lang=en_US&amp;offset=0&amp;query=any,contains,991001270579702656","Catalog Record")</f>
        <v/>
      </c>
      <c r="AT1106">
        <f>HYPERLINK("http://www.worldcat.org/oclc/211883","WorldCat Record")</f>
        <v/>
      </c>
      <c r="AU1106" t="inlineStr">
        <is>
          <t>1289112:eng</t>
        </is>
      </c>
      <c r="AV1106" t="inlineStr">
        <is>
          <t>211883</t>
        </is>
      </c>
      <c r="AW1106" t="inlineStr">
        <is>
          <t>991001270579702656</t>
        </is>
      </c>
      <c r="AX1106" t="inlineStr">
        <is>
          <t>991001270579702656</t>
        </is>
      </c>
      <c r="AY1106" t="inlineStr">
        <is>
          <t>2263978030002656</t>
        </is>
      </c>
      <c r="AZ1106" t="inlineStr">
        <is>
          <t>BOOK</t>
        </is>
      </c>
      <c r="BB1106" t="inlineStr">
        <is>
          <t>9780060114671</t>
        </is>
      </c>
      <c r="BC1106" t="inlineStr">
        <is>
          <t>32285001032902</t>
        </is>
      </c>
      <c r="BD1106" t="inlineStr">
        <is>
          <t>893496963</t>
        </is>
      </c>
    </row>
    <row r="1107">
      <c r="A1107" t="inlineStr">
        <is>
          <t>No</t>
        </is>
      </c>
      <c r="B1107" t="inlineStr">
        <is>
          <t>DS461 .H33</t>
        </is>
      </c>
      <c r="C1107" t="inlineStr">
        <is>
          <t>0                      DS 0461000H  33</t>
        </is>
      </c>
      <c r="D1107" t="inlineStr">
        <is>
          <t>The Peacock Throne : the drama of Mogul India.</t>
        </is>
      </c>
      <c r="F1107" t="inlineStr">
        <is>
          <t>No</t>
        </is>
      </c>
      <c r="G1107" t="inlineStr">
        <is>
          <t>1</t>
        </is>
      </c>
      <c r="H1107" t="inlineStr">
        <is>
          <t>No</t>
        </is>
      </c>
      <c r="I1107" t="inlineStr">
        <is>
          <t>No</t>
        </is>
      </c>
      <c r="J1107" t="inlineStr">
        <is>
          <t>0</t>
        </is>
      </c>
      <c r="K1107" t="inlineStr">
        <is>
          <t>Hansen, Waldemar.</t>
        </is>
      </c>
      <c r="L1107" t="inlineStr">
        <is>
          <t>New York : Holt, Rinehart and Winston, [1972]</t>
        </is>
      </c>
      <c r="M1107" t="inlineStr">
        <is>
          <t>1972</t>
        </is>
      </c>
      <c r="N1107" t="inlineStr">
        <is>
          <t>[1st ed.]</t>
        </is>
      </c>
      <c r="O1107" t="inlineStr">
        <is>
          <t>eng</t>
        </is>
      </c>
      <c r="P1107" t="inlineStr">
        <is>
          <t>nyu</t>
        </is>
      </c>
      <c r="R1107" t="inlineStr">
        <is>
          <t xml:space="preserve">DS </t>
        </is>
      </c>
      <c r="S1107" t="n">
        <v>6</v>
      </c>
      <c r="T1107" t="n">
        <v>6</v>
      </c>
      <c r="U1107" t="inlineStr">
        <is>
          <t>1999-06-17</t>
        </is>
      </c>
      <c r="V1107" t="inlineStr">
        <is>
          <t>1999-06-17</t>
        </is>
      </c>
      <c r="W1107" t="inlineStr">
        <is>
          <t>1993-05-04</t>
        </is>
      </c>
      <c r="X1107" t="inlineStr">
        <is>
          <t>1993-05-04</t>
        </is>
      </c>
      <c r="Y1107" t="n">
        <v>643</v>
      </c>
      <c r="Z1107" t="n">
        <v>593</v>
      </c>
      <c r="AA1107" t="n">
        <v>628</v>
      </c>
      <c r="AB1107" t="n">
        <v>7</v>
      </c>
      <c r="AC1107" t="n">
        <v>7</v>
      </c>
      <c r="AD1107" t="n">
        <v>16</v>
      </c>
      <c r="AE1107" t="n">
        <v>16</v>
      </c>
      <c r="AF1107" t="n">
        <v>4</v>
      </c>
      <c r="AG1107" t="n">
        <v>4</v>
      </c>
      <c r="AH1107" t="n">
        <v>3</v>
      </c>
      <c r="AI1107" t="n">
        <v>3</v>
      </c>
      <c r="AJ1107" t="n">
        <v>6</v>
      </c>
      <c r="AK1107" t="n">
        <v>6</v>
      </c>
      <c r="AL1107" t="n">
        <v>5</v>
      </c>
      <c r="AM1107" t="n">
        <v>5</v>
      </c>
      <c r="AN1107" t="n">
        <v>0</v>
      </c>
      <c r="AO1107" t="n">
        <v>0</v>
      </c>
      <c r="AP1107" t="inlineStr">
        <is>
          <t>No</t>
        </is>
      </c>
      <c r="AQ1107" t="inlineStr">
        <is>
          <t>Yes</t>
        </is>
      </c>
      <c r="AR1107">
        <f>HYPERLINK("http://catalog.hathitrust.org/Record/001251232","HathiTrust Record")</f>
        <v/>
      </c>
      <c r="AS1107">
        <f>HYPERLINK("https://creighton-primo.hosted.exlibrisgroup.com/primo-explore/search?tab=default_tab&amp;search_scope=EVERYTHING&amp;vid=01CRU&amp;lang=en_US&amp;offset=0&amp;query=any,contains,991002909409702656","Catalog Record")</f>
        <v/>
      </c>
      <c r="AT1107">
        <f>HYPERLINK("http://www.worldcat.org/oclc/520949","WorldCat Record")</f>
        <v/>
      </c>
      <c r="AU1107" t="inlineStr">
        <is>
          <t>12672589:eng</t>
        </is>
      </c>
      <c r="AV1107" t="inlineStr">
        <is>
          <t>520949</t>
        </is>
      </c>
      <c r="AW1107" t="inlineStr">
        <is>
          <t>991002909409702656</t>
        </is>
      </c>
      <c r="AX1107" t="inlineStr">
        <is>
          <t>991002909409702656</t>
        </is>
      </c>
      <c r="AY1107" t="inlineStr">
        <is>
          <t>2268140320002656</t>
        </is>
      </c>
      <c r="AZ1107" t="inlineStr">
        <is>
          <t>BOOK</t>
        </is>
      </c>
      <c r="BB1107" t="inlineStr">
        <is>
          <t>9780030002717</t>
        </is>
      </c>
      <c r="BC1107" t="inlineStr">
        <is>
          <t>32285001633543</t>
        </is>
      </c>
      <c r="BD1107" t="inlineStr">
        <is>
          <t>893342016</t>
        </is>
      </c>
    </row>
    <row r="1108">
      <c r="A1108" t="inlineStr">
        <is>
          <t>No</t>
        </is>
      </c>
      <c r="B1108" t="inlineStr">
        <is>
          <t>DS461.3 .L47 1981</t>
        </is>
      </c>
      <c r="C1108" t="inlineStr">
        <is>
          <t>0                      DS 0461300L  47          1981</t>
        </is>
      </c>
      <c r="D1108" t="inlineStr">
        <is>
          <t>Letters from the Mughal Court : the first Jesuit mission to Akbar (1580-1583) / edited with an introduction by John Correia-Afonso.</t>
        </is>
      </c>
      <c r="F1108" t="inlineStr">
        <is>
          <t>No</t>
        </is>
      </c>
      <c r="G1108" t="inlineStr">
        <is>
          <t>1</t>
        </is>
      </c>
      <c r="H1108" t="inlineStr">
        <is>
          <t>No</t>
        </is>
      </c>
      <c r="I1108" t="inlineStr">
        <is>
          <t>No</t>
        </is>
      </c>
      <c r="J1108" t="inlineStr">
        <is>
          <t>0</t>
        </is>
      </c>
      <c r="L1108" t="inlineStr">
        <is>
          <t>St. Louis : Institute of Jesuit Sources ; Anand, India : G.S. Prakash, 1981.</t>
        </is>
      </c>
      <c r="M1108" t="inlineStr">
        <is>
          <t>1981</t>
        </is>
      </c>
      <c r="N1108" t="inlineStr">
        <is>
          <t>2nd ed.</t>
        </is>
      </c>
      <c r="O1108" t="inlineStr">
        <is>
          <t>eng</t>
        </is>
      </c>
      <c r="P1108" t="inlineStr">
        <is>
          <t>mou</t>
        </is>
      </c>
      <c r="Q1108" t="inlineStr">
        <is>
          <t>Jesuit primary sources, in English translations ; no. 4</t>
        </is>
      </c>
      <c r="R1108" t="inlineStr">
        <is>
          <t xml:space="preserve">DS </t>
        </is>
      </c>
      <c r="S1108" t="n">
        <v>15</v>
      </c>
      <c r="T1108" t="n">
        <v>15</v>
      </c>
      <c r="U1108" t="inlineStr">
        <is>
          <t>2010-03-14</t>
        </is>
      </c>
      <c r="V1108" t="inlineStr">
        <is>
          <t>2010-03-14</t>
        </is>
      </c>
      <c r="W1108" t="inlineStr">
        <is>
          <t>1990-10-08</t>
        </is>
      </c>
      <c r="X1108" t="inlineStr">
        <is>
          <t>1990-10-08</t>
        </is>
      </c>
      <c r="Y1108" t="n">
        <v>122</v>
      </c>
      <c r="Z1108" t="n">
        <v>99</v>
      </c>
      <c r="AA1108" t="n">
        <v>131</v>
      </c>
      <c r="AB1108" t="n">
        <v>1</v>
      </c>
      <c r="AC1108" t="n">
        <v>1</v>
      </c>
      <c r="AD1108" t="n">
        <v>20</v>
      </c>
      <c r="AE1108" t="n">
        <v>20</v>
      </c>
      <c r="AF1108" t="n">
        <v>7</v>
      </c>
      <c r="AG1108" t="n">
        <v>7</v>
      </c>
      <c r="AH1108" t="n">
        <v>4</v>
      </c>
      <c r="AI1108" t="n">
        <v>4</v>
      </c>
      <c r="AJ1108" t="n">
        <v>18</v>
      </c>
      <c r="AK1108" t="n">
        <v>18</v>
      </c>
      <c r="AL1108" t="n">
        <v>0</v>
      </c>
      <c r="AM1108" t="n">
        <v>0</v>
      </c>
      <c r="AN1108" t="n">
        <v>0</v>
      </c>
      <c r="AO1108" t="n">
        <v>0</v>
      </c>
      <c r="AP1108" t="inlineStr">
        <is>
          <t>No</t>
        </is>
      </c>
      <c r="AQ1108" t="inlineStr">
        <is>
          <t>No</t>
        </is>
      </c>
      <c r="AS1108">
        <f>HYPERLINK("https://creighton-primo.hosted.exlibrisgroup.com/primo-explore/search?tab=default_tab&amp;search_scope=EVERYTHING&amp;vid=01CRU&amp;lang=en_US&amp;offset=0&amp;query=any,contains,991000062569702656","Catalog Record")</f>
        <v/>
      </c>
      <c r="AT1108">
        <f>HYPERLINK("http://www.worldcat.org/oclc/8744280","WorldCat Record")</f>
        <v/>
      </c>
      <c r="AU1108" t="inlineStr">
        <is>
          <t>889334073:eng</t>
        </is>
      </c>
      <c r="AV1108" t="inlineStr">
        <is>
          <t>8744280</t>
        </is>
      </c>
      <c r="AW1108" t="inlineStr">
        <is>
          <t>991000062569702656</t>
        </is>
      </c>
      <c r="AX1108" t="inlineStr">
        <is>
          <t>991000062569702656</t>
        </is>
      </c>
      <c r="AY1108" t="inlineStr">
        <is>
          <t>2260577410002656</t>
        </is>
      </c>
      <c r="AZ1108" t="inlineStr">
        <is>
          <t>BOOK</t>
        </is>
      </c>
      <c r="BB1108" t="inlineStr">
        <is>
          <t>9780912422572</t>
        </is>
      </c>
      <c r="BC1108" t="inlineStr">
        <is>
          <t>32285000336429</t>
        </is>
      </c>
      <c r="BD1108" t="inlineStr">
        <is>
          <t>893521350</t>
        </is>
      </c>
    </row>
    <row r="1109">
      <c r="A1109" t="inlineStr">
        <is>
          <t>No</t>
        </is>
      </c>
      <c r="B1109" t="inlineStr">
        <is>
          <t>DS461.3 .S77 1999</t>
        </is>
      </c>
      <c r="C1109" t="inlineStr">
        <is>
          <t>0                      DS 0461300S  77          1999</t>
        </is>
      </c>
      <c r="D1109" t="inlineStr">
        <is>
          <t>The formation of the Mughal Empire / Douglas E. Streusand.</t>
        </is>
      </c>
      <c r="F1109" t="inlineStr">
        <is>
          <t>No</t>
        </is>
      </c>
      <c r="G1109" t="inlineStr">
        <is>
          <t>1</t>
        </is>
      </c>
      <c r="H1109" t="inlineStr">
        <is>
          <t>No</t>
        </is>
      </c>
      <c r="I1109" t="inlineStr">
        <is>
          <t>No</t>
        </is>
      </c>
      <c r="J1109" t="inlineStr">
        <is>
          <t>0</t>
        </is>
      </c>
      <c r="K1109" t="inlineStr">
        <is>
          <t>Streusand, Douglas E.</t>
        </is>
      </c>
      <c r="L1109" t="inlineStr">
        <is>
          <t>Delhi ; New York : Oxford University Press, 1999.</t>
        </is>
      </c>
      <c r="M1109" t="inlineStr">
        <is>
          <t>1999</t>
        </is>
      </c>
      <c r="O1109" t="inlineStr">
        <is>
          <t>eng</t>
        </is>
      </c>
      <c r="P1109" t="inlineStr">
        <is>
          <t xml:space="preserve">ii </t>
        </is>
      </c>
      <c r="Q1109" t="inlineStr">
        <is>
          <t>Oxford India paperbacks</t>
        </is>
      </c>
      <c r="R1109" t="inlineStr">
        <is>
          <t xml:space="preserve">DS </t>
        </is>
      </c>
      <c r="S1109" t="n">
        <v>5</v>
      </c>
      <c r="T1109" t="n">
        <v>5</v>
      </c>
      <c r="U1109" t="inlineStr">
        <is>
          <t>2004-05-03</t>
        </is>
      </c>
      <c r="V1109" t="inlineStr">
        <is>
          <t>2004-05-03</t>
        </is>
      </c>
      <c r="W1109" t="inlineStr">
        <is>
          <t>2002-02-25</t>
        </is>
      </c>
      <c r="X1109" t="inlineStr">
        <is>
          <t>2002-02-25</t>
        </is>
      </c>
      <c r="Y1109" t="n">
        <v>48</v>
      </c>
      <c r="Z1109" t="n">
        <v>34</v>
      </c>
      <c r="AA1109" t="n">
        <v>207</v>
      </c>
      <c r="AB1109" t="n">
        <v>1</v>
      </c>
      <c r="AC1109" t="n">
        <v>3</v>
      </c>
      <c r="AD1109" t="n">
        <v>1</v>
      </c>
      <c r="AE1109" t="n">
        <v>11</v>
      </c>
      <c r="AF1109" t="n">
        <v>0</v>
      </c>
      <c r="AG1109" t="n">
        <v>3</v>
      </c>
      <c r="AH1109" t="n">
        <v>1</v>
      </c>
      <c r="AI1109" t="n">
        <v>4</v>
      </c>
      <c r="AJ1109" t="n">
        <v>1</v>
      </c>
      <c r="AK1109" t="n">
        <v>5</v>
      </c>
      <c r="AL1109" t="n">
        <v>0</v>
      </c>
      <c r="AM1109" t="n">
        <v>2</v>
      </c>
      <c r="AN1109" t="n">
        <v>0</v>
      </c>
      <c r="AO1109" t="n">
        <v>0</v>
      </c>
      <c r="AP1109" t="inlineStr">
        <is>
          <t>No</t>
        </is>
      </c>
      <c r="AQ1109" t="inlineStr">
        <is>
          <t>No</t>
        </is>
      </c>
      <c r="AS1109">
        <f>HYPERLINK("https://creighton-primo.hosted.exlibrisgroup.com/primo-explore/search?tab=default_tab&amp;search_scope=EVERYTHING&amp;vid=01CRU&amp;lang=en_US&amp;offset=0&amp;query=any,contains,991003687869702656","Catalog Record")</f>
        <v/>
      </c>
      <c r="AT1109">
        <f>HYPERLINK("http://www.worldcat.org/oclc/42414471","WorldCat Record")</f>
        <v/>
      </c>
      <c r="AU1109" t="inlineStr">
        <is>
          <t>20162080:eng</t>
        </is>
      </c>
      <c r="AV1109" t="inlineStr">
        <is>
          <t>42414471</t>
        </is>
      </c>
      <c r="AW1109" t="inlineStr">
        <is>
          <t>991003687869702656</t>
        </is>
      </c>
      <c r="AX1109" t="inlineStr">
        <is>
          <t>991003687869702656</t>
        </is>
      </c>
      <c r="AY1109" t="inlineStr">
        <is>
          <t>2272463790002656</t>
        </is>
      </c>
      <c r="AZ1109" t="inlineStr">
        <is>
          <t>BOOK</t>
        </is>
      </c>
      <c r="BB1109" t="inlineStr">
        <is>
          <t>9780195647884</t>
        </is>
      </c>
      <c r="BC1109" t="inlineStr">
        <is>
          <t>32285004456934</t>
        </is>
      </c>
      <c r="BD1109" t="inlineStr">
        <is>
          <t>893499579</t>
        </is>
      </c>
    </row>
    <row r="1110">
      <c r="A1110" t="inlineStr">
        <is>
          <t>No</t>
        </is>
      </c>
      <c r="B1110" t="inlineStr">
        <is>
          <t>DS461.7 .H28</t>
        </is>
      </c>
      <c r="C1110" t="inlineStr">
        <is>
          <t>0                      DS 0461700H  28</t>
        </is>
      </c>
      <c r="D1110" t="inlineStr">
        <is>
          <t>The Rajput rebellion against Aurangzeb : a study of the Mughal Empire in seventeenth-century India / Robert C. Hallissey.</t>
        </is>
      </c>
      <c r="F1110" t="inlineStr">
        <is>
          <t>No</t>
        </is>
      </c>
      <c r="G1110" t="inlineStr">
        <is>
          <t>1</t>
        </is>
      </c>
      <c r="H1110" t="inlineStr">
        <is>
          <t>No</t>
        </is>
      </c>
      <c r="I1110" t="inlineStr">
        <is>
          <t>No</t>
        </is>
      </c>
      <c r="J1110" t="inlineStr">
        <is>
          <t>0</t>
        </is>
      </c>
      <c r="K1110" t="inlineStr">
        <is>
          <t>Hallissey, Robert C., 1941-</t>
        </is>
      </c>
      <c r="L1110" t="inlineStr">
        <is>
          <t>Columbia : University of Missouri Press, 1977.</t>
        </is>
      </c>
      <c r="M1110" t="inlineStr">
        <is>
          <t>1977</t>
        </is>
      </c>
      <c r="O1110" t="inlineStr">
        <is>
          <t>eng</t>
        </is>
      </c>
      <c r="P1110" t="inlineStr">
        <is>
          <t>scu</t>
        </is>
      </c>
      <c r="R1110" t="inlineStr">
        <is>
          <t xml:space="preserve">DS </t>
        </is>
      </c>
      <c r="S1110" t="n">
        <v>6</v>
      </c>
      <c r="T1110" t="n">
        <v>6</v>
      </c>
      <c r="U1110" t="inlineStr">
        <is>
          <t>2007-04-02</t>
        </is>
      </c>
      <c r="V1110" t="inlineStr">
        <is>
          <t>2007-04-02</t>
        </is>
      </c>
      <c r="W1110" t="inlineStr">
        <is>
          <t>1993-05-04</t>
        </is>
      </c>
      <c r="X1110" t="inlineStr">
        <is>
          <t>1993-05-04</t>
        </is>
      </c>
      <c r="Y1110" t="n">
        <v>323</v>
      </c>
      <c r="Z1110" t="n">
        <v>257</v>
      </c>
      <c r="AA1110" t="n">
        <v>264</v>
      </c>
      <c r="AB1110" t="n">
        <v>3</v>
      </c>
      <c r="AC1110" t="n">
        <v>3</v>
      </c>
      <c r="AD1110" t="n">
        <v>12</v>
      </c>
      <c r="AE1110" t="n">
        <v>12</v>
      </c>
      <c r="AF1110" t="n">
        <v>2</v>
      </c>
      <c r="AG1110" t="n">
        <v>2</v>
      </c>
      <c r="AH1110" t="n">
        <v>4</v>
      </c>
      <c r="AI1110" t="n">
        <v>4</v>
      </c>
      <c r="AJ1110" t="n">
        <v>5</v>
      </c>
      <c r="AK1110" t="n">
        <v>5</v>
      </c>
      <c r="AL1110" t="n">
        <v>2</v>
      </c>
      <c r="AM1110" t="n">
        <v>2</v>
      </c>
      <c r="AN1110" t="n">
        <v>0</v>
      </c>
      <c r="AO1110" t="n">
        <v>0</v>
      </c>
      <c r="AP1110" t="inlineStr">
        <is>
          <t>No</t>
        </is>
      </c>
      <c r="AQ1110" t="inlineStr">
        <is>
          <t>Yes</t>
        </is>
      </c>
      <c r="AR1110">
        <f>HYPERLINK("http://catalog.hathitrust.org/Record/000728412","HathiTrust Record")</f>
        <v/>
      </c>
      <c r="AS1110">
        <f>HYPERLINK("https://creighton-primo.hosted.exlibrisgroup.com/primo-explore/search?tab=default_tab&amp;search_scope=EVERYTHING&amp;vid=01CRU&amp;lang=en_US&amp;offset=0&amp;query=any,contains,991004270979702656","Catalog Record")</f>
        <v/>
      </c>
      <c r="AT1110">
        <f>HYPERLINK("http://www.worldcat.org/oclc/2875916","WorldCat Record")</f>
        <v/>
      </c>
      <c r="AU1110" t="inlineStr">
        <is>
          <t>292831112:eng</t>
        </is>
      </c>
      <c r="AV1110" t="inlineStr">
        <is>
          <t>2875916</t>
        </is>
      </c>
      <c r="AW1110" t="inlineStr">
        <is>
          <t>991004270979702656</t>
        </is>
      </c>
      <c r="AX1110" t="inlineStr">
        <is>
          <t>991004270979702656</t>
        </is>
      </c>
      <c r="AY1110" t="inlineStr">
        <is>
          <t>2258111470002656</t>
        </is>
      </c>
      <c r="AZ1110" t="inlineStr">
        <is>
          <t>BOOK</t>
        </is>
      </c>
      <c r="BB1110" t="inlineStr">
        <is>
          <t>9780826202222</t>
        </is>
      </c>
      <c r="BC1110" t="inlineStr">
        <is>
          <t>32285001633154</t>
        </is>
      </c>
      <c r="BD1110" t="inlineStr">
        <is>
          <t>893599641</t>
        </is>
      </c>
    </row>
    <row r="1111">
      <c r="A1111" t="inlineStr">
        <is>
          <t>No</t>
        </is>
      </c>
      <c r="B1111" t="inlineStr">
        <is>
          <t>DS461.8 .G8 1961</t>
        </is>
      </c>
      <c r="C1111" t="inlineStr">
        <is>
          <t>0                      DS 0461800G  8           1961</t>
        </is>
      </c>
      <c r="D1111" t="inlineStr">
        <is>
          <t>Marathas and Panipat / edited by Hari Ram Gupta.</t>
        </is>
      </c>
      <c r="F1111" t="inlineStr">
        <is>
          <t>No</t>
        </is>
      </c>
      <c r="G1111" t="inlineStr">
        <is>
          <t>1</t>
        </is>
      </c>
      <c r="H1111" t="inlineStr">
        <is>
          <t>No</t>
        </is>
      </c>
      <c r="I1111" t="inlineStr">
        <is>
          <t>No</t>
        </is>
      </c>
      <c r="J1111" t="inlineStr">
        <is>
          <t>0</t>
        </is>
      </c>
      <c r="K1111" t="inlineStr">
        <is>
          <t>Gupta, Hari Ram, editor.</t>
        </is>
      </c>
      <c r="L1111" t="inlineStr">
        <is>
          <t>Chandigarh : Panjab University, 1961.</t>
        </is>
      </c>
      <c r="M1111" t="inlineStr">
        <is>
          <t>1961</t>
        </is>
      </c>
      <c r="N1111" t="inlineStr">
        <is>
          <t>[1st ed.]</t>
        </is>
      </c>
      <c r="O1111" t="inlineStr">
        <is>
          <t>eng</t>
        </is>
      </c>
      <c r="P1111" t="inlineStr">
        <is>
          <t xml:space="preserve">ii </t>
        </is>
      </c>
      <c r="R1111" t="inlineStr">
        <is>
          <t xml:space="preserve">DS </t>
        </is>
      </c>
      <c r="S1111" t="n">
        <v>14</v>
      </c>
      <c r="T1111" t="n">
        <v>14</v>
      </c>
      <c r="U1111" t="inlineStr">
        <is>
          <t>2007-04-14</t>
        </is>
      </c>
      <c r="V1111" t="inlineStr">
        <is>
          <t>2007-04-14</t>
        </is>
      </c>
      <c r="W1111" t="inlineStr">
        <is>
          <t>1995-12-21</t>
        </is>
      </c>
      <c r="X1111" t="inlineStr">
        <is>
          <t>1995-12-21</t>
        </is>
      </c>
      <c r="Y1111" t="n">
        <v>53</v>
      </c>
      <c r="Z1111" t="n">
        <v>33</v>
      </c>
      <c r="AA1111" t="n">
        <v>35</v>
      </c>
      <c r="AB1111" t="n">
        <v>1</v>
      </c>
      <c r="AC1111" t="n">
        <v>1</v>
      </c>
      <c r="AD1111" t="n">
        <v>0</v>
      </c>
      <c r="AE1111" t="n">
        <v>0</v>
      </c>
      <c r="AF1111" t="n">
        <v>0</v>
      </c>
      <c r="AG1111" t="n">
        <v>0</v>
      </c>
      <c r="AH1111" t="n">
        <v>0</v>
      </c>
      <c r="AI1111" t="n">
        <v>0</v>
      </c>
      <c r="AJ1111" t="n">
        <v>0</v>
      </c>
      <c r="AK1111" t="n">
        <v>0</v>
      </c>
      <c r="AL1111" t="n">
        <v>0</v>
      </c>
      <c r="AM1111" t="n">
        <v>0</v>
      </c>
      <c r="AN1111" t="n">
        <v>0</v>
      </c>
      <c r="AO1111" t="n">
        <v>0</v>
      </c>
      <c r="AP1111" t="inlineStr">
        <is>
          <t>No</t>
        </is>
      </c>
      <c r="AQ1111" t="inlineStr">
        <is>
          <t>Yes</t>
        </is>
      </c>
      <c r="AR1111">
        <f>HYPERLINK("http://catalog.hathitrust.org/Record/001251301","HathiTrust Record")</f>
        <v/>
      </c>
      <c r="AS1111">
        <f>HYPERLINK("https://creighton-primo.hosted.exlibrisgroup.com/primo-explore/search?tab=default_tab&amp;search_scope=EVERYTHING&amp;vid=01CRU&amp;lang=en_US&amp;offset=0&amp;query=any,contains,991004397009702656","Catalog Record")</f>
        <v/>
      </c>
      <c r="AT1111">
        <f>HYPERLINK("http://www.worldcat.org/oclc/3283470","WorldCat Record")</f>
        <v/>
      </c>
      <c r="AU1111" t="inlineStr">
        <is>
          <t>9483122:eng</t>
        </is>
      </c>
      <c r="AV1111" t="inlineStr">
        <is>
          <t>3283470</t>
        </is>
      </c>
      <c r="AW1111" t="inlineStr">
        <is>
          <t>991004397009702656</t>
        </is>
      </c>
      <c r="AX1111" t="inlineStr">
        <is>
          <t>991004397009702656</t>
        </is>
      </c>
      <c r="AY1111" t="inlineStr">
        <is>
          <t>2257692110002656</t>
        </is>
      </c>
      <c r="AZ1111" t="inlineStr">
        <is>
          <t>BOOK</t>
        </is>
      </c>
      <c r="BC1111" t="inlineStr">
        <is>
          <t>32285002120367</t>
        </is>
      </c>
      <c r="BD1111" t="inlineStr">
        <is>
          <t>893775973</t>
        </is>
      </c>
    </row>
    <row r="1112">
      <c r="A1112" t="inlineStr">
        <is>
          <t>No</t>
        </is>
      </c>
      <c r="B1112" t="inlineStr">
        <is>
          <t>DS461.8.S274 F3</t>
        </is>
      </c>
      <c r="C1112" t="inlineStr">
        <is>
          <t>0                      DS 0461800S  274                F  3</t>
        </is>
      </c>
      <c r="D1112" t="inlineStr">
        <is>
          <t>Fall of the Mughal Empire.</t>
        </is>
      </c>
      <c r="E1112" t="inlineStr">
        <is>
          <t>V.1</t>
        </is>
      </c>
      <c r="F1112" t="inlineStr">
        <is>
          <t>Yes</t>
        </is>
      </c>
      <c r="G1112" t="inlineStr">
        <is>
          <t>1</t>
        </is>
      </c>
      <c r="H1112" t="inlineStr">
        <is>
          <t>No</t>
        </is>
      </c>
      <c r="I1112" t="inlineStr">
        <is>
          <t>No</t>
        </is>
      </c>
      <c r="J1112" t="inlineStr">
        <is>
          <t>0</t>
        </is>
      </c>
      <c r="K1112" t="inlineStr">
        <is>
          <t>Sarkar, Jadunath, Sir, 1870-1958.</t>
        </is>
      </c>
      <c r="L1112" t="inlineStr">
        <is>
          <t>New York, AMS Press [1972]</t>
        </is>
      </c>
      <c r="M1112" t="inlineStr">
        <is>
          <t>1972</t>
        </is>
      </c>
      <c r="N1112" t="inlineStr">
        <is>
          <t>2d ed., rev. and corr.</t>
        </is>
      </c>
      <c r="O1112" t="inlineStr">
        <is>
          <t>eng</t>
        </is>
      </c>
      <c r="P1112" t="inlineStr">
        <is>
          <t>nyu</t>
        </is>
      </c>
      <c r="R1112" t="inlineStr">
        <is>
          <t xml:space="preserve">DS </t>
        </is>
      </c>
      <c r="S1112" t="n">
        <v>4</v>
      </c>
      <c r="T1112" t="n">
        <v>58</v>
      </c>
      <c r="U1112" t="inlineStr">
        <is>
          <t>2000-09-13</t>
        </is>
      </c>
      <c r="V1112" t="inlineStr">
        <is>
          <t>2010-01-07</t>
        </is>
      </c>
      <c r="W1112" t="inlineStr">
        <is>
          <t>1997-03-10</t>
        </is>
      </c>
      <c r="X1112" t="inlineStr">
        <is>
          <t>1997-03-10</t>
        </is>
      </c>
      <c r="Y1112" t="n">
        <v>139</v>
      </c>
      <c r="Z1112" t="n">
        <v>119</v>
      </c>
      <c r="AA1112" t="n">
        <v>123</v>
      </c>
      <c r="AB1112" t="n">
        <v>2</v>
      </c>
      <c r="AC1112" t="n">
        <v>2</v>
      </c>
      <c r="AD1112" t="n">
        <v>3</v>
      </c>
      <c r="AE1112" t="n">
        <v>3</v>
      </c>
      <c r="AF1112" t="n">
        <v>0</v>
      </c>
      <c r="AG1112" t="n">
        <v>0</v>
      </c>
      <c r="AH1112" t="n">
        <v>2</v>
      </c>
      <c r="AI1112" t="n">
        <v>2</v>
      </c>
      <c r="AJ1112" t="n">
        <v>2</v>
      </c>
      <c r="AK1112" t="n">
        <v>2</v>
      </c>
      <c r="AL1112" t="n">
        <v>1</v>
      </c>
      <c r="AM1112" t="n">
        <v>1</v>
      </c>
      <c r="AN1112" t="n">
        <v>0</v>
      </c>
      <c r="AO1112" t="n">
        <v>0</v>
      </c>
      <c r="AP1112" t="inlineStr">
        <is>
          <t>No</t>
        </is>
      </c>
      <c r="AQ1112" t="inlineStr">
        <is>
          <t>Yes</t>
        </is>
      </c>
      <c r="AR1112">
        <f>HYPERLINK("http://catalog.hathitrust.org/Record/010085655","HathiTrust Record")</f>
        <v/>
      </c>
      <c r="AS1112">
        <f>HYPERLINK("https://creighton-primo.hosted.exlibrisgroup.com/primo-explore/search?tab=default_tab&amp;search_scope=EVERYTHING&amp;vid=01CRU&amp;lang=en_US&amp;offset=0&amp;query=any,contains,991002800769702656","Catalog Record")</f>
        <v/>
      </c>
      <c r="AT1112">
        <f>HYPERLINK("http://www.worldcat.org/oclc/447217","WorldCat Record")</f>
        <v/>
      </c>
      <c r="AU1112" t="inlineStr">
        <is>
          <t>9463317375:eng</t>
        </is>
      </c>
      <c r="AV1112" t="inlineStr">
        <is>
          <t>447217</t>
        </is>
      </c>
      <c r="AW1112" t="inlineStr">
        <is>
          <t>991002800769702656</t>
        </is>
      </c>
      <c r="AX1112" t="inlineStr">
        <is>
          <t>991002800769702656</t>
        </is>
      </c>
      <c r="AY1112" t="inlineStr">
        <is>
          <t>2268437890002656</t>
        </is>
      </c>
      <c r="AZ1112" t="inlineStr">
        <is>
          <t>BOOK</t>
        </is>
      </c>
      <c r="BB1112" t="inlineStr">
        <is>
          <t>9780404055806</t>
        </is>
      </c>
      <c r="BC1112" t="inlineStr">
        <is>
          <t>32285002456928</t>
        </is>
      </c>
      <c r="BD1112" t="inlineStr">
        <is>
          <t>893428050</t>
        </is>
      </c>
    </row>
    <row r="1113">
      <c r="A1113" t="inlineStr">
        <is>
          <t>No</t>
        </is>
      </c>
      <c r="B1113" t="inlineStr">
        <is>
          <t>DS461.8.S274 F3</t>
        </is>
      </c>
      <c r="C1113" t="inlineStr">
        <is>
          <t>0                      DS 0461800S  274                F  3</t>
        </is>
      </c>
      <c r="D1113" t="inlineStr">
        <is>
          <t>Fall of the Mughal Empire.</t>
        </is>
      </c>
      <c r="E1113" t="inlineStr">
        <is>
          <t>V.4</t>
        </is>
      </c>
      <c r="F1113" t="inlineStr">
        <is>
          <t>Yes</t>
        </is>
      </c>
      <c r="G1113" t="inlineStr">
        <is>
          <t>1</t>
        </is>
      </c>
      <c r="H1113" t="inlineStr">
        <is>
          <t>No</t>
        </is>
      </c>
      <c r="I1113" t="inlineStr">
        <is>
          <t>No</t>
        </is>
      </c>
      <c r="J1113" t="inlineStr">
        <is>
          <t>0</t>
        </is>
      </c>
      <c r="K1113" t="inlineStr">
        <is>
          <t>Sarkar, Jadunath, Sir, 1870-1958.</t>
        </is>
      </c>
      <c r="L1113" t="inlineStr">
        <is>
          <t>New York, AMS Press [1972]</t>
        </is>
      </c>
      <c r="M1113" t="inlineStr">
        <is>
          <t>1972</t>
        </is>
      </c>
      <c r="N1113" t="inlineStr">
        <is>
          <t>2d ed., rev. and corr.</t>
        </is>
      </c>
      <c r="O1113" t="inlineStr">
        <is>
          <t>eng</t>
        </is>
      </c>
      <c r="P1113" t="inlineStr">
        <is>
          <t>nyu</t>
        </is>
      </c>
      <c r="R1113" t="inlineStr">
        <is>
          <t xml:space="preserve">DS </t>
        </is>
      </c>
      <c r="S1113" t="n">
        <v>25</v>
      </c>
      <c r="T1113" t="n">
        <v>58</v>
      </c>
      <c r="U1113" t="inlineStr">
        <is>
          <t>2010-01-07</t>
        </is>
      </c>
      <c r="V1113" t="inlineStr">
        <is>
          <t>2010-01-07</t>
        </is>
      </c>
      <c r="W1113" t="inlineStr">
        <is>
          <t>1997-03-10</t>
        </is>
      </c>
      <c r="X1113" t="inlineStr">
        <is>
          <t>1997-03-10</t>
        </is>
      </c>
      <c r="Y1113" t="n">
        <v>139</v>
      </c>
      <c r="Z1113" t="n">
        <v>119</v>
      </c>
      <c r="AA1113" t="n">
        <v>123</v>
      </c>
      <c r="AB1113" t="n">
        <v>2</v>
      </c>
      <c r="AC1113" t="n">
        <v>2</v>
      </c>
      <c r="AD1113" t="n">
        <v>3</v>
      </c>
      <c r="AE1113" t="n">
        <v>3</v>
      </c>
      <c r="AF1113" t="n">
        <v>0</v>
      </c>
      <c r="AG1113" t="n">
        <v>0</v>
      </c>
      <c r="AH1113" t="n">
        <v>2</v>
      </c>
      <c r="AI1113" t="n">
        <v>2</v>
      </c>
      <c r="AJ1113" t="n">
        <v>2</v>
      </c>
      <c r="AK1113" t="n">
        <v>2</v>
      </c>
      <c r="AL1113" t="n">
        <v>1</v>
      </c>
      <c r="AM1113" t="n">
        <v>1</v>
      </c>
      <c r="AN1113" t="n">
        <v>0</v>
      </c>
      <c r="AO1113" t="n">
        <v>0</v>
      </c>
      <c r="AP1113" t="inlineStr">
        <is>
          <t>No</t>
        </is>
      </c>
      <c r="AQ1113" t="inlineStr">
        <is>
          <t>Yes</t>
        </is>
      </c>
      <c r="AR1113">
        <f>HYPERLINK("http://catalog.hathitrust.org/Record/010085655","HathiTrust Record")</f>
        <v/>
      </c>
      <c r="AS1113">
        <f>HYPERLINK("https://creighton-primo.hosted.exlibrisgroup.com/primo-explore/search?tab=default_tab&amp;search_scope=EVERYTHING&amp;vid=01CRU&amp;lang=en_US&amp;offset=0&amp;query=any,contains,991002800769702656","Catalog Record")</f>
        <v/>
      </c>
      <c r="AT1113">
        <f>HYPERLINK("http://www.worldcat.org/oclc/447217","WorldCat Record")</f>
        <v/>
      </c>
      <c r="AU1113" t="inlineStr">
        <is>
          <t>9463317375:eng</t>
        </is>
      </c>
      <c r="AV1113" t="inlineStr">
        <is>
          <t>447217</t>
        </is>
      </c>
      <c r="AW1113" t="inlineStr">
        <is>
          <t>991002800769702656</t>
        </is>
      </c>
      <c r="AX1113" t="inlineStr">
        <is>
          <t>991002800769702656</t>
        </is>
      </c>
      <c r="AY1113" t="inlineStr">
        <is>
          <t>2268437890002656</t>
        </is>
      </c>
      <c r="AZ1113" t="inlineStr">
        <is>
          <t>BOOK</t>
        </is>
      </c>
      <c r="BB1113" t="inlineStr">
        <is>
          <t>9780404055806</t>
        </is>
      </c>
      <c r="BC1113" t="inlineStr">
        <is>
          <t>32285002456951</t>
        </is>
      </c>
      <c r="BD1113" t="inlineStr">
        <is>
          <t>893445372</t>
        </is>
      </c>
    </row>
    <row r="1114">
      <c r="A1114" t="inlineStr">
        <is>
          <t>No</t>
        </is>
      </c>
      <c r="B1114" t="inlineStr">
        <is>
          <t>DS461.8.S274 F3</t>
        </is>
      </c>
      <c r="C1114" t="inlineStr">
        <is>
          <t>0                      DS 0461800S  274                F  3</t>
        </is>
      </c>
      <c r="D1114" t="inlineStr">
        <is>
          <t>Fall of the Mughal Empire.</t>
        </is>
      </c>
      <c r="E1114" t="inlineStr">
        <is>
          <t>V.2</t>
        </is>
      </c>
      <c r="F1114" t="inlineStr">
        <is>
          <t>Yes</t>
        </is>
      </c>
      <c r="G1114" t="inlineStr">
        <is>
          <t>1</t>
        </is>
      </c>
      <c r="H1114" t="inlineStr">
        <is>
          <t>No</t>
        </is>
      </c>
      <c r="I1114" t="inlineStr">
        <is>
          <t>No</t>
        </is>
      </c>
      <c r="J1114" t="inlineStr">
        <is>
          <t>0</t>
        </is>
      </c>
      <c r="K1114" t="inlineStr">
        <is>
          <t>Sarkar, Jadunath, Sir, 1870-1958.</t>
        </is>
      </c>
      <c r="L1114" t="inlineStr">
        <is>
          <t>New York, AMS Press [1972]</t>
        </is>
      </c>
      <c r="M1114" t="inlineStr">
        <is>
          <t>1972</t>
        </is>
      </c>
      <c r="N1114" t="inlineStr">
        <is>
          <t>2d ed., rev. and corr.</t>
        </is>
      </c>
      <c r="O1114" t="inlineStr">
        <is>
          <t>eng</t>
        </is>
      </c>
      <c r="P1114" t="inlineStr">
        <is>
          <t>nyu</t>
        </is>
      </c>
      <c r="R1114" t="inlineStr">
        <is>
          <t xml:space="preserve">DS </t>
        </is>
      </c>
      <c r="S1114" t="n">
        <v>4</v>
      </c>
      <c r="T1114" t="n">
        <v>58</v>
      </c>
      <c r="U1114" t="inlineStr">
        <is>
          <t>2000-09-13</t>
        </is>
      </c>
      <c r="V1114" t="inlineStr">
        <is>
          <t>2010-01-07</t>
        </is>
      </c>
      <c r="W1114" t="inlineStr">
        <is>
          <t>1997-03-10</t>
        </is>
      </c>
      <c r="X1114" t="inlineStr">
        <is>
          <t>1997-03-10</t>
        </is>
      </c>
      <c r="Y1114" t="n">
        <v>139</v>
      </c>
      <c r="Z1114" t="n">
        <v>119</v>
      </c>
      <c r="AA1114" t="n">
        <v>123</v>
      </c>
      <c r="AB1114" t="n">
        <v>2</v>
      </c>
      <c r="AC1114" t="n">
        <v>2</v>
      </c>
      <c r="AD1114" t="n">
        <v>3</v>
      </c>
      <c r="AE1114" t="n">
        <v>3</v>
      </c>
      <c r="AF1114" t="n">
        <v>0</v>
      </c>
      <c r="AG1114" t="n">
        <v>0</v>
      </c>
      <c r="AH1114" t="n">
        <v>2</v>
      </c>
      <c r="AI1114" t="n">
        <v>2</v>
      </c>
      <c r="AJ1114" t="n">
        <v>2</v>
      </c>
      <c r="AK1114" t="n">
        <v>2</v>
      </c>
      <c r="AL1114" t="n">
        <v>1</v>
      </c>
      <c r="AM1114" t="n">
        <v>1</v>
      </c>
      <c r="AN1114" t="n">
        <v>0</v>
      </c>
      <c r="AO1114" t="n">
        <v>0</v>
      </c>
      <c r="AP1114" t="inlineStr">
        <is>
          <t>No</t>
        </is>
      </c>
      <c r="AQ1114" t="inlineStr">
        <is>
          <t>Yes</t>
        </is>
      </c>
      <c r="AR1114">
        <f>HYPERLINK("http://catalog.hathitrust.org/Record/010085655","HathiTrust Record")</f>
        <v/>
      </c>
      <c r="AS1114">
        <f>HYPERLINK("https://creighton-primo.hosted.exlibrisgroup.com/primo-explore/search?tab=default_tab&amp;search_scope=EVERYTHING&amp;vid=01CRU&amp;lang=en_US&amp;offset=0&amp;query=any,contains,991002800769702656","Catalog Record")</f>
        <v/>
      </c>
      <c r="AT1114">
        <f>HYPERLINK("http://www.worldcat.org/oclc/447217","WorldCat Record")</f>
        <v/>
      </c>
      <c r="AU1114" t="inlineStr">
        <is>
          <t>9463317375:eng</t>
        </is>
      </c>
      <c r="AV1114" t="inlineStr">
        <is>
          <t>447217</t>
        </is>
      </c>
      <c r="AW1114" t="inlineStr">
        <is>
          <t>991002800769702656</t>
        </is>
      </c>
      <c r="AX1114" t="inlineStr">
        <is>
          <t>991002800769702656</t>
        </is>
      </c>
      <c r="AY1114" t="inlineStr">
        <is>
          <t>2268437890002656</t>
        </is>
      </c>
      <c r="AZ1114" t="inlineStr">
        <is>
          <t>BOOK</t>
        </is>
      </c>
      <c r="BB1114" t="inlineStr">
        <is>
          <t>9780404055806</t>
        </is>
      </c>
      <c r="BC1114" t="inlineStr">
        <is>
          <t>32285002456936</t>
        </is>
      </c>
      <c r="BD1114" t="inlineStr">
        <is>
          <t>893428051</t>
        </is>
      </c>
    </row>
    <row r="1115">
      <c r="A1115" t="inlineStr">
        <is>
          <t>No</t>
        </is>
      </c>
      <c r="B1115" t="inlineStr">
        <is>
          <t>DS461.8.S274 F3</t>
        </is>
      </c>
      <c r="C1115" t="inlineStr">
        <is>
          <t>0                      DS 0461800S  274                F  3</t>
        </is>
      </c>
      <c r="D1115" t="inlineStr">
        <is>
          <t>Fall of the Mughal Empire.</t>
        </is>
      </c>
      <c r="E1115" t="inlineStr">
        <is>
          <t>V.3</t>
        </is>
      </c>
      <c r="F1115" t="inlineStr">
        <is>
          <t>Yes</t>
        </is>
      </c>
      <c r="G1115" t="inlineStr">
        <is>
          <t>1</t>
        </is>
      </c>
      <c r="H1115" t="inlineStr">
        <is>
          <t>No</t>
        </is>
      </c>
      <c r="I1115" t="inlineStr">
        <is>
          <t>No</t>
        </is>
      </c>
      <c r="J1115" t="inlineStr">
        <is>
          <t>0</t>
        </is>
      </c>
      <c r="K1115" t="inlineStr">
        <is>
          <t>Sarkar, Jadunath, Sir, 1870-1958.</t>
        </is>
      </c>
      <c r="L1115" t="inlineStr">
        <is>
          <t>New York, AMS Press [1972]</t>
        </is>
      </c>
      <c r="M1115" t="inlineStr">
        <is>
          <t>1972</t>
        </is>
      </c>
      <c r="N1115" t="inlineStr">
        <is>
          <t>2d ed., rev. and corr.</t>
        </is>
      </c>
      <c r="O1115" t="inlineStr">
        <is>
          <t>eng</t>
        </is>
      </c>
      <c r="P1115" t="inlineStr">
        <is>
          <t>nyu</t>
        </is>
      </c>
      <c r="R1115" t="inlineStr">
        <is>
          <t xml:space="preserve">DS </t>
        </is>
      </c>
      <c r="S1115" t="n">
        <v>25</v>
      </c>
      <c r="T1115" t="n">
        <v>58</v>
      </c>
      <c r="U1115" t="inlineStr">
        <is>
          <t>2010-01-07</t>
        </is>
      </c>
      <c r="V1115" t="inlineStr">
        <is>
          <t>2010-01-07</t>
        </is>
      </c>
      <c r="W1115" t="inlineStr">
        <is>
          <t>1997-03-10</t>
        </is>
      </c>
      <c r="X1115" t="inlineStr">
        <is>
          <t>1997-03-10</t>
        </is>
      </c>
      <c r="Y1115" t="n">
        <v>139</v>
      </c>
      <c r="Z1115" t="n">
        <v>119</v>
      </c>
      <c r="AA1115" t="n">
        <v>123</v>
      </c>
      <c r="AB1115" t="n">
        <v>2</v>
      </c>
      <c r="AC1115" t="n">
        <v>2</v>
      </c>
      <c r="AD1115" t="n">
        <v>3</v>
      </c>
      <c r="AE1115" t="n">
        <v>3</v>
      </c>
      <c r="AF1115" t="n">
        <v>0</v>
      </c>
      <c r="AG1115" t="n">
        <v>0</v>
      </c>
      <c r="AH1115" t="n">
        <v>2</v>
      </c>
      <c r="AI1115" t="n">
        <v>2</v>
      </c>
      <c r="AJ1115" t="n">
        <v>2</v>
      </c>
      <c r="AK1115" t="n">
        <v>2</v>
      </c>
      <c r="AL1115" t="n">
        <v>1</v>
      </c>
      <c r="AM1115" t="n">
        <v>1</v>
      </c>
      <c r="AN1115" t="n">
        <v>0</v>
      </c>
      <c r="AO1115" t="n">
        <v>0</v>
      </c>
      <c r="AP1115" t="inlineStr">
        <is>
          <t>No</t>
        </is>
      </c>
      <c r="AQ1115" t="inlineStr">
        <is>
          <t>Yes</t>
        </is>
      </c>
      <c r="AR1115">
        <f>HYPERLINK("http://catalog.hathitrust.org/Record/010085655","HathiTrust Record")</f>
        <v/>
      </c>
      <c r="AS1115">
        <f>HYPERLINK("https://creighton-primo.hosted.exlibrisgroup.com/primo-explore/search?tab=default_tab&amp;search_scope=EVERYTHING&amp;vid=01CRU&amp;lang=en_US&amp;offset=0&amp;query=any,contains,991002800769702656","Catalog Record")</f>
        <v/>
      </c>
      <c r="AT1115">
        <f>HYPERLINK("http://www.worldcat.org/oclc/447217","WorldCat Record")</f>
        <v/>
      </c>
      <c r="AU1115" t="inlineStr">
        <is>
          <t>9463317375:eng</t>
        </is>
      </c>
      <c r="AV1115" t="inlineStr">
        <is>
          <t>447217</t>
        </is>
      </c>
      <c r="AW1115" t="inlineStr">
        <is>
          <t>991002800769702656</t>
        </is>
      </c>
      <c r="AX1115" t="inlineStr">
        <is>
          <t>991002800769702656</t>
        </is>
      </c>
      <c r="AY1115" t="inlineStr">
        <is>
          <t>2268437890002656</t>
        </is>
      </c>
      <c r="AZ1115" t="inlineStr">
        <is>
          <t>BOOK</t>
        </is>
      </c>
      <c r="BB1115" t="inlineStr">
        <is>
          <t>9780404055806</t>
        </is>
      </c>
      <c r="BC1115" t="inlineStr">
        <is>
          <t>32285002456944</t>
        </is>
      </c>
      <c r="BD1115" t="inlineStr">
        <is>
          <t>893415668</t>
        </is>
      </c>
    </row>
    <row r="1116">
      <c r="A1116" t="inlineStr">
        <is>
          <t>No</t>
        </is>
      </c>
      <c r="B1116" t="inlineStr">
        <is>
          <t>DS461.9.A1 E7 2004</t>
        </is>
      </c>
      <c r="C1116" t="inlineStr">
        <is>
          <t>0                      DS 0461900A  1                  E  7           2004</t>
        </is>
      </c>
      <c r="D1116" t="inlineStr">
        <is>
          <t>The Mughal throne : the saga of India's great emperors / Abraham Eraly.</t>
        </is>
      </c>
      <c r="F1116" t="inlineStr">
        <is>
          <t>No</t>
        </is>
      </c>
      <c r="G1116" t="inlineStr">
        <is>
          <t>1</t>
        </is>
      </c>
      <c r="H1116" t="inlineStr">
        <is>
          <t>No</t>
        </is>
      </c>
      <c r="I1116" t="inlineStr">
        <is>
          <t>No</t>
        </is>
      </c>
      <c r="J1116" t="inlineStr">
        <is>
          <t>0</t>
        </is>
      </c>
      <c r="K1116" t="inlineStr">
        <is>
          <t>Eraly, Abraham.</t>
        </is>
      </c>
      <c r="L1116" t="inlineStr">
        <is>
          <t>London : Phoenix, 2004.</t>
        </is>
      </c>
      <c r="M1116" t="inlineStr">
        <is>
          <t>2004</t>
        </is>
      </c>
      <c r="N1116" t="inlineStr">
        <is>
          <t>Pbk. ed.</t>
        </is>
      </c>
      <c r="O1116" t="inlineStr">
        <is>
          <t>eng</t>
        </is>
      </c>
      <c r="P1116" t="inlineStr">
        <is>
          <t>enk</t>
        </is>
      </c>
      <c r="R1116" t="inlineStr">
        <is>
          <t xml:space="preserve">DS </t>
        </is>
      </c>
      <c r="S1116" t="n">
        <v>3</v>
      </c>
      <c r="T1116" t="n">
        <v>3</v>
      </c>
      <c r="U1116" t="inlineStr">
        <is>
          <t>2005-07-22</t>
        </is>
      </c>
      <c r="V1116" t="inlineStr">
        <is>
          <t>2005-07-22</t>
        </is>
      </c>
      <c r="W1116" t="inlineStr">
        <is>
          <t>2005-05-19</t>
        </is>
      </c>
      <c r="X1116" t="inlineStr">
        <is>
          <t>2005-05-19</t>
        </is>
      </c>
      <c r="Y1116" t="n">
        <v>274</v>
      </c>
      <c r="Z1116" t="n">
        <v>236</v>
      </c>
      <c r="AA1116" t="n">
        <v>298</v>
      </c>
      <c r="AB1116" t="n">
        <v>2</v>
      </c>
      <c r="AC1116" t="n">
        <v>2</v>
      </c>
      <c r="AD1116" t="n">
        <v>4</v>
      </c>
      <c r="AE1116" t="n">
        <v>6</v>
      </c>
      <c r="AF1116" t="n">
        <v>2</v>
      </c>
      <c r="AG1116" t="n">
        <v>3</v>
      </c>
      <c r="AH1116" t="n">
        <v>0</v>
      </c>
      <c r="AI1116" t="n">
        <v>1</v>
      </c>
      <c r="AJ1116" t="n">
        <v>1</v>
      </c>
      <c r="AK1116" t="n">
        <v>3</v>
      </c>
      <c r="AL1116" t="n">
        <v>1</v>
      </c>
      <c r="AM1116" t="n">
        <v>1</v>
      </c>
      <c r="AN1116" t="n">
        <v>0</v>
      </c>
      <c r="AO1116" t="n">
        <v>0</v>
      </c>
      <c r="AP1116" t="inlineStr">
        <is>
          <t>No</t>
        </is>
      </c>
      <c r="AQ1116" t="inlineStr">
        <is>
          <t>No</t>
        </is>
      </c>
      <c r="AS1116">
        <f>HYPERLINK("https://creighton-primo.hosted.exlibrisgroup.com/primo-explore/search?tab=default_tab&amp;search_scope=EVERYTHING&amp;vid=01CRU&amp;lang=en_US&amp;offset=0&amp;query=any,contains,991004458879702656","Catalog Record")</f>
        <v/>
      </c>
      <c r="AT1116">
        <f>HYPERLINK("http://www.worldcat.org/oclc/57519526","WorldCat Record")</f>
        <v/>
      </c>
      <c r="AU1116" t="inlineStr">
        <is>
          <t>197586918:eng</t>
        </is>
      </c>
      <c r="AV1116" t="inlineStr">
        <is>
          <t>57519526</t>
        </is>
      </c>
      <c r="AW1116" t="inlineStr">
        <is>
          <t>991004458879702656</t>
        </is>
      </c>
      <c r="AX1116" t="inlineStr">
        <is>
          <t>991004458879702656</t>
        </is>
      </c>
      <c r="AY1116" t="inlineStr">
        <is>
          <t>2256399550002656</t>
        </is>
      </c>
      <c r="AZ1116" t="inlineStr">
        <is>
          <t>BOOK</t>
        </is>
      </c>
      <c r="BB1116" t="inlineStr">
        <is>
          <t>9780753817582</t>
        </is>
      </c>
      <c r="BC1116" t="inlineStr">
        <is>
          <t>32285005037907</t>
        </is>
      </c>
      <c r="BD1116" t="inlineStr">
        <is>
          <t>893888731</t>
        </is>
      </c>
    </row>
    <row r="1117">
      <c r="A1117" t="inlineStr">
        <is>
          <t>No</t>
        </is>
      </c>
      <c r="B1117" t="inlineStr">
        <is>
          <t>DS462 .H87</t>
        </is>
      </c>
      <c r="C1117" t="inlineStr">
        <is>
          <t>0                      DS 0462000H  87</t>
        </is>
      </c>
      <c r="D1117" t="inlineStr">
        <is>
          <t>European freebooters in Moghul India.</t>
        </is>
      </c>
      <c r="F1117" t="inlineStr">
        <is>
          <t>No</t>
        </is>
      </c>
      <c r="G1117" t="inlineStr">
        <is>
          <t>1</t>
        </is>
      </c>
      <c r="H1117" t="inlineStr">
        <is>
          <t>No</t>
        </is>
      </c>
      <c r="I1117" t="inlineStr">
        <is>
          <t>No</t>
        </is>
      </c>
      <c r="J1117" t="inlineStr">
        <is>
          <t>0</t>
        </is>
      </c>
      <c r="K1117" t="inlineStr">
        <is>
          <t>Hutchinson, Lester, 1904-</t>
        </is>
      </c>
      <c r="L1117" t="inlineStr">
        <is>
          <t>London, Asia Pub. House [1964]</t>
        </is>
      </c>
      <c r="M1117" t="inlineStr">
        <is>
          <t>1964</t>
        </is>
      </c>
      <c r="O1117" t="inlineStr">
        <is>
          <t>eng</t>
        </is>
      </c>
      <c r="P1117" t="inlineStr">
        <is>
          <t>enk</t>
        </is>
      </c>
      <c r="R1117" t="inlineStr">
        <is>
          <t xml:space="preserve">DS </t>
        </is>
      </c>
      <c r="S1117" t="n">
        <v>26</v>
      </c>
      <c r="T1117" t="n">
        <v>26</v>
      </c>
      <c r="U1117" t="inlineStr">
        <is>
          <t>2010-04-20</t>
        </is>
      </c>
      <c r="V1117" t="inlineStr">
        <is>
          <t>2010-04-20</t>
        </is>
      </c>
      <c r="W1117" t="inlineStr">
        <is>
          <t>1997-03-10</t>
        </is>
      </c>
      <c r="X1117" t="inlineStr">
        <is>
          <t>1997-03-10</t>
        </is>
      </c>
      <c r="Y1117" t="n">
        <v>247</v>
      </c>
      <c r="Z1117" t="n">
        <v>180</v>
      </c>
      <c r="AA1117" t="n">
        <v>184</v>
      </c>
      <c r="AB1117" t="n">
        <v>1</v>
      </c>
      <c r="AC1117" t="n">
        <v>1</v>
      </c>
      <c r="AD1117" t="n">
        <v>4</v>
      </c>
      <c r="AE1117" t="n">
        <v>4</v>
      </c>
      <c r="AF1117" t="n">
        <v>1</v>
      </c>
      <c r="AG1117" t="n">
        <v>1</v>
      </c>
      <c r="AH1117" t="n">
        <v>2</v>
      </c>
      <c r="AI1117" t="n">
        <v>2</v>
      </c>
      <c r="AJ1117" t="n">
        <v>3</v>
      </c>
      <c r="AK1117" t="n">
        <v>3</v>
      </c>
      <c r="AL1117" t="n">
        <v>0</v>
      </c>
      <c r="AM1117" t="n">
        <v>0</v>
      </c>
      <c r="AN1117" t="n">
        <v>0</v>
      </c>
      <c r="AO1117" t="n">
        <v>0</v>
      </c>
      <c r="AP1117" t="inlineStr">
        <is>
          <t>No</t>
        </is>
      </c>
      <c r="AQ1117" t="inlineStr">
        <is>
          <t>Yes</t>
        </is>
      </c>
      <c r="AR1117">
        <f>HYPERLINK("http://catalog.hathitrust.org/Record/001251356","HathiTrust Record")</f>
        <v/>
      </c>
      <c r="AS1117">
        <f>HYPERLINK("https://creighton-primo.hosted.exlibrisgroup.com/primo-explore/search?tab=default_tab&amp;search_scope=EVERYTHING&amp;vid=01CRU&amp;lang=en_US&amp;offset=0&amp;query=any,contains,991005355269702656","Catalog Record")</f>
        <v/>
      </c>
      <c r="AT1117">
        <f>HYPERLINK("http://www.worldcat.org/oclc/411702","WorldCat Record")</f>
        <v/>
      </c>
      <c r="AU1117" t="inlineStr">
        <is>
          <t>1459164:eng</t>
        </is>
      </c>
      <c r="AV1117" t="inlineStr">
        <is>
          <t>411702</t>
        </is>
      </c>
      <c r="AW1117" t="inlineStr">
        <is>
          <t>991005355269702656</t>
        </is>
      </c>
      <c r="AX1117" t="inlineStr">
        <is>
          <t>991005355269702656</t>
        </is>
      </c>
      <c r="AY1117" t="inlineStr">
        <is>
          <t>2264723890002656</t>
        </is>
      </c>
      <c r="AZ1117" t="inlineStr">
        <is>
          <t>BOOK</t>
        </is>
      </c>
      <c r="BC1117" t="inlineStr">
        <is>
          <t>32285002456985</t>
        </is>
      </c>
      <c r="BD1117" t="inlineStr">
        <is>
          <t>893527384</t>
        </is>
      </c>
    </row>
    <row r="1118">
      <c r="A1118" t="inlineStr">
        <is>
          <t>No</t>
        </is>
      </c>
      <c r="B1118" t="inlineStr">
        <is>
          <t>DS463 .G63 1975</t>
        </is>
      </c>
      <c r="C1118" t="inlineStr">
        <is>
          <t>0                      DS 0463000G  63          1975</t>
        </is>
      </c>
      <c r="D1118" t="inlineStr">
        <is>
          <t>The long afternoon : British India 1601-1947 / by William Golant.</t>
        </is>
      </c>
      <c r="F1118" t="inlineStr">
        <is>
          <t>No</t>
        </is>
      </c>
      <c r="G1118" t="inlineStr">
        <is>
          <t>1</t>
        </is>
      </c>
      <c r="H1118" t="inlineStr">
        <is>
          <t>No</t>
        </is>
      </c>
      <c r="I1118" t="inlineStr">
        <is>
          <t>No</t>
        </is>
      </c>
      <c r="J1118" t="inlineStr">
        <is>
          <t>0</t>
        </is>
      </c>
      <c r="K1118" t="inlineStr">
        <is>
          <t>Golant, William, 1937-</t>
        </is>
      </c>
      <c r="L1118" t="inlineStr">
        <is>
          <t>New York : St. Martin's Press, 1975.</t>
        </is>
      </c>
      <c r="M1118" t="inlineStr">
        <is>
          <t>1975</t>
        </is>
      </c>
      <c r="O1118" t="inlineStr">
        <is>
          <t>eng</t>
        </is>
      </c>
      <c r="P1118" t="inlineStr">
        <is>
          <t>nyu</t>
        </is>
      </c>
      <c r="R1118" t="inlineStr">
        <is>
          <t xml:space="preserve">DS </t>
        </is>
      </c>
      <c r="S1118" t="n">
        <v>1</v>
      </c>
      <c r="T1118" t="n">
        <v>1</v>
      </c>
      <c r="U1118" t="inlineStr">
        <is>
          <t>1999-11-16</t>
        </is>
      </c>
      <c r="V1118" t="inlineStr">
        <is>
          <t>1999-11-16</t>
        </is>
      </c>
      <c r="W1118" t="inlineStr">
        <is>
          <t>1997-03-10</t>
        </is>
      </c>
      <c r="X1118" t="inlineStr">
        <is>
          <t>1997-03-10</t>
        </is>
      </c>
      <c r="Y1118" t="n">
        <v>408</v>
      </c>
      <c r="Z1118" t="n">
        <v>380</v>
      </c>
      <c r="AA1118" t="n">
        <v>449</v>
      </c>
      <c r="AB1118" t="n">
        <v>2</v>
      </c>
      <c r="AC1118" t="n">
        <v>4</v>
      </c>
      <c r="AD1118" t="n">
        <v>18</v>
      </c>
      <c r="AE1118" t="n">
        <v>24</v>
      </c>
      <c r="AF1118" t="n">
        <v>9</v>
      </c>
      <c r="AG1118" t="n">
        <v>11</v>
      </c>
      <c r="AH1118" t="n">
        <v>5</v>
      </c>
      <c r="AI1118" t="n">
        <v>5</v>
      </c>
      <c r="AJ1118" t="n">
        <v>10</v>
      </c>
      <c r="AK1118" t="n">
        <v>13</v>
      </c>
      <c r="AL1118" t="n">
        <v>1</v>
      </c>
      <c r="AM1118" t="n">
        <v>3</v>
      </c>
      <c r="AN1118" t="n">
        <v>0</v>
      </c>
      <c r="AO1118" t="n">
        <v>0</v>
      </c>
      <c r="AP1118" t="inlineStr">
        <is>
          <t>No</t>
        </is>
      </c>
      <c r="AQ1118" t="inlineStr">
        <is>
          <t>No</t>
        </is>
      </c>
      <c r="AS1118">
        <f>HYPERLINK("https://creighton-primo.hosted.exlibrisgroup.com/primo-explore/search?tab=default_tab&amp;search_scope=EVERYTHING&amp;vid=01CRU&amp;lang=en_US&amp;offset=0&amp;query=any,contains,991003690819702656","Catalog Record")</f>
        <v/>
      </c>
      <c r="AT1118">
        <f>HYPERLINK("http://www.worldcat.org/oclc/1322115","WorldCat Record")</f>
        <v/>
      </c>
      <c r="AU1118" t="inlineStr">
        <is>
          <t>443078:eng</t>
        </is>
      </c>
      <c r="AV1118" t="inlineStr">
        <is>
          <t>1322115</t>
        </is>
      </c>
      <c r="AW1118" t="inlineStr">
        <is>
          <t>991003690819702656</t>
        </is>
      </c>
      <c r="AX1118" t="inlineStr">
        <is>
          <t>991003690819702656</t>
        </is>
      </c>
      <c r="AY1118" t="inlineStr">
        <is>
          <t>2255009800002656</t>
        </is>
      </c>
      <c r="AZ1118" t="inlineStr">
        <is>
          <t>BOOK</t>
        </is>
      </c>
      <c r="BC1118" t="inlineStr">
        <is>
          <t>32285002457017</t>
        </is>
      </c>
      <c r="BD1118" t="inlineStr">
        <is>
          <t>893781284</t>
        </is>
      </c>
    </row>
    <row r="1119">
      <c r="A1119" t="inlineStr">
        <is>
          <t>No</t>
        </is>
      </c>
      <c r="B1119" t="inlineStr">
        <is>
          <t>DS463 .H37 1972</t>
        </is>
      </c>
      <c r="C1119" t="inlineStr">
        <is>
          <t>0                      DS 0463000H  37          1972</t>
        </is>
      </c>
      <c r="D1119" t="inlineStr">
        <is>
          <t>The Muslims of British India [by] P. Hardy.</t>
        </is>
      </c>
      <c r="F1119" t="inlineStr">
        <is>
          <t>No</t>
        </is>
      </c>
      <c r="G1119" t="inlineStr">
        <is>
          <t>1</t>
        </is>
      </c>
      <c r="H1119" t="inlineStr">
        <is>
          <t>No</t>
        </is>
      </c>
      <c r="I1119" t="inlineStr">
        <is>
          <t>No</t>
        </is>
      </c>
      <c r="J1119" t="inlineStr">
        <is>
          <t>0</t>
        </is>
      </c>
      <c r="K1119" t="inlineStr">
        <is>
          <t>Hardy, Peter, 1922-</t>
        </is>
      </c>
      <c r="L1119" t="inlineStr">
        <is>
          <t>[London] Cambridge University Press, 1972.</t>
        </is>
      </c>
      <c r="M1119" t="inlineStr">
        <is>
          <t>1972</t>
        </is>
      </c>
      <c r="O1119" t="inlineStr">
        <is>
          <t>eng</t>
        </is>
      </c>
      <c r="P1119" t="inlineStr">
        <is>
          <t>enk</t>
        </is>
      </c>
      <c r="Q1119" t="inlineStr">
        <is>
          <t>Cambridge South Asian studies, no. 13</t>
        </is>
      </c>
      <c r="R1119" t="inlineStr">
        <is>
          <t xml:space="preserve">DS </t>
        </is>
      </c>
      <c r="S1119" t="n">
        <v>3</v>
      </c>
      <c r="T1119" t="n">
        <v>3</v>
      </c>
      <c r="U1119" t="inlineStr">
        <is>
          <t>2003-01-21</t>
        </is>
      </c>
      <c r="V1119" t="inlineStr">
        <is>
          <t>2003-01-21</t>
        </is>
      </c>
      <c r="W1119" t="inlineStr">
        <is>
          <t>1997-03-10</t>
        </is>
      </c>
      <c r="X1119" t="inlineStr">
        <is>
          <t>1997-03-10</t>
        </is>
      </c>
      <c r="Y1119" t="n">
        <v>668</v>
      </c>
      <c r="Z1119" t="n">
        <v>494</v>
      </c>
      <c r="AA1119" t="n">
        <v>508</v>
      </c>
      <c r="AB1119" t="n">
        <v>3</v>
      </c>
      <c r="AC1119" t="n">
        <v>3</v>
      </c>
      <c r="AD1119" t="n">
        <v>18</v>
      </c>
      <c r="AE1119" t="n">
        <v>18</v>
      </c>
      <c r="AF1119" t="n">
        <v>7</v>
      </c>
      <c r="AG1119" t="n">
        <v>7</v>
      </c>
      <c r="AH1119" t="n">
        <v>5</v>
      </c>
      <c r="AI1119" t="n">
        <v>5</v>
      </c>
      <c r="AJ1119" t="n">
        <v>8</v>
      </c>
      <c r="AK1119" t="n">
        <v>8</v>
      </c>
      <c r="AL1119" t="n">
        <v>2</v>
      </c>
      <c r="AM1119" t="n">
        <v>2</v>
      </c>
      <c r="AN1119" t="n">
        <v>0</v>
      </c>
      <c r="AO1119" t="n">
        <v>0</v>
      </c>
      <c r="AP1119" t="inlineStr">
        <is>
          <t>No</t>
        </is>
      </c>
      <c r="AQ1119" t="inlineStr">
        <is>
          <t>Yes</t>
        </is>
      </c>
      <c r="AR1119">
        <f>HYPERLINK("http://catalog.hathitrust.org/Record/001251409","HathiTrust Record")</f>
        <v/>
      </c>
      <c r="AS1119">
        <f>HYPERLINK("https://creighton-primo.hosted.exlibrisgroup.com/primo-explore/search?tab=default_tab&amp;search_scope=EVERYTHING&amp;vid=01CRU&amp;lang=en_US&amp;offset=0&amp;query=any,contains,991003006099702656","Catalog Record")</f>
        <v/>
      </c>
      <c r="AT1119">
        <f>HYPERLINK("http://www.worldcat.org/oclc/573078","WorldCat Record")</f>
        <v/>
      </c>
      <c r="AU1119" t="inlineStr">
        <is>
          <t>1692249:eng</t>
        </is>
      </c>
      <c r="AV1119" t="inlineStr">
        <is>
          <t>573078</t>
        </is>
      </c>
      <c r="AW1119" t="inlineStr">
        <is>
          <t>991003006099702656</t>
        </is>
      </c>
      <c r="AX1119" t="inlineStr">
        <is>
          <t>991003006099702656</t>
        </is>
      </c>
      <c r="AY1119" t="inlineStr">
        <is>
          <t>2271078530002656</t>
        </is>
      </c>
      <c r="AZ1119" t="inlineStr">
        <is>
          <t>BOOK</t>
        </is>
      </c>
      <c r="BB1119" t="inlineStr">
        <is>
          <t>9780521084888</t>
        </is>
      </c>
      <c r="BC1119" t="inlineStr">
        <is>
          <t>32285002457025</t>
        </is>
      </c>
      <c r="BD1119" t="inlineStr">
        <is>
          <t>893535301</t>
        </is>
      </c>
    </row>
    <row r="1120">
      <c r="A1120" t="inlineStr">
        <is>
          <t>No</t>
        </is>
      </c>
      <c r="B1120" t="inlineStr">
        <is>
          <t>DS463 .L8 1973</t>
        </is>
      </c>
      <c r="C1120" t="inlineStr">
        <is>
          <t>0                      DS 0463000L  8           1973</t>
        </is>
      </c>
      <c r="D1120" t="inlineStr">
        <is>
          <t>The rise and expansion of the British dominion in India / by Sir Alfred Lyall. With a new introd. by B. L. Grover.</t>
        </is>
      </c>
      <c r="F1120" t="inlineStr">
        <is>
          <t>No</t>
        </is>
      </c>
      <c r="G1120" t="inlineStr">
        <is>
          <t>1</t>
        </is>
      </c>
      <c r="H1120" t="inlineStr">
        <is>
          <t>No</t>
        </is>
      </c>
      <c r="I1120" t="inlineStr">
        <is>
          <t>No</t>
        </is>
      </c>
      <c r="J1120" t="inlineStr">
        <is>
          <t>0</t>
        </is>
      </c>
      <c r="K1120" t="inlineStr">
        <is>
          <t>Lyall, Alfred C., Sir, 1835-1911.</t>
        </is>
      </c>
      <c r="L1120" t="inlineStr">
        <is>
          <t>New Delhi : Oriental Books Reprint Corp. [Distributed by M. Manoharlal, 1973]</t>
        </is>
      </c>
      <c r="M1120" t="inlineStr">
        <is>
          <t>1973</t>
        </is>
      </c>
      <c r="N1120" t="inlineStr">
        <is>
          <t>[1st Indian ed.]</t>
        </is>
      </c>
      <c r="O1120" t="inlineStr">
        <is>
          <t>eng</t>
        </is>
      </c>
      <c r="P1120" t="inlineStr">
        <is>
          <t xml:space="preserve">xx </t>
        </is>
      </c>
      <c r="R1120" t="inlineStr">
        <is>
          <t xml:space="preserve">DS </t>
        </is>
      </c>
      <c r="S1120" t="n">
        <v>12</v>
      </c>
      <c r="T1120" t="n">
        <v>12</v>
      </c>
      <c r="U1120" t="inlineStr">
        <is>
          <t>2005-02-01</t>
        </is>
      </c>
      <c r="V1120" t="inlineStr">
        <is>
          <t>2005-02-01</t>
        </is>
      </c>
      <c r="W1120" t="inlineStr">
        <is>
          <t>1994-04-27</t>
        </is>
      </c>
      <c r="X1120" t="inlineStr">
        <is>
          <t>1994-04-27</t>
        </is>
      </c>
      <c r="Y1120" t="n">
        <v>22</v>
      </c>
      <c r="Z1120" t="n">
        <v>12</v>
      </c>
      <c r="AA1120" t="n">
        <v>201</v>
      </c>
      <c r="AB1120" t="n">
        <v>1</v>
      </c>
      <c r="AC1120" t="n">
        <v>3</v>
      </c>
      <c r="AD1120" t="n">
        <v>0</v>
      </c>
      <c r="AE1120" t="n">
        <v>10</v>
      </c>
      <c r="AF1120" t="n">
        <v>0</v>
      </c>
      <c r="AG1120" t="n">
        <v>3</v>
      </c>
      <c r="AH1120" t="n">
        <v>0</v>
      </c>
      <c r="AI1120" t="n">
        <v>3</v>
      </c>
      <c r="AJ1120" t="n">
        <v>0</v>
      </c>
      <c r="AK1120" t="n">
        <v>4</v>
      </c>
      <c r="AL1120" t="n">
        <v>0</v>
      </c>
      <c r="AM1120" t="n">
        <v>2</v>
      </c>
      <c r="AN1120" t="n">
        <v>0</v>
      </c>
      <c r="AO1120" t="n">
        <v>0</v>
      </c>
      <c r="AP1120" t="inlineStr">
        <is>
          <t>No</t>
        </is>
      </c>
      <c r="AQ1120" t="inlineStr">
        <is>
          <t>No</t>
        </is>
      </c>
      <c r="AS1120">
        <f>HYPERLINK("https://creighton-primo.hosted.exlibrisgroup.com/primo-explore/search?tab=default_tab&amp;search_scope=EVERYTHING&amp;vid=01CRU&amp;lang=en_US&amp;offset=0&amp;query=any,contains,991003557909702656","Catalog Record")</f>
        <v/>
      </c>
      <c r="AT1120">
        <f>HYPERLINK("http://www.worldcat.org/oclc/1127093","WorldCat Record")</f>
        <v/>
      </c>
      <c r="AU1120" t="inlineStr">
        <is>
          <t>1881921:eng</t>
        </is>
      </c>
      <c r="AV1120" t="inlineStr">
        <is>
          <t>1127093</t>
        </is>
      </c>
      <c r="AW1120" t="inlineStr">
        <is>
          <t>991003557909702656</t>
        </is>
      </c>
      <c r="AX1120" t="inlineStr">
        <is>
          <t>991003557909702656</t>
        </is>
      </c>
      <c r="AY1120" t="inlineStr">
        <is>
          <t>2267338960002656</t>
        </is>
      </c>
      <c r="AZ1120" t="inlineStr">
        <is>
          <t>BOOK</t>
        </is>
      </c>
      <c r="BC1120" t="inlineStr">
        <is>
          <t>32285001893741</t>
        </is>
      </c>
      <c r="BD1120" t="inlineStr">
        <is>
          <t>893717788</t>
        </is>
      </c>
    </row>
    <row r="1121">
      <c r="A1121" t="inlineStr">
        <is>
          <t>No</t>
        </is>
      </c>
      <c r="B1121" t="inlineStr">
        <is>
          <t>DS463 .M22</t>
        </is>
      </c>
      <c r="C1121" t="inlineStr">
        <is>
          <t>0                      DS 0463000M  22</t>
        </is>
      </c>
      <c r="D1121" t="inlineStr">
        <is>
          <t>The political awakening in India / edited by John R. McLane.</t>
        </is>
      </c>
      <c r="F1121" t="inlineStr">
        <is>
          <t>No</t>
        </is>
      </c>
      <c r="G1121" t="inlineStr">
        <is>
          <t>1</t>
        </is>
      </c>
      <c r="H1121" t="inlineStr">
        <is>
          <t>No</t>
        </is>
      </c>
      <c r="I1121" t="inlineStr">
        <is>
          <t>No</t>
        </is>
      </c>
      <c r="J1121" t="inlineStr">
        <is>
          <t>0</t>
        </is>
      </c>
      <c r="K1121" t="inlineStr">
        <is>
          <t>McLane, John R., 1935-, compiler.</t>
        </is>
      </c>
      <c r="L1121" t="inlineStr">
        <is>
          <t>Englewood Cliffs, N.J. : Prentice-Hall, [1970]</t>
        </is>
      </c>
      <c r="M1121" t="inlineStr">
        <is>
          <t>1970</t>
        </is>
      </c>
      <c r="O1121" t="inlineStr">
        <is>
          <t>eng</t>
        </is>
      </c>
      <c r="P1121" t="inlineStr">
        <is>
          <t>nju</t>
        </is>
      </c>
      <c r="Q1121" t="inlineStr">
        <is>
          <t>A Spectrum book.</t>
        </is>
      </c>
      <c r="R1121" t="inlineStr">
        <is>
          <t xml:space="preserve">DS </t>
        </is>
      </c>
      <c r="S1121" t="n">
        <v>2</v>
      </c>
      <c r="T1121" t="n">
        <v>2</v>
      </c>
      <c r="U1121" t="inlineStr">
        <is>
          <t>1994-04-19</t>
        </is>
      </c>
      <c r="V1121" t="inlineStr">
        <is>
          <t>1994-04-19</t>
        </is>
      </c>
      <c r="W1121" t="inlineStr">
        <is>
          <t>1993-08-30</t>
        </is>
      </c>
      <c r="X1121" t="inlineStr">
        <is>
          <t>1993-08-30</t>
        </is>
      </c>
      <c r="Y1121" t="n">
        <v>503</v>
      </c>
      <c r="Z1121" t="n">
        <v>412</v>
      </c>
      <c r="AA1121" t="n">
        <v>418</v>
      </c>
      <c r="AB1121" t="n">
        <v>4</v>
      </c>
      <c r="AC1121" t="n">
        <v>4</v>
      </c>
      <c r="AD1121" t="n">
        <v>18</v>
      </c>
      <c r="AE1121" t="n">
        <v>18</v>
      </c>
      <c r="AF1121" t="n">
        <v>5</v>
      </c>
      <c r="AG1121" t="n">
        <v>5</v>
      </c>
      <c r="AH1121" t="n">
        <v>5</v>
      </c>
      <c r="AI1121" t="n">
        <v>5</v>
      </c>
      <c r="AJ1121" t="n">
        <v>7</v>
      </c>
      <c r="AK1121" t="n">
        <v>7</v>
      </c>
      <c r="AL1121" t="n">
        <v>3</v>
      </c>
      <c r="AM1121" t="n">
        <v>3</v>
      </c>
      <c r="AN1121" t="n">
        <v>0</v>
      </c>
      <c r="AO1121" t="n">
        <v>0</v>
      </c>
      <c r="AP1121" t="inlineStr">
        <is>
          <t>No</t>
        </is>
      </c>
      <c r="AQ1121" t="inlineStr">
        <is>
          <t>Yes</t>
        </is>
      </c>
      <c r="AR1121">
        <f>HYPERLINK("http://catalog.hathitrust.org/Record/001251421","HathiTrust Record")</f>
        <v/>
      </c>
      <c r="AS1121">
        <f>HYPERLINK("https://creighton-primo.hosted.exlibrisgroup.com/primo-explore/search?tab=default_tab&amp;search_scope=EVERYTHING&amp;vid=01CRU&amp;lang=en_US&amp;offset=0&amp;query=any,contains,991000209389702656","Catalog Record")</f>
        <v/>
      </c>
      <c r="AT1121">
        <f>HYPERLINK("http://www.worldcat.org/oclc/66069","WorldCat Record")</f>
        <v/>
      </c>
      <c r="AU1121" t="inlineStr">
        <is>
          <t>195484033:eng</t>
        </is>
      </c>
      <c r="AV1121" t="inlineStr">
        <is>
          <t>66069</t>
        </is>
      </c>
      <c r="AW1121" t="inlineStr">
        <is>
          <t>991000209389702656</t>
        </is>
      </c>
      <c r="AX1121" t="inlineStr">
        <is>
          <t>991000209389702656</t>
        </is>
      </c>
      <c r="AY1121" t="inlineStr">
        <is>
          <t>2258755480002656</t>
        </is>
      </c>
      <c r="AZ1121" t="inlineStr">
        <is>
          <t>BOOK</t>
        </is>
      </c>
      <c r="BB1121" t="inlineStr">
        <is>
          <t>9780136848035</t>
        </is>
      </c>
      <c r="BC1121" t="inlineStr">
        <is>
          <t>32285001761625</t>
        </is>
      </c>
      <c r="BD1121" t="inlineStr">
        <is>
          <t>893802595</t>
        </is>
      </c>
    </row>
    <row r="1122">
      <c r="A1122" t="inlineStr">
        <is>
          <t>No</t>
        </is>
      </c>
      <c r="B1122" t="inlineStr">
        <is>
          <t>DS463 .M263 1985</t>
        </is>
      </c>
      <c r="C1122" t="inlineStr">
        <is>
          <t>0                      DS 0463000M  263         1985</t>
        </is>
      </c>
      <c r="D1122" t="inlineStr">
        <is>
          <t>The men who ruled India / by Philip Mason.</t>
        </is>
      </c>
      <c r="F1122" t="inlineStr">
        <is>
          <t>No</t>
        </is>
      </c>
      <c r="G1122" t="inlineStr">
        <is>
          <t>1</t>
        </is>
      </c>
      <c r="H1122" t="inlineStr">
        <is>
          <t>No</t>
        </is>
      </c>
      <c r="I1122" t="inlineStr">
        <is>
          <t>No</t>
        </is>
      </c>
      <c r="J1122" t="inlineStr">
        <is>
          <t>0</t>
        </is>
      </c>
      <c r="K1122" t="inlineStr">
        <is>
          <t>Mason, Philip, 1906-1999.</t>
        </is>
      </c>
      <c r="L1122" t="inlineStr">
        <is>
          <t>New York : W.W. Norton, c1985.</t>
        </is>
      </c>
      <c r="M1122" t="inlineStr">
        <is>
          <t>1985</t>
        </is>
      </c>
      <c r="O1122" t="inlineStr">
        <is>
          <t>eng</t>
        </is>
      </c>
      <c r="P1122" t="inlineStr">
        <is>
          <t>nyu</t>
        </is>
      </c>
      <c r="R1122" t="inlineStr">
        <is>
          <t xml:space="preserve">DS </t>
        </is>
      </c>
      <c r="S1122" t="n">
        <v>20</v>
      </c>
      <c r="T1122" t="n">
        <v>20</v>
      </c>
      <c r="U1122" t="inlineStr">
        <is>
          <t>2005-02-01</t>
        </is>
      </c>
      <c r="V1122" t="inlineStr">
        <is>
          <t>2005-02-01</t>
        </is>
      </c>
      <c r="W1122" t="inlineStr">
        <is>
          <t>1990-04-25</t>
        </is>
      </c>
      <c r="X1122" t="inlineStr">
        <is>
          <t>1990-04-25</t>
        </is>
      </c>
      <c r="Y1122" t="n">
        <v>613</v>
      </c>
      <c r="Z1122" t="n">
        <v>581</v>
      </c>
      <c r="AA1122" t="n">
        <v>620</v>
      </c>
      <c r="AB1122" t="n">
        <v>3</v>
      </c>
      <c r="AC1122" t="n">
        <v>5</v>
      </c>
      <c r="AD1122" t="n">
        <v>13</v>
      </c>
      <c r="AE1122" t="n">
        <v>17</v>
      </c>
      <c r="AF1122" t="n">
        <v>5</v>
      </c>
      <c r="AG1122" t="n">
        <v>6</v>
      </c>
      <c r="AH1122" t="n">
        <v>3</v>
      </c>
      <c r="AI1122" t="n">
        <v>5</v>
      </c>
      <c r="AJ1122" t="n">
        <v>8</v>
      </c>
      <c r="AK1122" t="n">
        <v>9</v>
      </c>
      <c r="AL1122" t="n">
        <v>1</v>
      </c>
      <c r="AM1122" t="n">
        <v>3</v>
      </c>
      <c r="AN1122" t="n">
        <v>0</v>
      </c>
      <c r="AO1122" t="n">
        <v>0</v>
      </c>
      <c r="AP1122" t="inlineStr">
        <is>
          <t>No</t>
        </is>
      </c>
      <c r="AQ1122" t="inlineStr">
        <is>
          <t>No</t>
        </is>
      </c>
      <c r="AS1122">
        <f>HYPERLINK("https://creighton-primo.hosted.exlibrisgroup.com/primo-explore/search?tab=default_tab&amp;search_scope=EVERYTHING&amp;vid=01CRU&amp;lang=en_US&amp;offset=0&amp;query=any,contains,991000519749702656","Catalog Record")</f>
        <v/>
      </c>
      <c r="AT1122">
        <f>HYPERLINK("http://www.worldcat.org/oclc/11318012","WorldCat Record")</f>
        <v/>
      </c>
      <c r="AU1122" t="inlineStr">
        <is>
          <t>3943273150:eng</t>
        </is>
      </c>
      <c r="AV1122" t="inlineStr">
        <is>
          <t>11318012</t>
        </is>
      </c>
      <c r="AW1122" t="inlineStr">
        <is>
          <t>991000519749702656</t>
        </is>
      </c>
      <c r="AX1122" t="inlineStr">
        <is>
          <t>991000519749702656</t>
        </is>
      </c>
      <c r="AY1122" t="inlineStr">
        <is>
          <t>2256158780002656</t>
        </is>
      </c>
      <c r="AZ1122" t="inlineStr">
        <is>
          <t>BOOK</t>
        </is>
      </c>
      <c r="BB1122" t="inlineStr">
        <is>
          <t>9780393019469</t>
        </is>
      </c>
      <c r="BC1122" t="inlineStr">
        <is>
          <t>32285000131887</t>
        </is>
      </c>
      <c r="BD1122" t="inlineStr">
        <is>
          <t>893778005</t>
        </is>
      </c>
    </row>
    <row r="1123">
      <c r="A1123" t="inlineStr">
        <is>
          <t>No</t>
        </is>
      </c>
      <c r="B1123" t="inlineStr">
        <is>
          <t>DS463 .P46</t>
        </is>
      </c>
      <c r="C1123" t="inlineStr">
        <is>
          <t>0                      DS 0463000P  46</t>
        </is>
      </c>
      <c r="D1123" t="inlineStr">
        <is>
          <t>People, princes, and paramount power : society and politics in the Indian princely states / edited by Robin Jeffrey.</t>
        </is>
      </c>
      <c r="F1123" t="inlineStr">
        <is>
          <t>No</t>
        </is>
      </c>
      <c r="G1123" t="inlineStr">
        <is>
          <t>1</t>
        </is>
      </c>
      <c r="H1123" t="inlineStr">
        <is>
          <t>No</t>
        </is>
      </c>
      <c r="I1123" t="inlineStr">
        <is>
          <t>No</t>
        </is>
      </c>
      <c r="J1123" t="inlineStr">
        <is>
          <t>0</t>
        </is>
      </c>
      <c r="L1123" t="inlineStr">
        <is>
          <t>Delhi : Oxford University Press, 1978.</t>
        </is>
      </c>
      <c r="M1123" t="inlineStr">
        <is>
          <t>1978</t>
        </is>
      </c>
      <c r="O1123" t="inlineStr">
        <is>
          <t>eng</t>
        </is>
      </c>
      <c r="P1123" t="inlineStr">
        <is>
          <t xml:space="preserve">ii </t>
        </is>
      </c>
      <c r="R1123" t="inlineStr">
        <is>
          <t xml:space="preserve">DS </t>
        </is>
      </c>
      <c r="S1123" t="n">
        <v>1</v>
      </c>
      <c r="T1123" t="n">
        <v>1</v>
      </c>
      <c r="U1123" t="inlineStr">
        <is>
          <t>2003-02-18</t>
        </is>
      </c>
      <c r="V1123" t="inlineStr">
        <is>
          <t>2003-02-18</t>
        </is>
      </c>
      <c r="W1123" t="inlineStr">
        <is>
          <t>1990-10-08</t>
        </is>
      </c>
      <c r="X1123" t="inlineStr">
        <is>
          <t>1990-10-08</t>
        </is>
      </c>
      <c r="Y1123" t="n">
        <v>263</v>
      </c>
      <c r="Z1123" t="n">
        <v>191</v>
      </c>
      <c r="AA1123" t="n">
        <v>219</v>
      </c>
      <c r="AB1123" t="n">
        <v>2</v>
      </c>
      <c r="AC1123" t="n">
        <v>2</v>
      </c>
      <c r="AD1123" t="n">
        <v>9</v>
      </c>
      <c r="AE1123" t="n">
        <v>13</v>
      </c>
      <c r="AF1123" t="n">
        <v>3</v>
      </c>
      <c r="AG1123" t="n">
        <v>4</v>
      </c>
      <c r="AH1123" t="n">
        <v>5</v>
      </c>
      <c r="AI1123" t="n">
        <v>7</v>
      </c>
      <c r="AJ1123" t="n">
        <v>4</v>
      </c>
      <c r="AK1123" t="n">
        <v>5</v>
      </c>
      <c r="AL1123" t="n">
        <v>1</v>
      </c>
      <c r="AM1123" t="n">
        <v>1</v>
      </c>
      <c r="AN1123" t="n">
        <v>0</v>
      </c>
      <c r="AO1123" t="n">
        <v>1</v>
      </c>
      <c r="AP1123" t="inlineStr">
        <is>
          <t>No</t>
        </is>
      </c>
      <c r="AQ1123" t="inlineStr">
        <is>
          <t>Yes</t>
        </is>
      </c>
      <c r="AR1123">
        <f>HYPERLINK("http://catalog.hathitrust.org/Record/000302687","HathiTrust Record")</f>
        <v/>
      </c>
      <c r="AS1123">
        <f>HYPERLINK("https://creighton-primo.hosted.exlibrisgroup.com/primo-explore/search?tab=default_tab&amp;search_scope=EVERYTHING&amp;vid=01CRU&amp;lang=en_US&amp;offset=0&amp;query=any,contains,991004770429702656","Catalog Record")</f>
        <v/>
      </c>
      <c r="AT1123">
        <f>HYPERLINK("http://www.worldcat.org/oclc/5056324","WorldCat Record")</f>
        <v/>
      </c>
      <c r="AU1123" t="inlineStr">
        <is>
          <t>836627635:eng</t>
        </is>
      </c>
      <c r="AV1123" t="inlineStr">
        <is>
          <t>5056324</t>
        </is>
      </c>
      <c r="AW1123" t="inlineStr">
        <is>
          <t>991004770429702656</t>
        </is>
      </c>
      <c r="AX1123" t="inlineStr">
        <is>
          <t>991004770429702656</t>
        </is>
      </c>
      <c r="AY1123" t="inlineStr">
        <is>
          <t>2258266650002656</t>
        </is>
      </c>
      <c r="AZ1123" t="inlineStr">
        <is>
          <t>BOOK</t>
        </is>
      </c>
      <c r="BB1123" t="inlineStr">
        <is>
          <t>9780195608861</t>
        </is>
      </c>
      <c r="BC1123" t="inlineStr">
        <is>
          <t>32285000336437</t>
        </is>
      </c>
      <c r="BD1123" t="inlineStr">
        <is>
          <t>893500939</t>
        </is>
      </c>
    </row>
    <row r="1124">
      <c r="A1124" t="inlineStr">
        <is>
          <t>No</t>
        </is>
      </c>
      <c r="B1124" t="inlineStr">
        <is>
          <t>DS463 .S77 1997</t>
        </is>
      </c>
      <c r="C1124" t="inlineStr">
        <is>
          <t>0                      DS 0463000S  77          1997</t>
        </is>
      </c>
      <c r="D1124" t="inlineStr">
        <is>
          <t>A Subaltern studies reader, 1986-1995 / Ranajit Guha, editor.</t>
        </is>
      </c>
      <c r="F1124" t="inlineStr">
        <is>
          <t>No</t>
        </is>
      </c>
      <c r="G1124" t="inlineStr">
        <is>
          <t>1</t>
        </is>
      </c>
      <c r="H1124" t="inlineStr">
        <is>
          <t>No</t>
        </is>
      </c>
      <c r="I1124" t="inlineStr">
        <is>
          <t>No</t>
        </is>
      </c>
      <c r="J1124" t="inlineStr">
        <is>
          <t>0</t>
        </is>
      </c>
      <c r="L1124" t="inlineStr">
        <is>
          <t>Minneapolis : University of Minnesota Press, c1997.</t>
        </is>
      </c>
      <c r="M1124" t="inlineStr">
        <is>
          <t>1997</t>
        </is>
      </c>
      <c r="O1124" t="inlineStr">
        <is>
          <t>eng</t>
        </is>
      </c>
      <c r="P1124" t="inlineStr">
        <is>
          <t>mnu</t>
        </is>
      </c>
      <c r="R1124" t="inlineStr">
        <is>
          <t xml:space="preserve">DS </t>
        </is>
      </c>
      <c r="S1124" t="n">
        <v>2</v>
      </c>
      <c r="T1124" t="n">
        <v>2</v>
      </c>
      <c r="U1124" t="inlineStr">
        <is>
          <t>2007-11-05</t>
        </is>
      </c>
      <c r="V1124" t="inlineStr">
        <is>
          <t>2007-11-05</t>
        </is>
      </c>
      <c r="W1124" t="inlineStr">
        <is>
          <t>2000-10-25</t>
        </is>
      </c>
      <c r="X1124" t="inlineStr">
        <is>
          <t>2000-10-25</t>
        </is>
      </c>
      <c r="Y1124" t="n">
        <v>275</v>
      </c>
      <c r="Z1124" t="n">
        <v>193</v>
      </c>
      <c r="AA1124" t="n">
        <v>199</v>
      </c>
      <c r="AB1124" t="n">
        <v>2</v>
      </c>
      <c r="AC1124" t="n">
        <v>2</v>
      </c>
      <c r="AD1124" t="n">
        <v>12</v>
      </c>
      <c r="AE1124" t="n">
        <v>13</v>
      </c>
      <c r="AF1124" t="n">
        <v>1</v>
      </c>
      <c r="AG1124" t="n">
        <v>2</v>
      </c>
      <c r="AH1124" t="n">
        <v>5</v>
      </c>
      <c r="AI1124" t="n">
        <v>5</v>
      </c>
      <c r="AJ1124" t="n">
        <v>7</v>
      </c>
      <c r="AK1124" t="n">
        <v>7</v>
      </c>
      <c r="AL1124" t="n">
        <v>1</v>
      </c>
      <c r="AM1124" t="n">
        <v>1</v>
      </c>
      <c r="AN1124" t="n">
        <v>0</v>
      </c>
      <c r="AO1124" t="n">
        <v>0</v>
      </c>
      <c r="AP1124" t="inlineStr">
        <is>
          <t>No</t>
        </is>
      </c>
      <c r="AQ1124" t="inlineStr">
        <is>
          <t>No</t>
        </is>
      </c>
      <c r="AS1124">
        <f>HYPERLINK("https://creighton-primo.hosted.exlibrisgroup.com/primo-explore/search?tab=default_tab&amp;search_scope=EVERYTHING&amp;vid=01CRU&amp;lang=en_US&amp;offset=0&amp;query=any,contains,991003244229702656","Catalog Record")</f>
        <v/>
      </c>
      <c r="AT1124">
        <f>HYPERLINK("http://www.worldcat.org/oclc/36768095","WorldCat Record")</f>
        <v/>
      </c>
      <c r="AU1124" t="inlineStr">
        <is>
          <t>3757042972:eng</t>
        </is>
      </c>
      <c r="AV1124" t="inlineStr">
        <is>
          <t>36768095</t>
        </is>
      </c>
      <c r="AW1124" t="inlineStr">
        <is>
          <t>991003244229702656</t>
        </is>
      </c>
      <c r="AX1124" t="inlineStr">
        <is>
          <t>991003244229702656</t>
        </is>
      </c>
      <c r="AY1124" t="inlineStr">
        <is>
          <t>2261664620002656</t>
        </is>
      </c>
      <c r="AZ1124" t="inlineStr">
        <is>
          <t>BOOK</t>
        </is>
      </c>
      <c r="BB1124" t="inlineStr">
        <is>
          <t>9780816627585</t>
        </is>
      </c>
      <c r="BC1124" t="inlineStr">
        <is>
          <t>32285004260484</t>
        </is>
      </c>
      <c r="BD1124" t="inlineStr">
        <is>
          <t>893416197</t>
        </is>
      </c>
    </row>
    <row r="1125">
      <c r="A1125" t="inlineStr">
        <is>
          <t>No</t>
        </is>
      </c>
      <c r="B1125" t="inlineStr">
        <is>
          <t>DS464 .B46 1982b</t>
        </is>
      </c>
      <c r="C1125" t="inlineStr">
        <is>
          <t>0                      DS 0464000B  46          1982b</t>
        </is>
      </c>
      <c r="D1125" t="inlineStr">
        <is>
          <t>The viceroys of India / Mark Bence-Jones.</t>
        </is>
      </c>
      <c r="F1125" t="inlineStr">
        <is>
          <t>No</t>
        </is>
      </c>
      <c r="G1125" t="inlineStr">
        <is>
          <t>1</t>
        </is>
      </c>
      <c r="H1125" t="inlineStr">
        <is>
          <t>No</t>
        </is>
      </c>
      <c r="I1125" t="inlineStr">
        <is>
          <t>No</t>
        </is>
      </c>
      <c r="J1125" t="inlineStr">
        <is>
          <t>0</t>
        </is>
      </c>
      <c r="K1125" t="inlineStr">
        <is>
          <t>Bence-Jones, Mark.</t>
        </is>
      </c>
      <c r="L1125" t="inlineStr">
        <is>
          <t>New York : St. Martin's Press, c1982.</t>
        </is>
      </c>
      <c r="M1125" t="inlineStr">
        <is>
          <t>1982</t>
        </is>
      </c>
      <c r="N1125" t="inlineStr">
        <is>
          <t>1st U.S. ed.</t>
        </is>
      </c>
      <c r="O1125" t="inlineStr">
        <is>
          <t>eng</t>
        </is>
      </c>
      <c r="P1125" t="inlineStr">
        <is>
          <t>nyu</t>
        </is>
      </c>
      <c r="R1125" t="inlineStr">
        <is>
          <t xml:space="preserve">DS </t>
        </is>
      </c>
      <c r="S1125" t="n">
        <v>2</v>
      </c>
      <c r="T1125" t="n">
        <v>2</v>
      </c>
      <c r="U1125" t="inlineStr">
        <is>
          <t>1993-04-14</t>
        </is>
      </c>
      <c r="V1125" t="inlineStr">
        <is>
          <t>1993-04-14</t>
        </is>
      </c>
      <c r="W1125" t="inlineStr">
        <is>
          <t>1990-10-08</t>
        </is>
      </c>
      <c r="X1125" t="inlineStr">
        <is>
          <t>1990-10-08</t>
        </is>
      </c>
      <c r="Y1125" t="n">
        <v>224</v>
      </c>
      <c r="Z1125" t="n">
        <v>212</v>
      </c>
      <c r="AA1125" t="n">
        <v>315</v>
      </c>
      <c r="AB1125" t="n">
        <v>1</v>
      </c>
      <c r="AC1125" t="n">
        <v>1</v>
      </c>
      <c r="AD1125" t="n">
        <v>7</v>
      </c>
      <c r="AE1125" t="n">
        <v>8</v>
      </c>
      <c r="AF1125" t="n">
        <v>2</v>
      </c>
      <c r="AG1125" t="n">
        <v>2</v>
      </c>
      <c r="AH1125" t="n">
        <v>2</v>
      </c>
      <c r="AI1125" t="n">
        <v>2</v>
      </c>
      <c r="AJ1125" t="n">
        <v>7</v>
      </c>
      <c r="AK1125" t="n">
        <v>8</v>
      </c>
      <c r="AL1125" t="n">
        <v>0</v>
      </c>
      <c r="AM1125" t="n">
        <v>0</v>
      </c>
      <c r="AN1125" t="n">
        <v>0</v>
      </c>
      <c r="AO1125" t="n">
        <v>0</v>
      </c>
      <c r="AP1125" t="inlineStr">
        <is>
          <t>No</t>
        </is>
      </c>
      <c r="AQ1125" t="inlineStr">
        <is>
          <t>No</t>
        </is>
      </c>
      <c r="AS1125">
        <f>HYPERLINK("https://creighton-primo.hosted.exlibrisgroup.com/primo-explore/search?tab=default_tab&amp;search_scope=EVERYTHING&amp;vid=01CRU&amp;lang=en_US&amp;offset=0&amp;query=any,contains,991000427939702656","Catalog Record")</f>
        <v/>
      </c>
      <c r="AT1125">
        <f>HYPERLINK("http://www.worldcat.org/oclc/10765442","WorldCat Record")</f>
        <v/>
      </c>
      <c r="AU1125" t="inlineStr">
        <is>
          <t>3241597:eng</t>
        </is>
      </c>
      <c r="AV1125" t="inlineStr">
        <is>
          <t>10765442</t>
        </is>
      </c>
      <c r="AW1125" t="inlineStr">
        <is>
          <t>991000427939702656</t>
        </is>
      </c>
      <c r="AX1125" t="inlineStr">
        <is>
          <t>991000427939702656</t>
        </is>
      </c>
      <c r="AY1125" t="inlineStr">
        <is>
          <t>2263007320002656</t>
        </is>
      </c>
      <c r="AZ1125" t="inlineStr">
        <is>
          <t>BOOK</t>
        </is>
      </c>
      <c r="BB1125" t="inlineStr">
        <is>
          <t>9780312839109</t>
        </is>
      </c>
      <c r="BC1125" t="inlineStr">
        <is>
          <t>32285000336445</t>
        </is>
      </c>
      <c r="BD1125" t="inlineStr">
        <is>
          <t>893314913</t>
        </is>
      </c>
    </row>
    <row r="1126">
      <c r="A1126" t="inlineStr">
        <is>
          <t>No</t>
        </is>
      </c>
      <c r="B1126" t="inlineStr">
        <is>
          <t>DS465 .G34 1972</t>
        </is>
      </c>
      <c r="C1126" t="inlineStr">
        <is>
          <t>0                      DS 0465000G  34          1972</t>
        </is>
      </c>
      <c r="D1126" t="inlineStr">
        <is>
          <t>The East India Company : a history.</t>
        </is>
      </c>
      <c r="F1126" t="inlineStr">
        <is>
          <t>No</t>
        </is>
      </c>
      <c r="G1126" t="inlineStr">
        <is>
          <t>1</t>
        </is>
      </c>
      <c r="H1126" t="inlineStr">
        <is>
          <t>No</t>
        </is>
      </c>
      <c r="I1126" t="inlineStr">
        <is>
          <t>No</t>
        </is>
      </c>
      <c r="J1126" t="inlineStr">
        <is>
          <t>0</t>
        </is>
      </c>
      <c r="K1126" t="inlineStr">
        <is>
          <t>Gardner, Brian.</t>
        </is>
      </c>
      <c r="L1126" t="inlineStr">
        <is>
          <t>New York : McCall Pub. Co., [1972, c1971]</t>
        </is>
      </c>
      <c r="M1126" t="inlineStr">
        <is>
          <t>1972</t>
        </is>
      </c>
      <c r="N1126" t="inlineStr">
        <is>
          <t>[1st American ed.]</t>
        </is>
      </c>
      <c r="O1126" t="inlineStr">
        <is>
          <t>eng</t>
        </is>
      </c>
      <c r="P1126" t="inlineStr">
        <is>
          <t>nyu</t>
        </is>
      </c>
      <c r="R1126" t="inlineStr">
        <is>
          <t xml:space="preserve">DS </t>
        </is>
      </c>
      <c r="S1126" t="n">
        <v>9</v>
      </c>
      <c r="T1126" t="n">
        <v>9</v>
      </c>
      <c r="U1126" t="inlineStr">
        <is>
          <t>2007-06-20</t>
        </is>
      </c>
      <c r="V1126" t="inlineStr">
        <is>
          <t>2007-06-20</t>
        </is>
      </c>
      <c r="W1126" t="inlineStr">
        <is>
          <t>1995-04-11</t>
        </is>
      </c>
      <c r="X1126" t="inlineStr">
        <is>
          <t>1995-04-11</t>
        </is>
      </c>
      <c r="Y1126" t="n">
        <v>625</v>
      </c>
      <c r="Z1126" t="n">
        <v>595</v>
      </c>
      <c r="AA1126" t="n">
        <v>867</v>
      </c>
      <c r="AB1126" t="n">
        <v>4</v>
      </c>
      <c r="AC1126" t="n">
        <v>4</v>
      </c>
      <c r="AD1126" t="n">
        <v>18</v>
      </c>
      <c r="AE1126" t="n">
        <v>26</v>
      </c>
      <c r="AF1126" t="n">
        <v>7</v>
      </c>
      <c r="AG1126" t="n">
        <v>12</v>
      </c>
      <c r="AH1126" t="n">
        <v>6</v>
      </c>
      <c r="AI1126" t="n">
        <v>7</v>
      </c>
      <c r="AJ1126" t="n">
        <v>10</v>
      </c>
      <c r="AK1126" t="n">
        <v>16</v>
      </c>
      <c r="AL1126" t="n">
        <v>2</v>
      </c>
      <c r="AM1126" t="n">
        <v>2</v>
      </c>
      <c r="AN1126" t="n">
        <v>0</v>
      </c>
      <c r="AO1126" t="n">
        <v>0</v>
      </c>
      <c r="AP1126" t="inlineStr">
        <is>
          <t>No</t>
        </is>
      </c>
      <c r="AQ1126" t="inlineStr">
        <is>
          <t>No</t>
        </is>
      </c>
      <c r="AS1126">
        <f>HYPERLINK("https://creighton-primo.hosted.exlibrisgroup.com/primo-explore/search?tab=default_tab&amp;search_scope=EVERYTHING&amp;vid=01CRU&amp;lang=en_US&amp;offset=0&amp;query=any,contains,991001295539702656","Catalog Record")</f>
        <v/>
      </c>
      <c r="AT1126">
        <f>HYPERLINK("http://www.worldcat.org/oclc/219425","WorldCat Record")</f>
        <v/>
      </c>
      <c r="AU1126" t="inlineStr">
        <is>
          <t>1279963:eng</t>
        </is>
      </c>
      <c r="AV1126" t="inlineStr">
        <is>
          <t>219425</t>
        </is>
      </c>
      <c r="AW1126" t="inlineStr">
        <is>
          <t>991001295539702656</t>
        </is>
      </c>
      <c r="AX1126" t="inlineStr">
        <is>
          <t>991001295539702656</t>
        </is>
      </c>
      <c r="AY1126" t="inlineStr">
        <is>
          <t>2258159070002656</t>
        </is>
      </c>
      <c r="AZ1126" t="inlineStr">
        <is>
          <t>BOOK</t>
        </is>
      </c>
      <c r="BB1126" t="inlineStr">
        <is>
          <t>9780841501249</t>
        </is>
      </c>
      <c r="BC1126" t="inlineStr">
        <is>
          <t>32285002026432</t>
        </is>
      </c>
      <c r="BD1126" t="inlineStr">
        <is>
          <t>893809028</t>
        </is>
      </c>
    </row>
    <row r="1127">
      <c r="A1127" t="inlineStr">
        <is>
          <t>No</t>
        </is>
      </c>
      <c r="B1127" t="inlineStr">
        <is>
          <t>DS465 .R44 1971</t>
        </is>
      </c>
      <c r="C1127" t="inlineStr">
        <is>
          <t>0                      DS 0465000R  44          1971</t>
        </is>
      </c>
      <c r="D1127" t="inlineStr">
        <is>
          <t>Commerce and conquest : the story of the Honourable East India Company / by C. Lestock Reid. With a foreword by Lord Birdwood of Anzac.</t>
        </is>
      </c>
      <c r="F1127" t="inlineStr">
        <is>
          <t>No</t>
        </is>
      </c>
      <c r="G1127" t="inlineStr">
        <is>
          <t>1</t>
        </is>
      </c>
      <c r="H1127" t="inlineStr">
        <is>
          <t>No</t>
        </is>
      </c>
      <c r="I1127" t="inlineStr">
        <is>
          <t>No</t>
        </is>
      </c>
      <c r="J1127" t="inlineStr">
        <is>
          <t>0</t>
        </is>
      </c>
      <c r="K1127" t="inlineStr">
        <is>
          <t>Reid, C. Lestock.</t>
        </is>
      </c>
      <c r="L1127" t="inlineStr">
        <is>
          <t>Port Washington, N.Y. : Kennikat Press, [1971]</t>
        </is>
      </c>
      <c r="M1127" t="inlineStr">
        <is>
          <t>1971</t>
        </is>
      </c>
      <c r="O1127" t="inlineStr">
        <is>
          <t>eng</t>
        </is>
      </c>
      <c r="P1127" t="inlineStr">
        <is>
          <t>nyu</t>
        </is>
      </c>
      <c r="R1127" t="inlineStr">
        <is>
          <t xml:space="preserve">DS </t>
        </is>
      </c>
      <c r="S1127" t="n">
        <v>4</v>
      </c>
      <c r="T1127" t="n">
        <v>4</v>
      </c>
      <c r="U1127" t="inlineStr">
        <is>
          <t>2007-04-07</t>
        </is>
      </c>
      <c r="V1127" t="inlineStr">
        <is>
          <t>2007-04-07</t>
        </is>
      </c>
      <c r="W1127" t="inlineStr">
        <is>
          <t>1995-04-11</t>
        </is>
      </c>
      <c r="X1127" t="inlineStr">
        <is>
          <t>1995-04-11</t>
        </is>
      </c>
      <c r="Y1127" t="n">
        <v>180</v>
      </c>
      <c r="Z1127" t="n">
        <v>158</v>
      </c>
      <c r="AA1127" t="n">
        <v>324</v>
      </c>
      <c r="AB1127" t="n">
        <v>3</v>
      </c>
      <c r="AC1127" t="n">
        <v>4</v>
      </c>
      <c r="AD1127" t="n">
        <v>10</v>
      </c>
      <c r="AE1127" t="n">
        <v>17</v>
      </c>
      <c r="AF1127" t="n">
        <v>1</v>
      </c>
      <c r="AG1127" t="n">
        <v>3</v>
      </c>
      <c r="AH1127" t="n">
        <v>4</v>
      </c>
      <c r="AI1127" t="n">
        <v>4</v>
      </c>
      <c r="AJ1127" t="n">
        <v>5</v>
      </c>
      <c r="AK1127" t="n">
        <v>10</v>
      </c>
      <c r="AL1127" t="n">
        <v>2</v>
      </c>
      <c r="AM1127" t="n">
        <v>3</v>
      </c>
      <c r="AN1127" t="n">
        <v>0</v>
      </c>
      <c r="AO1127" t="n">
        <v>0</v>
      </c>
      <c r="AP1127" t="inlineStr">
        <is>
          <t>No</t>
        </is>
      </c>
      <c r="AQ1127" t="inlineStr">
        <is>
          <t>No</t>
        </is>
      </c>
      <c r="AS1127">
        <f>HYPERLINK("https://creighton-primo.hosted.exlibrisgroup.com/primo-explore/search?tab=default_tab&amp;search_scope=EVERYTHING&amp;vid=01CRU&amp;lang=en_US&amp;offset=0&amp;query=any,contains,991000628369702656","Catalog Record")</f>
        <v/>
      </c>
      <c r="AT1127">
        <f>HYPERLINK("http://www.worldcat.org/oclc/105101","WorldCat Record")</f>
        <v/>
      </c>
      <c r="AU1127" t="inlineStr">
        <is>
          <t>1184810:eng</t>
        </is>
      </c>
      <c r="AV1127" t="inlineStr">
        <is>
          <t>105101</t>
        </is>
      </c>
      <c r="AW1127" t="inlineStr">
        <is>
          <t>991000628369702656</t>
        </is>
      </c>
      <c r="AX1127" t="inlineStr">
        <is>
          <t>991000628369702656</t>
        </is>
      </c>
      <c r="AY1127" t="inlineStr">
        <is>
          <t>2263361060002656</t>
        </is>
      </c>
      <c r="AZ1127" t="inlineStr">
        <is>
          <t>BOOK</t>
        </is>
      </c>
      <c r="BB1127" t="inlineStr">
        <is>
          <t>9780804611190</t>
        </is>
      </c>
      <c r="BC1127" t="inlineStr">
        <is>
          <t>32285002026424</t>
        </is>
      </c>
      <c r="BD1127" t="inlineStr">
        <is>
          <t>893601916</t>
        </is>
      </c>
    </row>
    <row r="1128">
      <c r="A1128" t="inlineStr">
        <is>
          <t>No</t>
        </is>
      </c>
      <c r="B1128" t="inlineStr">
        <is>
          <t>DS465 .W56 1972</t>
        </is>
      </c>
      <c r="C1128" t="inlineStr">
        <is>
          <t>0                      DS 0465000W  56          1972</t>
        </is>
      </c>
      <c r="D1128" t="inlineStr">
        <is>
          <t>Early records of British India : a history of the English settlements in India, as told in the government records, the works of old travellers and other contemporary documents, from the earliest period down to the rise of British power in India.</t>
        </is>
      </c>
      <c r="F1128" t="inlineStr">
        <is>
          <t>No</t>
        </is>
      </c>
      <c r="G1128" t="inlineStr">
        <is>
          <t>1</t>
        </is>
      </c>
      <c r="H1128" t="inlineStr">
        <is>
          <t>No</t>
        </is>
      </c>
      <c r="I1128" t="inlineStr">
        <is>
          <t>No</t>
        </is>
      </c>
      <c r="J1128" t="inlineStr">
        <is>
          <t>0</t>
        </is>
      </c>
      <c r="K1128" t="inlineStr">
        <is>
          <t>Wheeler, James Talboys, 1824-1897.</t>
        </is>
      </c>
      <c r="L1128" t="inlineStr">
        <is>
          <t>London : Curzon Press ; New York : Barnes &amp; Noble, 1972.</t>
        </is>
      </c>
      <c r="M1128" t="inlineStr">
        <is>
          <t>1972</t>
        </is>
      </c>
      <c r="O1128" t="inlineStr">
        <is>
          <t>eng</t>
        </is>
      </c>
      <c r="P1128" t="inlineStr">
        <is>
          <t>enk</t>
        </is>
      </c>
      <c r="Q1128" t="inlineStr">
        <is>
          <t>Records of Asian history</t>
        </is>
      </c>
      <c r="R1128" t="inlineStr">
        <is>
          <t xml:space="preserve">DS </t>
        </is>
      </c>
      <c r="S1128" t="n">
        <v>2</v>
      </c>
      <c r="T1128" t="n">
        <v>2</v>
      </c>
      <c r="U1128" t="inlineStr">
        <is>
          <t>2007-04-07</t>
        </is>
      </c>
      <c r="V1128" t="inlineStr">
        <is>
          <t>2007-04-07</t>
        </is>
      </c>
      <c r="W1128" t="inlineStr">
        <is>
          <t>1995-04-11</t>
        </is>
      </c>
      <c r="X1128" t="inlineStr">
        <is>
          <t>1995-04-11</t>
        </is>
      </c>
      <c r="Y1128" t="n">
        <v>160</v>
      </c>
      <c r="Z1128" t="n">
        <v>133</v>
      </c>
      <c r="AA1128" t="n">
        <v>239</v>
      </c>
      <c r="AB1128" t="n">
        <v>3</v>
      </c>
      <c r="AC1128" t="n">
        <v>4</v>
      </c>
      <c r="AD1128" t="n">
        <v>6</v>
      </c>
      <c r="AE1128" t="n">
        <v>10</v>
      </c>
      <c r="AF1128" t="n">
        <v>1</v>
      </c>
      <c r="AG1128" t="n">
        <v>2</v>
      </c>
      <c r="AH1128" t="n">
        <v>2</v>
      </c>
      <c r="AI1128" t="n">
        <v>4</v>
      </c>
      <c r="AJ1128" t="n">
        <v>2</v>
      </c>
      <c r="AK1128" t="n">
        <v>3</v>
      </c>
      <c r="AL1128" t="n">
        <v>2</v>
      </c>
      <c r="AM1128" t="n">
        <v>3</v>
      </c>
      <c r="AN1128" t="n">
        <v>0</v>
      </c>
      <c r="AO1128" t="n">
        <v>0</v>
      </c>
      <c r="AP1128" t="inlineStr">
        <is>
          <t>No</t>
        </is>
      </c>
      <c r="AQ1128" t="inlineStr">
        <is>
          <t>Yes</t>
        </is>
      </c>
      <c r="AR1128">
        <f>HYPERLINK("http://catalog.hathitrust.org/Record/006042396","HathiTrust Record")</f>
        <v/>
      </c>
      <c r="AS1128">
        <f>HYPERLINK("https://creighton-primo.hosted.exlibrisgroup.com/primo-explore/search?tab=default_tab&amp;search_scope=EVERYTHING&amp;vid=01CRU&amp;lang=en_US&amp;offset=0&amp;query=any,contains,991004232209702656","Catalog Record")</f>
        <v/>
      </c>
      <c r="AT1128">
        <f>HYPERLINK("http://www.worldcat.org/oclc/2751094","WorldCat Record")</f>
        <v/>
      </c>
      <c r="AU1128" t="inlineStr">
        <is>
          <t>1633824:eng</t>
        </is>
      </c>
      <c r="AV1128" t="inlineStr">
        <is>
          <t>2751094</t>
        </is>
      </c>
      <c r="AW1128" t="inlineStr">
        <is>
          <t>991004232209702656</t>
        </is>
      </c>
      <c r="AX1128" t="inlineStr">
        <is>
          <t>991004232209702656</t>
        </is>
      </c>
      <c r="AY1128" t="inlineStr">
        <is>
          <t>2262046040002656</t>
        </is>
      </c>
      <c r="AZ1128" t="inlineStr">
        <is>
          <t>BOOK</t>
        </is>
      </c>
      <c r="BB1128" t="inlineStr">
        <is>
          <t>9780389045137</t>
        </is>
      </c>
      <c r="BC1128" t="inlineStr">
        <is>
          <t>32285002026416</t>
        </is>
      </c>
      <c r="BD1128" t="inlineStr">
        <is>
          <t>893806822</t>
        </is>
      </c>
    </row>
    <row r="1129">
      <c r="A1129" t="inlineStr">
        <is>
          <t>No</t>
        </is>
      </c>
      <c r="B1129" t="inlineStr">
        <is>
          <t>DS473 .B45 2000</t>
        </is>
      </c>
      <c r="C1129" t="inlineStr">
        <is>
          <t>0                      DS 0473000B  45          2000</t>
        </is>
      </c>
      <c r="D1129" t="inlineStr">
        <is>
          <t>Dawning of the Raj : the life and trials of Warren Hastings / Jeremy Bernstein.</t>
        </is>
      </c>
      <c r="F1129" t="inlineStr">
        <is>
          <t>No</t>
        </is>
      </c>
      <c r="G1129" t="inlineStr">
        <is>
          <t>1</t>
        </is>
      </c>
      <c r="H1129" t="inlineStr">
        <is>
          <t>No</t>
        </is>
      </c>
      <c r="I1129" t="inlineStr">
        <is>
          <t>No</t>
        </is>
      </c>
      <c r="J1129" t="inlineStr">
        <is>
          <t>0</t>
        </is>
      </c>
      <c r="K1129" t="inlineStr">
        <is>
          <t>Bernstein, Jeremy, 1929-</t>
        </is>
      </c>
      <c r="L1129" t="inlineStr">
        <is>
          <t>Chicago : Ivan R. Dee, 2000.</t>
        </is>
      </c>
      <c r="M1129" t="inlineStr">
        <is>
          <t>2000</t>
        </is>
      </c>
      <c r="O1129" t="inlineStr">
        <is>
          <t>eng</t>
        </is>
      </c>
      <c r="P1129" t="inlineStr">
        <is>
          <t>ilu</t>
        </is>
      </c>
      <c r="R1129" t="inlineStr">
        <is>
          <t xml:space="preserve">DS </t>
        </is>
      </c>
      <c r="S1129" t="n">
        <v>19</v>
      </c>
      <c r="T1129" t="n">
        <v>19</v>
      </c>
      <c r="U1129" t="inlineStr">
        <is>
          <t>2008-04-28</t>
        </is>
      </c>
      <c r="V1129" t="inlineStr">
        <is>
          <t>2008-04-28</t>
        </is>
      </c>
      <c r="W1129" t="inlineStr">
        <is>
          <t>2002-01-10</t>
        </is>
      </c>
      <c r="X1129" t="inlineStr">
        <is>
          <t>2002-01-10</t>
        </is>
      </c>
      <c r="Y1129" t="n">
        <v>397</v>
      </c>
      <c r="Z1129" t="n">
        <v>347</v>
      </c>
      <c r="AA1129" t="n">
        <v>357</v>
      </c>
      <c r="AB1129" t="n">
        <v>5</v>
      </c>
      <c r="AC1129" t="n">
        <v>5</v>
      </c>
      <c r="AD1129" t="n">
        <v>16</v>
      </c>
      <c r="AE1129" t="n">
        <v>16</v>
      </c>
      <c r="AF1129" t="n">
        <v>4</v>
      </c>
      <c r="AG1129" t="n">
        <v>4</v>
      </c>
      <c r="AH1129" t="n">
        <v>6</v>
      </c>
      <c r="AI1129" t="n">
        <v>6</v>
      </c>
      <c r="AJ1129" t="n">
        <v>8</v>
      </c>
      <c r="AK1129" t="n">
        <v>8</v>
      </c>
      <c r="AL1129" t="n">
        <v>3</v>
      </c>
      <c r="AM1129" t="n">
        <v>3</v>
      </c>
      <c r="AN1129" t="n">
        <v>0</v>
      </c>
      <c r="AO1129" t="n">
        <v>0</v>
      </c>
      <c r="AP1129" t="inlineStr">
        <is>
          <t>No</t>
        </is>
      </c>
      <c r="AQ1129" t="inlineStr">
        <is>
          <t>Yes</t>
        </is>
      </c>
      <c r="AR1129">
        <f>HYPERLINK("http://catalog.hathitrust.org/Record/004090731","HathiTrust Record")</f>
        <v/>
      </c>
      <c r="AS1129">
        <f>HYPERLINK("https://creighton-primo.hosted.exlibrisgroup.com/primo-explore/search?tab=default_tab&amp;search_scope=EVERYTHING&amp;vid=01CRU&amp;lang=en_US&amp;offset=0&amp;query=any,contains,991003696729702656","Catalog Record")</f>
        <v/>
      </c>
      <c r="AT1129">
        <f>HYPERLINK("http://www.worldcat.org/oclc/43036832","WorldCat Record")</f>
        <v/>
      </c>
      <c r="AU1129" t="inlineStr">
        <is>
          <t>13035698:eng</t>
        </is>
      </c>
      <c r="AV1129" t="inlineStr">
        <is>
          <t>43036832</t>
        </is>
      </c>
      <c r="AW1129" t="inlineStr">
        <is>
          <t>991003696729702656</t>
        </is>
      </c>
      <c r="AX1129" t="inlineStr">
        <is>
          <t>991003696729702656</t>
        </is>
      </c>
      <c r="AY1129" t="inlineStr">
        <is>
          <t>2263314140002656</t>
        </is>
      </c>
      <c r="AZ1129" t="inlineStr">
        <is>
          <t>BOOK</t>
        </is>
      </c>
      <c r="BB1129" t="inlineStr">
        <is>
          <t>9781566632812</t>
        </is>
      </c>
      <c r="BC1129" t="inlineStr">
        <is>
          <t>32285004447685</t>
        </is>
      </c>
      <c r="BD1129" t="inlineStr">
        <is>
          <t>893228337</t>
        </is>
      </c>
    </row>
    <row r="1130">
      <c r="A1130" t="inlineStr">
        <is>
          <t>No</t>
        </is>
      </c>
      <c r="B1130" t="inlineStr">
        <is>
          <t>DS473 .F4 1967</t>
        </is>
      </c>
      <c r="C1130" t="inlineStr">
        <is>
          <t>0                      DS 0473000F  4           1967</t>
        </is>
      </c>
      <c r="D1130" t="inlineStr">
        <is>
          <t>Warren Hastings, by Keith Feiling.</t>
        </is>
      </c>
      <c r="F1130" t="inlineStr">
        <is>
          <t>No</t>
        </is>
      </c>
      <c r="G1130" t="inlineStr">
        <is>
          <t>1</t>
        </is>
      </c>
      <c r="H1130" t="inlineStr">
        <is>
          <t>No</t>
        </is>
      </c>
      <c r="I1130" t="inlineStr">
        <is>
          <t>No</t>
        </is>
      </c>
      <c r="J1130" t="inlineStr">
        <is>
          <t>0</t>
        </is>
      </c>
      <c r="K1130" t="inlineStr">
        <is>
          <t>Feiling, Keith, 1884-1977.</t>
        </is>
      </c>
      <c r="L1130" t="inlineStr">
        <is>
          <t>Hamden, Conn., Archon Books, 1967.</t>
        </is>
      </c>
      <c r="M1130" t="inlineStr">
        <is>
          <t>1967</t>
        </is>
      </c>
      <c r="O1130" t="inlineStr">
        <is>
          <t>eng</t>
        </is>
      </c>
      <c r="P1130" t="inlineStr">
        <is>
          <t>ctu</t>
        </is>
      </c>
      <c r="R1130" t="inlineStr">
        <is>
          <t xml:space="preserve">DS </t>
        </is>
      </c>
      <c r="S1130" t="n">
        <v>8</v>
      </c>
      <c r="T1130" t="n">
        <v>8</v>
      </c>
      <c r="U1130" t="inlineStr">
        <is>
          <t>2005-02-01</t>
        </is>
      </c>
      <c r="V1130" t="inlineStr">
        <is>
          <t>2005-02-01</t>
        </is>
      </c>
      <c r="W1130" t="inlineStr">
        <is>
          <t>1996-08-09</t>
        </is>
      </c>
      <c r="X1130" t="inlineStr">
        <is>
          <t>1996-08-09</t>
        </is>
      </c>
      <c r="Y1130" t="n">
        <v>237</v>
      </c>
      <c r="Z1130" t="n">
        <v>226</v>
      </c>
      <c r="AA1130" t="n">
        <v>486</v>
      </c>
      <c r="AB1130" t="n">
        <v>3</v>
      </c>
      <c r="AC1130" t="n">
        <v>3</v>
      </c>
      <c r="AD1130" t="n">
        <v>11</v>
      </c>
      <c r="AE1130" t="n">
        <v>24</v>
      </c>
      <c r="AF1130" t="n">
        <v>4</v>
      </c>
      <c r="AG1130" t="n">
        <v>7</v>
      </c>
      <c r="AH1130" t="n">
        <v>1</v>
      </c>
      <c r="AI1130" t="n">
        <v>7</v>
      </c>
      <c r="AJ1130" t="n">
        <v>5</v>
      </c>
      <c r="AK1130" t="n">
        <v>16</v>
      </c>
      <c r="AL1130" t="n">
        <v>2</v>
      </c>
      <c r="AM1130" t="n">
        <v>2</v>
      </c>
      <c r="AN1130" t="n">
        <v>0</v>
      </c>
      <c r="AO1130" t="n">
        <v>0</v>
      </c>
      <c r="AP1130" t="inlineStr">
        <is>
          <t>No</t>
        </is>
      </c>
      <c r="AQ1130" t="inlineStr">
        <is>
          <t>Yes</t>
        </is>
      </c>
      <c r="AR1130">
        <f>HYPERLINK("http://catalog.hathitrust.org/Record/001251564","HathiTrust Record")</f>
        <v/>
      </c>
      <c r="AS1130">
        <f>HYPERLINK("https://creighton-primo.hosted.exlibrisgroup.com/primo-explore/search?tab=default_tab&amp;search_scope=EVERYTHING&amp;vid=01CRU&amp;lang=en_US&amp;offset=0&amp;query=any,contains,991003394389702656","Catalog Record")</f>
        <v/>
      </c>
      <c r="AT1130">
        <f>HYPERLINK("http://www.worldcat.org/oclc/933187","WorldCat Record")</f>
        <v/>
      </c>
      <c r="AU1130" t="inlineStr">
        <is>
          <t>3768843466:eng</t>
        </is>
      </c>
      <c r="AV1130" t="inlineStr">
        <is>
          <t>933187</t>
        </is>
      </c>
      <c r="AW1130" t="inlineStr">
        <is>
          <t>991003394389702656</t>
        </is>
      </c>
      <c r="AX1130" t="inlineStr">
        <is>
          <t>991003394389702656</t>
        </is>
      </c>
      <c r="AY1130" t="inlineStr">
        <is>
          <t>2271957570002656</t>
        </is>
      </c>
      <c r="AZ1130" t="inlineStr">
        <is>
          <t>BOOK</t>
        </is>
      </c>
      <c r="BC1130" t="inlineStr">
        <is>
          <t>32285002272895</t>
        </is>
      </c>
      <c r="BD1130" t="inlineStr">
        <is>
          <t>893524778</t>
        </is>
      </c>
    </row>
    <row r="1131">
      <c r="A1131" t="inlineStr">
        <is>
          <t>No</t>
        </is>
      </c>
      <c r="B1131" t="inlineStr">
        <is>
          <t>DS475.2 .R63 1999</t>
        </is>
      </c>
      <c r="C1131" t="inlineStr">
        <is>
          <t>0                      DS 0475200R  63          1999</t>
        </is>
      </c>
      <c r="D1131" t="inlineStr">
        <is>
          <t>Raja Rammohan Ray : the father of modern India.</t>
        </is>
      </c>
      <c r="F1131" t="inlineStr">
        <is>
          <t>No</t>
        </is>
      </c>
      <c r="G1131" t="inlineStr">
        <is>
          <t>1</t>
        </is>
      </c>
      <c r="H1131" t="inlineStr">
        <is>
          <t>No</t>
        </is>
      </c>
      <c r="I1131" t="inlineStr">
        <is>
          <t>No</t>
        </is>
      </c>
      <c r="J1131" t="inlineStr">
        <is>
          <t>0</t>
        </is>
      </c>
      <c r="K1131" t="inlineStr">
        <is>
          <t>Robertson, Bruce Carlisle.</t>
        </is>
      </c>
      <c r="L1131" t="inlineStr">
        <is>
          <t>Delhi ; Oxford : Oxford University Press, 1999.</t>
        </is>
      </c>
      <c r="M1131" t="inlineStr">
        <is>
          <t>1999</t>
        </is>
      </c>
      <c r="O1131" t="inlineStr">
        <is>
          <t>eng</t>
        </is>
      </c>
      <c r="P1131" t="inlineStr">
        <is>
          <t xml:space="preserve">ii </t>
        </is>
      </c>
      <c r="R1131" t="inlineStr">
        <is>
          <t xml:space="preserve">DS </t>
        </is>
      </c>
      <c r="S1131" t="n">
        <v>3</v>
      </c>
      <c r="T1131" t="n">
        <v>3</v>
      </c>
      <c r="U1131" t="inlineStr">
        <is>
          <t>2002-10-28</t>
        </is>
      </c>
      <c r="V1131" t="inlineStr">
        <is>
          <t>2002-10-28</t>
        </is>
      </c>
      <c r="W1131" t="inlineStr">
        <is>
          <t>2002-10-07</t>
        </is>
      </c>
      <c r="X1131" t="inlineStr">
        <is>
          <t>2002-10-07</t>
        </is>
      </c>
      <c r="Y1131" t="n">
        <v>33</v>
      </c>
      <c r="Z1131" t="n">
        <v>20</v>
      </c>
      <c r="AA1131" t="n">
        <v>155</v>
      </c>
      <c r="AB1131" t="n">
        <v>1</v>
      </c>
      <c r="AC1131" t="n">
        <v>1</v>
      </c>
      <c r="AD1131" t="n">
        <v>2</v>
      </c>
      <c r="AE1131" t="n">
        <v>11</v>
      </c>
      <c r="AF1131" t="n">
        <v>1</v>
      </c>
      <c r="AG1131" t="n">
        <v>1</v>
      </c>
      <c r="AH1131" t="n">
        <v>0</v>
      </c>
      <c r="AI1131" t="n">
        <v>3</v>
      </c>
      <c r="AJ1131" t="n">
        <v>1</v>
      </c>
      <c r="AK1131" t="n">
        <v>9</v>
      </c>
      <c r="AL1131" t="n">
        <v>0</v>
      </c>
      <c r="AM1131" t="n">
        <v>0</v>
      </c>
      <c r="AN1131" t="n">
        <v>0</v>
      </c>
      <c r="AO1131" t="n">
        <v>0</v>
      </c>
      <c r="AP1131" t="inlineStr">
        <is>
          <t>No</t>
        </is>
      </c>
      <c r="AQ1131" t="inlineStr">
        <is>
          <t>No</t>
        </is>
      </c>
      <c r="AS1131">
        <f>HYPERLINK("https://creighton-primo.hosted.exlibrisgroup.com/primo-explore/search?tab=default_tab&amp;search_scope=EVERYTHING&amp;vid=01CRU&amp;lang=en_US&amp;offset=0&amp;query=any,contains,991003866479702656","Catalog Record")</f>
        <v/>
      </c>
      <c r="AT1131">
        <f>HYPERLINK("http://www.worldcat.org/oclc/42039102","WorldCat Record")</f>
        <v/>
      </c>
      <c r="AU1131" t="inlineStr">
        <is>
          <t>36766615:eng</t>
        </is>
      </c>
      <c r="AV1131" t="inlineStr">
        <is>
          <t>42039102</t>
        </is>
      </c>
      <c r="AW1131" t="inlineStr">
        <is>
          <t>991003866479702656</t>
        </is>
      </c>
      <c r="AX1131" t="inlineStr">
        <is>
          <t>991003866479702656</t>
        </is>
      </c>
      <c r="AY1131" t="inlineStr">
        <is>
          <t>2268571530002656</t>
        </is>
      </c>
      <c r="AZ1131" t="inlineStr">
        <is>
          <t>BOOK</t>
        </is>
      </c>
      <c r="BB1131" t="inlineStr">
        <is>
          <t>9780195648539</t>
        </is>
      </c>
      <c r="BC1131" t="inlineStr">
        <is>
          <t>32285004652250</t>
        </is>
      </c>
      <c r="BD1131" t="inlineStr">
        <is>
          <t>893800253</t>
        </is>
      </c>
    </row>
    <row r="1132">
      <c r="A1132" t="inlineStr">
        <is>
          <t>No</t>
        </is>
      </c>
      <c r="B1132" t="inlineStr">
        <is>
          <t>DS475.3 .C66 2003</t>
        </is>
      </c>
      <c r="C1132" t="inlineStr">
        <is>
          <t>0                      DS 0475300C  66          2003</t>
        </is>
      </c>
      <c r="D1132" t="inlineStr">
        <is>
          <t>The Anglo-Maratha campaigns and the contest for India : the struggle for control of the South Asian military economy / Randolf G.S. Cooper.</t>
        </is>
      </c>
      <c r="F1132" t="inlineStr">
        <is>
          <t>No</t>
        </is>
      </c>
      <c r="G1132" t="inlineStr">
        <is>
          <t>1</t>
        </is>
      </c>
      <c r="H1132" t="inlineStr">
        <is>
          <t>No</t>
        </is>
      </c>
      <c r="I1132" t="inlineStr">
        <is>
          <t>No</t>
        </is>
      </c>
      <c r="J1132" t="inlineStr">
        <is>
          <t>0</t>
        </is>
      </c>
      <c r="K1132" t="inlineStr">
        <is>
          <t>Cooper, Randolf G. S.</t>
        </is>
      </c>
      <c r="L1132" t="inlineStr">
        <is>
          <t>Cambridge ; New York : Cambridge University Press, 2003.</t>
        </is>
      </c>
      <c r="M1132" t="inlineStr">
        <is>
          <t>2003</t>
        </is>
      </c>
      <c r="O1132" t="inlineStr">
        <is>
          <t>eng</t>
        </is>
      </c>
      <c r="P1132" t="inlineStr">
        <is>
          <t>enk</t>
        </is>
      </c>
      <c r="R1132" t="inlineStr">
        <is>
          <t xml:space="preserve">DS </t>
        </is>
      </c>
      <c r="S1132" t="n">
        <v>2</v>
      </c>
      <c r="T1132" t="n">
        <v>2</v>
      </c>
      <c r="U1132" t="inlineStr">
        <is>
          <t>2007-04-21</t>
        </is>
      </c>
      <c r="V1132" t="inlineStr">
        <is>
          <t>2007-04-21</t>
        </is>
      </c>
      <c r="W1132" t="inlineStr">
        <is>
          <t>2007-04-12</t>
        </is>
      </c>
      <c r="X1132" t="inlineStr">
        <is>
          <t>2007-04-12</t>
        </is>
      </c>
      <c r="Y1132" t="n">
        <v>176</v>
      </c>
      <c r="Z1132" t="n">
        <v>130</v>
      </c>
      <c r="AA1132" t="n">
        <v>133</v>
      </c>
      <c r="AB1132" t="n">
        <v>2</v>
      </c>
      <c r="AC1132" t="n">
        <v>2</v>
      </c>
      <c r="AD1132" t="n">
        <v>9</v>
      </c>
      <c r="AE1132" t="n">
        <v>10</v>
      </c>
      <c r="AF1132" t="n">
        <v>3</v>
      </c>
      <c r="AG1132" t="n">
        <v>4</v>
      </c>
      <c r="AH1132" t="n">
        <v>2</v>
      </c>
      <c r="AI1132" t="n">
        <v>2</v>
      </c>
      <c r="AJ1132" t="n">
        <v>6</v>
      </c>
      <c r="AK1132" t="n">
        <v>7</v>
      </c>
      <c r="AL1132" t="n">
        <v>1</v>
      </c>
      <c r="AM1132" t="n">
        <v>1</v>
      </c>
      <c r="AN1132" t="n">
        <v>0</v>
      </c>
      <c r="AO1132" t="n">
        <v>0</v>
      </c>
      <c r="AP1132" t="inlineStr">
        <is>
          <t>No</t>
        </is>
      </c>
      <c r="AQ1132" t="inlineStr">
        <is>
          <t>No</t>
        </is>
      </c>
      <c r="AS1132">
        <f>HYPERLINK("https://creighton-primo.hosted.exlibrisgroup.com/primo-explore/search?tab=default_tab&amp;search_scope=EVERYTHING&amp;vid=01CRU&amp;lang=en_US&amp;offset=0&amp;query=any,contains,991005068519702656","Catalog Record")</f>
        <v/>
      </c>
      <c r="AT1132">
        <f>HYPERLINK("http://www.worldcat.org/oclc/52178625","WorldCat Record")</f>
        <v/>
      </c>
      <c r="AU1132" t="inlineStr">
        <is>
          <t>838904172:eng</t>
        </is>
      </c>
      <c r="AV1132" t="inlineStr">
        <is>
          <t>52178625</t>
        </is>
      </c>
      <c r="AW1132" t="inlineStr">
        <is>
          <t>991005068519702656</t>
        </is>
      </c>
      <c r="AX1132" t="inlineStr">
        <is>
          <t>991005068519702656</t>
        </is>
      </c>
      <c r="AY1132" t="inlineStr">
        <is>
          <t>2264927300002656</t>
        </is>
      </c>
      <c r="AZ1132" t="inlineStr">
        <is>
          <t>BOOK</t>
        </is>
      </c>
      <c r="BB1132" t="inlineStr">
        <is>
          <t>9780521824446</t>
        </is>
      </c>
      <c r="BC1132" t="inlineStr">
        <is>
          <t>32285005286603</t>
        </is>
      </c>
      <c r="BD1132" t="inlineStr">
        <is>
          <t>893810826</t>
        </is>
      </c>
    </row>
    <row r="1133">
      <c r="A1133" t="inlineStr">
        <is>
          <t>No</t>
        </is>
      </c>
      <c r="B1133" t="inlineStr">
        <is>
          <t>DS477.1 .C66 1975</t>
        </is>
      </c>
      <c r="C1133" t="inlineStr">
        <is>
          <t>0                      DS 0477100C  66          1975</t>
        </is>
      </c>
      <c r="D1133" t="inlineStr">
        <is>
          <t>The Sikh Wars : the British Army in the Punjab, 1845-1849 / by Hugh Cook.</t>
        </is>
      </c>
      <c r="F1133" t="inlineStr">
        <is>
          <t>No</t>
        </is>
      </c>
      <c r="G1133" t="inlineStr">
        <is>
          <t>1</t>
        </is>
      </c>
      <c r="H1133" t="inlineStr">
        <is>
          <t>No</t>
        </is>
      </c>
      <c r="I1133" t="inlineStr">
        <is>
          <t>No</t>
        </is>
      </c>
      <c r="J1133" t="inlineStr">
        <is>
          <t>0</t>
        </is>
      </c>
      <c r="K1133" t="inlineStr">
        <is>
          <t>Cook, Hugh C. B.</t>
        </is>
      </c>
      <c r="L1133" t="inlineStr">
        <is>
          <t>London : L. Cooper, 1975.</t>
        </is>
      </c>
      <c r="M1133" t="inlineStr">
        <is>
          <t>1975</t>
        </is>
      </c>
      <c r="O1133" t="inlineStr">
        <is>
          <t>eng</t>
        </is>
      </c>
      <c r="P1133" t="inlineStr">
        <is>
          <t>enk</t>
        </is>
      </c>
      <c r="Q1133" t="inlineStr">
        <is>
          <t>19th century military campaigns</t>
        </is>
      </c>
      <c r="R1133" t="inlineStr">
        <is>
          <t xml:space="preserve">DS </t>
        </is>
      </c>
      <c r="S1133" t="n">
        <v>4</v>
      </c>
      <c r="T1133" t="n">
        <v>4</v>
      </c>
      <c r="U1133" t="inlineStr">
        <is>
          <t>2007-04-14</t>
        </is>
      </c>
      <c r="V1133" t="inlineStr">
        <is>
          <t>2007-04-14</t>
        </is>
      </c>
      <c r="W1133" t="inlineStr">
        <is>
          <t>1997-03-10</t>
        </is>
      </c>
      <c r="X1133" t="inlineStr">
        <is>
          <t>1997-03-10</t>
        </is>
      </c>
      <c r="Y1133" t="n">
        <v>228</v>
      </c>
      <c r="Z1133" t="n">
        <v>152</v>
      </c>
      <c r="AA1133" t="n">
        <v>175</v>
      </c>
      <c r="AB1133" t="n">
        <v>2</v>
      </c>
      <c r="AC1133" t="n">
        <v>3</v>
      </c>
      <c r="AD1133" t="n">
        <v>5</v>
      </c>
      <c r="AE1133" t="n">
        <v>6</v>
      </c>
      <c r="AF1133" t="n">
        <v>0</v>
      </c>
      <c r="AG1133" t="n">
        <v>0</v>
      </c>
      <c r="AH1133" t="n">
        <v>3</v>
      </c>
      <c r="AI1133" t="n">
        <v>3</v>
      </c>
      <c r="AJ1133" t="n">
        <v>1</v>
      </c>
      <c r="AK1133" t="n">
        <v>1</v>
      </c>
      <c r="AL1133" t="n">
        <v>1</v>
      </c>
      <c r="AM1133" t="n">
        <v>2</v>
      </c>
      <c r="AN1133" t="n">
        <v>0</v>
      </c>
      <c r="AO1133" t="n">
        <v>0</v>
      </c>
      <c r="AP1133" t="inlineStr">
        <is>
          <t>No</t>
        </is>
      </c>
      <c r="AQ1133" t="inlineStr">
        <is>
          <t>Yes</t>
        </is>
      </c>
      <c r="AR1133">
        <f>HYPERLINK("http://catalog.hathitrust.org/Record/000028051","HathiTrust Record")</f>
        <v/>
      </c>
      <c r="AS1133">
        <f>HYPERLINK("https://creighton-primo.hosted.exlibrisgroup.com/primo-explore/search?tab=default_tab&amp;search_scope=EVERYTHING&amp;vid=01CRU&amp;lang=en_US&amp;offset=0&amp;query=any,contains,991003658099702656","Catalog Record")</f>
        <v/>
      </c>
      <c r="AT1133">
        <f>HYPERLINK("http://www.worldcat.org/oclc/1264454","WorldCat Record")</f>
        <v/>
      </c>
      <c r="AU1133" t="inlineStr">
        <is>
          <t>2189422:eng</t>
        </is>
      </c>
      <c r="AV1133" t="inlineStr">
        <is>
          <t>1264454</t>
        </is>
      </c>
      <c r="AW1133" t="inlineStr">
        <is>
          <t>991003658099702656</t>
        </is>
      </c>
      <c r="AX1133" t="inlineStr">
        <is>
          <t>991003658099702656</t>
        </is>
      </c>
      <c r="AY1133" t="inlineStr">
        <is>
          <t>2264102110002656</t>
        </is>
      </c>
      <c r="AZ1133" t="inlineStr">
        <is>
          <t>BOOK</t>
        </is>
      </c>
      <c r="BB1133" t="inlineStr">
        <is>
          <t>9780850521641</t>
        </is>
      </c>
      <c r="BC1133" t="inlineStr">
        <is>
          <t>32285002457181</t>
        </is>
      </c>
      <c r="BD1133" t="inlineStr">
        <is>
          <t>893887716</t>
        </is>
      </c>
    </row>
    <row r="1134">
      <c r="A1134" t="inlineStr">
        <is>
          <t>No</t>
        </is>
      </c>
      <c r="B1134" t="inlineStr">
        <is>
          <t>DS479 .L36 1997</t>
        </is>
      </c>
      <c r="C1134" t="inlineStr">
        <is>
          <t>0                      DS 0479000L  36          1997</t>
        </is>
      </c>
      <c r="D1134" t="inlineStr">
        <is>
          <t>Legacy of a divided nation : India's Muslims since independence / Mushirul Hasan.</t>
        </is>
      </c>
      <c r="F1134" t="inlineStr">
        <is>
          <t>No</t>
        </is>
      </c>
      <c r="G1134" t="inlineStr">
        <is>
          <t>1</t>
        </is>
      </c>
      <c r="H1134" t="inlineStr">
        <is>
          <t>No</t>
        </is>
      </c>
      <c r="I1134" t="inlineStr">
        <is>
          <t>No</t>
        </is>
      </c>
      <c r="J1134" t="inlineStr">
        <is>
          <t>0</t>
        </is>
      </c>
      <c r="K1134" t="inlineStr">
        <is>
          <t>Hasan, Mushirul.</t>
        </is>
      </c>
      <c r="L1134" t="inlineStr">
        <is>
          <t>Delhi : Oxford University Press, 1997.</t>
        </is>
      </c>
      <c r="M1134" t="inlineStr">
        <is>
          <t>1997</t>
        </is>
      </c>
      <c r="O1134" t="inlineStr">
        <is>
          <t>eng</t>
        </is>
      </c>
      <c r="P1134" t="inlineStr">
        <is>
          <t xml:space="preserve">ii </t>
        </is>
      </c>
      <c r="R1134" t="inlineStr">
        <is>
          <t xml:space="preserve">DS </t>
        </is>
      </c>
      <c r="S1134" t="n">
        <v>1</v>
      </c>
      <c r="T1134" t="n">
        <v>1</v>
      </c>
      <c r="U1134" t="inlineStr">
        <is>
          <t>2004-09-22</t>
        </is>
      </c>
      <c r="V1134" t="inlineStr">
        <is>
          <t>2004-09-22</t>
        </is>
      </c>
      <c r="W1134" t="inlineStr">
        <is>
          <t>2004-09-22</t>
        </is>
      </c>
      <c r="X1134" t="inlineStr">
        <is>
          <t>2004-09-22</t>
        </is>
      </c>
      <c r="Y1134" t="n">
        <v>32</v>
      </c>
      <c r="Z1134" t="n">
        <v>17</v>
      </c>
      <c r="AA1134" t="n">
        <v>334</v>
      </c>
      <c r="AB1134" t="n">
        <v>1</v>
      </c>
      <c r="AC1134" t="n">
        <v>3</v>
      </c>
      <c r="AD1134" t="n">
        <v>1</v>
      </c>
      <c r="AE1134" t="n">
        <v>22</v>
      </c>
      <c r="AF1134" t="n">
        <v>0</v>
      </c>
      <c r="AG1134" t="n">
        <v>6</v>
      </c>
      <c r="AH1134" t="n">
        <v>1</v>
      </c>
      <c r="AI1134" t="n">
        <v>8</v>
      </c>
      <c r="AJ1134" t="n">
        <v>1</v>
      </c>
      <c r="AK1134" t="n">
        <v>14</v>
      </c>
      <c r="AL1134" t="n">
        <v>0</v>
      </c>
      <c r="AM1134" t="n">
        <v>2</v>
      </c>
      <c r="AN1134" t="n">
        <v>0</v>
      </c>
      <c r="AO1134" t="n">
        <v>0</v>
      </c>
      <c r="AP1134" t="inlineStr">
        <is>
          <t>No</t>
        </is>
      </c>
      <c r="AQ1134" t="inlineStr">
        <is>
          <t>No</t>
        </is>
      </c>
      <c r="AS1134">
        <f>HYPERLINK("https://creighton-primo.hosted.exlibrisgroup.com/primo-explore/search?tab=default_tab&amp;search_scope=EVERYTHING&amp;vid=01CRU&amp;lang=en_US&amp;offset=0&amp;query=any,contains,991004373019702656","Catalog Record")</f>
        <v/>
      </c>
      <c r="AT1134">
        <f>HYPERLINK("http://www.worldcat.org/oclc/37657552","WorldCat Record")</f>
        <v/>
      </c>
      <c r="AU1134" t="inlineStr">
        <is>
          <t>836960642:eng</t>
        </is>
      </c>
      <c r="AV1134" t="inlineStr">
        <is>
          <t>37657552</t>
        </is>
      </c>
      <c r="AW1134" t="inlineStr">
        <is>
          <t>991004373019702656</t>
        </is>
      </c>
      <c r="AX1134" t="inlineStr">
        <is>
          <t>991004373019702656</t>
        </is>
      </c>
      <c r="AY1134" t="inlineStr">
        <is>
          <t>2256648220002656</t>
        </is>
      </c>
      <c r="AZ1134" t="inlineStr">
        <is>
          <t>BOOK</t>
        </is>
      </c>
      <c r="BB1134" t="inlineStr">
        <is>
          <t>9780195641769</t>
        </is>
      </c>
      <c r="BC1134" t="inlineStr">
        <is>
          <t>32285004988407</t>
        </is>
      </c>
      <c r="BD1134" t="inlineStr">
        <is>
          <t>893319139</t>
        </is>
      </c>
    </row>
    <row r="1135">
      <c r="A1135" t="inlineStr">
        <is>
          <t>No</t>
        </is>
      </c>
      <c r="B1135" t="inlineStr">
        <is>
          <t>DS479 .N35 1989</t>
        </is>
      </c>
      <c r="C1135" t="inlineStr">
        <is>
          <t>0                      DS 0479000N  35          1989</t>
        </is>
      </c>
      <c r="D1135" t="inlineStr">
        <is>
          <t>Gandhi : pan-Islamism, imperialism, and nationalism in India / B.R. Nanda.</t>
        </is>
      </c>
      <c r="F1135" t="inlineStr">
        <is>
          <t>No</t>
        </is>
      </c>
      <c r="G1135" t="inlineStr">
        <is>
          <t>1</t>
        </is>
      </c>
      <c r="H1135" t="inlineStr">
        <is>
          <t>No</t>
        </is>
      </c>
      <c r="I1135" t="inlineStr">
        <is>
          <t>No</t>
        </is>
      </c>
      <c r="J1135" t="inlineStr">
        <is>
          <t>0</t>
        </is>
      </c>
      <c r="K1135" t="inlineStr">
        <is>
          <t>Nanda, B. R. (Bal Ram), 1917-2010.</t>
        </is>
      </c>
      <c r="L1135" t="inlineStr">
        <is>
          <t>Bombay ; New York : Oxford University Press, 1989.</t>
        </is>
      </c>
      <c r="M1135" t="inlineStr">
        <is>
          <t>1989</t>
        </is>
      </c>
      <c r="O1135" t="inlineStr">
        <is>
          <t>eng</t>
        </is>
      </c>
      <c r="P1135" t="inlineStr">
        <is>
          <t xml:space="preserve">ii </t>
        </is>
      </c>
      <c r="R1135" t="inlineStr">
        <is>
          <t xml:space="preserve">DS </t>
        </is>
      </c>
      <c r="S1135" t="n">
        <v>6</v>
      </c>
      <c r="T1135" t="n">
        <v>6</v>
      </c>
      <c r="U1135" t="inlineStr">
        <is>
          <t>2003-04-06</t>
        </is>
      </c>
      <c r="V1135" t="inlineStr">
        <is>
          <t>2003-04-06</t>
        </is>
      </c>
      <c r="W1135" t="inlineStr">
        <is>
          <t>1990-07-25</t>
        </is>
      </c>
      <c r="X1135" t="inlineStr">
        <is>
          <t>1990-07-25</t>
        </is>
      </c>
      <c r="Y1135" t="n">
        <v>261</v>
      </c>
      <c r="Z1135" t="n">
        <v>158</v>
      </c>
      <c r="AA1135" t="n">
        <v>241</v>
      </c>
      <c r="AB1135" t="n">
        <v>2</v>
      </c>
      <c r="AC1135" t="n">
        <v>2</v>
      </c>
      <c r="AD1135" t="n">
        <v>6</v>
      </c>
      <c r="AE1135" t="n">
        <v>12</v>
      </c>
      <c r="AF1135" t="n">
        <v>0</v>
      </c>
      <c r="AG1135" t="n">
        <v>2</v>
      </c>
      <c r="AH1135" t="n">
        <v>2</v>
      </c>
      <c r="AI1135" t="n">
        <v>6</v>
      </c>
      <c r="AJ1135" t="n">
        <v>4</v>
      </c>
      <c r="AK1135" t="n">
        <v>6</v>
      </c>
      <c r="AL1135" t="n">
        <v>1</v>
      </c>
      <c r="AM1135" t="n">
        <v>1</v>
      </c>
      <c r="AN1135" t="n">
        <v>0</v>
      </c>
      <c r="AO1135" t="n">
        <v>0</v>
      </c>
      <c r="AP1135" t="inlineStr">
        <is>
          <t>No</t>
        </is>
      </c>
      <c r="AQ1135" t="inlineStr">
        <is>
          <t>Yes</t>
        </is>
      </c>
      <c r="AR1135">
        <f>HYPERLINK("http://catalog.hathitrust.org/Record/001944879","HathiTrust Record")</f>
        <v/>
      </c>
      <c r="AS1135">
        <f>HYPERLINK("https://creighton-primo.hosted.exlibrisgroup.com/primo-explore/search?tab=default_tab&amp;search_scope=EVERYTHING&amp;vid=01CRU&amp;lang=en_US&amp;offset=0&amp;query=any,contains,991001638639702656","Catalog Record")</f>
        <v/>
      </c>
      <c r="AT1135">
        <f>HYPERLINK("http://www.worldcat.org/oclc/20994992","WorldCat Record")</f>
        <v/>
      </c>
      <c r="AU1135" t="inlineStr">
        <is>
          <t>3943473954:eng</t>
        </is>
      </c>
      <c r="AV1135" t="inlineStr">
        <is>
          <t>20994992</t>
        </is>
      </c>
      <c r="AW1135" t="inlineStr">
        <is>
          <t>991001638639702656</t>
        </is>
      </c>
      <c r="AX1135" t="inlineStr">
        <is>
          <t>991001638639702656</t>
        </is>
      </c>
      <c r="AY1135" t="inlineStr">
        <is>
          <t>2267528820002656</t>
        </is>
      </c>
      <c r="AZ1135" t="inlineStr">
        <is>
          <t>BOOK</t>
        </is>
      </c>
      <c r="BB1135" t="inlineStr">
        <is>
          <t>9780195622997</t>
        </is>
      </c>
      <c r="BC1135" t="inlineStr">
        <is>
          <t>32285000240365</t>
        </is>
      </c>
      <c r="BD1135" t="inlineStr">
        <is>
          <t>893715567</t>
        </is>
      </c>
    </row>
    <row r="1136">
      <c r="A1136" t="inlineStr">
        <is>
          <t>No</t>
        </is>
      </c>
      <c r="B1136" t="inlineStr">
        <is>
          <t>DS479 .R38 1998</t>
        </is>
      </c>
      <c r="C1136" t="inlineStr">
        <is>
          <t>0                      DS 0479000R  38          1998</t>
        </is>
      </c>
      <c r="D1136" t="inlineStr">
        <is>
          <t>The proudest day : India's long road to independence / Anthony Read and David Fisher.</t>
        </is>
      </c>
      <c r="F1136" t="inlineStr">
        <is>
          <t>No</t>
        </is>
      </c>
      <c r="G1136" t="inlineStr">
        <is>
          <t>1</t>
        </is>
      </c>
      <c r="H1136" t="inlineStr">
        <is>
          <t>No</t>
        </is>
      </c>
      <c r="I1136" t="inlineStr">
        <is>
          <t>No</t>
        </is>
      </c>
      <c r="J1136" t="inlineStr">
        <is>
          <t>0</t>
        </is>
      </c>
      <c r="K1136" t="inlineStr">
        <is>
          <t>Read, Anthony.</t>
        </is>
      </c>
      <c r="L1136" t="inlineStr">
        <is>
          <t>New York : W.W. Norton, 1998.</t>
        </is>
      </c>
      <c r="M1136" t="inlineStr">
        <is>
          <t>1998</t>
        </is>
      </c>
      <c r="N1136" t="inlineStr">
        <is>
          <t>1st American ed.</t>
        </is>
      </c>
      <c r="O1136" t="inlineStr">
        <is>
          <t>eng</t>
        </is>
      </c>
      <c r="P1136" t="inlineStr">
        <is>
          <t>nyu</t>
        </is>
      </c>
      <c r="R1136" t="inlineStr">
        <is>
          <t xml:space="preserve">DS </t>
        </is>
      </c>
      <c r="S1136" t="n">
        <v>2</v>
      </c>
      <c r="T1136" t="n">
        <v>2</v>
      </c>
      <c r="U1136" t="inlineStr">
        <is>
          <t>1999-04-23</t>
        </is>
      </c>
      <c r="V1136" t="inlineStr">
        <is>
          <t>1999-04-23</t>
        </is>
      </c>
      <c r="W1136" t="inlineStr">
        <is>
          <t>1998-06-09</t>
        </is>
      </c>
      <c r="X1136" t="inlineStr">
        <is>
          <t>1998-06-09</t>
        </is>
      </c>
      <c r="Y1136" t="n">
        <v>899</v>
      </c>
      <c r="Z1136" t="n">
        <v>847</v>
      </c>
      <c r="AA1136" t="n">
        <v>916</v>
      </c>
      <c r="AB1136" t="n">
        <v>5</v>
      </c>
      <c r="AC1136" t="n">
        <v>6</v>
      </c>
      <c r="AD1136" t="n">
        <v>30</v>
      </c>
      <c r="AE1136" t="n">
        <v>33</v>
      </c>
      <c r="AF1136" t="n">
        <v>16</v>
      </c>
      <c r="AG1136" t="n">
        <v>16</v>
      </c>
      <c r="AH1136" t="n">
        <v>6</v>
      </c>
      <c r="AI1136" t="n">
        <v>8</v>
      </c>
      <c r="AJ1136" t="n">
        <v>14</v>
      </c>
      <c r="AK1136" t="n">
        <v>16</v>
      </c>
      <c r="AL1136" t="n">
        <v>3</v>
      </c>
      <c r="AM1136" t="n">
        <v>4</v>
      </c>
      <c r="AN1136" t="n">
        <v>0</v>
      </c>
      <c r="AO1136" t="n">
        <v>0</v>
      </c>
      <c r="AP1136" t="inlineStr">
        <is>
          <t>No</t>
        </is>
      </c>
      <c r="AQ1136" t="inlineStr">
        <is>
          <t>No</t>
        </is>
      </c>
      <c r="AS1136">
        <f>HYPERLINK("https://creighton-primo.hosted.exlibrisgroup.com/primo-explore/search?tab=default_tab&amp;search_scope=EVERYTHING&amp;vid=01CRU&amp;lang=en_US&amp;offset=0&amp;query=any,contains,991002899349702656","Catalog Record")</f>
        <v/>
      </c>
      <c r="AT1136">
        <f>HYPERLINK("http://www.worldcat.org/oclc/38216415","WorldCat Record")</f>
        <v/>
      </c>
      <c r="AU1136" t="inlineStr">
        <is>
          <t>15553351:eng</t>
        </is>
      </c>
      <c r="AV1136" t="inlineStr">
        <is>
          <t>38216415</t>
        </is>
      </c>
      <c r="AW1136" t="inlineStr">
        <is>
          <t>991002899349702656</t>
        </is>
      </c>
      <c r="AX1136" t="inlineStr">
        <is>
          <t>991002899349702656</t>
        </is>
      </c>
      <c r="AY1136" t="inlineStr">
        <is>
          <t>2255658150002656</t>
        </is>
      </c>
      <c r="AZ1136" t="inlineStr">
        <is>
          <t>BOOK</t>
        </is>
      </c>
      <c r="BB1136" t="inlineStr">
        <is>
          <t>9780393045949</t>
        </is>
      </c>
      <c r="BC1136" t="inlineStr">
        <is>
          <t>32285003413936</t>
        </is>
      </c>
      <c r="BD1136" t="inlineStr">
        <is>
          <t>893352583</t>
        </is>
      </c>
    </row>
    <row r="1137">
      <c r="A1137" t="inlineStr">
        <is>
          <t>No</t>
        </is>
      </c>
      <c r="B1137" t="inlineStr">
        <is>
          <t>DS480.2 .W6</t>
        </is>
      </c>
      <c r="C1137" t="inlineStr">
        <is>
          <t>0                      DS 0480200W  6</t>
        </is>
      </c>
      <c r="D1137" t="inlineStr">
        <is>
          <t>Morley and India, 1906-1910 [by] Stanley A. Wolpert.</t>
        </is>
      </c>
      <c r="F1137" t="inlineStr">
        <is>
          <t>No</t>
        </is>
      </c>
      <c r="G1137" t="inlineStr">
        <is>
          <t>1</t>
        </is>
      </c>
      <c r="H1137" t="inlineStr">
        <is>
          <t>No</t>
        </is>
      </c>
      <c r="I1137" t="inlineStr">
        <is>
          <t>No</t>
        </is>
      </c>
      <c r="J1137" t="inlineStr">
        <is>
          <t>0</t>
        </is>
      </c>
      <c r="K1137" t="inlineStr">
        <is>
          <t>Wolpert, Stanley, 1927-2019.</t>
        </is>
      </c>
      <c r="L1137" t="inlineStr">
        <is>
          <t>Berkeley, University of California Press, 1967.</t>
        </is>
      </c>
      <c r="M1137" t="inlineStr">
        <is>
          <t>1967</t>
        </is>
      </c>
      <c r="O1137" t="inlineStr">
        <is>
          <t>eng</t>
        </is>
      </c>
      <c r="P1137" t="inlineStr">
        <is>
          <t>cau</t>
        </is>
      </c>
      <c r="R1137" t="inlineStr">
        <is>
          <t xml:space="preserve">DS </t>
        </is>
      </c>
      <c r="S1137" t="n">
        <v>5</v>
      </c>
      <c r="T1137" t="n">
        <v>5</v>
      </c>
      <c r="U1137" t="inlineStr">
        <is>
          <t>1998-04-24</t>
        </is>
      </c>
      <c r="V1137" t="inlineStr">
        <is>
          <t>1998-04-24</t>
        </is>
      </c>
      <c r="W1137" t="inlineStr">
        <is>
          <t>1997-03-10</t>
        </is>
      </c>
      <c r="X1137" t="inlineStr">
        <is>
          <t>1997-03-10</t>
        </is>
      </c>
      <c r="Y1137" t="n">
        <v>509</v>
      </c>
      <c r="Z1137" t="n">
        <v>400</v>
      </c>
      <c r="AA1137" t="n">
        <v>408</v>
      </c>
      <c r="AB1137" t="n">
        <v>4</v>
      </c>
      <c r="AC1137" t="n">
        <v>4</v>
      </c>
      <c r="AD1137" t="n">
        <v>21</v>
      </c>
      <c r="AE1137" t="n">
        <v>21</v>
      </c>
      <c r="AF1137" t="n">
        <v>5</v>
      </c>
      <c r="AG1137" t="n">
        <v>5</v>
      </c>
      <c r="AH1137" t="n">
        <v>7</v>
      </c>
      <c r="AI1137" t="n">
        <v>7</v>
      </c>
      <c r="AJ1137" t="n">
        <v>13</v>
      </c>
      <c r="AK1137" t="n">
        <v>13</v>
      </c>
      <c r="AL1137" t="n">
        <v>3</v>
      </c>
      <c r="AM1137" t="n">
        <v>3</v>
      </c>
      <c r="AN1137" t="n">
        <v>0</v>
      </c>
      <c r="AO1137" t="n">
        <v>0</v>
      </c>
      <c r="AP1137" t="inlineStr">
        <is>
          <t>No</t>
        </is>
      </c>
      <c r="AQ1137" t="inlineStr">
        <is>
          <t>Yes</t>
        </is>
      </c>
      <c r="AR1137">
        <f>HYPERLINK("http://catalog.hathitrust.org/Record/001251892","HathiTrust Record")</f>
        <v/>
      </c>
      <c r="AS1137">
        <f>HYPERLINK("https://creighton-primo.hosted.exlibrisgroup.com/primo-explore/search?tab=default_tab&amp;search_scope=EVERYTHING&amp;vid=01CRU&amp;lang=en_US&amp;offset=0&amp;query=any,contains,991003440219702656","Catalog Record")</f>
        <v/>
      </c>
      <c r="AT1137">
        <f>HYPERLINK("http://www.worldcat.org/oclc/976475","WorldCat Record")</f>
        <v/>
      </c>
      <c r="AU1137" t="inlineStr">
        <is>
          <t>1937547:eng</t>
        </is>
      </c>
      <c r="AV1137" t="inlineStr">
        <is>
          <t>976475</t>
        </is>
      </c>
      <c r="AW1137" t="inlineStr">
        <is>
          <t>991003440219702656</t>
        </is>
      </c>
      <c r="AX1137" t="inlineStr">
        <is>
          <t>991003440219702656</t>
        </is>
      </c>
      <c r="AY1137" t="inlineStr">
        <is>
          <t>2261537480002656</t>
        </is>
      </c>
      <c r="AZ1137" t="inlineStr">
        <is>
          <t>BOOK</t>
        </is>
      </c>
      <c r="BC1137" t="inlineStr">
        <is>
          <t>32285002457256</t>
        </is>
      </c>
      <c r="BD1137" t="inlineStr">
        <is>
          <t>893352825</t>
        </is>
      </c>
    </row>
    <row r="1138">
      <c r="A1138" t="inlineStr">
        <is>
          <t>No</t>
        </is>
      </c>
      <c r="B1138" t="inlineStr">
        <is>
          <t>DS480.4 .R6 1976</t>
        </is>
      </c>
      <c r="C1138" t="inlineStr">
        <is>
          <t>0                      DS 0480400R  6           1976</t>
        </is>
      </c>
      <c r="D1138" t="inlineStr">
        <is>
          <t>The government of India and reform : policies towards politics and the constitution, 1916-1921 / P. G. Robb.</t>
        </is>
      </c>
      <c r="F1138" t="inlineStr">
        <is>
          <t>No</t>
        </is>
      </c>
      <c r="G1138" t="inlineStr">
        <is>
          <t>1</t>
        </is>
      </c>
      <c r="H1138" t="inlineStr">
        <is>
          <t>No</t>
        </is>
      </c>
      <c r="I1138" t="inlineStr">
        <is>
          <t>No</t>
        </is>
      </c>
      <c r="J1138" t="inlineStr">
        <is>
          <t>0</t>
        </is>
      </c>
      <c r="K1138" t="inlineStr">
        <is>
          <t>Robb, Peter, 1946-</t>
        </is>
      </c>
      <c r="L1138" t="inlineStr">
        <is>
          <t>Oxford [Eng.] : Oxford University Press, 1976.</t>
        </is>
      </c>
      <c r="M1138" t="inlineStr">
        <is>
          <t>1976</t>
        </is>
      </c>
      <c r="O1138" t="inlineStr">
        <is>
          <t>eng</t>
        </is>
      </c>
      <c r="P1138" t="inlineStr">
        <is>
          <t>enk</t>
        </is>
      </c>
      <c r="Q1138" t="inlineStr">
        <is>
          <t>London oriental series ; v. 32</t>
        </is>
      </c>
      <c r="R1138" t="inlineStr">
        <is>
          <t xml:space="preserve">DS </t>
        </is>
      </c>
      <c r="S1138" t="n">
        <v>5</v>
      </c>
      <c r="T1138" t="n">
        <v>5</v>
      </c>
      <c r="U1138" t="inlineStr">
        <is>
          <t>1995-07-02</t>
        </is>
      </c>
      <c r="V1138" t="inlineStr">
        <is>
          <t>1995-07-02</t>
        </is>
      </c>
      <c r="W1138" t="inlineStr">
        <is>
          <t>1993-04-26</t>
        </is>
      </c>
      <c r="X1138" t="inlineStr">
        <is>
          <t>1993-04-26</t>
        </is>
      </c>
      <c r="Y1138" t="n">
        <v>256</v>
      </c>
      <c r="Z1138" t="n">
        <v>149</v>
      </c>
      <c r="AA1138" t="n">
        <v>156</v>
      </c>
      <c r="AB1138" t="n">
        <v>3</v>
      </c>
      <c r="AC1138" t="n">
        <v>3</v>
      </c>
      <c r="AD1138" t="n">
        <v>6</v>
      </c>
      <c r="AE1138" t="n">
        <v>6</v>
      </c>
      <c r="AF1138" t="n">
        <v>0</v>
      </c>
      <c r="AG1138" t="n">
        <v>0</v>
      </c>
      <c r="AH1138" t="n">
        <v>3</v>
      </c>
      <c r="AI1138" t="n">
        <v>3</v>
      </c>
      <c r="AJ1138" t="n">
        <v>2</v>
      </c>
      <c r="AK1138" t="n">
        <v>2</v>
      </c>
      <c r="AL1138" t="n">
        <v>2</v>
      </c>
      <c r="AM1138" t="n">
        <v>2</v>
      </c>
      <c r="AN1138" t="n">
        <v>0</v>
      </c>
      <c r="AO1138" t="n">
        <v>0</v>
      </c>
      <c r="AP1138" t="inlineStr">
        <is>
          <t>No</t>
        </is>
      </c>
      <c r="AQ1138" t="inlineStr">
        <is>
          <t>Yes</t>
        </is>
      </c>
      <c r="AR1138">
        <f>HYPERLINK("http://catalog.hathitrust.org/Record/000088363","HathiTrust Record")</f>
        <v/>
      </c>
      <c r="AS1138">
        <f>HYPERLINK("https://creighton-primo.hosted.exlibrisgroup.com/primo-explore/search?tab=default_tab&amp;search_scope=EVERYTHING&amp;vid=01CRU&amp;lang=en_US&amp;offset=0&amp;query=any,contains,991004256869702656","Catalog Record")</f>
        <v/>
      </c>
      <c r="AT1138">
        <f>HYPERLINK("http://www.worldcat.org/oclc/2828399","WorldCat Record")</f>
        <v/>
      </c>
      <c r="AU1138" t="inlineStr">
        <is>
          <t>199214701:eng</t>
        </is>
      </c>
      <c r="AV1138" t="inlineStr">
        <is>
          <t>2828399</t>
        </is>
      </c>
      <c r="AW1138" t="inlineStr">
        <is>
          <t>991004256869702656</t>
        </is>
      </c>
      <c r="AX1138" t="inlineStr">
        <is>
          <t>991004256869702656</t>
        </is>
      </c>
      <c r="AY1138" t="inlineStr">
        <is>
          <t>2257472660002656</t>
        </is>
      </c>
      <c r="AZ1138" t="inlineStr">
        <is>
          <t>BOOK</t>
        </is>
      </c>
      <c r="BB1138" t="inlineStr">
        <is>
          <t>9780197135907</t>
        </is>
      </c>
      <c r="BC1138" t="inlineStr">
        <is>
          <t>32285001624294</t>
        </is>
      </c>
      <c r="BD1138" t="inlineStr">
        <is>
          <t>893259517</t>
        </is>
      </c>
    </row>
    <row r="1139">
      <c r="A1139" t="inlineStr">
        <is>
          <t>No</t>
        </is>
      </c>
      <c r="B1139" t="inlineStr">
        <is>
          <t>DS480.45 .L33 1981</t>
        </is>
      </c>
      <c r="C1139" t="inlineStr">
        <is>
          <t>0                      DS 0480450L  33          1981</t>
        </is>
      </c>
      <c r="D1139" t="inlineStr">
        <is>
          <t>The emergence of modern India / Arthur Lall.</t>
        </is>
      </c>
      <c r="F1139" t="inlineStr">
        <is>
          <t>No</t>
        </is>
      </c>
      <c r="G1139" t="inlineStr">
        <is>
          <t>1</t>
        </is>
      </c>
      <c r="H1139" t="inlineStr">
        <is>
          <t>No</t>
        </is>
      </c>
      <c r="I1139" t="inlineStr">
        <is>
          <t>No</t>
        </is>
      </c>
      <c r="J1139" t="inlineStr">
        <is>
          <t>0</t>
        </is>
      </c>
      <c r="K1139" t="inlineStr">
        <is>
          <t>Lall, Arthur S. (Arthur Samuel), 1911-1998.</t>
        </is>
      </c>
      <c r="L1139" t="inlineStr">
        <is>
          <t>New York : Columbia University Press, 1981.</t>
        </is>
      </c>
      <c r="M1139" t="inlineStr">
        <is>
          <t>1981</t>
        </is>
      </c>
      <c r="O1139" t="inlineStr">
        <is>
          <t>eng</t>
        </is>
      </c>
      <c r="P1139" t="inlineStr">
        <is>
          <t>nyu</t>
        </is>
      </c>
      <c r="R1139" t="inlineStr">
        <is>
          <t xml:space="preserve">DS </t>
        </is>
      </c>
      <c r="S1139" t="n">
        <v>3</v>
      </c>
      <c r="T1139" t="n">
        <v>3</v>
      </c>
      <c r="U1139" t="inlineStr">
        <is>
          <t>1997-10-01</t>
        </is>
      </c>
      <c r="V1139" t="inlineStr">
        <is>
          <t>1997-10-01</t>
        </is>
      </c>
      <c r="W1139" t="inlineStr">
        <is>
          <t>1994-06-07</t>
        </is>
      </c>
      <c r="X1139" t="inlineStr">
        <is>
          <t>1994-06-07</t>
        </is>
      </c>
      <c r="Y1139" t="n">
        <v>577</v>
      </c>
      <c r="Z1139" t="n">
        <v>480</v>
      </c>
      <c r="AA1139" t="n">
        <v>485</v>
      </c>
      <c r="AB1139" t="n">
        <v>3</v>
      </c>
      <c r="AC1139" t="n">
        <v>3</v>
      </c>
      <c r="AD1139" t="n">
        <v>22</v>
      </c>
      <c r="AE1139" t="n">
        <v>22</v>
      </c>
      <c r="AF1139" t="n">
        <v>10</v>
      </c>
      <c r="AG1139" t="n">
        <v>10</v>
      </c>
      <c r="AH1139" t="n">
        <v>6</v>
      </c>
      <c r="AI1139" t="n">
        <v>6</v>
      </c>
      <c r="AJ1139" t="n">
        <v>12</v>
      </c>
      <c r="AK1139" t="n">
        <v>12</v>
      </c>
      <c r="AL1139" t="n">
        <v>2</v>
      </c>
      <c r="AM1139" t="n">
        <v>2</v>
      </c>
      <c r="AN1139" t="n">
        <v>0</v>
      </c>
      <c r="AO1139" t="n">
        <v>0</v>
      </c>
      <c r="AP1139" t="inlineStr">
        <is>
          <t>No</t>
        </is>
      </c>
      <c r="AQ1139" t="inlineStr">
        <is>
          <t>No</t>
        </is>
      </c>
      <c r="AS1139">
        <f>HYPERLINK("https://creighton-primo.hosted.exlibrisgroup.com/primo-explore/search?tab=default_tab&amp;search_scope=EVERYTHING&amp;vid=01CRU&amp;lang=en_US&amp;offset=0&amp;query=any,contains,991005055789702656","Catalog Record")</f>
        <v/>
      </c>
      <c r="AT1139">
        <f>HYPERLINK("http://www.worldcat.org/oclc/6891406","WorldCat Record")</f>
        <v/>
      </c>
      <c r="AU1139" t="inlineStr">
        <is>
          <t>419754:eng</t>
        </is>
      </c>
      <c r="AV1139" t="inlineStr">
        <is>
          <t>6891406</t>
        </is>
      </c>
      <c r="AW1139" t="inlineStr">
        <is>
          <t>991005055789702656</t>
        </is>
      </c>
      <c r="AX1139" t="inlineStr">
        <is>
          <t>991005055789702656</t>
        </is>
      </c>
      <c r="AY1139" t="inlineStr">
        <is>
          <t>2262108920002656</t>
        </is>
      </c>
      <c r="AZ1139" t="inlineStr">
        <is>
          <t>BOOK</t>
        </is>
      </c>
      <c r="BB1139" t="inlineStr">
        <is>
          <t>9780231034302</t>
        </is>
      </c>
      <c r="BC1139" t="inlineStr">
        <is>
          <t>32285001921641</t>
        </is>
      </c>
      <c r="BD1139" t="inlineStr">
        <is>
          <t>893443329</t>
        </is>
      </c>
    </row>
    <row r="1140">
      <c r="A1140" t="inlineStr">
        <is>
          <t>No</t>
        </is>
      </c>
      <c r="B1140" t="inlineStr">
        <is>
          <t>DS480.45 .M387</t>
        </is>
      </c>
      <c r="C1140" t="inlineStr">
        <is>
          <t>0                      DS 0480450M  387</t>
        </is>
      </c>
      <c r="D1140" t="inlineStr">
        <is>
          <t>Muslims and changing India / [by] Y. B. Mathur. Foreword by Tara Chand.</t>
        </is>
      </c>
      <c r="F1140" t="inlineStr">
        <is>
          <t>No</t>
        </is>
      </c>
      <c r="G1140" t="inlineStr">
        <is>
          <t>1</t>
        </is>
      </c>
      <c r="H1140" t="inlineStr">
        <is>
          <t>No</t>
        </is>
      </c>
      <c r="I1140" t="inlineStr">
        <is>
          <t>No</t>
        </is>
      </c>
      <c r="J1140" t="inlineStr">
        <is>
          <t>0</t>
        </is>
      </c>
      <c r="K1140" t="inlineStr">
        <is>
          <t>Mathur, Y. B. (Yaduvansh Bahadur), 1929-</t>
        </is>
      </c>
      <c r="L1140" t="inlineStr">
        <is>
          <t>New Delhi : Trimurti Publications, [1972]</t>
        </is>
      </c>
      <c r="M1140" t="inlineStr">
        <is>
          <t>1972</t>
        </is>
      </c>
      <c r="O1140" t="inlineStr">
        <is>
          <t>eng</t>
        </is>
      </c>
      <c r="P1140" t="inlineStr">
        <is>
          <t xml:space="preserve">ii </t>
        </is>
      </c>
      <c r="R1140" t="inlineStr">
        <is>
          <t xml:space="preserve">DS </t>
        </is>
      </c>
      <c r="S1140" t="n">
        <v>2</v>
      </c>
      <c r="T1140" t="n">
        <v>2</v>
      </c>
      <c r="U1140" t="inlineStr">
        <is>
          <t>1992-03-04</t>
        </is>
      </c>
      <c r="V1140" t="inlineStr">
        <is>
          <t>1992-03-04</t>
        </is>
      </c>
      <c r="W1140" t="inlineStr">
        <is>
          <t>1992-02-25</t>
        </is>
      </c>
      <c r="X1140" t="inlineStr">
        <is>
          <t>1992-02-25</t>
        </is>
      </c>
      <c r="Y1140" t="n">
        <v>162</v>
      </c>
      <c r="Z1140" t="n">
        <v>120</v>
      </c>
      <c r="AA1140" t="n">
        <v>129</v>
      </c>
      <c r="AB1140" t="n">
        <v>2</v>
      </c>
      <c r="AC1140" t="n">
        <v>2</v>
      </c>
      <c r="AD1140" t="n">
        <v>4</v>
      </c>
      <c r="AE1140" t="n">
        <v>4</v>
      </c>
      <c r="AF1140" t="n">
        <v>1</v>
      </c>
      <c r="AG1140" t="n">
        <v>1</v>
      </c>
      <c r="AH1140" t="n">
        <v>0</v>
      </c>
      <c r="AI1140" t="n">
        <v>0</v>
      </c>
      <c r="AJ1140" t="n">
        <v>3</v>
      </c>
      <c r="AK1140" t="n">
        <v>3</v>
      </c>
      <c r="AL1140" t="n">
        <v>1</v>
      </c>
      <c r="AM1140" t="n">
        <v>1</v>
      </c>
      <c r="AN1140" t="n">
        <v>0</v>
      </c>
      <c r="AO1140" t="n">
        <v>0</v>
      </c>
      <c r="AP1140" t="inlineStr">
        <is>
          <t>No</t>
        </is>
      </c>
      <c r="AQ1140" t="inlineStr">
        <is>
          <t>Yes</t>
        </is>
      </c>
      <c r="AR1140">
        <f>HYPERLINK("http://catalog.hathitrust.org/Record/001251976","HathiTrust Record")</f>
        <v/>
      </c>
      <c r="AS1140">
        <f>HYPERLINK("https://creighton-primo.hosted.exlibrisgroup.com/primo-explore/search?tab=default_tab&amp;search_scope=EVERYTHING&amp;vid=01CRU&amp;lang=en_US&amp;offset=0&amp;query=any,contains,991003005169702656","Catalog Record")</f>
        <v/>
      </c>
      <c r="AT1140">
        <f>HYPERLINK("http://www.worldcat.org/oclc/572607","WorldCat Record")</f>
        <v/>
      </c>
      <c r="AU1140" t="inlineStr">
        <is>
          <t>1688135:eng</t>
        </is>
      </c>
      <c r="AV1140" t="inlineStr">
        <is>
          <t>572607</t>
        </is>
      </c>
      <c r="AW1140" t="inlineStr">
        <is>
          <t>991003005169702656</t>
        </is>
      </c>
      <c r="AX1140" t="inlineStr">
        <is>
          <t>991003005169702656</t>
        </is>
      </c>
      <c r="AY1140" t="inlineStr">
        <is>
          <t>2272474470002656</t>
        </is>
      </c>
      <c r="AZ1140" t="inlineStr">
        <is>
          <t>BOOK</t>
        </is>
      </c>
      <c r="BC1140" t="inlineStr">
        <is>
          <t>32285000976737</t>
        </is>
      </c>
      <c r="BD1140" t="inlineStr">
        <is>
          <t>893317543</t>
        </is>
      </c>
    </row>
    <row r="1141">
      <c r="A1141" t="inlineStr">
        <is>
          <t>No</t>
        </is>
      </c>
      <c r="B1141" t="inlineStr">
        <is>
          <t>DS480.45 .M6327 2005</t>
        </is>
      </c>
      <c r="C1141" t="inlineStr">
        <is>
          <t>0                      DS 0480450M  6327        2005</t>
        </is>
      </c>
      <c r="D1141" t="inlineStr">
        <is>
          <t>Maharanis : the extraordinary tale of four Indian queens and their journey from purdah to parliament / Lucy Moore.</t>
        </is>
      </c>
      <c r="F1141" t="inlineStr">
        <is>
          <t>No</t>
        </is>
      </c>
      <c r="G1141" t="inlineStr">
        <is>
          <t>1</t>
        </is>
      </c>
      <c r="H1141" t="inlineStr">
        <is>
          <t>No</t>
        </is>
      </c>
      <c r="I1141" t="inlineStr">
        <is>
          <t>No</t>
        </is>
      </c>
      <c r="J1141" t="inlineStr">
        <is>
          <t>0</t>
        </is>
      </c>
      <c r="K1141" t="inlineStr">
        <is>
          <t>Moore, Lucy, 1970-</t>
        </is>
      </c>
      <c r="L1141" t="inlineStr">
        <is>
          <t>New York : Viking, 2005.</t>
        </is>
      </c>
      <c r="M1141" t="inlineStr">
        <is>
          <t>2005</t>
        </is>
      </c>
      <c r="N1141" t="inlineStr">
        <is>
          <t>1st American ed.</t>
        </is>
      </c>
      <c r="O1141" t="inlineStr">
        <is>
          <t>eng</t>
        </is>
      </c>
      <c r="P1141" t="inlineStr">
        <is>
          <t>nyu</t>
        </is>
      </c>
      <c r="R1141" t="inlineStr">
        <is>
          <t xml:space="preserve">DS </t>
        </is>
      </c>
      <c r="S1141" t="n">
        <v>3</v>
      </c>
      <c r="T1141" t="n">
        <v>3</v>
      </c>
      <c r="U1141" t="inlineStr">
        <is>
          <t>2005-08-04</t>
        </is>
      </c>
      <c r="V1141" t="inlineStr">
        <is>
          <t>2005-08-04</t>
        </is>
      </c>
      <c r="W1141" t="inlineStr">
        <is>
          <t>2005-01-24</t>
        </is>
      </c>
      <c r="X1141" t="inlineStr">
        <is>
          <t>2005-01-24</t>
        </is>
      </c>
      <c r="Y1141" t="n">
        <v>598</v>
      </c>
      <c r="Z1141" t="n">
        <v>565</v>
      </c>
      <c r="AA1141" t="n">
        <v>572</v>
      </c>
      <c r="AB1141" t="n">
        <v>2</v>
      </c>
      <c r="AC1141" t="n">
        <v>2</v>
      </c>
      <c r="AD1141" t="n">
        <v>7</v>
      </c>
      <c r="AE1141" t="n">
        <v>7</v>
      </c>
      <c r="AF1141" t="n">
        <v>3</v>
      </c>
      <c r="AG1141" t="n">
        <v>3</v>
      </c>
      <c r="AH1141" t="n">
        <v>1</v>
      </c>
      <c r="AI1141" t="n">
        <v>1</v>
      </c>
      <c r="AJ1141" t="n">
        <v>5</v>
      </c>
      <c r="AK1141" t="n">
        <v>5</v>
      </c>
      <c r="AL1141" t="n">
        <v>1</v>
      </c>
      <c r="AM1141" t="n">
        <v>1</v>
      </c>
      <c r="AN1141" t="n">
        <v>0</v>
      </c>
      <c r="AO1141" t="n">
        <v>0</v>
      </c>
      <c r="AP1141" t="inlineStr">
        <is>
          <t>No</t>
        </is>
      </c>
      <c r="AQ1141" t="inlineStr">
        <is>
          <t>No</t>
        </is>
      </c>
      <c r="AS1141">
        <f>HYPERLINK("https://creighton-primo.hosted.exlibrisgroup.com/primo-explore/search?tab=default_tab&amp;search_scope=EVERYTHING&amp;vid=01CRU&amp;lang=en_US&amp;offset=0&amp;query=any,contains,991004430829702656","Catalog Record")</f>
        <v/>
      </c>
      <c r="AT1141">
        <f>HYPERLINK("http://www.worldcat.org/oclc/56329450","WorldCat Record")</f>
        <v/>
      </c>
      <c r="AU1141" t="inlineStr">
        <is>
          <t>3769740553:eng</t>
        </is>
      </c>
      <c r="AV1141" t="inlineStr">
        <is>
          <t>56329450</t>
        </is>
      </c>
      <c r="AW1141" t="inlineStr">
        <is>
          <t>991004430829702656</t>
        </is>
      </c>
      <c r="AX1141" t="inlineStr">
        <is>
          <t>991004430829702656</t>
        </is>
      </c>
      <c r="AY1141" t="inlineStr">
        <is>
          <t>2264399430002656</t>
        </is>
      </c>
      <c r="AZ1141" t="inlineStr">
        <is>
          <t>BOOK</t>
        </is>
      </c>
      <c r="BB1141" t="inlineStr">
        <is>
          <t>9780670033683</t>
        </is>
      </c>
      <c r="BC1141" t="inlineStr">
        <is>
          <t>32285005022388</t>
        </is>
      </c>
      <c r="BD1141" t="inlineStr">
        <is>
          <t>893535989</t>
        </is>
      </c>
    </row>
    <row r="1142">
      <c r="A1142" t="inlineStr">
        <is>
          <t>No</t>
        </is>
      </c>
      <c r="B1142" t="inlineStr">
        <is>
          <t>DS480.45 .M633</t>
        </is>
      </c>
      <c r="C1142" t="inlineStr">
        <is>
          <t>0                      DS 0480450M  633</t>
        </is>
      </c>
      <c r="D1142" t="inlineStr">
        <is>
          <t>The crisis of Indian unity, 1917-1940 / by R. J. Moore.</t>
        </is>
      </c>
      <c r="F1142" t="inlineStr">
        <is>
          <t>No</t>
        </is>
      </c>
      <c r="G1142" t="inlineStr">
        <is>
          <t>1</t>
        </is>
      </c>
      <c r="H1142" t="inlineStr">
        <is>
          <t>No</t>
        </is>
      </c>
      <c r="I1142" t="inlineStr">
        <is>
          <t>No</t>
        </is>
      </c>
      <c r="J1142" t="inlineStr">
        <is>
          <t>0</t>
        </is>
      </c>
      <c r="K1142" t="inlineStr">
        <is>
          <t>Moore, R. J. (Robin James), 1934-</t>
        </is>
      </c>
      <c r="L1142" t="inlineStr">
        <is>
          <t>Oxford : Clarendon Press, 1974.</t>
        </is>
      </c>
      <c r="M1142" t="inlineStr">
        <is>
          <t>1974</t>
        </is>
      </c>
      <c r="O1142" t="inlineStr">
        <is>
          <t>eng</t>
        </is>
      </c>
      <c r="P1142" t="inlineStr">
        <is>
          <t>enk</t>
        </is>
      </c>
      <c r="R1142" t="inlineStr">
        <is>
          <t xml:space="preserve">DS </t>
        </is>
      </c>
      <c r="S1142" t="n">
        <v>5</v>
      </c>
      <c r="T1142" t="n">
        <v>5</v>
      </c>
      <c r="U1142" t="inlineStr">
        <is>
          <t>2009-07-28</t>
        </is>
      </c>
      <c r="V1142" t="inlineStr">
        <is>
          <t>2009-07-28</t>
        </is>
      </c>
      <c r="W1142" t="inlineStr">
        <is>
          <t>1992-02-25</t>
        </is>
      </c>
      <c r="X1142" t="inlineStr">
        <is>
          <t>1992-02-25</t>
        </is>
      </c>
      <c r="Y1142" t="n">
        <v>514</v>
      </c>
      <c r="Z1142" t="n">
        <v>354</v>
      </c>
      <c r="AA1142" t="n">
        <v>368</v>
      </c>
      <c r="AB1142" t="n">
        <v>3</v>
      </c>
      <c r="AC1142" t="n">
        <v>3</v>
      </c>
      <c r="AD1142" t="n">
        <v>20</v>
      </c>
      <c r="AE1142" t="n">
        <v>20</v>
      </c>
      <c r="AF1142" t="n">
        <v>8</v>
      </c>
      <c r="AG1142" t="n">
        <v>8</v>
      </c>
      <c r="AH1142" t="n">
        <v>6</v>
      </c>
      <c r="AI1142" t="n">
        <v>6</v>
      </c>
      <c r="AJ1142" t="n">
        <v>9</v>
      </c>
      <c r="AK1142" t="n">
        <v>9</v>
      </c>
      <c r="AL1142" t="n">
        <v>2</v>
      </c>
      <c r="AM1142" t="n">
        <v>2</v>
      </c>
      <c r="AN1142" t="n">
        <v>0</v>
      </c>
      <c r="AO1142" t="n">
        <v>0</v>
      </c>
      <c r="AP1142" t="inlineStr">
        <is>
          <t>No</t>
        </is>
      </c>
      <c r="AQ1142" t="inlineStr">
        <is>
          <t>Yes</t>
        </is>
      </c>
      <c r="AR1142">
        <f>HYPERLINK("http://catalog.hathitrust.org/Record/001251980","HathiTrust Record")</f>
        <v/>
      </c>
      <c r="AS1142">
        <f>HYPERLINK("https://creighton-primo.hosted.exlibrisgroup.com/primo-explore/search?tab=default_tab&amp;search_scope=EVERYTHING&amp;vid=01CRU&amp;lang=en_US&amp;offset=0&amp;query=any,contains,991003580669702656","Catalog Record")</f>
        <v/>
      </c>
      <c r="AT1142">
        <f>HYPERLINK("http://www.worldcat.org/oclc/1161749","WorldCat Record")</f>
        <v/>
      </c>
      <c r="AU1142" t="inlineStr">
        <is>
          <t>2096445:eng</t>
        </is>
      </c>
      <c r="AV1142" t="inlineStr">
        <is>
          <t>1161749</t>
        </is>
      </c>
      <c r="AW1142" t="inlineStr">
        <is>
          <t>991003580669702656</t>
        </is>
      </c>
      <c r="AX1142" t="inlineStr">
        <is>
          <t>991003580669702656</t>
        </is>
      </c>
      <c r="AY1142" t="inlineStr">
        <is>
          <t>2271049840002656</t>
        </is>
      </c>
      <c r="AZ1142" t="inlineStr">
        <is>
          <t>BOOK</t>
        </is>
      </c>
      <c r="BB1142" t="inlineStr">
        <is>
          <t>9780198215608</t>
        </is>
      </c>
      <c r="BC1142" t="inlineStr">
        <is>
          <t>32285000976729</t>
        </is>
      </c>
      <c r="BD1142" t="inlineStr">
        <is>
          <t>893252510</t>
        </is>
      </c>
    </row>
    <row r="1143">
      <c r="A1143" t="inlineStr">
        <is>
          <t>No</t>
        </is>
      </c>
      <c r="B1143" t="inlineStr">
        <is>
          <t>DS480.45 .P33 1970b</t>
        </is>
      </c>
      <c r="C1143" t="inlineStr">
        <is>
          <t>0                      DS 0480450P  33          1970b</t>
        </is>
      </c>
      <c r="D1143" t="inlineStr">
        <is>
          <t>The Partition of India : policies and perspectives, 1935-1947 / edited by C. H. Philips and Mary Doreen Wainwright.</t>
        </is>
      </c>
      <c r="F1143" t="inlineStr">
        <is>
          <t>No</t>
        </is>
      </c>
      <c r="G1143" t="inlineStr">
        <is>
          <t>1</t>
        </is>
      </c>
      <c r="H1143" t="inlineStr">
        <is>
          <t>No</t>
        </is>
      </c>
      <c r="I1143" t="inlineStr">
        <is>
          <t>No</t>
        </is>
      </c>
      <c r="J1143" t="inlineStr">
        <is>
          <t>0</t>
        </is>
      </c>
      <c r="L1143" t="inlineStr">
        <is>
          <t>Cambridge : M.I.T. Press, [1970, c1969]</t>
        </is>
      </c>
      <c r="M1143" t="inlineStr">
        <is>
          <t>1970</t>
        </is>
      </c>
      <c r="O1143" t="inlineStr">
        <is>
          <t>eng</t>
        </is>
      </c>
      <c r="P1143" t="inlineStr">
        <is>
          <t>mau</t>
        </is>
      </c>
      <c r="R1143" t="inlineStr">
        <is>
          <t xml:space="preserve">DS </t>
        </is>
      </c>
      <c r="S1143" t="n">
        <v>5</v>
      </c>
      <c r="T1143" t="n">
        <v>5</v>
      </c>
      <c r="U1143" t="inlineStr">
        <is>
          <t>2009-07-28</t>
        </is>
      </c>
      <c r="V1143" t="inlineStr">
        <is>
          <t>2009-07-28</t>
        </is>
      </c>
      <c r="W1143" t="inlineStr">
        <is>
          <t>1992-03-09</t>
        </is>
      </c>
      <c r="X1143" t="inlineStr">
        <is>
          <t>1992-03-09</t>
        </is>
      </c>
      <c r="Y1143" t="n">
        <v>409</v>
      </c>
      <c r="Z1143" t="n">
        <v>375</v>
      </c>
      <c r="AA1143" t="n">
        <v>461</v>
      </c>
      <c r="AB1143" t="n">
        <v>5</v>
      </c>
      <c r="AC1143" t="n">
        <v>5</v>
      </c>
      <c r="AD1143" t="n">
        <v>21</v>
      </c>
      <c r="AE1143" t="n">
        <v>24</v>
      </c>
      <c r="AF1143" t="n">
        <v>9</v>
      </c>
      <c r="AG1143" t="n">
        <v>9</v>
      </c>
      <c r="AH1143" t="n">
        <v>6</v>
      </c>
      <c r="AI1143" t="n">
        <v>8</v>
      </c>
      <c r="AJ1143" t="n">
        <v>8</v>
      </c>
      <c r="AK1143" t="n">
        <v>10</v>
      </c>
      <c r="AL1143" t="n">
        <v>4</v>
      </c>
      <c r="AM1143" t="n">
        <v>4</v>
      </c>
      <c r="AN1143" t="n">
        <v>0</v>
      </c>
      <c r="AO1143" t="n">
        <v>0</v>
      </c>
      <c r="AP1143" t="inlineStr">
        <is>
          <t>No</t>
        </is>
      </c>
      <c r="AQ1143" t="inlineStr">
        <is>
          <t>Yes</t>
        </is>
      </c>
      <c r="AR1143">
        <f>HYPERLINK("http://catalog.hathitrust.org/Record/007127839","HathiTrust Record")</f>
        <v/>
      </c>
      <c r="AS1143">
        <f>HYPERLINK("https://creighton-primo.hosted.exlibrisgroup.com/primo-explore/search?tab=default_tab&amp;search_scope=EVERYTHING&amp;vid=01CRU&amp;lang=en_US&amp;offset=0&amp;query=any,contains,991000647739702656","Catalog Record")</f>
        <v/>
      </c>
      <c r="AT1143">
        <f>HYPERLINK("http://www.worldcat.org/oclc/111552","WorldCat Record")</f>
        <v/>
      </c>
      <c r="AU1143" t="inlineStr">
        <is>
          <t>836659639:eng</t>
        </is>
      </c>
      <c r="AV1143" t="inlineStr">
        <is>
          <t>111552</t>
        </is>
      </c>
      <c r="AW1143" t="inlineStr">
        <is>
          <t>991000647739702656</t>
        </is>
      </c>
      <c r="AX1143" t="inlineStr">
        <is>
          <t>991000647739702656</t>
        </is>
      </c>
      <c r="AY1143" t="inlineStr">
        <is>
          <t>2268645180002656</t>
        </is>
      </c>
      <c r="AZ1143" t="inlineStr">
        <is>
          <t>BOOK</t>
        </is>
      </c>
      <c r="BB1143" t="inlineStr">
        <is>
          <t>9780262160438</t>
        </is>
      </c>
      <c r="BC1143" t="inlineStr">
        <is>
          <t>32285000993096</t>
        </is>
      </c>
      <c r="BD1143" t="inlineStr">
        <is>
          <t>893534249</t>
        </is>
      </c>
    </row>
    <row r="1144">
      <c r="A1144" t="inlineStr">
        <is>
          <t>No</t>
        </is>
      </c>
      <c r="B1144" t="inlineStr">
        <is>
          <t>DS480.82 .H87 1973</t>
        </is>
      </c>
      <c r="C1144" t="inlineStr">
        <is>
          <t>0                      DS 0480820H  87          1973</t>
        </is>
      </c>
      <c r="D1144" t="inlineStr">
        <is>
          <t>India's revolution; Gandhi and the Quit India movement [by] Francis G. Hutchins.</t>
        </is>
      </c>
      <c r="F1144" t="inlineStr">
        <is>
          <t>No</t>
        </is>
      </c>
      <c r="G1144" t="inlineStr">
        <is>
          <t>1</t>
        </is>
      </c>
      <c r="H1144" t="inlineStr">
        <is>
          <t>No</t>
        </is>
      </c>
      <c r="I1144" t="inlineStr">
        <is>
          <t>No</t>
        </is>
      </c>
      <c r="J1144" t="inlineStr">
        <is>
          <t>0</t>
        </is>
      </c>
      <c r="K1144" t="inlineStr">
        <is>
          <t>Hutchins, Francis G.</t>
        </is>
      </c>
      <c r="L1144" t="inlineStr">
        <is>
          <t>Cambridge, Harvard University Press, 1973.</t>
        </is>
      </c>
      <c r="M1144" t="inlineStr">
        <is>
          <t>1973</t>
        </is>
      </c>
      <c r="O1144" t="inlineStr">
        <is>
          <t>eng</t>
        </is>
      </c>
      <c r="P1144" t="inlineStr">
        <is>
          <t>mau</t>
        </is>
      </c>
      <c r="R1144" t="inlineStr">
        <is>
          <t xml:space="preserve">DS </t>
        </is>
      </c>
      <c r="S1144" t="n">
        <v>2</v>
      </c>
      <c r="T1144" t="n">
        <v>2</v>
      </c>
      <c r="U1144" t="inlineStr">
        <is>
          <t>1997-10-22</t>
        </is>
      </c>
      <c r="V1144" t="inlineStr">
        <is>
          <t>1997-10-22</t>
        </is>
      </c>
      <c r="W1144" t="inlineStr">
        <is>
          <t>1996-08-09</t>
        </is>
      </c>
      <c r="X1144" t="inlineStr">
        <is>
          <t>1996-08-09</t>
        </is>
      </c>
      <c r="Y1144" t="n">
        <v>624</v>
      </c>
      <c r="Z1144" t="n">
        <v>506</v>
      </c>
      <c r="AA1144" t="n">
        <v>509</v>
      </c>
      <c r="AB1144" t="n">
        <v>3</v>
      </c>
      <c r="AC1144" t="n">
        <v>3</v>
      </c>
      <c r="AD1144" t="n">
        <v>21</v>
      </c>
      <c r="AE1144" t="n">
        <v>21</v>
      </c>
      <c r="AF1144" t="n">
        <v>8</v>
      </c>
      <c r="AG1144" t="n">
        <v>8</v>
      </c>
      <c r="AH1144" t="n">
        <v>6</v>
      </c>
      <c r="AI1144" t="n">
        <v>6</v>
      </c>
      <c r="AJ1144" t="n">
        <v>10</v>
      </c>
      <c r="AK1144" t="n">
        <v>10</v>
      </c>
      <c r="AL1144" t="n">
        <v>2</v>
      </c>
      <c r="AM1144" t="n">
        <v>2</v>
      </c>
      <c r="AN1144" t="n">
        <v>0</v>
      </c>
      <c r="AO1144" t="n">
        <v>0</v>
      </c>
      <c r="AP1144" t="inlineStr">
        <is>
          <t>No</t>
        </is>
      </c>
      <c r="AQ1144" t="inlineStr">
        <is>
          <t>Yes</t>
        </is>
      </c>
      <c r="AR1144">
        <f>HYPERLINK("http://catalog.hathitrust.org/Record/001252066","HathiTrust Record")</f>
        <v/>
      </c>
      <c r="AS1144">
        <f>HYPERLINK("https://creighton-primo.hosted.exlibrisgroup.com/primo-explore/search?tab=default_tab&amp;search_scope=EVERYTHING&amp;vid=01CRU&amp;lang=en_US&amp;offset=0&amp;query=any,contains,991003210849702656","Catalog Record")</f>
        <v/>
      </c>
      <c r="AT1144">
        <f>HYPERLINK("http://www.worldcat.org/oclc/736912","WorldCat Record")</f>
        <v/>
      </c>
      <c r="AU1144" t="inlineStr">
        <is>
          <t>1782896:eng</t>
        </is>
      </c>
      <c r="AV1144" t="inlineStr">
        <is>
          <t>736912</t>
        </is>
      </c>
      <c r="AW1144" t="inlineStr">
        <is>
          <t>991003210849702656</t>
        </is>
      </c>
      <c r="AX1144" t="inlineStr">
        <is>
          <t>991003210849702656</t>
        </is>
      </c>
      <c r="AY1144" t="inlineStr">
        <is>
          <t>2254727150002656</t>
        </is>
      </c>
      <c r="AZ1144" t="inlineStr">
        <is>
          <t>BOOK</t>
        </is>
      </c>
      <c r="BB1144" t="inlineStr">
        <is>
          <t>9780674450257</t>
        </is>
      </c>
      <c r="BC1144" t="inlineStr">
        <is>
          <t>32285002272952</t>
        </is>
      </c>
      <c r="BD1144" t="inlineStr">
        <is>
          <t>893904289</t>
        </is>
      </c>
    </row>
    <row r="1145">
      <c r="A1145" t="inlineStr">
        <is>
          <t>No</t>
        </is>
      </c>
      <c r="B1145" t="inlineStr">
        <is>
          <t>DS480.82 .M63</t>
        </is>
      </c>
      <c r="C1145" t="inlineStr">
        <is>
          <t>0                      DS 0480820M  63</t>
        </is>
      </c>
      <c r="D1145" t="inlineStr">
        <is>
          <t>Churchill, Cripps, and India, 1939-1945 / R. J. Moore.</t>
        </is>
      </c>
      <c r="F1145" t="inlineStr">
        <is>
          <t>No</t>
        </is>
      </c>
      <c r="G1145" t="inlineStr">
        <is>
          <t>1</t>
        </is>
      </c>
      <c r="H1145" t="inlineStr">
        <is>
          <t>No</t>
        </is>
      </c>
      <c r="I1145" t="inlineStr">
        <is>
          <t>No</t>
        </is>
      </c>
      <c r="J1145" t="inlineStr">
        <is>
          <t>0</t>
        </is>
      </c>
      <c r="K1145" t="inlineStr">
        <is>
          <t>Moore, R. J. (Robin James), 1934-</t>
        </is>
      </c>
      <c r="L1145" t="inlineStr">
        <is>
          <t>Oxford : Clarendon Press ; New York : Oxford University Press, 1979.</t>
        </is>
      </c>
      <c r="M1145" t="inlineStr">
        <is>
          <t>1979</t>
        </is>
      </c>
      <c r="O1145" t="inlineStr">
        <is>
          <t>eng</t>
        </is>
      </c>
      <c r="P1145" t="inlineStr">
        <is>
          <t>enk</t>
        </is>
      </c>
      <c r="R1145" t="inlineStr">
        <is>
          <t xml:space="preserve">DS </t>
        </is>
      </c>
      <c r="S1145" t="n">
        <v>3</v>
      </c>
      <c r="T1145" t="n">
        <v>3</v>
      </c>
      <c r="U1145" t="inlineStr">
        <is>
          <t>1999-03-26</t>
        </is>
      </c>
      <c r="V1145" t="inlineStr">
        <is>
          <t>1999-03-26</t>
        </is>
      </c>
      <c r="W1145" t="inlineStr">
        <is>
          <t>1990-10-08</t>
        </is>
      </c>
      <c r="X1145" t="inlineStr">
        <is>
          <t>1990-10-08</t>
        </is>
      </c>
      <c r="Y1145" t="n">
        <v>411</v>
      </c>
      <c r="Z1145" t="n">
        <v>267</v>
      </c>
      <c r="AA1145" t="n">
        <v>275</v>
      </c>
      <c r="AB1145" t="n">
        <v>3</v>
      </c>
      <c r="AC1145" t="n">
        <v>3</v>
      </c>
      <c r="AD1145" t="n">
        <v>9</v>
      </c>
      <c r="AE1145" t="n">
        <v>9</v>
      </c>
      <c r="AF1145" t="n">
        <v>0</v>
      </c>
      <c r="AG1145" t="n">
        <v>0</v>
      </c>
      <c r="AH1145" t="n">
        <v>4</v>
      </c>
      <c r="AI1145" t="n">
        <v>4</v>
      </c>
      <c r="AJ1145" t="n">
        <v>5</v>
      </c>
      <c r="AK1145" t="n">
        <v>5</v>
      </c>
      <c r="AL1145" t="n">
        <v>2</v>
      </c>
      <c r="AM1145" t="n">
        <v>2</v>
      </c>
      <c r="AN1145" t="n">
        <v>0</v>
      </c>
      <c r="AO1145" t="n">
        <v>0</v>
      </c>
      <c r="AP1145" t="inlineStr">
        <is>
          <t>No</t>
        </is>
      </c>
      <c r="AQ1145" t="inlineStr">
        <is>
          <t>Yes</t>
        </is>
      </c>
      <c r="AR1145">
        <f>HYPERLINK("http://catalog.hathitrust.org/Record/000303373","HathiTrust Record")</f>
        <v/>
      </c>
      <c r="AS1145">
        <f>HYPERLINK("https://creighton-primo.hosted.exlibrisgroup.com/primo-explore/search?tab=default_tab&amp;search_scope=EVERYTHING&amp;vid=01CRU&amp;lang=en_US&amp;offset=0&amp;query=any,contains,991004775269702656","Catalog Record")</f>
        <v/>
      </c>
      <c r="AT1145">
        <f>HYPERLINK("http://www.worldcat.org/oclc/5101029","WorldCat Record")</f>
        <v/>
      </c>
      <c r="AU1145" t="inlineStr">
        <is>
          <t>416013:eng</t>
        </is>
      </c>
      <c r="AV1145" t="inlineStr">
        <is>
          <t>5101029</t>
        </is>
      </c>
      <c r="AW1145" t="inlineStr">
        <is>
          <t>991004775269702656</t>
        </is>
      </c>
      <c r="AX1145" t="inlineStr">
        <is>
          <t>991004775269702656</t>
        </is>
      </c>
      <c r="AY1145" t="inlineStr">
        <is>
          <t>2259184020002656</t>
        </is>
      </c>
      <c r="AZ1145" t="inlineStr">
        <is>
          <t>BOOK</t>
        </is>
      </c>
      <c r="BB1145" t="inlineStr">
        <is>
          <t>9780198224853</t>
        </is>
      </c>
      <c r="BC1145" t="inlineStr">
        <is>
          <t>32285000336528</t>
        </is>
      </c>
      <c r="BD1145" t="inlineStr">
        <is>
          <t>893319623</t>
        </is>
      </c>
    </row>
    <row r="1146">
      <c r="A1146" t="inlineStr">
        <is>
          <t>No</t>
        </is>
      </c>
      <c r="B1146" t="inlineStr">
        <is>
          <t>DS480.84 .B27</t>
        </is>
      </c>
      <c r="C1146" t="inlineStr">
        <is>
          <t>0                      DS 0480840B  27</t>
        </is>
      </c>
      <c r="D1146" t="inlineStr">
        <is>
          <t>India, Pakistan, and the great powers / [by] William J. Barnds.</t>
        </is>
      </c>
      <c r="F1146" t="inlineStr">
        <is>
          <t>No</t>
        </is>
      </c>
      <c r="G1146" t="inlineStr">
        <is>
          <t>1</t>
        </is>
      </c>
      <c r="H1146" t="inlineStr">
        <is>
          <t>No</t>
        </is>
      </c>
      <c r="I1146" t="inlineStr">
        <is>
          <t>No</t>
        </is>
      </c>
      <c r="J1146" t="inlineStr">
        <is>
          <t>0</t>
        </is>
      </c>
      <c r="K1146" t="inlineStr">
        <is>
          <t>Barnds, William J.</t>
        </is>
      </c>
      <c r="L1146" t="inlineStr">
        <is>
          <t>New York : Published for the Council on Foreign Relations by Praeger, [1972]</t>
        </is>
      </c>
      <c r="M1146" t="inlineStr">
        <is>
          <t>1972</t>
        </is>
      </c>
      <c r="O1146" t="inlineStr">
        <is>
          <t>eng</t>
        </is>
      </c>
      <c r="P1146" t="inlineStr">
        <is>
          <t>nyu</t>
        </is>
      </c>
      <c r="R1146" t="inlineStr">
        <is>
          <t xml:space="preserve">DS </t>
        </is>
      </c>
      <c r="S1146" t="n">
        <v>2</v>
      </c>
      <c r="T1146" t="n">
        <v>2</v>
      </c>
      <c r="U1146" t="inlineStr">
        <is>
          <t>2003-04-07</t>
        </is>
      </c>
      <c r="V1146" t="inlineStr">
        <is>
          <t>2003-04-07</t>
        </is>
      </c>
      <c r="W1146" t="inlineStr">
        <is>
          <t>1992-11-05</t>
        </is>
      </c>
      <c r="X1146" t="inlineStr">
        <is>
          <t>1992-11-05</t>
        </is>
      </c>
      <c r="Y1146" t="n">
        <v>628</v>
      </c>
      <c r="Z1146" t="n">
        <v>544</v>
      </c>
      <c r="AA1146" t="n">
        <v>567</v>
      </c>
      <c r="AB1146" t="n">
        <v>5</v>
      </c>
      <c r="AC1146" t="n">
        <v>5</v>
      </c>
      <c r="AD1146" t="n">
        <v>24</v>
      </c>
      <c r="AE1146" t="n">
        <v>28</v>
      </c>
      <c r="AF1146" t="n">
        <v>8</v>
      </c>
      <c r="AG1146" t="n">
        <v>8</v>
      </c>
      <c r="AH1146" t="n">
        <v>6</v>
      </c>
      <c r="AI1146" t="n">
        <v>6</v>
      </c>
      <c r="AJ1146" t="n">
        <v>12</v>
      </c>
      <c r="AK1146" t="n">
        <v>12</v>
      </c>
      <c r="AL1146" t="n">
        <v>4</v>
      </c>
      <c r="AM1146" t="n">
        <v>4</v>
      </c>
      <c r="AN1146" t="n">
        <v>0</v>
      </c>
      <c r="AO1146" t="n">
        <v>4</v>
      </c>
      <c r="AP1146" t="inlineStr">
        <is>
          <t>No</t>
        </is>
      </c>
      <c r="AQ1146" t="inlineStr">
        <is>
          <t>Yes</t>
        </is>
      </c>
      <c r="AR1146">
        <f>HYPERLINK("http://catalog.hathitrust.org/Record/001252127","HathiTrust Record")</f>
        <v/>
      </c>
      <c r="AS1146">
        <f>HYPERLINK("https://creighton-primo.hosted.exlibrisgroup.com/primo-explore/search?tab=default_tab&amp;search_scope=EVERYTHING&amp;vid=01CRU&amp;lang=en_US&amp;offset=0&amp;query=any,contains,991001905579702656","Catalog Record")</f>
        <v/>
      </c>
      <c r="AT1146">
        <f>HYPERLINK("http://www.worldcat.org/oclc/240336","WorldCat Record")</f>
        <v/>
      </c>
      <c r="AU1146" t="inlineStr">
        <is>
          <t>1382536:eng</t>
        </is>
      </c>
      <c r="AV1146" t="inlineStr">
        <is>
          <t>240336</t>
        </is>
      </c>
      <c r="AW1146" t="inlineStr">
        <is>
          <t>991001905579702656</t>
        </is>
      </c>
      <c r="AX1146" t="inlineStr">
        <is>
          <t>991001905579702656</t>
        </is>
      </c>
      <c r="AY1146" t="inlineStr">
        <is>
          <t>2272195550002656</t>
        </is>
      </c>
      <c r="AZ1146" t="inlineStr">
        <is>
          <t>BOOK</t>
        </is>
      </c>
      <c r="BC1146" t="inlineStr">
        <is>
          <t>32285001382398</t>
        </is>
      </c>
      <c r="BD1146" t="inlineStr">
        <is>
          <t>893244515</t>
        </is>
      </c>
    </row>
    <row r="1147">
      <c r="A1147" t="inlineStr">
        <is>
          <t>No</t>
        </is>
      </c>
      <c r="B1147" t="inlineStr">
        <is>
          <t>DS480.84 .B63</t>
        </is>
      </c>
      <c r="C1147" t="inlineStr">
        <is>
          <t>0                      DS 0480840B  63</t>
        </is>
      </c>
      <c r="D1147" t="inlineStr">
        <is>
          <t>Ambassador's report.</t>
        </is>
      </c>
      <c r="F1147" t="inlineStr">
        <is>
          <t>No</t>
        </is>
      </c>
      <c r="G1147" t="inlineStr">
        <is>
          <t>1</t>
        </is>
      </c>
      <c r="H1147" t="inlineStr">
        <is>
          <t>No</t>
        </is>
      </c>
      <c r="I1147" t="inlineStr">
        <is>
          <t>No</t>
        </is>
      </c>
      <c r="J1147" t="inlineStr">
        <is>
          <t>0</t>
        </is>
      </c>
      <c r="K1147" t="inlineStr">
        <is>
          <t>Bowles, Chester, 1901-1986.</t>
        </is>
      </c>
      <c r="L1147" t="inlineStr">
        <is>
          <t>New York, Harper [c1954]</t>
        </is>
      </c>
      <c r="M1147" t="inlineStr">
        <is>
          <t>1954</t>
        </is>
      </c>
      <c r="N1147" t="inlineStr">
        <is>
          <t>[1st ed.]</t>
        </is>
      </c>
      <c r="O1147" t="inlineStr">
        <is>
          <t>eng</t>
        </is>
      </c>
      <c r="P1147" t="inlineStr">
        <is>
          <t>nyu</t>
        </is>
      </c>
      <c r="R1147" t="inlineStr">
        <is>
          <t xml:space="preserve">DS </t>
        </is>
      </c>
      <c r="S1147" t="n">
        <v>7</v>
      </c>
      <c r="T1147" t="n">
        <v>7</v>
      </c>
      <c r="U1147" t="inlineStr">
        <is>
          <t>1998-04-24</t>
        </is>
      </c>
      <c r="V1147" t="inlineStr">
        <is>
          <t>1998-04-24</t>
        </is>
      </c>
      <c r="W1147" t="inlineStr">
        <is>
          <t>1997-03-10</t>
        </is>
      </c>
      <c r="X1147" t="inlineStr">
        <is>
          <t>1997-03-10</t>
        </is>
      </c>
      <c r="Y1147" t="n">
        <v>1157</v>
      </c>
      <c r="Z1147" t="n">
        <v>1043</v>
      </c>
      <c r="AA1147" t="n">
        <v>1057</v>
      </c>
      <c r="AB1147" t="n">
        <v>9</v>
      </c>
      <c r="AC1147" t="n">
        <v>9</v>
      </c>
      <c r="AD1147" t="n">
        <v>48</v>
      </c>
      <c r="AE1147" t="n">
        <v>48</v>
      </c>
      <c r="AF1147" t="n">
        <v>16</v>
      </c>
      <c r="AG1147" t="n">
        <v>16</v>
      </c>
      <c r="AH1147" t="n">
        <v>8</v>
      </c>
      <c r="AI1147" t="n">
        <v>8</v>
      </c>
      <c r="AJ1147" t="n">
        <v>24</v>
      </c>
      <c r="AK1147" t="n">
        <v>24</v>
      </c>
      <c r="AL1147" t="n">
        <v>8</v>
      </c>
      <c r="AM1147" t="n">
        <v>8</v>
      </c>
      <c r="AN1147" t="n">
        <v>1</v>
      </c>
      <c r="AO1147" t="n">
        <v>1</v>
      </c>
      <c r="AP1147" t="inlineStr">
        <is>
          <t>No</t>
        </is>
      </c>
      <c r="AQ1147" t="inlineStr">
        <is>
          <t>Yes</t>
        </is>
      </c>
      <c r="AR1147">
        <f>HYPERLINK("http://catalog.hathitrust.org/Record/001252145","HathiTrust Record")</f>
        <v/>
      </c>
      <c r="AS1147">
        <f>HYPERLINK("https://creighton-primo.hosted.exlibrisgroup.com/primo-explore/search?tab=default_tab&amp;search_scope=EVERYTHING&amp;vid=01CRU&amp;lang=en_US&amp;offset=0&amp;query=any,contains,991002710029702656","Catalog Record")</f>
        <v/>
      </c>
      <c r="AT1147">
        <f>HYPERLINK("http://www.worldcat.org/oclc/408864","WorldCat Record")</f>
        <v/>
      </c>
      <c r="AU1147" t="inlineStr">
        <is>
          <t>63138594:eng</t>
        </is>
      </c>
      <c r="AV1147" t="inlineStr">
        <is>
          <t>408864</t>
        </is>
      </c>
      <c r="AW1147" t="inlineStr">
        <is>
          <t>991002710029702656</t>
        </is>
      </c>
      <c r="AX1147" t="inlineStr">
        <is>
          <t>991002710029702656</t>
        </is>
      </c>
      <c r="AY1147" t="inlineStr">
        <is>
          <t>2264279870002656</t>
        </is>
      </c>
      <c r="AZ1147" t="inlineStr">
        <is>
          <t>BOOK</t>
        </is>
      </c>
      <c r="BC1147" t="inlineStr">
        <is>
          <t>32285002457314</t>
        </is>
      </c>
      <c r="BD1147" t="inlineStr">
        <is>
          <t>893892884</t>
        </is>
      </c>
    </row>
    <row r="1148">
      <c r="A1148" t="inlineStr">
        <is>
          <t>No</t>
        </is>
      </c>
      <c r="B1148" t="inlineStr">
        <is>
          <t>DS480.84 .B73 1972</t>
        </is>
      </c>
      <c r="C1148" t="inlineStr">
        <is>
          <t>0                      DS 0480840B  73          1972</t>
        </is>
      </c>
      <c r="D1148" t="inlineStr">
        <is>
          <t>The United States and India, Pakistan, Bangladesh, by W. Norman Brown.</t>
        </is>
      </c>
      <c r="F1148" t="inlineStr">
        <is>
          <t>No</t>
        </is>
      </c>
      <c r="G1148" t="inlineStr">
        <is>
          <t>1</t>
        </is>
      </c>
      <c r="H1148" t="inlineStr">
        <is>
          <t>No</t>
        </is>
      </c>
      <c r="I1148" t="inlineStr">
        <is>
          <t>No</t>
        </is>
      </c>
      <c r="J1148" t="inlineStr">
        <is>
          <t>0</t>
        </is>
      </c>
      <c r="K1148" t="inlineStr">
        <is>
          <t>Brown, W. Norman (William Norman), 1892-1975.</t>
        </is>
      </c>
      <c r="L1148" t="inlineStr">
        <is>
          <t>Cambridge, Harvard University Press, 1972.</t>
        </is>
      </c>
      <c r="M1148" t="inlineStr">
        <is>
          <t>1972</t>
        </is>
      </c>
      <c r="N1148" t="inlineStr">
        <is>
          <t>[3d ed.]</t>
        </is>
      </c>
      <c r="O1148" t="inlineStr">
        <is>
          <t>eng</t>
        </is>
      </c>
      <c r="P1148" t="inlineStr">
        <is>
          <t>mau</t>
        </is>
      </c>
      <c r="Q1148" t="inlineStr">
        <is>
          <t>The American foreign policy library</t>
        </is>
      </c>
      <c r="R1148" t="inlineStr">
        <is>
          <t xml:space="preserve">DS </t>
        </is>
      </c>
      <c r="S1148" t="n">
        <v>9</v>
      </c>
      <c r="T1148" t="n">
        <v>9</v>
      </c>
      <c r="U1148" t="inlineStr">
        <is>
          <t>1997-07-11</t>
        </is>
      </c>
      <c r="V1148" t="inlineStr">
        <is>
          <t>1997-07-11</t>
        </is>
      </c>
      <c r="W1148" t="inlineStr">
        <is>
          <t>1996-08-09</t>
        </is>
      </c>
      <c r="X1148" t="inlineStr">
        <is>
          <t>1996-08-09</t>
        </is>
      </c>
      <c r="Y1148" t="n">
        <v>878</v>
      </c>
      <c r="Z1148" t="n">
        <v>762</v>
      </c>
      <c r="AA1148" t="n">
        <v>776</v>
      </c>
      <c r="AB1148" t="n">
        <v>4</v>
      </c>
      <c r="AC1148" t="n">
        <v>4</v>
      </c>
      <c r="AD1148" t="n">
        <v>35</v>
      </c>
      <c r="AE1148" t="n">
        <v>36</v>
      </c>
      <c r="AF1148" t="n">
        <v>16</v>
      </c>
      <c r="AG1148" t="n">
        <v>16</v>
      </c>
      <c r="AH1148" t="n">
        <v>6</v>
      </c>
      <c r="AI1148" t="n">
        <v>7</v>
      </c>
      <c r="AJ1148" t="n">
        <v>17</v>
      </c>
      <c r="AK1148" t="n">
        <v>18</v>
      </c>
      <c r="AL1148" t="n">
        <v>3</v>
      </c>
      <c r="AM1148" t="n">
        <v>3</v>
      </c>
      <c r="AN1148" t="n">
        <v>1</v>
      </c>
      <c r="AO1148" t="n">
        <v>1</v>
      </c>
      <c r="AP1148" t="inlineStr">
        <is>
          <t>No</t>
        </is>
      </c>
      <c r="AQ1148" t="inlineStr">
        <is>
          <t>Yes</t>
        </is>
      </c>
      <c r="AR1148">
        <f>HYPERLINK("http://catalog.hathitrust.org/Record/001252150","HathiTrust Record")</f>
        <v/>
      </c>
      <c r="AS1148">
        <f>HYPERLINK("https://creighton-primo.hosted.exlibrisgroup.com/primo-explore/search?tab=default_tab&amp;search_scope=EVERYTHING&amp;vid=01CRU&amp;lang=en_US&amp;offset=0&amp;query=any,contains,991002953019702656","Catalog Record")</f>
        <v/>
      </c>
      <c r="AT1148">
        <f>HYPERLINK("http://www.worldcat.org/oclc/539936","WorldCat Record")</f>
        <v/>
      </c>
      <c r="AU1148" t="inlineStr">
        <is>
          <t>430730:eng</t>
        </is>
      </c>
      <c r="AV1148" t="inlineStr">
        <is>
          <t>539936</t>
        </is>
      </c>
      <c r="AW1148" t="inlineStr">
        <is>
          <t>991002953019702656</t>
        </is>
      </c>
      <c r="AX1148" t="inlineStr">
        <is>
          <t>991002953019702656</t>
        </is>
      </c>
      <c r="AY1148" t="inlineStr">
        <is>
          <t>2261928140002656</t>
        </is>
      </c>
      <c r="AZ1148" t="inlineStr">
        <is>
          <t>BOOK</t>
        </is>
      </c>
      <c r="BB1148" t="inlineStr">
        <is>
          <t>9780674924468</t>
        </is>
      </c>
      <c r="BC1148" t="inlineStr">
        <is>
          <t>32285002272960</t>
        </is>
      </c>
      <c r="BD1148" t="inlineStr">
        <is>
          <t>893348149</t>
        </is>
      </c>
    </row>
    <row r="1149">
      <c r="A1149" t="inlineStr">
        <is>
          <t>No</t>
        </is>
      </c>
      <c r="B1149" t="inlineStr">
        <is>
          <t>DS480.84 .C3 1977</t>
        </is>
      </c>
      <c r="C1149" t="inlineStr">
        <is>
          <t>0                      DS 0480840C  3           1977</t>
        </is>
      </c>
      <c r="D1149" t="inlineStr">
        <is>
          <t>Mission with Mountbatten / by Alan Campbell-Johnson ; with a foreword by the Earl Mountbatten of Burma.</t>
        </is>
      </c>
      <c r="F1149" t="inlineStr">
        <is>
          <t>No</t>
        </is>
      </c>
      <c r="G1149" t="inlineStr">
        <is>
          <t>1</t>
        </is>
      </c>
      <c r="H1149" t="inlineStr">
        <is>
          <t>No</t>
        </is>
      </c>
      <c r="I1149" t="inlineStr">
        <is>
          <t>No</t>
        </is>
      </c>
      <c r="J1149" t="inlineStr">
        <is>
          <t>0</t>
        </is>
      </c>
      <c r="K1149" t="inlineStr">
        <is>
          <t>Campbell-Johnson, Alan, 1913-1998.</t>
        </is>
      </c>
      <c r="L1149" t="inlineStr">
        <is>
          <t>Westport, Conn. : Greenwood Press, 1977, c1972.</t>
        </is>
      </c>
      <c r="M1149" t="inlineStr">
        <is>
          <t>1977</t>
        </is>
      </c>
      <c r="O1149" t="inlineStr">
        <is>
          <t>eng</t>
        </is>
      </c>
      <c r="P1149" t="inlineStr">
        <is>
          <t>ctu</t>
        </is>
      </c>
      <c r="R1149" t="inlineStr">
        <is>
          <t xml:space="preserve">DS </t>
        </is>
      </c>
      <c r="S1149" t="n">
        <v>1</v>
      </c>
      <c r="T1149" t="n">
        <v>1</v>
      </c>
      <c r="U1149" t="inlineStr">
        <is>
          <t>2003-04-07</t>
        </is>
      </c>
      <c r="V1149" t="inlineStr">
        <is>
          <t>2003-04-07</t>
        </is>
      </c>
      <c r="W1149" t="inlineStr">
        <is>
          <t>1997-03-10</t>
        </is>
      </c>
      <c r="X1149" t="inlineStr">
        <is>
          <t>1997-03-10</t>
        </is>
      </c>
      <c r="Y1149" t="n">
        <v>35</v>
      </c>
      <c r="Z1149" t="n">
        <v>30</v>
      </c>
      <c r="AA1149" t="n">
        <v>508</v>
      </c>
      <c r="AB1149" t="n">
        <v>1</v>
      </c>
      <c r="AC1149" t="n">
        <v>3</v>
      </c>
      <c r="AD1149" t="n">
        <v>1</v>
      </c>
      <c r="AE1149" t="n">
        <v>22</v>
      </c>
      <c r="AF1149" t="n">
        <v>1</v>
      </c>
      <c r="AG1149" t="n">
        <v>7</v>
      </c>
      <c r="AH1149" t="n">
        <v>1</v>
      </c>
      <c r="AI1149" t="n">
        <v>7</v>
      </c>
      <c r="AJ1149" t="n">
        <v>0</v>
      </c>
      <c r="AK1149" t="n">
        <v>12</v>
      </c>
      <c r="AL1149" t="n">
        <v>0</v>
      </c>
      <c r="AM1149" t="n">
        <v>2</v>
      </c>
      <c r="AN1149" t="n">
        <v>0</v>
      </c>
      <c r="AO1149" t="n">
        <v>0</v>
      </c>
      <c r="AP1149" t="inlineStr">
        <is>
          <t>No</t>
        </is>
      </c>
      <c r="AQ1149" t="inlineStr">
        <is>
          <t>No</t>
        </is>
      </c>
      <c r="AS1149">
        <f>HYPERLINK("https://creighton-primo.hosted.exlibrisgroup.com/primo-explore/search?tab=default_tab&amp;search_scope=EVERYTHING&amp;vid=01CRU&amp;lang=en_US&amp;offset=0&amp;query=any,contains,991004269389702656","Catalog Record")</f>
        <v/>
      </c>
      <c r="AT1149">
        <f>HYPERLINK("http://www.worldcat.org/oclc/2874726","WorldCat Record")</f>
        <v/>
      </c>
      <c r="AU1149" t="inlineStr">
        <is>
          <t>1631799:eng</t>
        </is>
      </c>
      <c r="AV1149" t="inlineStr">
        <is>
          <t>2874726</t>
        </is>
      </c>
      <c r="AW1149" t="inlineStr">
        <is>
          <t>991004269389702656</t>
        </is>
      </c>
      <c r="AX1149" t="inlineStr">
        <is>
          <t>991004269389702656</t>
        </is>
      </c>
      <c r="AY1149" t="inlineStr">
        <is>
          <t>2257504720002656</t>
        </is>
      </c>
      <c r="AZ1149" t="inlineStr">
        <is>
          <t>BOOK</t>
        </is>
      </c>
      <c r="BB1149" t="inlineStr">
        <is>
          <t>9780837195964</t>
        </is>
      </c>
      <c r="BC1149" t="inlineStr">
        <is>
          <t>32285002457348</t>
        </is>
      </c>
      <c r="BD1149" t="inlineStr">
        <is>
          <t>893700044</t>
        </is>
      </c>
    </row>
    <row r="1150">
      <c r="A1150" t="inlineStr">
        <is>
          <t>No</t>
        </is>
      </c>
      <c r="B1150" t="inlineStr">
        <is>
          <t>DS480.84 .C45 1997</t>
        </is>
      </c>
      <c r="C1150" t="inlineStr">
        <is>
          <t>0                      DS 0480840C  45          1997</t>
        </is>
      </c>
      <c r="D1150" t="inlineStr">
        <is>
          <t>Ethnicity, security, and separatism in India / Maya Chadda.</t>
        </is>
      </c>
      <c r="F1150" t="inlineStr">
        <is>
          <t>No</t>
        </is>
      </c>
      <c r="G1150" t="inlineStr">
        <is>
          <t>1</t>
        </is>
      </c>
      <c r="H1150" t="inlineStr">
        <is>
          <t>No</t>
        </is>
      </c>
      <c r="I1150" t="inlineStr">
        <is>
          <t>No</t>
        </is>
      </c>
      <c r="J1150" t="inlineStr">
        <is>
          <t>0</t>
        </is>
      </c>
      <c r="K1150" t="inlineStr">
        <is>
          <t>Chadda, Maya, 1943-</t>
        </is>
      </c>
      <c r="L1150" t="inlineStr">
        <is>
          <t>New York : Columbia University Press, c1997.</t>
        </is>
      </c>
      <c r="M1150" t="inlineStr">
        <is>
          <t>1997</t>
        </is>
      </c>
      <c r="O1150" t="inlineStr">
        <is>
          <t>eng</t>
        </is>
      </c>
      <c r="P1150" t="inlineStr">
        <is>
          <t>nyu</t>
        </is>
      </c>
      <c r="R1150" t="inlineStr">
        <is>
          <t xml:space="preserve">DS </t>
        </is>
      </c>
      <c r="S1150" t="n">
        <v>7</v>
      </c>
      <c r="T1150" t="n">
        <v>7</v>
      </c>
      <c r="U1150" t="inlineStr">
        <is>
          <t>2002-09-17</t>
        </is>
      </c>
      <c r="V1150" t="inlineStr">
        <is>
          <t>2002-09-17</t>
        </is>
      </c>
      <c r="W1150" t="inlineStr">
        <is>
          <t>1997-09-30</t>
        </is>
      </c>
      <c r="X1150" t="inlineStr">
        <is>
          <t>1997-09-30</t>
        </is>
      </c>
      <c r="Y1150" t="n">
        <v>420</v>
      </c>
      <c r="Z1150" t="n">
        <v>331</v>
      </c>
      <c r="AA1150" t="n">
        <v>335</v>
      </c>
      <c r="AB1150" t="n">
        <v>3</v>
      </c>
      <c r="AC1150" t="n">
        <v>3</v>
      </c>
      <c r="AD1150" t="n">
        <v>21</v>
      </c>
      <c r="AE1150" t="n">
        <v>21</v>
      </c>
      <c r="AF1150" t="n">
        <v>6</v>
      </c>
      <c r="AG1150" t="n">
        <v>6</v>
      </c>
      <c r="AH1150" t="n">
        <v>8</v>
      </c>
      <c r="AI1150" t="n">
        <v>8</v>
      </c>
      <c r="AJ1150" t="n">
        <v>13</v>
      </c>
      <c r="AK1150" t="n">
        <v>13</v>
      </c>
      <c r="AL1150" t="n">
        <v>2</v>
      </c>
      <c r="AM1150" t="n">
        <v>2</v>
      </c>
      <c r="AN1150" t="n">
        <v>0</v>
      </c>
      <c r="AO1150" t="n">
        <v>0</v>
      </c>
      <c r="AP1150" t="inlineStr">
        <is>
          <t>No</t>
        </is>
      </c>
      <c r="AQ1150" t="inlineStr">
        <is>
          <t>No</t>
        </is>
      </c>
      <c r="AS1150">
        <f>HYPERLINK("https://creighton-primo.hosted.exlibrisgroup.com/primo-explore/search?tab=default_tab&amp;search_scope=EVERYTHING&amp;vid=01CRU&amp;lang=en_US&amp;offset=0&amp;query=any,contains,991002735129702656","Catalog Record")</f>
        <v/>
      </c>
      <c r="AT1150">
        <f>HYPERLINK("http://www.worldcat.org/oclc/35887257","WorldCat Record")</f>
        <v/>
      </c>
      <c r="AU1150" t="inlineStr">
        <is>
          <t>1062906:eng</t>
        </is>
      </c>
      <c r="AV1150" t="inlineStr">
        <is>
          <t>35887257</t>
        </is>
      </c>
      <c r="AW1150" t="inlineStr">
        <is>
          <t>991002735129702656</t>
        </is>
      </c>
      <c r="AX1150" t="inlineStr">
        <is>
          <t>991002735129702656</t>
        </is>
      </c>
      <c r="AY1150" t="inlineStr">
        <is>
          <t>2266255280002656</t>
        </is>
      </c>
      <c r="AZ1150" t="inlineStr">
        <is>
          <t>BOOK</t>
        </is>
      </c>
      <c r="BB1150" t="inlineStr">
        <is>
          <t>9780231107365</t>
        </is>
      </c>
      <c r="BC1150" t="inlineStr">
        <is>
          <t>32285003251286</t>
        </is>
      </c>
      <c r="BD1150" t="inlineStr">
        <is>
          <t>893899144</t>
        </is>
      </c>
    </row>
    <row r="1151">
      <c r="A1151" t="inlineStr">
        <is>
          <t>No</t>
        </is>
      </c>
      <c r="B1151" t="inlineStr">
        <is>
          <t>DS480.84 .C545 1997</t>
        </is>
      </c>
      <c r="C1151" t="inlineStr">
        <is>
          <t>0                      DS 0480840C  545         1997</t>
        </is>
      </c>
      <c r="D1151" t="inlineStr">
        <is>
          <t>A possible India : essays in political criticism / Partha Chatterjee.</t>
        </is>
      </c>
      <c r="F1151" t="inlineStr">
        <is>
          <t>No</t>
        </is>
      </c>
      <c r="G1151" t="inlineStr">
        <is>
          <t>1</t>
        </is>
      </c>
      <c r="H1151" t="inlineStr">
        <is>
          <t>No</t>
        </is>
      </c>
      <c r="I1151" t="inlineStr">
        <is>
          <t>No</t>
        </is>
      </c>
      <c r="J1151" t="inlineStr">
        <is>
          <t>0</t>
        </is>
      </c>
      <c r="K1151" t="inlineStr">
        <is>
          <t>Chatterjee, Partha, 1947-</t>
        </is>
      </c>
      <c r="L1151" t="inlineStr">
        <is>
          <t>Delhi ; New York : Oxford University Press, 1997.</t>
        </is>
      </c>
      <c r="M1151" t="inlineStr">
        <is>
          <t>1997</t>
        </is>
      </c>
      <c r="O1151" t="inlineStr">
        <is>
          <t>eng</t>
        </is>
      </c>
      <c r="P1151" t="inlineStr">
        <is>
          <t xml:space="preserve">ii </t>
        </is>
      </c>
      <c r="R1151" t="inlineStr">
        <is>
          <t xml:space="preserve">DS </t>
        </is>
      </c>
      <c r="S1151" t="n">
        <v>3</v>
      </c>
      <c r="T1151" t="n">
        <v>3</v>
      </c>
      <c r="U1151" t="inlineStr">
        <is>
          <t>1999-04-25</t>
        </is>
      </c>
      <c r="V1151" t="inlineStr">
        <is>
          <t>1999-04-25</t>
        </is>
      </c>
      <c r="W1151" t="inlineStr">
        <is>
          <t>1998-10-07</t>
        </is>
      </c>
      <c r="X1151" t="inlineStr">
        <is>
          <t>1998-10-07</t>
        </is>
      </c>
      <c r="Y1151" t="n">
        <v>131</v>
      </c>
      <c r="Z1151" t="n">
        <v>85</v>
      </c>
      <c r="AA1151" t="n">
        <v>113</v>
      </c>
      <c r="AB1151" t="n">
        <v>2</v>
      </c>
      <c r="AC1151" t="n">
        <v>2</v>
      </c>
      <c r="AD1151" t="n">
        <v>7</v>
      </c>
      <c r="AE1151" t="n">
        <v>7</v>
      </c>
      <c r="AF1151" t="n">
        <v>1</v>
      </c>
      <c r="AG1151" t="n">
        <v>1</v>
      </c>
      <c r="AH1151" t="n">
        <v>2</v>
      </c>
      <c r="AI1151" t="n">
        <v>2</v>
      </c>
      <c r="AJ1151" t="n">
        <v>5</v>
      </c>
      <c r="AK1151" t="n">
        <v>5</v>
      </c>
      <c r="AL1151" t="n">
        <v>1</v>
      </c>
      <c r="AM1151" t="n">
        <v>1</v>
      </c>
      <c r="AN1151" t="n">
        <v>0</v>
      </c>
      <c r="AO1151" t="n">
        <v>0</v>
      </c>
      <c r="AP1151" t="inlineStr">
        <is>
          <t>No</t>
        </is>
      </c>
      <c r="AQ1151" t="inlineStr">
        <is>
          <t>Yes</t>
        </is>
      </c>
      <c r="AR1151">
        <f>HYPERLINK("http://catalog.hathitrust.org/Record/003991643","HathiTrust Record")</f>
        <v/>
      </c>
      <c r="AS1151">
        <f>HYPERLINK("https://creighton-primo.hosted.exlibrisgroup.com/primo-explore/search?tab=default_tab&amp;search_scope=EVERYTHING&amp;vid=01CRU&amp;lang=en_US&amp;offset=0&amp;query=any,contains,991002918949702656","Catalog Record")</f>
        <v/>
      </c>
      <c r="AT1151">
        <f>HYPERLINK("http://www.worldcat.org/oclc/38602571","WorldCat Record")</f>
        <v/>
      </c>
      <c r="AU1151" t="inlineStr">
        <is>
          <t>26828494:eng</t>
        </is>
      </c>
      <c r="AV1151" t="inlineStr">
        <is>
          <t>38602571</t>
        </is>
      </c>
      <c r="AW1151" t="inlineStr">
        <is>
          <t>991002918949702656</t>
        </is>
      </c>
      <c r="AX1151" t="inlineStr">
        <is>
          <t>991002918949702656</t>
        </is>
      </c>
      <c r="AY1151" t="inlineStr">
        <is>
          <t>2269165410002656</t>
        </is>
      </c>
      <c r="AZ1151" t="inlineStr">
        <is>
          <t>BOOK</t>
        </is>
      </c>
      <c r="BB1151" t="inlineStr">
        <is>
          <t>9780195643336</t>
        </is>
      </c>
      <c r="BC1151" t="inlineStr">
        <is>
          <t>32285003473609</t>
        </is>
      </c>
      <c r="BD1151" t="inlineStr">
        <is>
          <t>893610473</t>
        </is>
      </c>
    </row>
    <row r="1152">
      <c r="A1152" t="inlineStr">
        <is>
          <t>No</t>
        </is>
      </c>
      <c r="B1152" t="inlineStr">
        <is>
          <t>DS480.84 .C75</t>
        </is>
      </c>
      <c r="C1152" t="inlineStr">
        <is>
          <t>0                      DS 0480840C  75</t>
        </is>
      </c>
      <c r="D1152" t="inlineStr">
        <is>
          <t>Freedom at midnight / by Larry Collins and Dominique Lapierre.</t>
        </is>
      </c>
      <c r="F1152" t="inlineStr">
        <is>
          <t>No</t>
        </is>
      </c>
      <c r="G1152" t="inlineStr">
        <is>
          <t>1</t>
        </is>
      </c>
      <c r="H1152" t="inlineStr">
        <is>
          <t>No</t>
        </is>
      </c>
      <c r="I1152" t="inlineStr">
        <is>
          <t>No</t>
        </is>
      </c>
      <c r="J1152" t="inlineStr">
        <is>
          <t>0</t>
        </is>
      </c>
      <c r="K1152" t="inlineStr">
        <is>
          <t>Collins, Larry.</t>
        </is>
      </c>
      <c r="L1152" t="inlineStr">
        <is>
          <t>New York : Simon and Schuster, 1975.</t>
        </is>
      </c>
      <c r="M1152" t="inlineStr">
        <is>
          <t>1975</t>
        </is>
      </c>
      <c r="N1152" t="inlineStr">
        <is>
          <t>Book Club ed.</t>
        </is>
      </c>
      <c r="O1152" t="inlineStr">
        <is>
          <t>eng</t>
        </is>
      </c>
      <c r="P1152" t="inlineStr">
        <is>
          <t xml:space="preserve">xx </t>
        </is>
      </c>
      <c r="R1152" t="inlineStr">
        <is>
          <t xml:space="preserve">DS </t>
        </is>
      </c>
      <c r="S1152" t="n">
        <v>5</v>
      </c>
      <c r="T1152" t="n">
        <v>5</v>
      </c>
      <c r="U1152" t="inlineStr">
        <is>
          <t>2008-02-08</t>
        </is>
      </c>
      <c r="V1152" t="inlineStr">
        <is>
          <t>2008-02-08</t>
        </is>
      </c>
      <c r="W1152" t="inlineStr">
        <is>
          <t>1990-10-08</t>
        </is>
      </c>
      <c r="X1152" t="inlineStr">
        <is>
          <t>1990-10-08</t>
        </is>
      </c>
      <c r="Y1152" t="n">
        <v>227</v>
      </c>
      <c r="Z1152" t="n">
        <v>223</v>
      </c>
      <c r="AA1152" t="n">
        <v>2062</v>
      </c>
      <c r="AB1152" t="n">
        <v>3</v>
      </c>
      <c r="AC1152" t="n">
        <v>15</v>
      </c>
      <c r="AD1152" t="n">
        <v>4</v>
      </c>
      <c r="AE1152" t="n">
        <v>48</v>
      </c>
      <c r="AF1152" t="n">
        <v>1</v>
      </c>
      <c r="AG1152" t="n">
        <v>18</v>
      </c>
      <c r="AH1152" t="n">
        <v>1</v>
      </c>
      <c r="AI1152" t="n">
        <v>10</v>
      </c>
      <c r="AJ1152" t="n">
        <v>2</v>
      </c>
      <c r="AK1152" t="n">
        <v>22</v>
      </c>
      <c r="AL1152" t="n">
        <v>0</v>
      </c>
      <c r="AM1152" t="n">
        <v>7</v>
      </c>
      <c r="AN1152" t="n">
        <v>1</v>
      </c>
      <c r="AO1152" t="n">
        <v>2</v>
      </c>
      <c r="AP1152" t="inlineStr">
        <is>
          <t>No</t>
        </is>
      </c>
      <c r="AQ1152" t="inlineStr">
        <is>
          <t>No</t>
        </is>
      </c>
      <c r="AS1152">
        <f>HYPERLINK("https://creighton-primo.hosted.exlibrisgroup.com/primo-explore/search?tab=default_tab&amp;search_scope=EVERYTHING&amp;vid=01CRU&amp;lang=en_US&amp;offset=0&amp;query=any,contains,991004209579702656","Catalog Record")</f>
        <v/>
      </c>
      <c r="AT1152">
        <f>HYPERLINK("http://www.worldcat.org/oclc/2680265","WorldCat Record")</f>
        <v/>
      </c>
      <c r="AU1152" t="inlineStr">
        <is>
          <t>4924776726:eng</t>
        </is>
      </c>
      <c r="AV1152" t="inlineStr">
        <is>
          <t>2680265</t>
        </is>
      </c>
      <c r="AW1152" t="inlineStr">
        <is>
          <t>991004209579702656</t>
        </is>
      </c>
      <c r="AX1152" t="inlineStr">
        <is>
          <t>991004209579702656</t>
        </is>
      </c>
      <c r="AY1152" t="inlineStr">
        <is>
          <t>2266107250002656</t>
        </is>
      </c>
      <c r="AZ1152" t="inlineStr">
        <is>
          <t>BOOK</t>
        </is>
      </c>
      <c r="BC1152" t="inlineStr">
        <is>
          <t>32285000336536</t>
        </is>
      </c>
      <c r="BD1152" t="inlineStr">
        <is>
          <t>893235194</t>
        </is>
      </c>
    </row>
    <row r="1153">
      <c r="A1153" t="inlineStr">
        <is>
          <t>No</t>
        </is>
      </c>
      <c r="B1153" t="inlineStr">
        <is>
          <t>DS480.84 .H46</t>
        </is>
      </c>
      <c r="C1153" t="inlineStr">
        <is>
          <t>0                      DS 0480840H  46</t>
        </is>
      </c>
      <c r="D1153" t="inlineStr">
        <is>
          <t>Experiment with untruth : India under emergency / Michael Henderson.</t>
        </is>
      </c>
      <c r="F1153" t="inlineStr">
        <is>
          <t>No</t>
        </is>
      </c>
      <c r="G1153" t="inlineStr">
        <is>
          <t>1</t>
        </is>
      </c>
      <c r="H1153" t="inlineStr">
        <is>
          <t>No</t>
        </is>
      </c>
      <c r="I1153" t="inlineStr">
        <is>
          <t>No</t>
        </is>
      </c>
      <c r="J1153" t="inlineStr">
        <is>
          <t>0</t>
        </is>
      </c>
      <c r="K1153" t="inlineStr">
        <is>
          <t>Henderson, Michael.</t>
        </is>
      </c>
      <c r="L1153" t="inlineStr">
        <is>
          <t>Columbia, Mo. : South Asia Books, c1977.</t>
        </is>
      </c>
      <c r="M1153" t="inlineStr">
        <is>
          <t>1977</t>
        </is>
      </c>
      <c r="O1153" t="inlineStr">
        <is>
          <t>eng</t>
        </is>
      </c>
      <c r="P1153" t="inlineStr">
        <is>
          <t xml:space="preserve">xx </t>
        </is>
      </c>
      <c r="R1153" t="inlineStr">
        <is>
          <t xml:space="preserve">DS </t>
        </is>
      </c>
      <c r="S1153" t="n">
        <v>9</v>
      </c>
      <c r="T1153" t="n">
        <v>9</v>
      </c>
      <c r="U1153" t="inlineStr">
        <is>
          <t>1995-02-28</t>
        </is>
      </c>
      <c r="V1153" t="inlineStr">
        <is>
          <t>1995-02-28</t>
        </is>
      </c>
      <c r="W1153" t="inlineStr">
        <is>
          <t>1990-10-08</t>
        </is>
      </c>
      <c r="X1153" t="inlineStr">
        <is>
          <t>1990-10-08</t>
        </is>
      </c>
      <c r="Y1153" t="n">
        <v>74</v>
      </c>
      <c r="Z1153" t="n">
        <v>69</v>
      </c>
      <c r="AA1153" t="n">
        <v>160</v>
      </c>
      <c r="AB1153" t="n">
        <v>1</v>
      </c>
      <c r="AC1153" t="n">
        <v>1</v>
      </c>
      <c r="AD1153" t="n">
        <v>1</v>
      </c>
      <c r="AE1153" t="n">
        <v>5</v>
      </c>
      <c r="AF1153" t="n">
        <v>0</v>
      </c>
      <c r="AG1153" t="n">
        <v>2</v>
      </c>
      <c r="AH1153" t="n">
        <v>1</v>
      </c>
      <c r="AI1153" t="n">
        <v>1</v>
      </c>
      <c r="AJ1153" t="n">
        <v>1</v>
      </c>
      <c r="AK1153" t="n">
        <v>4</v>
      </c>
      <c r="AL1153" t="n">
        <v>0</v>
      </c>
      <c r="AM1153" t="n">
        <v>0</v>
      </c>
      <c r="AN1153" t="n">
        <v>0</v>
      </c>
      <c r="AO1153" t="n">
        <v>0</v>
      </c>
      <c r="AP1153" t="inlineStr">
        <is>
          <t>No</t>
        </is>
      </c>
      <c r="AQ1153" t="inlineStr">
        <is>
          <t>Yes</t>
        </is>
      </c>
      <c r="AR1153">
        <f>HYPERLINK("http://catalog.hathitrust.org/Record/000298043","HathiTrust Record")</f>
        <v/>
      </c>
      <c r="AS1153">
        <f>HYPERLINK("https://creighton-primo.hosted.exlibrisgroup.com/primo-explore/search?tab=default_tab&amp;search_scope=EVERYTHING&amp;vid=01CRU&amp;lang=en_US&amp;offset=0&amp;query=any,contains,991004718689702656","Catalog Record")</f>
        <v/>
      </c>
      <c r="AT1153">
        <f>HYPERLINK("http://www.worldcat.org/oclc/4787625","WorldCat Record")</f>
        <v/>
      </c>
      <c r="AU1153" t="inlineStr">
        <is>
          <t>371017432:eng</t>
        </is>
      </c>
      <c r="AV1153" t="inlineStr">
        <is>
          <t>4787625</t>
        </is>
      </c>
      <c r="AW1153" t="inlineStr">
        <is>
          <t>991004718689702656</t>
        </is>
      </c>
      <c r="AX1153" t="inlineStr">
        <is>
          <t>991004718689702656</t>
        </is>
      </c>
      <c r="AY1153" t="inlineStr">
        <is>
          <t>2255393470002656</t>
        </is>
      </c>
      <c r="AZ1153" t="inlineStr">
        <is>
          <t>BOOK</t>
        </is>
      </c>
      <c r="BC1153" t="inlineStr">
        <is>
          <t>32285000336544</t>
        </is>
      </c>
      <c r="BD1153" t="inlineStr">
        <is>
          <t>893229746</t>
        </is>
      </c>
    </row>
    <row r="1154">
      <c r="A1154" t="inlineStr">
        <is>
          <t>No</t>
        </is>
      </c>
      <c r="B1154" t="inlineStr">
        <is>
          <t>DS480.84 .I4854 1999</t>
        </is>
      </c>
      <c r="C1154" t="inlineStr">
        <is>
          <t>0                      DS 0480840I  4854        1999</t>
        </is>
      </c>
      <c r="D1154" t="inlineStr">
        <is>
          <t>India and Pakistan : the first fifty years / edited by Selig S. Harrison, Paul H. Kreisberg, and Dennis Kux.</t>
        </is>
      </c>
      <c r="F1154" t="inlineStr">
        <is>
          <t>No</t>
        </is>
      </c>
      <c r="G1154" t="inlineStr">
        <is>
          <t>1</t>
        </is>
      </c>
      <c r="H1154" t="inlineStr">
        <is>
          <t>No</t>
        </is>
      </c>
      <c r="I1154" t="inlineStr">
        <is>
          <t>No</t>
        </is>
      </c>
      <c r="J1154" t="inlineStr">
        <is>
          <t>0</t>
        </is>
      </c>
      <c r="L1154" t="inlineStr">
        <is>
          <t>Washington, D.C. : Woodrow Wilson Center Press, 1999.</t>
        </is>
      </c>
      <c r="M1154" t="inlineStr">
        <is>
          <t>1999</t>
        </is>
      </c>
      <c r="O1154" t="inlineStr">
        <is>
          <t>eng</t>
        </is>
      </c>
      <c r="P1154" t="inlineStr">
        <is>
          <t>nyu</t>
        </is>
      </c>
      <c r="Q1154" t="inlineStr">
        <is>
          <t>Woodrow Wilson Center series</t>
        </is>
      </c>
      <c r="R1154" t="inlineStr">
        <is>
          <t xml:space="preserve">DS </t>
        </is>
      </c>
      <c r="S1154" t="n">
        <v>13</v>
      </c>
      <c r="T1154" t="n">
        <v>13</v>
      </c>
      <c r="U1154" t="inlineStr">
        <is>
          <t>2005-12-08</t>
        </is>
      </c>
      <c r="V1154" t="inlineStr">
        <is>
          <t>2005-12-08</t>
        </is>
      </c>
      <c r="W1154" t="inlineStr">
        <is>
          <t>1999-08-24</t>
        </is>
      </c>
      <c r="X1154" t="inlineStr">
        <is>
          <t>1999-08-24</t>
        </is>
      </c>
      <c r="Y1154" t="n">
        <v>575</v>
      </c>
      <c r="Z1154" t="n">
        <v>449</v>
      </c>
      <c r="AA1154" t="n">
        <v>468</v>
      </c>
      <c r="AB1154" t="n">
        <v>4</v>
      </c>
      <c r="AC1154" t="n">
        <v>4</v>
      </c>
      <c r="AD1154" t="n">
        <v>24</v>
      </c>
      <c r="AE1154" t="n">
        <v>24</v>
      </c>
      <c r="AF1154" t="n">
        <v>8</v>
      </c>
      <c r="AG1154" t="n">
        <v>8</v>
      </c>
      <c r="AH1154" t="n">
        <v>7</v>
      </c>
      <c r="AI1154" t="n">
        <v>7</v>
      </c>
      <c r="AJ1154" t="n">
        <v>12</v>
      </c>
      <c r="AK1154" t="n">
        <v>12</v>
      </c>
      <c r="AL1154" t="n">
        <v>3</v>
      </c>
      <c r="AM1154" t="n">
        <v>3</v>
      </c>
      <c r="AN1154" t="n">
        <v>0</v>
      </c>
      <c r="AO1154" t="n">
        <v>0</v>
      </c>
      <c r="AP1154" t="inlineStr">
        <is>
          <t>No</t>
        </is>
      </c>
      <c r="AQ1154" t="inlineStr">
        <is>
          <t>No</t>
        </is>
      </c>
      <c r="AS1154">
        <f>HYPERLINK("https://creighton-primo.hosted.exlibrisgroup.com/primo-explore/search?tab=default_tab&amp;search_scope=EVERYTHING&amp;vid=01CRU&amp;lang=en_US&amp;offset=0&amp;query=any,contains,991002958329702656","Catalog Record")</f>
        <v/>
      </c>
      <c r="AT1154">
        <f>HYPERLINK("http://www.worldcat.org/oclc/39523320","WorldCat Record")</f>
        <v/>
      </c>
      <c r="AU1154" t="inlineStr">
        <is>
          <t>807267524:eng</t>
        </is>
      </c>
      <c r="AV1154" t="inlineStr">
        <is>
          <t>39523320</t>
        </is>
      </c>
      <c r="AW1154" t="inlineStr">
        <is>
          <t>991002958329702656</t>
        </is>
      </c>
      <c r="AX1154" t="inlineStr">
        <is>
          <t>991002958329702656</t>
        </is>
      </c>
      <c r="AY1154" t="inlineStr">
        <is>
          <t>2262455540002656</t>
        </is>
      </c>
      <c r="AZ1154" t="inlineStr">
        <is>
          <t>BOOK</t>
        </is>
      </c>
      <c r="BB1154" t="inlineStr">
        <is>
          <t>9780521641852</t>
        </is>
      </c>
      <c r="BC1154" t="inlineStr">
        <is>
          <t>32285003583977</t>
        </is>
      </c>
      <c r="BD1154" t="inlineStr">
        <is>
          <t>893329761</t>
        </is>
      </c>
    </row>
    <row r="1155">
      <c r="A1155" t="inlineStr">
        <is>
          <t>No</t>
        </is>
      </c>
      <c r="B1155" t="inlineStr">
        <is>
          <t>DS480.84 .J43 1986</t>
        </is>
      </c>
      <c r="C1155" t="inlineStr">
        <is>
          <t>0                      DS 0480840J  43          1986</t>
        </is>
      </c>
      <c r="D1155" t="inlineStr">
        <is>
          <t>What's happening to India? : Punjab, ethnic conflict, Mrs. Gandhi's death, and the test for federalism / Robin Jeffrey.</t>
        </is>
      </c>
      <c r="F1155" t="inlineStr">
        <is>
          <t>No</t>
        </is>
      </c>
      <c r="G1155" t="inlineStr">
        <is>
          <t>1</t>
        </is>
      </c>
      <c r="H1155" t="inlineStr">
        <is>
          <t>No</t>
        </is>
      </c>
      <c r="I1155" t="inlineStr">
        <is>
          <t>No</t>
        </is>
      </c>
      <c r="J1155" t="inlineStr">
        <is>
          <t>0</t>
        </is>
      </c>
      <c r="K1155" t="inlineStr">
        <is>
          <t>Jeffrey, Robin.</t>
        </is>
      </c>
      <c r="L1155" t="inlineStr">
        <is>
          <t>New York : Holmes &amp; Meier, c1986.</t>
        </is>
      </c>
      <c r="M1155" t="inlineStr">
        <is>
          <t>1986</t>
        </is>
      </c>
      <c r="O1155" t="inlineStr">
        <is>
          <t>eng</t>
        </is>
      </c>
      <c r="P1155" t="inlineStr">
        <is>
          <t>nyu</t>
        </is>
      </c>
      <c r="R1155" t="inlineStr">
        <is>
          <t xml:space="preserve">DS </t>
        </is>
      </c>
      <c r="S1155" t="n">
        <v>5</v>
      </c>
      <c r="T1155" t="n">
        <v>5</v>
      </c>
      <c r="U1155" t="inlineStr">
        <is>
          <t>1995-11-30</t>
        </is>
      </c>
      <c r="V1155" t="inlineStr">
        <is>
          <t>1995-11-30</t>
        </is>
      </c>
      <c r="W1155" t="inlineStr">
        <is>
          <t>1990-10-08</t>
        </is>
      </c>
      <c r="X1155" t="inlineStr">
        <is>
          <t>1990-10-08</t>
        </is>
      </c>
      <c r="Y1155" t="n">
        <v>269</v>
      </c>
      <c r="Z1155" t="n">
        <v>241</v>
      </c>
      <c r="AA1155" t="n">
        <v>366</v>
      </c>
      <c r="AB1155" t="n">
        <v>2</v>
      </c>
      <c r="AC1155" t="n">
        <v>3</v>
      </c>
      <c r="AD1155" t="n">
        <v>10</v>
      </c>
      <c r="AE1155" t="n">
        <v>13</v>
      </c>
      <c r="AF1155" t="n">
        <v>3</v>
      </c>
      <c r="AG1155" t="n">
        <v>4</v>
      </c>
      <c r="AH1155" t="n">
        <v>3</v>
      </c>
      <c r="AI1155" t="n">
        <v>3</v>
      </c>
      <c r="AJ1155" t="n">
        <v>7</v>
      </c>
      <c r="AK1155" t="n">
        <v>9</v>
      </c>
      <c r="AL1155" t="n">
        <v>1</v>
      </c>
      <c r="AM1155" t="n">
        <v>2</v>
      </c>
      <c r="AN1155" t="n">
        <v>0</v>
      </c>
      <c r="AO1155" t="n">
        <v>0</v>
      </c>
      <c r="AP1155" t="inlineStr">
        <is>
          <t>No</t>
        </is>
      </c>
      <c r="AQ1155" t="inlineStr">
        <is>
          <t>Yes</t>
        </is>
      </c>
      <c r="AR1155">
        <f>HYPERLINK("http://catalog.hathitrust.org/Record/000671181","HathiTrust Record")</f>
        <v/>
      </c>
      <c r="AS1155">
        <f>HYPERLINK("https://creighton-primo.hosted.exlibrisgroup.com/primo-explore/search?tab=default_tab&amp;search_scope=EVERYTHING&amp;vid=01CRU&amp;lang=en_US&amp;offset=0&amp;query=any,contains,991000815609702656","Catalog Record")</f>
        <v/>
      </c>
      <c r="AT1155">
        <f>HYPERLINK("http://www.worldcat.org/oclc/13358015","WorldCat Record")</f>
        <v/>
      </c>
      <c r="AU1155" t="inlineStr">
        <is>
          <t>6858419:eng</t>
        </is>
      </c>
      <c r="AV1155" t="inlineStr">
        <is>
          <t>13358015</t>
        </is>
      </c>
      <c r="AW1155" t="inlineStr">
        <is>
          <t>991000815609702656</t>
        </is>
      </c>
      <c r="AX1155" t="inlineStr">
        <is>
          <t>991000815609702656</t>
        </is>
      </c>
      <c r="AY1155" t="inlineStr">
        <is>
          <t>2268217280002656</t>
        </is>
      </c>
      <c r="AZ1155" t="inlineStr">
        <is>
          <t>BOOK</t>
        </is>
      </c>
      <c r="BB1155" t="inlineStr">
        <is>
          <t>9780841910805</t>
        </is>
      </c>
      <c r="BC1155" t="inlineStr">
        <is>
          <t>32285000336569</t>
        </is>
      </c>
      <c r="BD1155" t="inlineStr">
        <is>
          <t>893339916</t>
        </is>
      </c>
    </row>
    <row r="1156">
      <c r="A1156" t="inlineStr">
        <is>
          <t>No</t>
        </is>
      </c>
      <c r="B1156" t="inlineStr">
        <is>
          <t>DS480.84 .K3627 1994</t>
        </is>
      </c>
      <c r="C1156" t="inlineStr">
        <is>
          <t>0                      DS 0480840K  3627        1994</t>
        </is>
      </c>
      <c r="D1156" t="inlineStr">
        <is>
          <t>India's foreign policy, 1947-92 : shadows and substance / Harish Kapur.</t>
        </is>
      </c>
      <c r="F1156" t="inlineStr">
        <is>
          <t>No</t>
        </is>
      </c>
      <c r="G1156" t="inlineStr">
        <is>
          <t>1</t>
        </is>
      </c>
      <c r="H1156" t="inlineStr">
        <is>
          <t>No</t>
        </is>
      </c>
      <c r="I1156" t="inlineStr">
        <is>
          <t>No</t>
        </is>
      </c>
      <c r="J1156" t="inlineStr">
        <is>
          <t>0</t>
        </is>
      </c>
      <c r="K1156" t="inlineStr">
        <is>
          <t>Kapur, Harish.</t>
        </is>
      </c>
      <c r="L1156" t="inlineStr">
        <is>
          <t>New Delhi ; Thousand Oaks, CA : Sage Publications, 1994.</t>
        </is>
      </c>
      <c r="M1156" t="inlineStr">
        <is>
          <t>1994</t>
        </is>
      </c>
      <c r="O1156" t="inlineStr">
        <is>
          <t>eng</t>
        </is>
      </c>
      <c r="P1156" t="inlineStr">
        <is>
          <t xml:space="preserve">ii </t>
        </is>
      </c>
      <c r="R1156" t="inlineStr">
        <is>
          <t xml:space="preserve">DS </t>
        </is>
      </c>
      <c r="S1156" t="n">
        <v>1</v>
      </c>
      <c r="T1156" t="n">
        <v>1</v>
      </c>
      <c r="U1156" t="inlineStr">
        <is>
          <t>1995-11-30</t>
        </is>
      </c>
      <c r="V1156" t="inlineStr">
        <is>
          <t>1995-11-30</t>
        </is>
      </c>
      <c r="W1156" t="inlineStr">
        <is>
          <t>1994-09-23</t>
        </is>
      </c>
      <c r="X1156" t="inlineStr">
        <is>
          <t>1994-09-23</t>
        </is>
      </c>
      <c r="Y1156" t="n">
        <v>192</v>
      </c>
      <c r="Z1156" t="n">
        <v>123</v>
      </c>
      <c r="AA1156" t="n">
        <v>125</v>
      </c>
      <c r="AB1156" t="n">
        <v>2</v>
      </c>
      <c r="AC1156" t="n">
        <v>2</v>
      </c>
      <c r="AD1156" t="n">
        <v>7</v>
      </c>
      <c r="AE1156" t="n">
        <v>7</v>
      </c>
      <c r="AF1156" t="n">
        <v>0</v>
      </c>
      <c r="AG1156" t="n">
        <v>0</v>
      </c>
      <c r="AH1156" t="n">
        <v>4</v>
      </c>
      <c r="AI1156" t="n">
        <v>4</v>
      </c>
      <c r="AJ1156" t="n">
        <v>4</v>
      </c>
      <c r="AK1156" t="n">
        <v>4</v>
      </c>
      <c r="AL1156" t="n">
        <v>1</v>
      </c>
      <c r="AM1156" t="n">
        <v>1</v>
      </c>
      <c r="AN1156" t="n">
        <v>0</v>
      </c>
      <c r="AO1156" t="n">
        <v>0</v>
      </c>
      <c r="AP1156" t="inlineStr">
        <is>
          <t>No</t>
        </is>
      </c>
      <c r="AQ1156" t="inlineStr">
        <is>
          <t>Yes</t>
        </is>
      </c>
      <c r="AR1156">
        <f>HYPERLINK("http://catalog.hathitrust.org/Record/002999108","HathiTrust Record")</f>
        <v/>
      </c>
      <c r="AS1156">
        <f>HYPERLINK("https://creighton-primo.hosted.exlibrisgroup.com/primo-explore/search?tab=default_tab&amp;search_scope=EVERYTHING&amp;vid=01CRU&amp;lang=en_US&amp;offset=0&amp;query=any,contains,991002279149702656","Catalog Record")</f>
        <v/>
      </c>
      <c r="AT1156">
        <f>HYPERLINK("http://www.worldcat.org/oclc/29563688","WorldCat Record")</f>
        <v/>
      </c>
      <c r="AU1156" t="inlineStr">
        <is>
          <t>836728558:eng</t>
        </is>
      </c>
      <c r="AV1156" t="inlineStr">
        <is>
          <t>29563688</t>
        </is>
      </c>
      <c r="AW1156" t="inlineStr">
        <is>
          <t>991002279149702656</t>
        </is>
      </c>
      <c r="AX1156" t="inlineStr">
        <is>
          <t>991002279149702656</t>
        </is>
      </c>
      <c r="AY1156" t="inlineStr">
        <is>
          <t>2263535690002656</t>
        </is>
      </c>
      <c r="AZ1156" t="inlineStr">
        <is>
          <t>BOOK</t>
        </is>
      </c>
      <c r="BB1156" t="inlineStr">
        <is>
          <t>9780803991620</t>
        </is>
      </c>
      <c r="BC1156" t="inlineStr">
        <is>
          <t>32285001947000</t>
        </is>
      </c>
      <c r="BD1156" t="inlineStr">
        <is>
          <t>893710095</t>
        </is>
      </c>
    </row>
    <row r="1157">
      <c r="A1157" t="inlineStr">
        <is>
          <t>No</t>
        </is>
      </c>
      <c r="B1157" t="inlineStr">
        <is>
          <t>DS480.84 .K47 1998</t>
        </is>
      </c>
      <c r="C1157" t="inlineStr">
        <is>
          <t>0                      DS 0480840K  47          1998</t>
        </is>
      </c>
      <c r="D1157" t="inlineStr">
        <is>
          <t>The idea of India / Sunil Khilnani.</t>
        </is>
      </c>
      <c r="F1157" t="inlineStr">
        <is>
          <t>No</t>
        </is>
      </c>
      <c r="G1157" t="inlineStr">
        <is>
          <t>1</t>
        </is>
      </c>
      <c r="H1157" t="inlineStr">
        <is>
          <t>No</t>
        </is>
      </c>
      <c r="I1157" t="inlineStr">
        <is>
          <t>No</t>
        </is>
      </c>
      <c r="J1157" t="inlineStr">
        <is>
          <t>0</t>
        </is>
      </c>
      <c r="K1157" t="inlineStr">
        <is>
          <t>Khilnani, Sunil, 1960-</t>
        </is>
      </c>
      <c r="L1157" t="inlineStr">
        <is>
          <t>New York : Farrar Straus Giroux, 1998.</t>
        </is>
      </c>
      <c r="M1157" t="inlineStr">
        <is>
          <t>1998</t>
        </is>
      </c>
      <c r="N1157" t="inlineStr">
        <is>
          <t>1st Farrar, Straus and Giroux ed.</t>
        </is>
      </c>
      <c r="O1157" t="inlineStr">
        <is>
          <t>eng</t>
        </is>
      </c>
      <c r="P1157" t="inlineStr">
        <is>
          <t>nyu</t>
        </is>
      </c>
      <c r="R1157" t="inlineStr">
        <is>
          <t xml:space="preserve">DS </t>
        </is>
      </c>
      <c r="S1157" t="n">
        <v>8</v>
      </c>
      <c r="T1157" t="n">
        <v>8</v>
      </c>
      <c r="U1157" t="inlineStr">
        <is>
          <t>1999-03-29</t>
        </is>
      </c>
      <c r="V1157" t="inlineStr">
        <is>
          <t>1999-03-29</t>
        </is>
      </c>
      <c r="W1157" t="inlineStr">
        <is>
          <t>1999-03-02</t>
        </is>
      </c>
      <c r="X1157" t="inlineStr">
        <is>
          <t>1999-03-02</t>
        </is>
      </c>
      <c r="Y1157" t="n">
        <v>527</v>
      </c>
      <c r="Z1157" t="n">
        <v>489</v>
      </c>
      <c r="AA1157" t="n">
        <v>648</v>
      </c>
      <c r="AB1157" t="n">
        <v>2</v>
      </c>
      <c r="AC1157" t="n">
        <v>4</v>
      </c>
      <c r="AD1157" t="n">
        <v>23</v>
      </c>
      <c r="AE1157" t="n">
        <v>29</v>
      </c>
      <c r="AF1157" t="n">
        <v>7</v>
      </c>
      <c r="AG1157" t="n">
        <v>8</v>
      </c>
      <c r="AH1157" t="n">
        <v>6</v>
      </c>
      <c r="AI1157" t="n">
        <v>8</v>
      </c>
      <c r="AJ1157" t="n">
        <v>13</v>
      </c>
      <c r="AK1157" t="n">
        <v>17</v>
      </c>
      <c r="AL1157" t="n">
        <v>1</v>
      </c>
      <c r="AM1157" t="n">
        <v>3</v>
      </c>
      <c r="AN1157" t="n">
        <v>0</v>
      </c>
      <c r="AO1157" t="n">
        <v>0</v>
      </c>
      <c r="AP1157" t="inlineStr">
        <is>
          <t>No</t>
        </is>
      </c>
      <c r="AQ1157" t="inlineStr">
        <is>
          <t>No</t>
        </is>
      </c>
      <c r="AS1157">
        <f>HYPERLINK("https://creighton-primo.hosted.exlibrisgroup.com/primo-explore/search?tab=default_tab&amp;search_scope=EVERYTHING&amp;vid=01CRU&amp;lang=en_US&amp;offset=0&amp;query=any,contains,991002836749702656","Catalog Record")</f>
        <v/>
      </c>
      <c r="AT1157">
        <f>HYPERLINK("http://www.worldcat.org/oclc/37361771","WorldCat Record")</f>
        <v/>
      </c>
      <c r="AU1157" t="inlineStr">
        <is>
          <t>532887:eng</t>
        </is>
      </c>
      <c r="AV1157" t="inlineStr">
        <is>
          <t>37361771</t>
        </is>
      </c>
      <c r="AW1157" t="inlineStr">
        <is>
          <t>991002836749702656</t>
        </is>
      </c>
      <c r="AX1157" t="inlineStr">
        <is>
          <t>991002836749702656</t>
        </is>
      </c>
      <c r="AY1157" t="inlineStr">
        <is>
          <t>2268113930002656</t>
        </is>
      </c>
      <c r="AZ1157" t="inlineStr">
        <is>
          <t>BOOK</t>
        </is>
      </c>
      <c r="BB1157" t="inlineStr">
        <is>
          <t>9780374174170</t>
        </is>
      </c>
      <c r="BC1157" t="inlineStr">
        <is>
          <t>32285003528022</t>
        </is>
      </c>
      <c r="BD1157" t="inlineStr">
        <is>
          <t>893610366</t>
        </is>
      </c>
    </row>
    <row r="1158">
      <c r="A1158" t="inlineStr">
        <is>
          <t>No</t>
        </is>
      </c>
      <c r="B1158" t="inlineStr">
        <is>
          <t>DS480.84 .M59 1967</t>
        </is>
      </c>
      <c r="C1158" t="inlineStr">
        <is>
          <t>0                      DS 0480840M  59          1967</t>
        </is>
      </c>
      <c r="D1158" t="inlineStr">
        <is>
          <t>The government and politics of India, [by] W. H. Morris-Jones.</t>
        </is>
      </c>
      <c r="F1158" t="inlineStr">
        <is>
          <t>No</t>
        </is>
      </c>
      <c r="G1158" t="inlineStr">
        <is>
          <t>1</t>
        </is>
      </c>
      <c r="H1158" t="inlineStr">
        <is>
          <t>No</t>
        </is>
      </c>
      <c r="I1158" t="inlineStr">
        <is>
          <t>No</t>
        </is>
      </c>
      <c r="J1158" t="inlineStr">
        <is>
          <t>0</t>
        </is>
      </c>
      <c r="K1158" t="inlineStr">
        <is>
          <t>Morris-Jones, W. H. (Wyndraeth Humphreys)</t>
        </is>
      </c>
      <c r="L1158" t="inlineStr">
        <is>
          <t>London, Hutchinson, 1967.</t>
        </is>
      </c>
      <c r="M1158" t="inlineStr">
        <is>
          <t>1967</t>
        </is>
      </c>
      <c r="N1158" t="inlineStr">
        <is>
          <t>2nd ed.</t>
        </is>
      </c>
      <c r="O1158" t="inlineStr">
        <is>
          <t>eng</t>
        </is>
      </c>
      <c r="P1158" t="inlineStr">
        <is>
          <t>enk</t>
        </is>
      </c>
      <c r="Q1158" t="inlineStr">
        <is>
          <t>Hutchinson university library. Politics</t>
        </is>
      </c>
      <c r="R1158" t="inlineStr">
        <is>
          <t xml:space="preserve">DS </t>
        </is>
      </c>
      <c r="S1158" t="n">
        <v>2</v>
      </c>
      <c r="T1158" t="n">
        <v>2</v>
      </c>
      <c r="U1158" t="inlineStr">
        <is>
          <t>2000-11-30</t>
        </is>
      </c>
      <c r="V1158" t="inlineStr">
        <is>
          <t>2000-11-30</t>
        </is>
      </c>
      <c r="W1158" t="inlineStr">
        <is>
          <t>1997-03-10</t>
        </is>
      </c>
      <c r="X1158" t="inlineStr">
        <is>
          <t>1997-03-10</t>
        </is>
      </c>
      <c r="Y1158" t="n">
        <v>197</v>
      </c>
      <c r="Z1158" t="n">
        <v>137</v>
      </c>
      <c r="AA1158" t="n">
        <v>542</v>
      </c>
      <c r="AB1158" t="n">
        <v>2</v>
      </c>
      <c r="AC1158" t="n">
        <v>5</v>
      </c>
      <c r="AD1158" t="n">
        <v>8</v>
      </c>
      <c r="AE1158" t="n">
        <v>28</v>
      </c>
      <c r="AF1158" t="n">
        <v>1</v>
      </c>
      <c r="AG1158" t="n">
        <v>9</v>
      </c>
      <c r="AH1158" t="n">
        <v>2</v>
      </c>
      <c r="AI1158" t="n">
        <v>7</v>
      </c>
      <c r="AJ1158" t="n">
        <v>6</v>
      </c>
      <c r="AK1158" t="n">
        <v>13</v>
      </c>
      <c r="AL1158" t="n">
        <v>1</v>
      </c>
      <c r="AM1158" t="n">
        <v>4</v>
      </c>
      <c r="AN1158" t="n">
        <v>0</v>
      </c>
      <c r="AO1158" t="n">
        <v>1</v>
      </c>
      <c r="AP1158" t="inlineStr">
        <is>
          <t>No</t>
        </is>
      </c>
      <c r="AQ1158" t="inlineStr">
        <is>
          <t>No</t>
        </is>
      </c>
      <c r="AS1158">
        <f>HYPERLINK("https://creighton-primo.hosted.exlibrisgroup.com/primo-explore/search?tab=default_tab&amp;search_scope=EVERYTHING&amp;vid=01CRU&amp;lang=en_US&amp;offset=0&amp;query=any,contains,991003948159702656","Catalog Record")</f>
        <v/>
      </c>
      <c r="AT1158">
        <f>HYPERLINK("http://www.worldcat.org/oclc/1949808","WorldCat Record")</f>
        <v/>
      </c>
      <c r="AU1158" t="inlineStr">
        <is>
          <t>1188433:eng</t>
        </is>
      </c>
      <c r="AV1158" t="inlineStr">
        <is>
          <t>1949808</t>
        </is>
      </c>
      <c r="AW1158" t="inlineStr">
        <is>
          <t>991003948159702656</t>
        </is>
      </c>
      <c r="AX1158" t="inlineStr">
        <is>
          <t>991003948159702656</t>
        </is>
      </c>
      <c r="AY1158" t="inlineStr">
        <is>
          <t>2260831970002656</t>
        </is>
      </c>
      <c r="AZ1158" t="inlineStr">
        <is>
          <t>BOOK</t>
        </is>
      </c>
      <c r="BC1158" t="inlineStr">
        <is>
          <t>32285002457371</t>
        </is>
      </c>
      <c r="BD1158" t="inlineStr">
        <is>
          <t>893900602</t>
        </is>
      </c>
    </row>
    <row r="1159">
      <c r="A1159" t="inlineStr">
        <is>
          <t>No</t>
        </is>
      </c>
      <c r="B1159" t="inlineStr">
        <is>
          <t>DS480.84 .N493 1982</t>
        </is>
      </c>
      <c r="C1159" t="inlineStr">
        <is>
          <t>0                      DS 0480840N  493         1982</t>
        </is>
      </c>
      <c r="D1159" t="inlineStr">
        <is>
          <t>My India / S. Nihal Singh.</t>
        </is>
      </c>
      <c r="F1159" t="inlineStr">
        <is>
          <t>No</t>
        </is>
      </c>
      <c r="G1159" t="inlineStr">
        <is>
          <t>1</t>
        </is>
      </c>
      <c r="H1159" t="inlineStr">
        <is>
          <t>No</t>
        </is>
      </c>
      <c r="I1159" t="inlineStr">
        <is>
          <t>No</t>
        </is>
      </c>
      <c r="J1159" t="inlineStr">
        <is>
          <t>0</t>
        </is>
      </c>
      <c r="K1159" t="inlineStr">
        <is>
          <t>Nihal Singh, S., 1929-</t>
        </is>
      </c>
      <c r="L1159" t="inlineStr">
        <is>
          <t>New Delhi : Vikas Pub. House, c1982.</t>
        </is>
      </c>
      <c r="M1159" t="inlineStr">
        <is>
          <t>1982</t>
        </is>
      </c>
      <c r="O1159" t="inlineStr">
        <is>
          <t>eng</t>
        </is>
      </c>
      <c r="P1159" t="inlineStr">
        <is>
          <t xml:space="preserve">ii </t>
        </is>
      </c>
      <c r="R1159" t="inlineStr">
        <is>
          <t xml:space="preserve">DS </t>
        </is>
      </c>
      <c r="S1159" t="n">
        <v>2</v>
      </c>
      <c r="T1159" t="n">
        <v>2</v>
      </c>
      <c r="U1159" t="inlineStr">
        <is>
          <t>1998-12-05</t>
        </is>
      </c>
      <c r="V1159" t="inlineStr">
        <is>
          <t>1998-12-05</t>
        </is>
      </c>
      <c r="W1159" t="inlineStr">
        <is>
          <t>1990-10-08</t>
        </is>
      </c>
      <c r="X1159" t="inlineStr">
        <is>
          <t>1990-10-08</t>
        </is>
      </c>
      <c r="Y1159" t="n">
        <v>213</v>
      </c>
      <c r="Z1159" t="n">
        <v>187</v>
      </c>
      <c r="AA1159" t="n">
        <v>189</v>
      </c>
      <c r="AB1159" t="n">
        <v>2</v>
      </c>
      <c r="AC1159" t="n">
        <v>2</v>
      </c>
      <c r="AD1159" t="n">
        <v>7</v>
      </c>
      <c r="AE1159" t="n">
        <v>7</v>
      </c>
      <c r="AF1159" t="n">
        <v>1</v>
      </c>
      <c r="AG1159" t="n">
        <v>1</v>
      </c>
      <c r="AH1159" t="n">
        <v>3</v>
      </c>
      <c r="AI1159" t="n">
        <v>3</v>
      </c>
      <c r="AJ1159" t="n">
        <v>4</v>
      </c>
      <c r="AK1159" t="n">
        <v>4</v>
      </c>
      <c r="AL1159" t="n">
        <v>1</v>
      </c>
      <c r="AM1159" t="n">
        <v>1</v>
      </c>
      <c r="AN1159" t="n">
        <v>0</v>
      </c>
      <c r="AO1159" t="n">
        <v>0</v>
      </c>
      <c r="AP1159" t="inlineStr">
        <is>
          <t>No</t>
        </is>
      </c>
      <c r="AQ1159" t="inlineStr">
        <is>
          <t>Yes</t>
        </is>
      </c>
      <c r="AR1159">
        <f>HYPERLINK("http://catalog.hathitrust.org/Record/000187826","HathiTrust Record")</f>
        <v/>
      </c>
      <c r="AS1159">
        <f>HYPERLINK("https://creighton-primo.hosted.exlibrisgroup.com/primo-explore/search?tab=default_tab&amp;search_scope=EVERYTHING&amp;vid=01CRU&amp;lang=en_US&amp;offset=0&amp;query=any,contains,991000046339702656","Catalog Record")</f>
        <v/>
      </c>
      <c r="AT1159">
        <f>HYPERLINK("http://www.worldcat.org/oclc/8669062","WorldCat Record")</f>
        <v/>
      </c>
      <c r="AU1159" t="inlineStr">
        <is>
          <t>3943706157:eng</t>
        </is>
      </c>
      <c r="AV1159" t="inlineStr">
        <is>
          <t>8669062</t>
        </is>
      </c>
      <c r="AW1159" t="inlineStr">
        <is>
          <t>991000046339702656</t>
        </is>
      </c>
      <c r="AX1159" t="inlineStr">
        <is>
          <t>991000046339702656</t>
        </is>
      </c>
      <c r="AY1159" t="inlineStr">
        <is>
          <t>2267536920002656</t>
        </is>
      </c>
      <c r="AZ1159" t="inlineStr">
        <is>
          <t>BOOK</t>
        </is>
      </c>
      <c r="BB1159" t="inlineStr">
        <is>
          <t>9780706917703</t>
        </is>
      </c>
      <c r="BC1159" t="inlineStr">
        <is>
          <t>32285000336577</t>
        </is>
      </c>
      <c r="BD1159" t="inlineStr">
        <is>
          <t>893419143</t>
        </is>
      </c>
    </row>
    <row r="1160">
      <c r="A1160" t="inlineStr">
        <is>
          <t>No</t>
        </is>
      </c>
      <c r="B1160" t="inlineStr">
        <is>
          <t>DS480.84 .T35 2000</t>
        </is>
      </c>
      <c r="C1160" t="inlineStr">
        <is>
          <t>0                      DS 0480840T  35          2000</t>
        </is>
      </c>
      <c r="D1160" t="inlineStr">
        <is>
          <t>India and Pakistan / Ian Talbot.</t>
        </is>
      </c>
      <c r="F1160" t="inlineStr">
        <is>
          <t>No</t>
        </is>
      </c>
      <c r="G1160" t="inlineStr">
        <is>
          <t>1</t>
        </is>
      </c>
      <c r="H1160" t="inlineStr">
        <is>
          <t>No</t>
        </is>
      </c>
      <c r="I1160" t="inlineStr">
        <is>
          <t>No</t>
        </is>
      </c>
      <c r="J1160" t="inlineStr">
        <is>
          <t>0</t>
        </is>
      </c>
      <c r="K1160" t="inlineStr">
        <is>
          <t>Talbot, Ian.</t>
        </is>
      </c>
      <c r="L1160" t="inlineStr">
        <is>
          <t>London : Arnold ; New York : Oxford University Press, 2000.</t>
        </is>
      </c>
      <c r="M1160" t="inlineStr">
        <is>
          <t>2000</t>
        </is>
      </c>
      <c r="O1160" t="inlineStr">
        <is>
          <t>eng</t>
        </is>
      </c>
      <c r="P1160" t="inlineStr">
        <is>
          <t>enk</t>
        </is>
      </c>
      <c r="Q1160" t="inlineStr">
        <is>
          <t>Inventing the nation</t>
        </is>
      </c>
      <c r="R1160" t="inlineStr">
        <is>
          <t xml:space="preserve">DS </t>
        </is>
      </c>
      <c r="S1160" t="n">
        <v>7</v>
      </c>
      <c r="T1160" t="n">
        <v>7</v>
      </c>
      <c r="U1160" t="inlineStr">
        <is>
          <t>2005-12-08</t>
        </is>
      </c>
      <c r="V1160" t="inlineStr">
        <is>
          <t>2005-12-08</t>
        </is>
      </c>
      <c r="W1160" t="inlineStr">
        <is>
          <t>2001-03-28</t>
        </is>
      </c>
      <c r="X1160" t="inlineStr">
        <is>
          <t>2001-03-28</t>
        </is>
      </c>
      <c r="Y1160" t="n">
        <v>337</v>
      </c>
      <c r="Z1160" t="n">
        <v>231</v>
      </c>
      <c r="AA1160" t="n">
        <v>231</v>
      </c>
      <c r="AB1160" t="n">
        <v>3</v>
      </c>
      <c r="AC1160" t="n">
        <v>3</v>
      </c>
      <c r="AD1160" t="n">
        <v>12</v>
      </c>
      <c r="AE1160" t="n">
        <v>12</v>
      </c>
      <c r="AF1160" t="n">
        <v>3</v>
      </c>
      <c r="AG1160" t="n">
        <v>3</v>
      </c>
      <c r="AH1160" t="n">
        <v>4</v>
      </c>
      <c r="AI1160" t="n">
        <v>4</v>
      </c>
      <c r="AJ1160" t="n">
        <v>4</v>
      </c>
      <c r="AK1160" t="n">
        <v>4</v>
      </c>
      <c r="AL1160" t="n">
        <v>2</v>
      </c>
      <c r="AM1160" t="n">
        <v>2</v>
      </c>
      <c r="AN1160" t="n">
        <v>0</v>
      </c>
      <c r="AO1160" t="n">
        <v>0</v>
      </c>
      <c r="AP1160" t="inlineStr">
        <is>
          <t>No</t>
        </is>
      </c>
      <c r="AQ1160" t="inlineStr">
        <is>
          <t>No</t>
        </is>
      </c>
      <c r="AS1160">
        <f>HYPERLINK("https://creighton-primo.hosted.exlibrisgroup.com/primo-explore/search?tab=default_tab&amp;search_scope=EVERYTHING&amp;vid=01CRU&amp;lang=en_US&amp;offset=0&amp;query=any,contains,991003468789702656","Catalog Record")</f>
        <v/>
      </c>
      <c r="AT1160">
        <f>HYPERLINK("http://www.worldcat.org/oclc/43786758","WorldCat Record")</f>
        <v/>
      </c>
      <c r="AU1160" t="inlineStr">
        <is>
          <t>3943677219:eng</t>
        </is>
      </c>
      <c r="AV1160" t="inlineStr">
        <is>
          <t>43786758</t>
        </is>
      </c>
      <c r="AW1160" t="inlineStr">
        <is>
          <t>991003468789702656</t>
        </is>
      </c>
      <c r="AX1160" t="inlineStr">
        <is>
          <t>991003468789702656</t>
        </is>
      </c>
      <c r="AY1160" t="inlineStr">
        <is>
          <t>2270629770002656</t>
        </is>
      </c>
      <c r="AZ1160" t="inlineStr">
        <is>
          <t>BOOK</t>
        </is>
      </c>
      <c r="BB1160" t="inlineStr">
        <is>
          <t>9780340706329</t>
        </is>
      </c>
      <c r="BC1160" t="inlineStr">
        <is>
          <t>32285004308259</t>
        </is>
      </c>
      <c r="BD1160" t="inlineStr">
        <is>
          <t>893774747</t>
        </is>
      </c>
    </row>
    <row r="1161">
      <c r="A1161" t="inlineStr">
        <is>
          <t>No</t>
        </is>
      </c>
      <c r="B1161" t="inlineStr">
        <is>
          <t>DS480.84 .T466 1982</t>
        </is>
      </c>
      <c r="C1161" t="inlineStr">
        <is>
          <t>0                      DS 0480840T  466         1982</t>
        </is>
      </c>
      <c r="D1161" t="inlineStr">
        <is>
          <t>Reasons of state : political development and India's foreign policy under Indira Gandhi, 1966-1977 / Shashi Tharoor.</t>
        </is>
      </c>
      <c r="F1161" t="inlineStr">
        <is>
          <t>No</t>
        </is>
      </c>
      <c r="G1161" t="inlineStr">
        <is>
          <t>1</t>
        </is>
      </c>
      <c r="H1161" t="inlineStr">
        <is>
          <t>No</t>
        </is>
      </c>
      <c r="I1161" t="inlineStr">
        <is>
          <t>No</t>
        </is>
      </c>
      <c r="J1161" t="inlineStr">
        <is>
          <t>0</t>
        </is>
      </c>
      <c r="K1161" t="inlineStr">
        <is>
          <t>Tharoor, Shashi, 1956-</t>
        </is>
      </c>
      <c r="L1161" t="inlineStr">
        <is>
          <t>New Delhi : Vikas Pub. House, c1982.</t>
        </is>
      </c>
      <c r="M1161" t="inlineStr">
        <is>
          <t>1982</t>
        </is>
      </c>
      <c r="O1161" t="inlineStr">
        <is>
          <t>eng</t>
        </is>
      </c>
      <c r="P1161" t="inlineStr">
        <is>
          <t xml:space="preserve">ii </t>
        </is>
      </c>
      <c r="R1161" t="inlineStr">
        <is>
          <t xml:space="preserve">DS </t>
        </is>
      </c>
      <c r="S1161" t="n">
        <v>11</v>
      </c>
      <c r="T1161" t="n">
        <v>11</v>
      </c>
      <c r="U1161" t="inlineStr">
        <is>
          <t>1995-02-28</t>
        </is>
      </c>
      <c r="V1161" t="inlineStr">
        <is>
          <t>1995-02-28</t>
        </is>
      </c>
      <c r="W1161" t="inlineStr">
        <is>
          <t>1990-10-08</t>
        </is>
      </c>
      <c r="X1161" t="inlineStr">
        <is>
          <t>1990-10-08</t>
        </is>
      </c>
      <c r="Y1161" t="n">
        <v>284</v>
      </c>
      <c r="Z1161" t="n">
        <v>244</v>
      </c>
      <c r="AA1161" t="n">
        <v>252</v>
      </c>
      <c r="AB1161" t="n">
        <v>2</v>
      </c>
      <c r="AC1161" t="n">
        <v>2</v>
      </c>
      <c r="AD1161" t="n">
        <v>8</v>
      </c>
      <c r="AE1161" t="n">
        <v>8</v>
      </c>
      <c r="AF1161" t="n">
        <v>1</v>
      </c>
      <c r="AG1161" t="n">
        <v>1</v>
      </c>
      <c r="AH1161" t="n">
        <v>3</v>
      </c>
      <c r="AI1161" t="n">
        <v>3</v>
      </c>
      <c r="AJ1161" t="n">
        <v>5</v>
      </c>
      <c r="AK1161" t="n">
        <v>5</v>
      </c>
      <c r="AL1161" t="n">
        <v>1</v>
      </c>
      <c r="AM1161" t="n">
        <v>1</v>
      </c>
      <c r="AN1161" t="n">
        <v>0</v>
      </c>
      <c r="AO1161" t="n">
        <v>0</v>
      </c>
      <c r="AP1161" t="inlineStr">
        <is>
          <t>No</t>
        </is>
      </c>
      <c r="AQ1161" t="inlineStr">
        <is>
          <t>Yes</t>
        </is>
      </c>
      <c r="AR1161">
        <f>HYPERLINK("http://catalog.hathitrust.org/Record/000150258","HathiTrust Record")</f>
        <v/>
      </c>
      <c r="AS1161">
        <f>HYPERLINK("https://creighton-primo.hosted.exlibrisgroup.com/primo-explore/search?tab=default_tab&amp;search_scope=EVERYTHING&amp;vid=01CRU&amp;lang=en_US&amp;offset=0&amp;query=any,contains,991000061189702656","Catalog Record")</f>
        <v/>
      </c>
      <c r="AT1161">
        <f>HYPERLINK("http://www.worldcat.org/oclc/8729824","WorldCat Record")</f>
        <v/>
      </c>
      <c r="AU1161" t="inlineStr">
        <is>
          <t>308862943:eng</t>
        </is>
      </c>
      <c r="AV1161" t="inlineStr">
        <is>
          <t>8729824</t>
        </is>
      </c>
      <c r="AW1161" t="inlineStr">
        <is>
          <t>991000061189702656</t>
        </is>
      </c>
      <c r="AX1161" t="inlineStr">
        <is>
          <t>991000061189702656</t>
        </is>
      </c>
      <c r="AY1161" t="inlineStr">
        <is>
          <t>2269786900002656</t>
        </is>
      </c>
      <c r="AZ1161" t="inlineStr">
        <is>
          <t>BOOK</t>
        </is>
      </c>
      <c r="BB1161" t="inlineStr">
        <is>
          <t>9780706912753</t>
        </is>
      </c>
      <c r="BC1161" t="inlineStr">
        <is>
          <t>32285000336585</t>
        </is>
      </c>
      <c r="BD1161" t="inlineStr">
        <is>
          <t>893351406</t>
        </is>
      </c>
    </row>
    <row r="1162">
      <c r="A1162" t="inlineStr">
        <is>
          <t>No</t>
        </is>
      </c>
      <c r="B1162" t="inlineStr">
        <is>
          <t>DS480.84 .T5 1968</t>
        </is>
      </c>
      <c r="C1162" t="inlineStr">
        <is>
          <t>0                      DS 0480840T  5           1968</t>
        </is>
      </c>
      <c r="D1162" t="inlineStr">
        <is>
          <t>India and Pakistan : a political analysis.</t>
        </is>
      </c>
      <c r="F1162" t="inlineStr">
        <is>
          <t>No</t>
        </is>
      </c>
      <c r="G1162" t="inlineStr">
        <is>
          <t>1</t>
        </is>
      </c>
      <c r="H1162" t="inlineStr">
        <is>
          <t>No</t>
        </is>
      </c>
      <c r="I1162" t="inlineStr">
        <is>
          <t>No</t>
        </is>
      </c>
      <c r="J1162" t="inlineStr">
        <is>
          <t>0</t>
        </is>
      </c>
      <c r="K1162" t="inlineStr">
        <is>
          <t>Tinker, Hugh.</t>
        </is>
      </c>
      <c r="L1162" t="inlineStr">
        <is>
          <t>New York : F. A. Praeger, [1968, c1967]</t>
        </is>
      </c>
      <c r="M1162" t="inlineStr">
        <is>
          <t>1968</t>
        </is>
      </c>
      <c r="N1162" t="inlineStr">
        <is>
          <t>Rev. ed.</t>
        </is>
      </c>
      <c r="O1162" t="inlineStr">
        <is>
          <t>eng</t>
        </is>
      </c>
      <c r="P1162" t="inlineStr">
        <is>
          <t>nyu</t>
        </is>
      </c>
      <c r="Q1162" t="inlineStr">
        <is>
          <t>Praeger university series ; U-526</t>
        </is>
      </c>
      <c r="R1162" t="inlineStr">
        <is>
          <t xml:space="preserve">DS </t>
        </is>
      </c>
      <c r="S1162" t="n">
        <v>8</v>
      </c>
      <c r="T1162" t="n">
        <v>8</v>
      </c>
      <c r="U1162" t="inlineStr">
        <is>
          <t>2007-04-23</t>
        </is>
      </c>
      <c r="V1162" t="inlineStr">
        <is>
          <t>2007-04-23</t>
        </is>
      </c>
      <c r="W1162" t="inlineStr">
        <is>
          <t>1992-11-05</t>
        </is>
      </c>
      <c r="X1162" t="inlineStr">
        <is>
          <t>1992-11-05</t>
        </is>
      </c>
      <c r="Y1162" t="n">
        <v>363</v>
      </c>
      <c r="Z1162" t="n">
        <v>332</v>
      </c>
      <c r="AA1162" t="n">
        <v>791</v>
      </c>
      <c r="AB1162" t="n">
        <v>3</v>
      </c>
      <c r="AC1162" t="n">
        <v>5</v>
      </c>
      <c r="AD1162" t="n">
        <v>13</v>
      </c>
      <c r="AE1162" t="n">
        <v>31</v>
      </c>
      <c r="AF1162" t="n">
        <v>2</v>
      </c>
      <c r="AG1162" t="n">
        <v>11</v>
      </c>
      <c r="AH1162" t="n">
        <v>5</v>
      </c>
      <c r="AI1162" t="n">
        <v>9</v>
      </c>
      <c r="AJ1162" t="n">
        <v>7</v>
      </c>
      <c r="AK1162" t="n">
        <v>13</v>
      </c>
      <c r="AL1162" t="n">
        <v>2</v>
      </c>
      <c r="AM1162" t="n">
        <v>4</v>
      </c>
      <c r="AN1162" t="n">
        <v>0</v>
      </c>
      <c r="AO1162" t="n">
        <v>1</v>
      </c>
      <c r="AP1162" t="inlineStr">
        <is>
          <t>No</t>
        </is>
      </c>
      <c r="AQ1162" t="inlineStr">
        <is>
          <t>No</t>
        </is>
      </c>
      <c r="AS1162">
        <f>HYPERLINK("https://creighton-primo.hosted.exlibrisgroup.com/primo-explore/search?tab=default_tab&amp;search_scope=EVERYTHING&amp;vid=01CRU&amp;lang=en_US&amp;offset=0&amp;query=any,contains,991000938329702656","Catalog Record")</f>
        <v/>
      </c>
      <c r="AT1162">
        <f>HYPERLINK("http://www.worldcat.org/oclc/165601","WorldCat Record")</f>
        <v/>
      </c>
      <c r="AU1162" t="inlineStr">
        <is>
          <t>3855794856:eng</t>
        </is>
      </c>
      <c r="AV1162" t="inlineStr">
        <is>
          <t>165601</t>
        </is>
      </c>
      <c r="AW1162" t="inlineStr">
        <is>
          <t>991000938329702656</t>
        </is>
      </c>
      <c r="AX1162" t="inlineStr">
        <is>
          <t>991000938329702656</t>
        </is>
      </c>
      <c r="AY1162" t="inlineStr">
        <is>
          <t>2269779990002656</t>
        </is>
      </c>
      <c r="AZ1162" t="inlineStr">
        <is>
          <t>BOOK</t>
        </is>
      </c>
      <c r="BC1162" t="inlineStr">
        <is>
          <t>32285001382380</t>
        </is>
      </c>
      <c r="BD1162" t="inlineStr">
        <is>
          <t>893778407</t>
        </is>
      </c>
    </row>
    <row r="1163">
      <c r="A1163" t="inlineStr">
        <is>
          <t>No</t>
        </is>
      </c>
      <c r="B1163" t="inlineStr">
        <is>
          <t>DS480.84 .Z5</t>
        </is>
      </c>
      <c r="C1163" t="inlineStr">
        <is>
          <t>0                      DS 0480840Z  5</t>
        </is>
      </c>
      <c r="D1163" t="inlineStr">
        <is>
          <t>Reporting India.</t>
        </is>
      </c>
      <c r="F1163" t="inlineStr">
        <is>
          <t>No</t>
        </is>
      </c>
      <c r="G1163" t="inlineStr">
        <is>
          <t>1</t>
        </is>
      </c>
      <c r="H1163" t="inlineStr">
        <is>
          <t>No</t>
        </is>
      </c>
      <c r="I1163" t="inlineStr">
        <is>
          <t>No</t>
        </is>
      </c>
      <c r="J1163" t="inlineStr">
        <is>
          <t>0</t>
        </is>
      </c>
      <c r="K1163" t="inlineStr">
        <is>
          <t>Zinkin, Taya.</t>
        </is>
      </c>
      <c r="L1163" t="inlineStr">
        <is>
          <t>London, Chatto &amp; Windus, 1962.</t>
        </is>
      </c>
      <c r="M1163" t="inlineStr">
        <is>
          <t>1962</t>
        </is>
      </c>
      <c r="O1163" t="inlineStr">
        <is>
          <t>eng</t>
        </is>
      </c>
      <c r="P1163" t="inlineStr">
        <is>
          <t xml:space="preserve">xx </t>
        </is>
      </c>
      <c r="R1163" t="inlineStr">
        <is>
          <t xml:space="preserve">DS </t>
        </is>
      </c>
      <c r="S1163" t="n">
        <v>2</v>
      </c>
      <c r="T1163" t="n">
        <v>2</v>
      </c>
      <c r="U1163" t="inlineStr">
        <is>
          <t>2000-11-30</t>
        </is>
      </c>
      <c r="V1163" t="inlineStr">
        <is>
          <t>2000-11-30</t>
        </is>
      </c>
      <c r="W1163" t="inlineStr">
        <is>
          <t>1997-03-10</t>
        </is>
      </c>
      <c r="X1163" t="inlineStr">
        <is>
          <t>1997-03-10</t>
        </is>
      </c>
      <c r="Y1163" t="n">
        <v>233</v>
      </c>
      <c r="Z1163" t="n">
        <v>169</v>
      </c>
      <c r="AA1163" t="n">
        <v>181</v>
      </c>
      <c r="AB1163" t="n">
        <v>1</v>
      </c>
      <c r="AC1163" t="n">
        <v>1</v>
      </c>
      <c r="AD1163" t="n">
        <v>5</v>
      </c>
      <c r="AE1163" t="n">
        <v>5</v>
      </c>
      <c r="AF1163" t="n">
        <v>3</v>
      </c>
      <c r="AG1163" t="n">
        <v>3</v>
      </c>
      <c r="AH1163" t="n">
        <v>1</v>
      </c>
      <c r="AI1163" t="n">
        <v>1</v>
      </c>
      <c r="AJ1163" t="n">
        <v>1</v>
      </c>
      <c r="AK1163" t="n">
        <v>1</v>
      </c>
      <c r="AL1163" t="n">
        <v>0</v>
      </c>
      <c r="AM1163" t="n">
        <v>0</v>
      </c>
      <c r="AN1163" t="n">
        <v>0</v>
      </c>
      <c r="AO1163" t="n">
        <v>0</v>
      </c>
      <c r="AP1163" t="inlineStr">
        <is>
          <t>No</t>
        </is>
      </c>
      <c r="AQ1163" t="inlineStr">
        <is>
          <t>Yes</t>
        </is>
      </c>
      <c r="AR1163">
        <f>HYPERLINK("http://catalog.hathitrust.org/Record/001266639","HathiTrust Record")</f>
        <v/>
      </c>
      <c r="AS1163">
        <f>HYPERLINK("https://creighton-primo.hosted.exlibrisgroup.com/primo-explore/search?tab=default_tab&amp;search_scope=EVERYTHING&amp;vid=01CRU&amp;lang=en_US&amp;offset=0&amp;query=any,contains,991003813089702656","Catalog Record")</f>
        <v/>
      </c>
      <c r="AT1163">
        <f>HYPERLINK("http://www.worldcat.org/oclc/1542187","WorldCat Record")</f>
        <v/>
      </c>
      <c r="AU1163" t="inlineStr">
        <is>
          <t>2438942:eng</t>
        </is>
      </c>
      <c r="AV1163" t="inlineStr">
        <is>
          <t>1542187</t>
        </is>
      </c>
      <c r="AW1163" t="inlineStr">
        <is>
          <t>991003813089702656</t>
        </is>
      </c>
      <c r="AX1163" t="inlineStr">
        <is>
          <t>991003813089702656</t>
        </is>
      </c>
      <c r="AY1163" t="inlineStr">
        <is>
          <t>2264800170002656</t>
        </is>
      </c>
      <c r="AZ1163" t="inlineStr">
        <is>
          <t>BOOK</t>
        </is>
      </c>
      <c r="BC1163" t="inlineStr">
        <is>
          <t>32285002457389</t>
        </is>
      </c>
      <c r="BD1163" t="inlineStr">
        <is>
          <t>893416825</t>
        </is>
      </c>
    </row>
    <row r="1164">
      <c r="A1164" t="inlineStr">
        <is>
          <t>No</t>
        </is>
      </c>
      <c r="B1164" t="inlineStr">
        <is>
          <t>DS480.842 .D58 2003</t>
        </is>
      </c>
      <c r="C1164" t="inlineStr">
        <is>
          <t>0                      DS 0480842D  58          2003</t>
        </is>
      </c>
      <c r="D1164" t="inlineStr">
        <is>
          <t>Divided countries, separated cities : the modern legacy of partition / edited by Ghislaine Glasson Deschaumes and Rada Iveković.</t>
        </is>
      </c>
      <c r="F1164" t="inlineStr">
        <is>
          <t>No</t>
        </is>
      </c>
      <c r="G1164" t="inlineStr">
        <is>
          <t>1</t>
        </is>
      </c>
      <c r="H1164" t="inlineStr">
        <is>
          <t>No</t>
        </is>
      </c>
      <c r="I1164" t="inlineStr">
        <is>
          <t>No</t>
        </is>
      </c>
      <c r="J1164" t="inlineStr">
        <is>
          <t>0</t>
        </is>
      </c>
      <c r="L1164" t="inlineStr">
        <is>
          <t>New Delhi ; New York : Oxford University Press, c2003.</t>
        </is>
      </c>
      <c r="M1164" t="inlineStr">
        <is>
          <t>2003</t>
        </is>
      </c>
      <c r="O1164" t="inlineStr">
        <is>
          <t>eng</t>
        </is>
      </c>
      <c r="P1164" t="inlineStr">
        <is>
          <t xml:space="preserve">ii </t>
        </is>
      </c>
      <c r="R1164" t="inlineStr">
        <is>
          <t xml:space="preserve">DS </t>
        </is>
      </c>
      <c r="S1164" t="n">
        <v>1</v>
      </c>
      <c r="T1164" t="n">
        <v>1</v>
      </c>
      <c r="U1164" t="inlineStr">
        <is>
          <t>2006-12-18</t>
        </is>
      </c>
      <c r="V1164" t="inlineStr">
        <is>
          <t>2006-12-18</t>
        </is>
      </c>
      <c r="W1164" t="inlineStr">
        <is>
          <t>2006-12-18</t>
        </is>
      </c>
      <c r="X1164" t="inlineStr">
        <is>
          <t>2006-12-18</t>
        </is>
      </c>
      <c r="Y1164" t="n">
        <v>127</v>
      </c>
      <c r="Z1164" t="n">
        <v>83</v>
      </c>
      <c r="AA1164" t="n">
        <v>85</v>
      </c>
      <c r="AB1164" t="n">
        <v>1</v>
      </c>
      <c r="AC1164" t="n">
        <v>1</v>
      </c>
      <c r="AD1164" t="n">
        <v>3</v>
      </c>
      <c r="AE1164" t="n">
        <v>3</v>
      </c>
      <c r="AF1164" t="n">
        <v>0</v>
      </c>
      <c r="AG1164" t="n">
        <v>0</v>
      </c>
      <c r="AH1164" t="n">
        <v>1</v>
      </c>
      <c r="AI1164" t="n">
        <v>1</v>
      </c>
      <c r="AJ1164" t="n">
        <v>3</v>
      </c>
      <c r="AK1164" t="n">
        <v>3</v>
      </c>
      <c r="AL1164" t="n">
        <v>0</v>
      </c>
      <c r="AM1164" t="n">
        <v>0</v>
      </c>
      <c r="AN1164" t="n">
        <v>0</v>
      </c>
      <c r="AO1164" t="n">
        <v>0</v>
      </c>
      <c r="AP1164" t="inlineStr">
        <is>
          <t>No</t>
        </is>
      </c>
      <c r="AQ1164" t="inlineStr">
        <is>
          <t>Yes</t>
        </is>
      </c>
      <c r="AR1164">
        <f>HYPERLINK("http://catalog.hathitrust.org/Record/004348684","HathiTrust Record")</f>
        <v/>
      </c>
      <c r="AS1164">
        <f>HYPERLINK("https://creighton-primo.hosted.exlibrisgroup.com/primo-explore/search?tab=default_tab&amp;search_scope=EVERYTHING&amp;vid=01CRU&amp;lang=en_US&amp;offset=0&amp;query=any,contains,991004994919702656","Catalog Record")</f>
        <v/>
      </c>
      <c r="AT1164">
        <f>HYPERLINK("http://www.worldcat.org/oclc/54372881","WorldCat Record")</f>
        <v/>
      </c>
      <c r="AU1164" t="inlineStr">
        <is>
          <t>838904233:eng</t>
        </is>
      </c>
      <c r="AV1164" t="inlineStr">
        <is>
          <t>54372881</t>
        </is>
      </c>
      <c r="AW1164" t="inlineStr">
        <is>
          <t>991004994919702656</t>
        </is>
      </c>
      <c r="AX1164" t="inlineStr">
        <is>
          <t>991004994919702656</t>
        </is>
      </c>
      <c r="AY1164" t="inlineStr">
        <is>
          <t>2255816220002656</t>
        </is>
      </c>
      <c r="AZ1164" t="inlineStr">
        <is>
          <t>BOOK</t>
        </is>
      </c>
      <c r="BB1164" t="inlineStr">
        <is>
          <t>9780195665406</t>
        </is>
      </c>
      <c r="BC1164" t="inlineStr">
        <is>
          <t>32285005267025</t>
        </is>
      </c>
      <c r="BD1164" t="inlineStr">
        <is>
          <t>893606680</t>
        </is>
      </c>
    </row>
    <row r="1165">
      <c r="A1165" t="inlineStr">
        <is>
          <t>No</t>
        </is>
      </c>
      <c r="B1165" t="inlineStr">
        <is>
          <t>DS480.853 .A332 1995</t>
        </is>
      </c>
      <c r="C1165" t="inlineStr">
        <is>
          <t>0                      DS 0480853A  332         1995</t>
        </is>
      </c>
      <c r="D1165" t="inlineStr">
        <is>
          <t>P.V. Narasimha Rao, scholar prime minister / by Adish C. Aggarwala ; foreword, Hiteswar Saikia ; preface, R.K. Dhawan.</t>
        </is>
      </c>
      <c r="F1165" t="inlineStr">
        <is>
          <t>No</t>
        </is>
      </c>
      <c r="G1165" t="inlineStr">
        <is>
          <t>1</t>
        </is>
      </c>
      <c r="H1165" t="inlineStr">
        <is>
          <t>No</t>
        </is>
      </c>
      <c r="I1165" t="inlineStr">
        <is>
          <t>No</t>
        </is>
      </c>
      <c r="J1165" t="inlineStr">
        <is>
          <t>0</t>
        </is>
      </c>
      <c r="K1165" t="inlineStr">
        <is>
          <t>Aggarwala, Adish C.</t>
        </is>
      </c>
      <c r="L1165" t="inlineStr">
        <is>
          <t>New Delhi : Amish Publications, c1995.</t>
        </is>
      </c>
      <c r="M1165" t="inlineStr">
        <is>
          <t>1995</t>
        </is>
      </c>
      <c r="O1165" t="inlineStr">
        <is>
          <t>eng</t>
        </is>
      </c>
      <c r="P1165" t="inlineStr">
        <is>
          <t xml:space="preserve">ii </t>
        </is>
      </c>
      <c r="R1165" t="inlineStr">
        <is>
          <t xml:space="preserve">DS </t>
        </is>
      </c>
      <c r="S1165" t="n">
        <v>3</v>
      </c>
      <c r="T1165" t="n">
        <v>3</v>
      </c>
      <c r="U1165" t="inlineStr">
        <is>
          <t>1996-04-22</t>
        </is>
      </c>
      <c r="V1165" t="inlineStr">
        <is>
          <t>1996-04-22</t>
        </is>
      </c>
      <c r="W1165" t="inlineStr">
        <is>
          <t>1995-12-05</t>
        </is>
      </c>
      <c r="X1165" t="inlineStr">
        <is>
          <t>1995-12-05</t>
        </is>
      </c>
      <c r="Y1165" t="n">
        <v>176</v>
      </c>
      <c r="Z1165" t="n">
        <v>161</v>
      </c>
      <c r="AA1165" t="n">
        <v>165</v>
      </c>
      <c r="AB1165" t="n">
        <v>2</v>
      </c>
      <c r="AC1165" t="n">
        <v>2</v>
      </c>
      <c r="AD1165" t="n">
        <v>6</v>
      </c>
      <c r="AE1165" t="n">
        <v>6</v>
      </c>
      <c r="AF1165" t="n">
        <v>1</v>
      </c>
      <c r="AG1165" t="n">
        <v>1</v>
      </c>
      <c r="AH1165" t="n">
        <v>0</v>
      </c>
      <c r="AI1165" t="n">
        <v>0</v>
      </c>
      <c r="AJ1165" t="n">
        <v>5</v>
      </c>
      <c r="AK1165" t="n">
        <v>5</v>
      </c>
      <c r="AL1165" t="n">
        <v>1</v>
      </c>
      <c r="AM1165" t="n">
        <v>1</v>
      </c>
      <c r="AN1165" t="n">
        <v>0</v>
      </c>
      <c r="AO1165" t="n">
        <v>0</v>
      </c>
      <c r="AP1165" t="inlineStr">
        <is>
          <t>No</t>
        </is>
      </c>
      <c r="AQ1165" t="inlineStr">
        <is>
          <t>Yes</t>
        </is>
      </c>
      <c r="AR1165">
        <f>HYPERLINK("http://catalog.hathitrust.org/Record/003040190","HathiTrust Record")</f>
        <v/>
      </c>
      <c r="AS1165">
        <f>HYPERLINK("https://creighton-primo.hosted.exlibrisgroup.com/primo-explore/search?tab=default_tab&amp;search_scope=EVERYTHING&amp;vid=01CRU&amp;lang=en_US&amp;offset=0&amp;query=any,contains,991002551679702656","Catalog Record")</f>
        <v/>
      </c>
      <c r="AT1165">
        <f>HYPERLINK("http://www.worldcat.org/oclc/33161099","WorldCat Record")</f>
        <v/>
      </c>
      <c r="AU1165" t="inlineStr">
        <is>
          <t>37454614:eng</t>
        </is>
      </c>
      <c r="AV1165" t="inlineStr">
        <is>
          <t>33161099</t>
        </is>
      </c>
      <c r="AW1165" t="inlineStr">
        <is>
          <t>991002551679702656</t>
        </is>
      </c>
      <c r="AX1165" t="inlineStr">
        <is>
          <t>991002551679702656</t>
        </is>
      </c>
      <c r="AY1165" t="inlineStr">
        <is>
          <t>2264199630002656</t>
        </is>
      </c>
      <c r="AZ1165" t="inlineStr">
        <is>
          <t>BOOK</t>
        </is>
      </c>
      <c r="BC1165" t="inlineStr">
        <is>
          <t>32285002108271</t>
        </is>
      </c>
      <c r="BD1165" t="inlineStr">
        <is>
          <t>893347624</t>
        </is>
      </c>
    </row>
    <row r="1166">
      <c r="A1166" t="inlineStr">
        <is>
          <t>No</t>
        </is>
      </c>
      <c r="B1166" t="inlineStr">
        <is>
          <t>DS480.853 .C625 2005</t>
        </is>
      </c>
      <c r="C1166" t="inlineStr">
        <is>
          <t>0                      DS 0480853C  625         2005</t>
        </is>
      </c>
      <c r="D1166" t="inlineStr">
        <is>
          <t>Coalition politics and Hindu nationalism / edited by Katharine Adeney and Lawrence Sáez.</t>
        </is>
      </c>
      <c r="F1166" t="inlineStr">
        <is>
          <t>No</t>
        </is>
      </c>
      <c r="G1166" t="inlineStr">
        <is>
          <t>1</t>
        </is>
      </c>
      <c r="H1166" t="inlineStr">
        <is>
          <t>No</t>
        </is>
      </c>
      <c r="I1166" t="inlineStr">
        <is>
          <t>No</t>
        </is>
      </c>
      <c r="J1166" t="inlineStr">
        <is>
          <t>0</t>
        </is>
      </c>
      <c r="L1166" t="inlineStr">
        <is>
          <t>London ; New York : Routledge, 2005.</t>
        </is>
      </c>
      <c r="M1166" t="inlineStr">
        <is>
          <t>2005</t>
        </is>
      </c>
      <c r="O1166" t="inlineStr">
        <is>
          <t>eng</t>
        </is>
      </c>
      <c r="P1166" t="inlineStr">
        <is>
          <t>enk</t>
        </is>
      </c>
      <c r="Q1166" t="inlineStr">
        <is>
          <t>Routledge advances in South Asian studies</t>
        </is>
      </c>
      <c r="R1166" t="inlineStr">
        <is>
          <t xml:space="preserve">DS </t>
        </is>
      </c>
      <c r="S1166" t="n">
        <v>1</v>
      </c>
      <c r="T1166" t="n">
        <v>1</v>
      </c>
      <c r="U1166" t="inlineStr">
        <is>
          <t>2006-11-21</t>
        </is>
      </c>
      <c r="V1166" t="inlineStr">
        <is>
          <t>2006-11-21</t>
        </is>
      </c>
      <c r="W1166" t="inlineStr">
        <is>
          <t>2006-11-21</t>
        </is>
      </c>
      <c r="X1166" t="inlineStr">
        <is>
          <t>2006-11-21</t>
        </is>
      </c>
      <c r="Y1166" t="n">
        <v>167</v>
      </c>
      <c r="Z1166" t="n">
        <v>121</v>
      </c>
      <c r="AA1166" t="n">
        <v>147</v>
      </c>
      <c r="AB1166" t="n">
        <v>2</v>
      </c>
      <c r="AC1166" t="n">
        <v>2</v>
      </c>
      <c r="AD1166" t="n">
        <v>5</v>
      </c>
      <c r="AE1166" t="n">
        <v>5</v>
      </c>
      <c r="AF1166" t="n">
        <v>1</v>
      </c>
      <c r="AG1166" t="n">
        <v>1</v>
      </c>
      <c r="AH1166" t="n">
        <v>2</v>
      </c>
      <c r="AI1166" t="n">
        <v>2</v>
      </c>
      <c r="AJ1166" t="n">
        <v>3</v>
      </c>
      <c r="AK1166" t="n">
        <v>3</v>
      </c>
      <c r="AL1166" t="n">
        <v>1</v>
      </c>
      <c r="AM1166" t="n">
        <v>1</v>
      </c>
      <c r="AN1166" t="n">
        <v>0</v>
      </c>
      <c r="AO1166" t="n">
        <v>0</v>
      </c>
      <c r="AP1166" t="inlineStr">
        <is>
          <t>No</t>
        </is>
      </c>
      <c r="AQ1166" t="inlineStr">
        <is>
          <t>No</t>
        </is>
      </c>
      <c r="AS1166">
        <f>HYPERLINK("https://creighton-primo.hosted.exlibrisgroup.com/primo-explore/search?tab=default_tab&amp;search_scope=EVERYTHING&amp;vid=01CRU&amp;lang=en_US&amp;offset=0&amp;query=any,contains,991004911899702656","Catalog Record")</f>
        <v/>
      </c>
      <c r="AT1166">
        <f>HYPERLINK("http://www.worldcat.org/oclc/56941889","WorldCat Record")</f>
        <v/>
      </c>
      <c r="AU1166" t="inlineStr">
        <is>
          <t>965043158:eng</t>
        </is>
      </c>
      <c r="AV1166" t="inlineStr">
        <is>
          <t>56941889</t>
        </is>
      </c>
      <c r="AW1166" t="inlineStr">
        <is>
          <t>991004911899702656</t>
        </is>
      </c>
      <c r="AX1166" t="inlineStr">
        <is>
          <t>991004911899702656</t>
        </is>
      </c>
      <c r="AY1166" t="inlineStr">
        <is>
          <t>2262296460002656</t>
        </is>
      </c>
      <c r="AZ1166" t="inlineStr">
        <is>
          <t>BOOK</t>
        </is>
      </c>
      <c r="BB1166" t="inlineStr">
        <is>
          <t>9780415359818</t>
        </is>
      </c>
      <c r="BC1166" t="inlineStr">
        <is>
          <t>32285005260996</t>
        </is>
      </c>
      <c r="BD1166" t="inlineStr">
        <is>
          <t>893430605</t>
        </is>
      </c>
    </row>
    <row r="1167">
      <c r="A1167" t="inlineStr">
        <is>
          <t>No</t>
        </is>
      </c>
      <c r="B1167" t="inlineStr">
        <is>
          <t>DS480.853 .D384 1995</t>
        </is>
      </c>
      <c r="C1167" t="inlineStr">
        <is>
          <t>0                      DS 0480853D  384         1995</t>
        </is>
      </c>
      <c r="D1167" t="inlineStr">
        <is>
          <t>Regional powers and small state security : India and Sri Lanka, 1977-1990 / K.M. De Silva.</t>
        </is>
      </c>
      <c r="F1167" t="inlineStr">
        <is>
          <t>No</t>
        </is>
      </c>
      <c r="G1167" t="inlineStr">
        <is>
          <t>1</t>
        </is>
      </c>
      <c r="H1167" t="inlineStr">
        <is>
          <t>No</t>
        </is>
      </c>
      <c r="I1167" t="inlineStr">
        <is>
          <t>No</t>
        </is>
      </c>
      <c r="J1167" t="inlineStr">
        <is>
          <t>0</t>
        </is>
      </c>
      <c r="K1167" t="inlineStr">
        <is>
          <t>De Silva, K. M.</t>
        </is>
      </c>
      <c r="L1167" t="inlineStr">
        <is>
          <t>Washington, D.C. : Woodrow Wilson Center Press ; Baltimore : Johns Hopkins University Press, c1995.</t>
        </is>
      </c>
      <c r="M1167" t="inlineStr">
        <is>
          <t>1995</t>
        </is>
      </c>
      <c r="O1167" t="inlineStr">
        <is>
          <t>eng</t>
        </is>
      </c>
      <c r="P1167" t="inlineStr">
        <is>
          <t>dcu</t>
        </is>
      </c>
      <c r="R1167" t="inlineStr">
        <is>
          <t xml:space="preserve">DS </t>
        </is>
      </c>
      <c r="S1167" t="n">
        <v>4</v>
      </c>
      <c r="T1167" t="n">
        <v>4</v>
      </c>
      <c r="U1167" t="inlineStr">
        <is>
          <t>2007-01-31</t>
        </is>
      </c>
      <c r="V1167" t="inlineStr">
        <is>
          <t>2007-01-31</t>
        </is>
      </c>
      <c r="W1167" t="inlineStr">
        <is>
          <t>1996-11-08</t>
        </is>
      </c>
      <c r="X1167" t="inlineStr">
        <is>
          <t>1996-11-08</t>
        </is>
      </c>
      <c r="Y1167" t="n">
        <v>251</v>
      </c>
      <c r="Z1167" t="n">
        <v>217</v>
      </c>
      <c r="AA1167" t="n">
        <v>233</v>
      </c>
      <c r="AB1167" t="n">
        <v>2</v>
      </c>
      <c r="AC1167" t="n">
        <v>2</v>
      </c>
      <c r="AD1167" t="n">
        <v>14</v>
      </c>
      <c r="AE1167" t="n">
        <v>14</v>
      </c>
      <c r="AF1167" t="n">
        <v>4</v>
      </c>
      <c r="AG1167" t="n">
        <v>4</v>
      </c>
      <c r="AH1167" t="n">
        <v>5</v>
      </c>
      <c r="AI1167" t="n">
        <v>5</v>
      </c>
      <c r="AJ1167" t="n">
        <v>10</v>
      </c>
      <c r="AK1167" t="n">
        <v>10</v>
      </c>
      <c r="AL1167" t="n">
        <v>1</v>
      </c>
      <c r="AM1167" t="n">
        <v>1</v>
      </c>
      <c r="AN1167" t="n">
        <v>0</v>
      </c>
      <c r="AO1167" t="n">
        <v>0</v>
      </c>
      <c r="AP1167" t="inlineStr">
        <is>
          <t>No</t>
        </is>
      </c>
      <c r="AQ1167" t="inlineStr">
        <is>
          <t>Yes</t>
        </is>
      </c>
      <c r="AR1167">
        <f>HYPERLINK("http://catalog.hathitrust.org/Record/003007695","HathiTrust Record")</f>
        <v/>
      </c>
      <c r="AS1167">
        <f>HYPERLINK("https://creighton-primo.hosted.exlibrisgroup.com/primo-explore/search?tab=default_tab&amp;search_scope=EVERYTHING&amp;vid=01CRU&amp;lang=en_US&amp;offset=0&amp;query=any,contains,991002472139702656","Catalog Record")</f>
        <v/>
      </c>
      <c r="AT1167">
        <f>HYPERLINK("http://www.worldcat.org/oclc/32199926","WorldCat Record")</f>
        <v/>
      </c>
      <c r="AU1167" t="inlineStr">
        <is>
          <t>196612201:eng</t>
        </is>
      </c>
      <c r="AV1167" t="inlineStr">
        <is>
          <t>32199926</t>
        </is>
      </c>
      <c r="AW1167" t="inlineStr">
        <is>
          <t>991002472139702656</t>
        </is>
      </c>
      <c r="AX1167" t="inlineStr">
        <is>
          <t>991002472139702656</t>
        </is>
      </c>
      <c r="AY1167" t="inlineStr">
        <is>
          <t>2268113470002656</t>
        </is>
      </c>
      <c r="AZ1167" t="inlineStr">
        <is>
          <t>BOOK</t>
        </is>
      </c>
      <c r="BB1167" t="inlineStr">
        <is>
          <t>9780801851490</t>
        </is>
      </c>
      <c r="BC1167" t="inlineStr">
        <is>
          <t>32285001419315</t>
        </is>
      </c>
      <c r="BD1167" t="inlineStr">
        <is>
          <t>893504427</t>
        </is>
      </c>
    </row>
    <row r="1168">
      <c r="A1168" t="inlineStr">
        <is>
          <t>No</t>
        </is>
      </c>
      <c r="B1168" t="inlineStr">
        <is>
          <t>DS480.853 .M432 1994</t>
        </is>
      </c>
      <c r="C1168" t="inlineStr">
        <is>
          <t>0                      DS 0480853M  432         1994</t>
        </is>
      </c>
      <c r="D1168" t="inlineStr">
        <is>
          <t>Rajiv Gandhi and Rama's kingdom / Ved Mehta.</t>
        </is>
      </c>
      <c r="F1168" t="inlineStr">
        <is>
          <t>No</t>
        </is>
      </c>
      <c r="G1168" t="inlineStr">
        <is>
          <t>1</t>
        </is>
      </c>
      <c r="H1168" t="inlineStr">
        <is>
          <t>No</t>
        </is>
      </c>
      <c r="I1168" t="inlineStr">
        <is>
          <t>No</t>
        </is>
      </c>
      <c r="J1168" t="inlineStr">
        <is>
          <t>0</t>
        </is>
      </c>
      <c r="K1168" t="inlineStr">
        <is>
          <t>Mehta, Ved, 1934-</t>
        </is>
      </c>
      <c r="L1168" t="inlineStr">
        <is>
          <t>New Haven : Yale University Press, c1994.</t>
        </is>
      </c>
      <c r="M1168" t="inlineStr">
        <is>
          <t>1994</t>
        </is>
      </c>
      <c r="O1168" t="inlineStr">
        <is>
          <t>eng</t>
        </is>
      </c>
      <c r="P1168" t="inlineStr">
        <is>
          <t>ctu</t>
        </is>
      </c>
      <c r="R1168" t="inlineStr">
        <is>
          <t xml:space="preserve">DS </t>
        </is>
      </c>
      <c r="S1168" t="n">
        <v>4</v>
      </c>
      <c r="T1168" t="n">
        <v>4</v>
      </c>
      <c r="U1168" t="inlineStr">
        <is>
          <t>1996-04-21</t>
        </is>
      </c>
      <c r="V1168" t="inlineStr">
        <is>
          <t>1996-04-21</t>
        </is>
      </c>
      <c r="W1168" t="inlineStr">
        <is>
          <t>1995-03-21</t>
        </is>
      </c>
      <c r="X1168" t="inlineStr">
        <is>
          <t>1995-03-21</t>
        </is>
      </c>
      <c r="Y1168" t="n">
        <v>531</v>
      </c>
      <c r="Z1168" t="n">
        <v>427</v>
      </c>
      <c r="AA1168" t="n">
        <v>428</v>
      </c>
      <c r="AB1168" t="n">
        <v>3</v>
      </c>
      <c r="AC1168" t="n">
        <v>3</v>
      </c>
      <c r="AD1168" t="n">
        <v>17</v>
      </c>
      <c r="AE1168" t="n">
        <v>17</v>
      </c>
      <c r="AF1168" t="n">
        <v>5</v>
      </c>
      <c r="AG1168" t="n">
        <v>5</v>
      </c>
      <c r="AH1168" t="n">
        <v>5</v>
      </c>
      <c r="AI1168" t="n">
        <v>5</v>
      </c>
      <c r="AJ1168" t="n">
        <v>11</v>
      </c>
      <c r="AK1168" t="n">
        <v>11</v>
      </c>
      <c r="AL1168" t="n">
        <v>2</v>
      </c>
      <c r="AM1168" t="n">
        <v>2</v>
      </c>
      <c r="AN1168" t="n">
        <v>0</v>
      </c>
      <c r="AO1168" t="n">
        <v>0</v>
      </c>
      <c r="AP1168" t="inlineStr">
        <is>
          <t>No</t>
        </is>
      </c>
      <c r="AQ1168" t="inlineStr">
        <is>
          <t>No</t>
        </is>
      </c>
      <c r="AS1168">
        <f>HYPERLINK("https://creighton-primo.hosted.exlibrisgroup.com/primo-explore/search?tab=default_tab&amp;search_scope=EVERYTHING&amp;vid=01CRU&amp;lang=en_US&amp;offset=0&amp;query=any,contains,991002325409702656","Catalog Record")</f>
        <v/>
      </c>
      <c r="AT1168">
        <f>HYPERLINK("http://www.worldcat.org/oclc/30156601","WorldCat Record")</f>
        <v/>
      </c>
      <c r="AU1168" t="inlineStr">
        <is>
          <t>20922517:eng</t>
        </is>
      </c>
      <c r="AV1168" t="inlineStr">
        <is>
          <t>30156601</t>
        </is>
      </c>
      <c r="AW1168" t="inlineStr">
        <is>
          <t>991002325409702656</t>
        </is>
      </c>
      <c r="AX1168" t="inlineStr">
        <is>
          <t>991002325409702656</t>
        </is>
      </c>
      <c r="AY1168" t="inlineStr">
        <is>
          <t>2266035130002656</t>
        </is>
      </c>
      <c r="AZ1168" t="inlineStr">
        <is>
          <t>BOOK</t>
        </is>
      </c>
      <c r="BB1168" t="inlineStr">
        <is>
          <t>9780300060386</t>
        </is>
      </c>
      <c r="BC1168" t="inlineStr">
        <is>
          <t>32285002004025</t>
        </is>
      </c>
      <c r="BD1168" t="inlineStr">
        <is>
          <t>893597307</t>
        </is>
      </c>
    </row>
    <row r="1169">
      <c r="A1169" t="inlineStr">
        <is>
          <t>No</t>
        </is>
      </c>
      <c r="B1169" t="inlineStr">
        <is>
          <t>DS481.B588 A3</t>
        </is>
      </c>
      <c r="C1169" t="inlineStr">
        <is>
          <t>0                      DS 0481000B  588                A  3</t>
        </is>
      </c>
      <c r="D1169" t="inlineStr">
        <is>
          <t>Growing up in India.</t>
        </is>
      </c>
      <c r="F1169" t="inlineStr">
        <is>
          <t>No</t>
        </is>
      </c>
      <c r="G1169" t="inlineStr">
        <is>
          <t>1</t>
        </is>
      </c>
      <c r="H1169" t="inlineStr">
        <is>
          <t>No</t>
        </is>
      </c>
      <c r="I1169" t="inlineStr">
        <is>
          <t>No</t>
        </is>
      </c>
      <c r="J1169" t="inlineStr">
        <is>
          <t>0</t>
        </is>
      </c>
      <c r="K1169" t="inlineStr">
        <is>
          <t>Bose, Pradip.</t>
        </is>
      </c>
      <c r="L1169" t="inlineStr">
        <is>
          <t>Calcutta, Minerva Associates, 1972.</t>
        </is>
      </c>
      <c r="M1169" t="inlineStr">
        <is>
          <t>1972</t>
        </is>
      </c>
      <c r="O1169" t="inlineStr">
        <is>
          <t>eng</t>
        </is>
      </c>
      <c r="P1169" t="inlineStr">
        <is>
          <t xml:space="preserve">ii </t>
        </is>
      </c>
      <c r="R1169" t="inlineStr">
        <is>
          <t xml:space="preserve">DS </t>
        </is>
      </c>
      <c r="S1169" t="n">
        <v>2</v>
      </c>
      <c r="T1169" t="n">
        <v>2</v>
      </c>
      <c r="U1169" t="inlineStr">
        <is>
          <t>1998-09-18</t>
        </is>
      </c>
      <c r="V1169" t="inlineStr">
        <is>
          <t>1998-09-18</t>
        </is>
      </c>
      <c r="W1169" t="inlineStr">
        <is>
          <t>1997-03-10</t>
        </is>
      </c>
      <c r="X1169" t="inlineStr">
        <is>
          <t>1997-03-10</t>
        </is>
      </c>
      <c r="Y1169" t="n">
        <v>295</v>
      </c>
      <c r="Z1169" t="n">
        <v>274</v>
      </c>
      <c r="AA1169" t="n">
        <v>277</v>
      </c>
      <c r="AB1169" t="n">
        <v>3</v>
      </c>
      <c r="AC1169" t="n">
        <v>3</v>
      </c>
      <c r="AD1169" t="n">
        <v>15</v>
      </c>
      <c r="AE1169" t="n">
        <v>15</v>
      </c>
      <c r="AF1169" t="n">
        <v>2</v>
      </c>
      <c r="AG1169" t="n">
        <v>2</v>
      </c>
      <c r="AH1169" t="n">
        <v>5</v>
      </c>
      <c r="AI1169" t="n">
        <v>5</v>
      </c>
      <c r="AJ1169" t="n">
        <v>9</v>
      </c>
      <c r="AK1169" t="n">
        <v>9</v>
      </c>
      <c r="AL1169" t="n">
        <v>2</v>
      </c>
      <c r="AM1169" t="n">
        <v>2</v>
      </c>
      <c r="AN1169" t="n">
        <v>0</v>
      </c>
      <c r="AO1169" t="n">
        <v>0</v>
      </c>
      <c r="AP1169" t="inlineStr">
        <is>
          <t>No</t>
        </is>
      </c>
      <c r="AQ1169" t="inlineStr">
        <is>
          <t>Yes</t>
        </is>
      </c>
      <c r="AR1169">
        <f>HYPERLINK("http://catalog.hathitrust.org/Record/001252435","HathiTrust Record")</f>
        <v/>
      </c>
      <c r="AS1169">
        <f>HYPERLINK("https://creighton-primo.hosted.exlibrisgroup.com/primo-explore/search?tab=default_tab&amp;search_scope=EVERYTHING&amp;vid=01CRU&amp;lang=en_US&amp;offset=0&amp;query=any,contains,991002881209702656","Catalog Record")</f>
        <v/>
      </c>
      <c r="AT1169">
        <f>HYPERLINK("http://www.worldcat.org/oclc/505751","WorldCat Record")</f>
        <v/>
      </c>
      <c r="AU1169" t="inlineStr">
        <is>
          <t>194466355:eng</t>
        </is>
      </c>
      <c r="AV1169" t="inlineStr">
        <is>
          <t>505751</t>
        </is>
      </c>
      <c r="AW1169" t="inlineStr">
        <is>
          <t>991002881209702656</t>
        </is>
      </c>
      <c r="AX1169" t="inlineStr">
        <is>
          <t>991002881209702656</t>
        </is>
      </c>
      <c r="AY1169" t="inlineStr">
        <is>
          <t>2263579680002656</t>
        </is>
      </c>
      <c r="AZ1169" t="inlineStr">
        <is>
          <t>BOOK</t>
        </is>
      </c>
      <c r="BC1169" t="inlineStr">
        <is>
          <t>32285002457413</t>
        </is>
      </c>
      <c r="BD1169" t="inlineStr">
        <is>
          <t>893233550</t>
        </is>
      </c>
    </row>
    <row r="1170">
      <c r="A1170" t="inlineStr">
        <is>
          <t>No</t>
        </is>
      </c>
      <c r="B1170" t="inlineStr">
        <is>
          <t>DS481.B6 A2 1994, v.2</t>
        </is>
      </c>
      <c r="C1170" t="inlineStr">
        <is>
          <t>0                      DS 0481000B  6                  A  2           1994                  v.2</t>
        </is>
      </c>
      <c r="D1170" t="inlineStr">
        <is>
          <t>The Indian struggle, 1920-1942 / Subhas Chandra Bose ; edited by Sisir Kumar Bose and Sugata Bose.</t>
        </is>
      </c>
      <c r="E1170" t="inlineStr">
        <is>
          <t>V. 2</t>
        </is>
      </c>
      <c r="F1170" t="inlineStr">
        <is>
          <t>No</t>
        </is>
      </c>
      <c r="G1170" t="inlineStr">
        <is>
          <t>1</t>
        </is>
      </c>
      <c r="H1170" t="inlineStr">
        <is>
          <t>No</t>
        </is>
      </c>
      <c r="I1170" t="inlineStr">
        <is>
          <t>No</t>
        </is>
      </c>
      <c r="J1170" t="inlineStr">
        <is>
          <t>0</t>
        </is>
      </c>
      <c r="K1170" t="inlineStr">
        <is>
          <t>Bose, Subhas Chandra, 1897-1945.</t>
        </is>
      </c>
      <c r="L1170" t="inlineStr">
        <is>
          <t>Delhi ; New York : Oxford University Press, 1997.</t>
        </is>
      </c>
      <c r="M1170" t="inlineStr">
        <is>
          <t>1997</t>
        </is>
      </c>
      <c r="O1170" t="inlineStr">
        <is>
          <t>eng</t>
        </is>
      </c>
      <c r="P1170" t="inlineStr">
        <is>
          <t xml:space="preserve">ii </t>
        </is>
      </c>
      <c r="Q1170" t="inlineStr">
        <is>
          <t>Netaji collected works ; v. 2</t>
        </is>
      </c>
      <c r="R1170" t="inlineStr">
        <is>
          <t xml:space="preserve">DS </t>
        </is>
      </c>
      <c r="S1170" t="n">
        <v>5</v>
      </c>
      <c r="T1170" t="n">
        <v>5</v>
      </c>
      <c r="U1170" t="inlineStr">
        <is>
          <t>2003-04-08</t>
        </is>
      </c>
      <c r="V1170" t="inlineStr">
        <is>
          <t>2003-04-08</t>
        </is>
      </c>
      <c r="W1170" t="inlineStr">
        <is>
          <t>1998-09-03</t>
        </is>
      </c>
      <c r="X1170" t="inlineStr">
        <is>
          <t>1998-09-03</t>
        </is>
      </c>
      <c r="Y1170" t="n">
        <v>109</v>
      </c>
      <c r="Z1170" t="n">
        <v>75</v>
      </c>
      <c r="AA1170" t="n">
        <v>255</v>
      </c>
      <c r="AB1170" t="n">
        <v>1</v>
      </c>
      <c r="AC1170" t="n">
        <v>2</v>
      </c>
      <c r="AD1170" t="n">
        <v>7</v>
      </c>
      <c r="AE1170" t="n">
        <v>14</v>
      </c>
      <c r="AF1170" t="n">
        <v>2</v>
      </c>
      <c r="AG1170" t="n">
        <v>2</v>
      </c>
      <c r="AH1170" t="n">
        <v>3</v>
      </c>
      <c r="AI1170" t="n">
        <v>6</v>
      </c>
      <c r="AJ1170" t="n">
        <v>5</v>
      </c>
      <c r="AK1170" t="n">
        <v>10</v>
      </c>
      <c r="AL1170" t="n">
        <v>0</v>
      </c>
      <c r="AM1170" t="n">
        <v>1</v>
      </c>
      <c r="AN1170" t="n">
        <v>0</v>
      </c>
      <c r="AO1170" t="n">
        <v>0</v>
      </c>
      <c r="AP1170" t="inlineStr">
        <is>
          <t>No</t>
        </is>
      </c>
      <c r="AQ1170" t="inlineStr">
        <is>
          <t>No</t>
        </is>
      </c>
      <c r="AS1170">
        <f>HYPERLINK("https://creighton-primo.hosted.exlibrisgroup.com/primo-explore/search?tab=default_tab&amp;search_scope=EVERYTHING&amp;vid=01CRU&amp;lang=en_US&amp;offset=0&amp;query=any,contains,991002929409702656","Catalog Record")</f>
        <v/>
      </c>
      <c r="AT1170">
        <f>HYPERLINK("http://www.worldcat.org/oclc/38943247","WorldCat Record")</f>
        <v/>
      </c>
      <c r="AU1170" t="inlineStr">
        <is>
          <t>597934:eng</t>
        </is>
      </c>
      <c r="AV1170" t="inlineStr">
        <is>
          <t>38943247</t>
        </is>
      </c>
      <c r="AW1170" t="inlineStr">
        <is>
          <t>991002929409702656</t>
        </is>
      </c>
      <c r="AX1170" t="inlineStr">
        <is>
          <t>991002929409702656</t>
        </is>
      </c>
      <c r="AY1170" t="inlineStr">
        <is>
          <t>2262441990002656</t>
        </is>
      </c>
      <c r="AZ1170" t="inlineStr">
        <is>
          <t>BOOK</t>
        </is>
      </c>
      <c r="BB1170" t="inlineStr">
        <is>
          <t>9780195641493</t>
        </is>
      </c>
      <c r="BC1170" t="inlineStr">
        <is>
          <t>32285003461562</t>
        </is>
      </c>
      <c r="BD1170" t="inlineStr">
        <is>
          <t>893591966</t>
        </is>
      </c>
    </row>
    <row r="1171">
      <c r="A1171" t="inlineStr">
        <is>
          <t>No</t>
        </is>
      </c>
      <c r="B1171" t="inlineStr">
        <is>
          <t>DS481.G23 S26</t>
        </is>
      </c>
      <c r="C1171" t="inlineStr">
        <is>
          <t>0                      DS 0481000G  23                 S  26</t>
        </is>
      </c>
      <c r="D1171" t="inlineStr">
        <is>
          <t>Indira Gandhi : a political biography / [by] L. N. Sarin.</t>
        </is>
      </c>
      <c r="F1171" t="inlineStr">
        <is>
          <t>No</t>
        </is>
      </c>
      <c r="G1171" t="inlineStr">
        <is>
          <t>1</t>
        </is>
      </c>
      <c r="H1171" t="inlineStr">
        <is>
          <t>No</t>
        </is>
      </c>
      <c r="I1171" t="inlineStr">
        <is>
          <t>No</t>
        </is>
      </c>
      <c r="J1171" t="inlineStr">
        <is>
          <t>0</t>
        </is>
      </c>
      <c r="K1171" t="inlineStr">
        <is>
          <t>Sarin, L. N.</t>
        </is>
      </c>
      <c r="L1171" t="inlineStr">
        <is>
          <t>New Delhi : S. Chand, [1974]</t>
        </is>
      </c>
      <c r="M1171" t="inlineStr">
        <is>
          <t>1974</t>
        </is>
      </c>
      <c r="O1171" t="inlineStr">
        <is>
          <t>eng</t>
        </is>
      </c>
      <c r="P1171" t="inlineStr">
        <is>
          <t xml:space="preserve">ii </t>
        </is>
      </c>
      <c r="R1171" t="inlineStr">
        <is>
          <t xml:space="preserve">DS </t>
        </is>
      </c>
      <c r="S1171" t="n">
        <v>12</v>
      </c>
      <c r="T1171" t="n">
        <v>12</v>
      </c>
      <c r="U1171" t="inlineStr">
        <is>
          <t>2000-12-04</t>
        </is>
      </c>
      <c r="V1171" t="inlineStr">
        <is>
          <t>2000-12-04</t>
        </is>
      </c>
      <c r="W1171" t="inlineStr">
        <is>
          <t>1995-08-16</t>
        </is>
      </c>
      <c r="X1171" t="inlineStr">
        <is>
          <t>1995-08-16</t>
        </is>
      </c>
      <c r="Y1171" t="n">
        <v>129</v>
      </c>
      <c r="Z1171" t="n">
        <v>95</v>
      </c>
      <c r="AA1171" t="n">
        <v>97</v>
      </c>
      <c r="AB1171" t="n">
        <v>1</v>
      </c>
      <c r="AC1171" t="n">
        <v>1</v>
      </c>
      <c r="AD1171" t="n">
        <v>2</v>
      </c>
      <c r="AE1171" t="n">
        <v>2</v>
      </c>
      <c r="AF1171" t="n">
        <v>0</v>
      </c>
      <c r="AG1171" t="n">
        <v>0</v>
      </c>
      <c r="AH1171" t="n">
        <v>2</v>
      </c>
      <c r="AI1171" t="n">
        <v>2</v>
      </c>
      <c r="AJ1171" t="n">
        <v>0</v>
      </c>
      <c r="AK1171" t="n">
        <v>0</v>
      </c>
      <c r="AL1171" t="n">
        <v>0</v>
      </c>
      <c r="AM1171" t="n">
        <v>0</v>
      </c>
      <c r="AN1171" t="n">
        <v>0</v>
      </c>
      <c r="AO1171" t="n">
        <v>0</v>
      </c>
      <c r="AP1171" t="inlineStr">
        <is>
          <t>No</t>
        </is>
      </c>
      <c r="AQ1171" t="inlineStr">
        <is>
          <t>Yes</t>
        </is>
      </c>
      <c r="AR1171">
        <f>HYPERLINK("http://catalog.hathitrust.org/Record/001252537","HathiTrust Record")</f>
        <v/>
      </c>
      <c r="AS1171">
        <f>HYPERLINK("https://creighton-primo.hosted.exlibrisgroup.com/primo-explore/search?tab=default_tab&amp;search_scope=EVERYTHING&amp;vid=01CRU&amp;lang=en_US&amp;offset=0&amp;query=any,contains,991003448079702656","Catalog Record")</f>
        <v/>
      </c>
      <c r="AT1171">
        <f>HYPERLINK("http://www.worldcat.org/oclc/983918","WorldCat Record")</f>
        <v/>
      </c>
      <c r="AU1171" t="inlineStr">
        <is>
          <t>366949263:eng</t>
        </is>
      </c>
      <c r="AV1171" t="inlineStr">
        <is>
          <t>983918</t>
        </is>
      </c>
      <c r="AW1171" t="inlineStr">
        <is>
          <t>991003448079702656</t>
        </is>
      </c>
      <c r="AX1171" t="inlineStr">
        <is>
          <t>991003448079702656</t>
        </is>
      </c>
      <c r="AY1171" t="inlineStr">
        <is>
          <t>2272595730002656</t>
        </is>
      </c>
      <c r="AZ1171" t="inlineStr">
        <is>
          <t>BOOK</t>
        </is>
      </c>
      <c r="BC1171" t="inlineStr">
        <is>
          <t>32285002022431</t>
        </is>
      </c>
      <c r="BD1171" t="inlineStr">
        <is>
          <t>893330308</t>
        </is>
      </c>
    </row>
    <row r="1172">
      <c r="A1172" t="inlineStr">
        <is>
          <t>No</t>
        </is>
      </c>
      <c r="B1172" t="inlineStr">
        <is>
          <t>DS481.G3 A75</t>
        </is>
      </c>
      <c r="C1172" t="inlineStr">
        <is>
          <t>0                      DS 0481000G  3                  A  75</t>
        </is>
      </c>
      <c r="D1172" t="inlineStr">
        <is>
          <t>Gandhi.</t>
        </is>
      </c>
      <c r="F1172" t="inlineStr">
        <is>
          <t>No</t>
        </is>
      </c>
      <c r="G1172" t="inlineStr">
        <is>
          <t>1</t>
        </is>
      </c>
      <c r="H1172" t="inlineStr">
        <is>
          <t>No</t>
        </is>
      </c>
      <c r="I1172" t="inlineStr">
        <is>
          <t>No</t>
        </is>
      </c>
      <c r="J1172" t="inlineStr">
        <is>
          <t>0</t>
        </is>
      </c>
      <c r="K1172" t="inlineStr">
        <is>
          <t>Ashe, Geoffrey.</t>
        </is>
      </c>
      <c r="L1172" t="inlineStr">
        <is>
          <t>New York : Stein and Day, [1968]</t>
        </is>
      </c>
      <c r="M1172" t="inlineStr">
        <is>
          <t>1968</t>
        </is>
      </c>
      <c r="O1172" t="inlineStr">
        <is>
          <t>eng</t>
        </is>
      </c>
      <c r="P1172" t="inlineStr">
        <is>
          <t>nyu</t>
        </is>
      </c>
      <c r="R1172" t="inlineStr">
        <is>
          <t xml:space="preserve">DS </t>
        </is>
      </c>
      <c r="S1172" t="n">
        <v>24</v>
      </c>
      <c r="T1172" t="n">
        <v>24</v>
      </c>
      <c r="U1172" t="inlineStr">
        <is>
          <t>2003-05-04</t>
        </is>
      </c>
      <c r="V1172" t="inlineStr">
        <is>
          <t>2003-05-04</t>
        </is>
      </c>
      <c r="W1172" t="inlineStr">
        <is>
          <t>1993-04-27</t>
        </is>
      </c>
      <c r="X1172" t="inlineStr">
        <is>
          <t>1993-04-27</t>
        </is>
      </c>
      <c r="Y1172" t="n">
        <v>1021</v>
      </c>
      <c r="Z1172" t="n">
        <v>981</v>
      </c>
      <c r="AA1172" t="n">
        <v>1046</v>
      </c>
      <c r="AB1172" t="n">
        <v>11</v>
      </c>
      <c r="AC1172" t="n">
        <v>11</v>
      </c>
      <c r="AD1172" t="n">
        <v>33</v>
      </c>
      <c r="AE1172" t="n">
        <v>34</v>
      </c>
      <c r="AF1172" t="n">
        <v>11</v>
      </c>
      <c r="AG1172" t="n">
        <v>11</v>
      </c>
      <c r="AH1172" t="n">
        <v>6</v>
      </c>
      <c r="AI1172" t="n">
        <v>7</v>
      </c>
      <c r="AJ1172" t="n">
        <v>16</v>
      </c>
      <c r="AK1172" t="n">
        <v>16</v>
      </c>
      <c r="AL1172" t="n">
        <v>7</v>
      </c>
      <c r="AM1172" t="n">
        <v>7</v>
      </c>
      <c r="AN1172" t="n">
        <v>0</v>
      </c>
      <c r="AO1172" t="n">
        <v>0</v>
      </c>
      <c r="AP1172" t="inlineStr">
        <is>
          <t>No</t>
        </is>
      </c>
      <c r="AQ1172" t="inlineStr">
        <is>
          <t>No</t>
        </is>
      </c>
      <c r="AS1172">
        <f>HYPERLINK("https://creighton-primo.hosted.exlibrisgroup.com/primo-explore/search?tab=default_tab&amp;search_scope=EVERYTHING&amp;vid=01CRU&amp;lang=en_US&amp;offset=0&amp;query=any,contains,991002398259702656","Catalog Record")</f>
        <v/>
      </c>
      <c r="AT1172">
        <f>HYPERLINK("http://www.worldcat.org/oclc/335629","WorldCat Record")</f>
        <v/>
      </c>
      <c r="AU1172" t="inlineStr">
        <is>
          <t>836626389:eng</t>
        </is>
      </c>
      <c r="AV1172" t="inlineStr">
        <is>
          <t>335629</t>
        </is>
      </c>
      <c r="AW1172" t="inlineStr">
        <is>
          <t>991002398259702656</t>
        </is>
      </c>
      <c r="AX1172" t="inlineStr">
        <is>
          <t>991002398259702656</t>
        </is>
      </c>
      <c r="AY1172" t="inlineStr">
        <is>
          <t>2256834340002656</t>
        </is>
      </c>
      <c r="AZ1172" t="inlineStr">
        <is>
          <t>BOOK</t>
        </is>
      </c>
      <c r="BC1172" t="inlineStr">
        <is>
          <t>32285001627859</t>
        </is>
      </c>
      <c r="BD1172" t="inlineStr">
        <is>
          <t>893421302</t>
        </is>
      </c>
    </row>
    <row r="1173">
      <c r="A1173" t="inlineStr">
        <is>
          <t>No</t>
        </is>
      </c>
      <c r="B1173" t="inlineStr">
        <is>
          <t>DS481.G3 B73</t>
        </is>
      </c>
      <c r="C1173" t="inlineStr">
        <is>
          <t>0                      DS 0481000G  3                  B  73</t>
        </is>
      </c>
      <c r="D1173" t="inlineStr">
        <is>
          <t>Gandhi and civil disobedience : the Mahatma in Indian politics, 1928-34 / Judith M. Brown.</t>
        </is>
      </c>
      <c r="F1173" t="inlineStr">
        <is>
          <t>No</t>
        </is>
      </c>
      <c r="G1173" t="inlineStr">
        <is>
          <t>1</t>
        </is>
      </c>
      <c r="H1173" t="inlineStr">
        <is>
          <t>No</t>
        </is>
      </c>
      <c r="I1173" t="inlineStr">
        <is>
          <t>No</t>
        </is>
      </c>
      <c r="J1173" t="inlineStr">
        <is>
          <t>0</t>
        </is>
      </c>
      <c r="K1173" t="inlineStr">
        <is>
          <t>Brown, Judith M. (Judith Margaret), 1944-</t>
        </is>
      </c>
      <c r="L1173" t="inlineStr">
        <is>
          <t>Cambridge : Cambridge University Press, 1977.</t>
        </is>
      </c>
      <c r="M1173" t="inlineStr">
        <is>
          <t>1977</t>
        </is>
      </c>
      <c r="O1173" t="inlineStr">
        <is>
          <t>eng</t>
        </is>
      </c>
      <c r="P1173" t="inlineStr">
        <is>
          <t>enk</t>
        </is>
      </c>
      <c r="R1173" t="inlineStr">
        <is>
          <t xml:space="preserve">DS </t>
        </is>
      </c>
      <c r="S1173" t="n">
        <v>12</v>
      </c>
      <c r="T1173" t="n">
        <v>12</v>
      </c>
      <c r="U1173" t="inlineStr">
        <is>
          <t>2002-11-22</t>
        </is>
      </c>
      <c r="V1173" t="inlineStr">
        <is>
          <t>2002-11-22</t>
        </is>
      </c>
      <c r="W1173" t="inlineStr">
        <is>
          <t>1993-04-23</t>
        </is>
      </c>
      <c r="X1173" t="inlineStr">
        <is>
          <t>1993-04-23</t>
        </is>
      </c>
      <c r="Y1173" t="n">
        <v>554</v>
      </c>
      <c r="Z1173" t="n">
        <v>394</v>
      </c>
      <c r="AA1173" t="n">
        <v>411</v>
      </c>
      <c r="AB1173" t="n">
        <v>4</v>
      </c>
      <c r="AC1173" t="n">
        <v>6</v>
      </c>
      <c r="AD1173" t="n">
        <v>14</v>
      </c>
      <c r="AE1173" t="n">
        <v>18</v>
      </c>
      <c r="AF1173" t="n">
        <v>3</v>
      </c>
      <c r="AG1173" t="n">
        <v>4</v>
      </c>
      <c r="AH1173" t="n">
        <v>3</v>
      </c>
      <c r="AI1173" t="n">
        <v>4</v>
      </c>
      <c r="AJ1173" t="n">
        <v>7</v>
      </c>
      <c r="AK1173" t="n">
        <v>8</v>
      </c>
      <c r="AL1173" t="n">
        <v>3</v>
      </c>
      <c r="AM1173" t="n">
        <v>5</v>
      </c>
      <c r="AN1173" t="n">
        <v>0</v>
      </c>
      <c r="AO1173" t="n">
        <v>0</v>
      </c>
      <c r="AP1173" t="inlineStr">
        <is>
          <t>No</t>
        </is>
      </c>
      <c r="AQ1173" t="inlineStr">
        <is>
          <t>No</t>
        </is>
      </c>
      <c r="AS1173">
        <f>HYPERLINK("https://creighton-primo.hosted.exlibrisgroup.com/primo-explore/search?tab=default_tab&amp;search_scope=EVERYTHING&amp;vid=01CRU&amp;lang=en_US&amp;offset=0&amp;query=any,contains,991004060049702656","Catalog Record")</f>
        <v/>
      </c>
      <c r="AT1173">
        <f>HYPERLINK("http://www.worldcat.org/oclc/2238179","WorldCat Record")</f>
        <v/>
      </c>
      <c r="AU1173" t="inlineStr">
        <is>
          <t>197081068:eng</t>
        </is>
      </c>
      <c r="AV1173" t="inlineStr">
        <is>
          <t>2238179</t>
        </is>
      </c>
      <c r="AW1173" t="inlineStr">
        <is>
          <t>991004060049702656</t>
        </is>
      </c>
      <c r="AX1173" t="inlineStr">
        <is>
          <t>991004060049702656</t>
        </is>
      </c>
      <c r="AY1173" t="inlineStr">
        <is>
          <t>2257609110002656</t>
        </is>
      </c>
      <c r="AZ1173" t="inlineStr">
        <is>
          <t>BOOK</t>
        </is>
      </c>
      <c r="BB1173" t="inlineStr">
        <is>
          <t>9780521212793</t>
        </is>
      </c>
      <c r="BC1173" t="inlineStr">
        <is>
          <t>32285001623452</t>
        </is>
      </c>
      <c r="BD1173" t="inlineStr">
        <is>
          <t>893875632</t>
        </is>
      </c>
    </row>
    <row r="1174">
      <c r="A1174" t="inlineStr">
        <is>
          <t>No</t>
        </is>
      </c>
      <c r="B1174" t="inlineStr">
        <is>
          <t>DS481.G3 D445</t>
        </is>
      </c>
      <c r="C1174" t="inlineStr">
        <is>
          <t>0                      DS 0481000G  3                  D  445</t>
        </is>
      </c>
      <c r="D1174" t="inlineStr">
        <is>
          <t>The making of the Mahatma / [by] Chandran D. S. Devanesen.</t>
        </is>
      </c>
      <c r="F1174" t="inlineStr">
        <is>
          <t>No</t>
        </is>
      </c>
      <c r="G1174" t="inlineStr">
        <is>
          <t>1</t>
        </is>
      </c>
      <c r="H1174" t="inlineStr">
        <is>
          <t>No</t>
        </is>
      </c>
      <c r="I1174" t="inlineStr">
        <is>
          <t>No</t>
        </is>
      </c>
      <c r="J1174" t="inlineStr">
        <is>
          <t>0</t>
        </is>
      </c>
      <c r="K1174" t="inlineStr">
        <is>
          <t>Devanesen, Chandran D. S. (Chandran David Srinivasagam), 1917-</t>
        </is>
      </c>
      <c r="L1174" t="inlineStr">
        <is>
          <t>[Madras] : Orient Longmans, [1969]</t>
        </is>
      </c>
      <c r="M1174" t="inlineStr">
        <is>
          <t>1969</t>
        </is>
      </c>
      <c r="O1174" t="inlineStr">
        <is>
          <t>eng</t>
        </is>
      </c>
      <c r="P1174" t="inlineStr">
        <is>
          <t xml:space="preserve">ii </t>
        </is>
      </c>
      <c r="R1174" t="inlineStr">
        <is>
          <t xml:space="preserve">DS </t>
        </is>
      </c>
      <c r="S1174" t="n">
        <v>4</v>
      </c>
      <c r="T1174" t="n">
        <v>4</v>
      </c>
      <c r="U1174" t="inlineStr">
        <is>
          <t>2002-12-04</t>
        </is>
      </c>
      <c r="V1174" t="inlineStr">
        <is>
          <t>2002-12-04</t>
        </is>
      </c>
      <c r="W1174" t="inlineStr">
        <is>
          <t>1993-02-09</t>
        </is>
      </c>
      <c r="X1174" t="inlineStr">
        <is>
          <t>1993-02-09</t>
        </is>
      </c>
      <c r="Y1174" t="n">
        <v>244</v>
      </c>
      <c r="Z1174" t="n">
        <v>189</v>
      </c>
      <c r="AA1174" t="n">
        <v>191</v>
      </c>
      <c r="AB1174" t="n">
        <v>1</v>
      </c>
      <c r="AC1174" t="n">
        <v>1</v>
      </c>
      <c r="AD1174" t="n">
        <v>3</v>
      </c>
      <c r="AE1174" t="n">
        <v>3</v>
      </c>
      <c r="AF1174" t="n">
        <v>0</v>
      </c>
      <c r="AG1174" t="n">
        <v>0</v>
      </c>
      <c r="AH1174" t="n">
        <v>0</v>
      </c>
      <c r="AI1174" t="n">
        <v>0</v>
      </c>
      <c r="AJ1174" t="n">
        <v>3</v>
      </c>
      <c r="AK1174" t="n">
        <v>3</v>
      </c>
      <c r="AL1174" t="n">
        <v>0</v>
      </c>
      <c r="AM1174" t="n">
        <v>0</v>
      </c>
      <c r="AN1174" t="n">
        <v>0</v>
      </c>
      <c r="AO1174" t="n">
        <v>0</v>
      </c>
      <c r="AP1174" t="inlineStr">
        <is>
          <t>No</t>
        </is>
      </c>
      <c r="AQ1174" t="inlineStr">
        <is>
          <t>Yes</t>
        </is>
      </c>
      <c r="AR1174">
        <f>HYPERLINK("http://catalog.hathitrust.org/Record/002711670","HathiTrust Record")</f>
        <v/>
      </c>
      <c r="AS1174">
        <f>HYPERLINK("https://creighton-primo.hosted.exlibrisgroup.com/primo-explore/search?tab=default_tab&amp;search_scope=EVERYTHING&amp;vid=01CRU&amp;lang=en_US&amp;offset=0&amp;query=any,contains,991000627489702656","Catalog Record")</f>
        <v/>
      </c>
      <c r="AT1174">
        <f>HYPERLINK("http://www.worldcat.org/oclc/104810","WorldCat Record")</f>
        <v/>
      </c>
      <c r="AU1174" t="inlineStr">
        <is>
          <t>1183780:eng</t>
        </is>
      </c>
      <c r="AV1174" t="inlineStr">
        <is>
          <t>104810</t>
        </is>
      </c>
      <c r="AW1174" t="inlineStr">
        <is>
          <t>991000627489702656</t>
        </is>
      </c>
      <c r="AX1174" t="inlineStr">
        <is>
          <t>991000627489702656</t>
        </is>
      </c>
      <c r="AY1174" t="inlineStr">
        <is>
          <t>2260888980002656</t>
        </is>
      </c>
      <c r="AZ1174" t="inlineStr">
        <is>
          <t>BOOK</t>
        </is>
      </c>
      <c r="BC1174" t="inlineStr">
        <is>
          <t>32285001508307</t>
        </is>
      </c>
      <c r="BD1174" t="inlineStr">
        <is>
          <t>893897064</t>
        </is>
      </c>
    </row>
    <row r="1175">
      <c r="A1175" t="inlineStr">
        <is>
          <t>No</t>
        </is>
      </c>
      <c r="B1175" t="inlineStr">
        <is>
          <t>DS481.G3 E38 1986</t>
        </is>
      </c>
      <c r="C1175" t="inlineStr">
        <is>
          <t>0                      DS 0481000G  3                  E  38          1986</t>
        </is>
      </c>
      <c r="D1175" t="inlineStr">
        <is>
          <t>The myth of the Mahatma : Gandhi, the British and the Raj / Michael Edwardes.</t>
        </is>
      </c>
      <c r="F1175" t="inlineStr">
        <is>
          <t>No</t>
        </is>
      </c>
      <c r="G1175" t="inlineStr">
        <is>
          <t>1</t>
        </is>
      </c>
      <c r="H1175" t="inlineStr">
        <is>
          <t>No</t>
        </is>
      </c>
      <c r="I1175" t="inlineStr">
        <is>
          <t>No</t>
        </is>
      </c>
      <c r="J1175" t="inlineStr">
        <is>
          <t>0</t>
        </is>
      </c>
      <c r="K1175" t="inlineStr">
        <is>
          <t>Edwardes, Michael.</t>
        </is>
      </c>
      <c r="L1175" t="inlineStr">
        <is>
          <t>London : Constable, 1986.</t>
        </is>
      </c>
      <c r="M1175" t="inlineStr">
        <is>
          <t>1986</t>
        </is>
      </c>
      <c r="O1175" t="inlineStr">
        <is>
          <t>eng</t>
        </is>
      </c>
      <c r="P1175" t="inlineStr">
        <is>
          <t>enk</t>
        </is>
      </c>
      <c r="R1175" t="inlineStr">
        <is>
          <t xml:space="preserve">DS </t>
        </is>
      </c>
      <c r="S1175" t="n">
        <v>3</v>
      </c>
      <c r="T1175" t="n">
        <v>3</v>
      </c>
      <c r="U1175" t="inlineStr">
        <is>
          <t>1994-04-16</t>
        </is>
      </c>
      <c r="V1175" t="inlineStr">
        <is>
          <t>1994-04-16</t>
        </is>
      </c>
      <c r="W1175" t="inlineStr">
        <is>
          <t>1990-10-09</t>
        </is>
      </c>
      <c r="X1175" t="inlineStr">
        <is>
          <t>1990-10-09</t>
        </is>
      </c>
      <c r="Y1175" t="n">
        <v>229</v>
      </c>
      <c r="Z1175" t="n">
        <v>98</v>
      </c>
      <c r="AA1175" t="n">
        <v>104</v>
      </c>
      <c r="AB1175" t="n">
        <v>3</v>
      </c>
      <c r="AC1175" t="n">
        <v>3</v>
      </c>
      <c r="AD1175" t="n">
        <v>4</v>
      </c>
      <c r="AE1175" t="n">
        <v>4</v>
      </c>
      <c r="AF1175" t="n">
        <v>0</v>
      </c>
      <c r="AG1175" t="n">
        <v>0</v>
      </c>
      <c r="AH1175" t="n">
        <v>1</v>
      </c>
      <c r="AI1175" t="n">
        <v>1</v>
      </c>
      <c r="AJ1175" t="n">
        <v>2</v>
      </c>
      <c r="AK1175" t="n">
        <v>2</v>
      </c>
      <c r="AL1175" t="n">
        <v>2</v>
      </c>
      <c r="AM1175" t="n">
        <v>2</v>
      </c>
      <c r="AN1175" t="n">
        <v>0</v>
      </c>
      <c r="AO1175" t="n">
        <v>0</v>
      </c>
      <c r="AP1175" t="inlineStr">
        <is>
          <t>No</t>
        </is>
      </c>
      <c r="AQ1175" t="inlineStr">
        <is>
          <t>Yes</t>
        </is>
      </c>
      <c r="AR1175">
        <f>HYPERLINK("http://catalog.hathitrust.org/Record/000432961","HathiTrust Record")</f>
        <v/>
      </c>
      <c r="AS1175">
        <f>HYPERLINK("https://creighton-primo.hosted.exlibrisgroup.com/primo-explore/search?tab=default_tab&amp;search_scope=EVERYTHING&amp;vid=01CRU&amp;lang=en_US&amp;offset=0&amp;query=any,contains,991000821799702656","Catalog Record")</f>
        <v/>
      </c>
      <c r="AT1175">
        <f>HYPERLINK("http://www.worldcat.org/oclc/16684571","WorldCat Record")</f>
        <v/>
      </c>
      <c r="AU1175" t="inlineStr">
        <is>
          <t>346181523:eng</t>
        </is>
      </c>
      <c r="AV1175" t="inlineStr">
        <is>
          <t>16684571</t>
        </is>
      </c>
      <c r="AW1175" t="inlineStr">
        <is>
          <t>991000821799702656</t>
        </is>
      </c>
      <c r="AX1175" t="inlineStr">
        <is>
          <t>991000821799702656</t>
        </is>
      </c>
      <c r="AY1175" t="inlineStr">
        <is>
          <t>2262008540002656</t>
        </is>
      </c>
      <c r="AZ1175" t="inlineStr">
        <is>
          <t>BOOK</t>
        </is>
      </c>
      <c r="BB1175" t="inlineStr">
        <is>
          <t>9780094660700</t>
        </is>
      </c>
      <c r="BC1175" t="inlineStr">
        <is>
          <t>32285000336635</t>
        </is>
      </c>
      <c r="BD1175" t="inlineStr">
        <is>
          <t>893702466</t>
        </is>
      </c>
    </row>
    <row r="1176">
      <c r="A1176" t="inlineStr">
        <is>
          <t>No</t>
        </is>
      </c>
      <c r="B1176" t="inlineStr">
        <is>
          <t>DS481.G3 F44</t>
        </is>
      </c>
      <c r="C1176" t="inlineStr">
        <is>
          <t>0                      DS 0481000G  3                  F  44</t>
        </is>
      </c>
      <c r="D1176" t="inlineStr">
        <is>
          <t>The life of Mahatma Gandhi.</t>
        </is>
      </c>
      <c r="F1176" t="inlineStr">
        <is>
          <t>No</t>
        </is>
      </c>
      <c r="G1176" t="inlineStr">
        <is>
          <t>1</t>
        </is>
      </c>
      <c r="H1176" t="inlineStr">
        <is>
          <t>No</t>
        </is>
      </c>
      <c r="I1176" t="inlineStr">
        <is>
          <t>No</t>
        </is>
      </c>
      <c r="J1176" t="inlineStr">
        <is>
          <t>0</t>
        </is>
      </c>
      <c r="K1176" t="inlineStr">
        <is>
          <t>Fischer, Louis, 1896-1970.</t>
        </is>
      </c>
      <c r="L1176" t="inlineStr">
        <is>
          <t>New York : Harper, [1950]</t>
        </is>
      </c>
      <c r="M1176" t="inlineStr">
        <is>
          <t>1950</t>
        </is>
      </c>
      <c r="N1176" t="inlineStr">
        <is>
          <t>[1st ed.]</t>
        </is>
      </c>
      <c r="O1176" t="inlineStr">
        <is>
          <t>eng</t>
        </is>
      </c>
      <c r="P1176" t="inlineStr">
        <is>
          <t>nyu</t>
        </is>
      </c>
      <c r="R1176" t="inlineStr">
        <is>
          <t xml:space="preserve">DS </t>
        </is>
      </c>
      <c r="S1176" t="n">
        <v>17</v>
      </c>
      <c r="T1176" t="n">
        <v>17</v>
      </c>
      <c r="U1176" t="inlineStr">
        <is>
          <t>2002-11-22</t>
        </is>
      </c>
      <c r="V1176" t="inlineStr">
        <is>
          <t>2002-11-22</t>
        </is>
      </c>
      <c r="W1176" t="inlineStr">
        <is>
          <t>1993-04-27</t>
        </is>
      </c>
      <c r="X1176" t="inlineStr">
        <is>
          <t>1993-04-27</t>
        </is>
      </c>
      <c r="Y1176" t="n">
        <v>1408</v>
      </c>
      <c r="Z1176" t="n">
        <v>1319</v>
      </c>
      <c r="AA1176" t="n">
        <v>1893</v>
      </c>
      <c r="AB1176" t="n">
        <v>12</v>
      </c>
      <c r="AC1176" t="n">
        <v>17</v>
      </c>
      <c r="AD1176" t="n">
        <v>39</v>
      </c>
      <c r="AE1176" t="n">
        <v>57</v>
      </c>
      <c r="AF1176" t="n">
        <v>18</v>
      </c>
      <c r="AG1176" t="n">
        <v>25</v>
      </c>
      <c r="AH1176" t="n">
        <v>5</v>
      </c>
      <c r="AI1176" t="n">
        <v>10</v>
      </c>
      <c r="AJ1176" t="n">
        <v>12</v>
      </c>
      <c r="AK1176" t="n">
        <v>22</v>
      </c>
      <c r="AL1176" t="n">
        <v>10</v>
      </c>
      <c r="AM1176" t="n">
        <v>11</v>
      </c>
      <c r="AN1176" t="n">
        <v>0</v>
      </c>
      <c r="AO1176" t="n">
        <v>0</v>
      </c>
      <c r="AP1176" t="inlineStr">
        <is>
          <t>No</t>
        </is>
      </c>
      <c r="AQ1176" t="inlineStr">
        <is>
          <t>Yes</t>
        </is>
      </c>
      <c r="AR1176">
        <f>HYPERLINK("http://catalog.hathitrust.org/Record/001252620","HathiTrust Record")</f>
        <v/>
      </c>
      <c r="AS1176">
        <f>HYPERLINK("https://creighton-primo.hosted.exlibrisgroup.com/primo-explore/search?tab=default_tab&amp;search_scope=EVERYTHING&amp;vid=01CRU&amp;lang=en_US&amp;offset=0&amp;query=any,contains,991002713789702656","Catalog Record")</f>
        <v/>
      </c>
      <c r="AT1176">
        <f>HYPERLINK("http://www.worldcat.org/oclc/410719","WorldCat Record")</f>
        <v/>
      </c>
      <c r="AU1176" t="inlineStr">
        <is>
          <t>3374353932:eng</t>
        </is>
      </c>
      <c r="AV1176" t="inlineStr">
        <is>
          <t>410719</t>
        </is>
      </c>
      <c r="AW1176" t="inlineStr">
        <is>
          <t>991002713789702656</t>
        </is>
      </c>
      <c r="AX1176" t="inlineStr">
        <is>
          <t>991002713789702656</t>
        </is>
      </c>
      <c r="AY1176" t="inlineStr">
        <is>
          <t>2262605840002656</t>
        </is>
      </c>
      <c r="AZ1176" t="inlineStr">
        <is>
          <t>BOOK</t>
        </is>
      </c>
      <c r="BC1176" t="inlineStr">
        <is>
          <t>32285001627842</t>
        </is>
      </c>
      <c r="BD1176" t="inlineStr">
        <is>
          <t>893329435</t>
        </is>
      </c>
    </row>
    <row r="1177">
      <c r="A1177" t="inlineStr">
        <is>
          <t>No</t>
        </is>
      </c>
      <c r="B1177" t="inlineStr">
        <is>
          <t>DS481.G3 G7314 1993</t>
        </is>
      </c>
      <c r="C1177" t="inlineStr">
        <is>
          <t>0                      DS 0481000G  3                  G  7314        1993</t>
        </is>
      </c>
      <c r="D1177" t="inlineStr">
        <is>
          <t>Gandhi : voice of a new age revolution / Martin Green.</t>
        </is>
      </c>
      <c r="F1177" t="inlineStr">
        <is>
          <t>No</t>
        </is>
      </c>
      <c r="G1177" t="inlineStr">
        <is>
          <t>1</t>
        </is>
      </c>
      <c r="H1177" t="inlineStr">
        <is>
          <t>No</t>
        </is>
      </c>
      <c r="I1177" t="inlineStr">
        <is>
          <t>No</t>
        </is>
      </c>
      <c r="J1177" t="inlineStr">
        <is>
          <t>0</t>
        </is>
      </c>
      <c r="K1177" t="inlineStr">
        <is>
          <t>Green, Martin, 1927-2010.</t>
        </is>
      </c>
      <c r="L1177" t="inlineStr">
        <is>
          <t>New York : Continuum, 1993.</t>
        </is>
      </c>
      <c r="M1177" t="inlineStr">
        <is>
          <t>1993</t>
        </is>
      </c>
      <c r="O1177" t="inlineStr">
        <is>
          <t>eng</t>
        </is>
      </c>
      <c r="P1177" t="inlineStr">
        <is>
          <t>nyu</t>
        </is>
      </c>
      <c r="R1177" t="inlineStr">
        <is>
          <t xml:space="preserve">DS </t>
        </is>
      </c>
      <c r="S1177" t="n">
        <v>17</v>
      </c>
      <c r="T1177" t="n">
        <v>17</v>
      </c>
      <c r="U1177" t="inlineStr">
        <is>
          <t>2006-12-06</t>
        </is>
      </c>
      <c r="V1177" t="inlineStr">
        <is>
          <t>2006-12-06</t>
        </is>
      </c>
      <c r="W1177" t="inlineStr">
        <is>
          <t>1993-09-14</t>
        </is>
      </c>
      <c r="X1177" t="inlineStr">
        <is>
          <t>1993-09-14</t>
        </is>
      </c>
      <c r="Y1177" t="n">
        <v>665</v>
      </c>
      <c r="Z1177" t="n">
        <v>620</v>
      </c>
      <c r="AA1177" t="n">
        <v>639</v>
      </c>
      <c r="AB1177" t="n">
        <v>5</v>
      </c>
      <c r="AC1177" t="n">
        <v>5</v>
      </c>
      <c r="AD1177" t="n">
        <v>25</v>
      </c>
      <c r="AE1177" t="n">
        <v>26</v>
      </c>
      <c r="AF1177" t="n">
        <v>9</v>
      </c>
      <c r="AG1177" t="n">
        <v>10</v>
      </c>
      <c r="AH1177" t="n">
        <v>7</v>
      </c>
      <c r="AI1177" t="n">
        <v>8</v>
      </c>
      <c r="AJ1177" t="n">
        <v>12</v>
      </c>
      <c r="AK1177" t="n">
        <v>12</v>
      </c>
      <c r="AL1177" t="n">
        <v>3</v>
      </c>
      <c r="AM1177" t="n">
        <v>3</v>
      </c>
      <c r="AN1177" t="n">
        <v>0</v>
      </c>
      <c r="AO1177" t="n">
        <v>0</v>
      </c>
      <c r="AP1177" t="inlineStr">
        <is>
          <t>No</t>
        </is>
      </c>
      <c r="AQ1177" t="inlineStr">
        <is>
          <t>Yes</t>
        </is>
      </c>
      <c r="AR1177">
        <f>HYPERLINK("http://catalog.hathitrust.org/Record/002723970","HathiTrust Record")</f>
        <v/>
      </c>
      <c r="AS1177">
        <f>HYPERLINK("https://creighton-primo.hosted.exlibrisgroup.com/primo-explore/search?tab=default_tab&amp;search_scope=EVERYTHING&amp;vid=01CRU&amp;lang=en_US&amp;offset=0&amp;query=any,contains,991002127769702656","Catalog Record")</f>
        <v/>
      </c>
      <c r="AT1177">
        <f>HYPERLINK("http://www.worldcat.org/oclc/27264991","WorldCat Record")</f>
        <v/>
      </c>
      <c r="AU1177" t="inlineStr">
        <is>
          <t>196618760:eng</t>
        </is>
      </c>
      <c r="AV1177" t="inlineStr">
        <is>
          <t>27264991</t>
        </is>
      </c>
      <c r="AW1177" t="inlineStr">
        <is>
          <t>991002127769702656</t>
        </is>
      </c>
      <c r="AX1177" t="inlineStr">
        <is>
          <t>991002127769702656</t>
        </is>
      </c>
      <c r="AY1177" t="inlineStr">
        <is>
          <t>2272057780002656</t>
        </is>
      </c>
      <c r="AZ1177" t="inlineStr">
        <is>
          <t>BOOK</t>
        </is>
      </c>
      <c r="BB1177" t="inlineStr">
        <is>
          <t>9780826406200</t>
        </is>
      </c>
      <c r="BC1177" t="inlineStr">
        <is>
          <t>32285001766616</t>
        </is>
      </c>
      <c r="BD1177" t="inlineStr">
        <is>
          <t>893256909</t>
        </is>
      </c>
    </row>
    <row r="1178">
      <c r="A1178" t="inlineStr">
        <is>
          <t>No</t>
        </is>
      </c>
      <c r="B1178" t="inlineStr">
        <is>
          <t>DS481.G3 H77</t>
        </is>
      </c>
      <c r="C1178" t="inlineStr">
        <is>
          <t>0                      DS 0481000G  3                  H  77</t>
        </is>
      </c>
      <c r="D1178" t="inlineStr">
        <is>
          <t>Gandhi in London / James D. Hunt ; pref. by Stephen Hay.</t>
        </is>
      </c>
      <c r="F1178" t="inlineStr">
        <is>
          <t>No</t>
        </is>
      </c>
      <c r="G1178" t="inlineStr">
        <is>
          <t>1</t>
        </is>
      </c>
      <c r="H1178" t="inlineStr">
        <is>
          <t>No</t>
        </is>
      </c>
      <c r="I1178" t="inlineStr">
        <is>
          <t>No</t>
        </is>
      </c>
      <c r="J1178" t="inlineStr">
        <is>
          <t>0</t>
        </is>
      </c>
      <c r="K1178" t="inlineStr">
        <is>
          <t>Hunt, James D., 1931-</t>
        </is>
      </c>
      <c r="L1178" t="inlineStr">
        <is>
          <t>New Delhi : Promilla, 1978.</t>
        </is>
      </c>
      <c r="M1178" t="inlineStr">
        <is>
          <t>1978</t>
        </is>
      </c>
      <c r="O1178" t="inlineStr">
        <is>
          <t>eng</t>
        </is>
      </c>
      <c r="P1178" t="inlineStr">
        <is>
          <t xml:space="preserve">ii </t>
        </is>
      </c>
      <c r="R1178" t="inlineStr">
        <is>
          <t xml:space="preserve">DS </t>
        </is>
      </c>
      <c r="S1178" t="n">
        <v>1</v>
      </c>
      <c r="T1178" t="n">
        <v>1</v>
      </c>
      <c r="U1178" t="inlineStr">
        <is>
          <t>1993-04-21</t>
        </is>
      </c>
      <c r="V1178" t="inlineStr">
        <is>
          <t>1993-04-21</t>
        </is>
      </c>
      <c r="W1178" t="inlineStr">
        <is>
          <t>1990-10-09</t>
        </is>
      </c>
      <c r="X1178" t="inlineStr">
        <is>
          <t>1990-10-09</t>
        </is>
      </c>
      <c r="Y1178" t="n">
        <v>332</v>
      </c>
      <c r="Z1178" t="n">
        <v>277</v>
      </c>
      <c r="AA1178" t="n">
        <v>289</v>
      </c>
      <c r="AB1178" t="n">
        <v>3</v>
      </c>
      <c r="AC1178" t="n">
        <v>3</v>
      </c>
      <c r="AD1178" t="n">
        <v>7</v>
      </c>
      <c r="AE1178" t="n">
        <v>7</v>
      </c>
      <c r="AF1178" t="n">
        <v>1</v>
      </c>
      <c r="AG1178" t="n">
        <v>1</v>
      </c>
      <c r="AH1178" t="n">
        <v>3</v>
      </c>
      <c r="AI1178" t="n">
        <v>3</v>
      </c>
      <c r="AJ1178" t="n">
        <v>3</v>
      </c>
      <c r="AK1178" t="n">
        <v>3</v>
      </c>
      <c r="AL1178" t="n">
        <v>2</v>
      </c>
      <c r="AM1178" t="n">
        <v>2</v>
      </c>
      <c r="AN1178" t="n">
        <v>0</v>
      </c>
      <c r="AO1178" t="n">
        <v>0</v>
      </c>
      <c r="AP1178" t="inlineStr">
        <is>
          <t>No</t>
        </is>
      </c>
      <c r="AQ1178" t="inlineStr">
        <is>
          <t>Yes</t>
        </is>
      </c>
      <c r="AR1178">
        <f>HYPERLINK("http://catalog.hathitrust.org/Record/000219031","HathiTrust Record")</f>
        <v/>
      </c>
      <c r="AS1178">
        <f>HYPERLINK("https://creighton-primo.hosted.exlibrisgroup.com/primo-explore/search?tab=default_tab&amp;search_scope=EVERYTHING&amp;vid=01CRU&amp;lang=en_US&amp;offset=0&amp;query=any,contains,991004626689702656","Catalog Record")</f>
        <v/>
      </c>
      <c r="AT1178">
        <f>HYPERLINK("http://www.worldcat.org/oclc/4345011","WorldCat Record")</f>
        <v/>
      </c>
      <c r="AU1178" t="inlineStr">
        <is>
          <t>14761412:eng</t>
        </is>
      </c>
      <c r="AV1178" t="inlineStr">
        <is>
          <t>4345011</t>
        </is>
      </c>
      <c r="AW1178" t="inlineStr">
        <is>
          <t>991004626689702656</t>
        </is>
      </c>
      <c r="AX1178" t="inlineStr">
        <is>
          <t>991004626689702656</t>
        </is>
      </c>
      <c r="AY1178" t="inlineStr">
        <is>
          <t>2268646760002656</t>
        </is>
      </c>
      <c r="AZ1178" t="inlineStr">
        <is>
          <t>BOOK</t>
        </is>
      </c>
      <c r="BC1178" t="inlineStr">
        <is>
          <t>32285000336650</t>
        </is>
      </c>
      <c r="BD1178" t="inlineStr">
        <is>
          <t>893331839</t>
        </is>
      </c>
    </row>
    <row r="1179">
      <c r="A1179" t="inlineStr">
        <is>
          <t>No</t>
        </is>
      </c>
      <c r="B1179" t="inlineStr">
        <is>
          <t>DS481.G3 K42</t>
        </is>
      </c>
      <c r="C1179" t="inlineStr">
        <is>
          <t>0                      DS 0481000G  3                  K  42</t>
        </is>
      </c>
      <c r="D1179" t="inlineStr">
        <is>
          <t>Mahatma Gandhi : political saint and unarmed prophet.</t>
        </is>
      </c>
      <c r="F1179" t="inlineStr">
        <is>
          <t>No</t>
        </is>
      </c>
      <c r="G1179" t="inlineStr">
        <is>
          <t>1</t>
        </is>
      </c>
      <c r="H1179" t="inlineStr">
        <is>
          <t>No</t>
        </is>
      </c>
      <c r="I1179" t="inlineStr">
        <is>
          <t>No</t>
        </is>
      </c>
      <c r="J1179" t="inlineStr">
        <is>
          <t>0</t>
        </is>
      </c>
      <c r="K1179" t="inlineStr">
        <is>
          <t>Keer, Dhananjay.</t>
        </is>
      </c>
      <c r="L1179" t="inlineStr">
        <is>
          <t>Bombay : Popular Prakashan, [1973]</t>
        </is>
      </c>
      <c r="M1179" t="inlineStr">
        <is>
          <t>1973</t>
        </is>
      </c>
      <c r="O1179" t="inlineStr">
        <is>
          <t>eng</t>
        </is>
      </c>
      <c r="P1179" t="inlineStr">
        <is>
          <t xml:space="preserve">ii </t>
        </is>
      </c>
      <c r="R1179" t="inlineStr">
        <is>
          <t xml:space="preserve">DS </t>
        </is>
      </c>
      <c r="S1179" t="n">
        <v>11</v>
      </c>
      <c r="T1179" t="n">
        <v>11</v>
      </c>
      <c r="U1179" t="inlineStr">
        <is>
          <t>2003-05-04</t>
        </is>
      </c>
      <c r="V1179" t="inlineStr">
        <is>
          <t>2003-05-04</t>
        </is>
      </c>
      <c r="W1179" t="inlineStr">
        <is>
          <t>1996-05-29</t>
        </is>
      </c>
      <c r="X1179" t="inlineStr">
        <is>
          <t>1996-05-29</t>
        </is>
      </c>
      <c r="Y1179" t="n">
        <v>294</v>
      </c>
      <c r="Z1179" t="n">
        <v>231</v>
      </c>
      <c r="AA1179" t="n">
        <v>234</v>
      </c>
      <c r="AB1179" t="n">
        <v>2</v>
      </c>
      <c r="AC1179" t="n">
        <v>2</v>
      </c>
      <c r="AD1179" t="n">
        <v>6</v>
      </c>
      <c r="AE1179" t="n">
        <v>6</v>
      </c>
      <c r="AF1179" t="n">
        <v>2</v>
      </c>
      <c r="AG1179" t="n">
        <v>2</v>
      </c>
      <c r="AH1179" t="n">
        <v>2</v>
      </c>
      <c r="AI1179" t="n">
        <v>2</v>
      </c>
      <c r="AJ1179" t="n">
        <v>3</v>
      </c>
      <c r="AK1179" t="n">
        <v>3</v>
      </c>
      <c r="AL1179" t="n">
        <v>1</v>
      </c>
      <c r="AM1179" t="n">
        <v>1</v>
      </c>
      <c r="AN1179" t="n">
        <v>0</v>
      </c>
      <c r="AO1179" t="n">
        <v>0</v>
      </c>
      <c r="AP1179" t="inlineStr">
        <is>
          <t>No</t>
        </is>
      </c>
      <c r="AQ1179" t="inlineStr">
        <is>
          <t>Yes</t>
        </is>
      </c>
      <c r="AR1179">
        <f>HYPERLINK("http://catalog.hathitrust.org/Record/001252659","HathiTrust Record")</f>
        <v/>
      </c>
      <c r="AS1179">
        <f>HYPERLINK("https://creighton-primo.hosted.exlibrisgroup.com/primo-explore/search?tab=default_tab&amp;search_scope=EVERYTHING&amp;vid=01CRU&amp;lang=en_US&amp;offset=0&amp;query=any,contains,991003198869702656","Catalog Record")</f>
        <v/>
      </c>
      <c r="AT1179">
        <f>HYPERLINK("http://www.worldcat.org/oclc/723845","WorldCat Record")</f>
        <v/>
      </c>
      <c r="AU1179" t="inlineStr">
        <is>
          <t>1719413:eng</t>
        </is>
      </c>
      <c r="AV1179" t="inlineStr">
        <is>
          <t>723845</t>
        </is>
      </c>
      <c r="AW1179" t="inlineStr">
        <is>
          <t>991003198869702656</t>
        </is>
      </c>
      <c r="AX1179" t="inlineStr">
        <is>
          <t>991003198869702656</t>
        </is>
      </c>
      <c r="AY1179" t="inlineStr">
        <is>
          <t>2255610130002656</t>
        </is>
      </c>
      <c r="AZ1179" t="inlineStr">
        <is>
          <t>BOOK</t>
        </is>
      </c>
      <c r="BC1179" t="inlineStr">
        <is>
          <t>32285002121290</t>
        </is>
      </c>
      <c r="BD1179" t="inlineStr">
        <is>
          <t>893592278</t>
        </is>
      </c>
    </row>
    <row r="1180">
      <c r="A1180" t="inlineStr">
        <is>
          <t>No</t>
        </is>
      </c>
      <c r="B1180" t="inlineStr">
        <is>
          <t>DS481.G3 M43</t>
        </is>
      </c>
      <c r="C1180" t="inlineStr">
        <is>
          <t>0                      DS 0481000G  3                  M  43</t>
        </is>
      </c>
      <c r="D1180" t="inlineStr">
        <is>
          <t>Mahatma Gandhi and his apostles / Ved Mehta.</t>
        </is>
      </c>
      <c r="F1180" t="inlineStr">
        <is>
          <t>No</t>
        </is>
      </c>
      <c r="G1180" t="inlineStr">
        <is>
          <t>1</t>
        </is>
      </c>
      <c r="H1180" t="inlineStr">
        <is>
          <t>No</t>
        </is>
      </c>
      <c r="I1180" t="inlineStr">
        <is>
          <t>No</t>
        </is>
      </c>
      <c r="J1180" t="inlineStr">
        <is>
          <t>0</t>
        </is>
      </c>
      <c r="K1180" t="inlineStr">
        <is>
          <t>Mehta, Ved, 1934-</t>
        </is>
      </c>
      <c r="L1180" t="inlineStr">
        <is>
          <t>New York : Viking Press, 1977, c1976.</t>
        </is>
      </c>
      <c r="M1180" t="inlineStr">
        <is>
          <t>1977</t>
        </is>
      </c>
      <c r="O1180" t="inlineStr">
        <is>
          <t>eng</t>
        </is>
      </c>
      <c r="P1180" t="inlineStr">
        <is>
          <t>nyu</t>
        </is>
      </c>
      <c r="R1180" t="inlineStr">
        <is>
          <t xml:space="preserve">DS </t>
        </is>
      </c>
      <c r="S1180" t="n">
        <v>7</v>
      </c>
      <c r="T1180" t="n">
        <v>7</v>
      </c>
      <c r="U1180" t="inlineStr">
        <is>
          <t>2006-12-06</t>
        </is>
      </c>
      <c r="V1180" t="inlineStr">
        <is>
          <t>2006-12-06</t>
        </is>
      </c>
      <c r="W1180" t="inlineStr">
        <is>
          <t>1992-10-23</t>
        </is>
      </c>
      <c r="X1180" t="inlineStr">
        <is>
          <t>1992-10-23</t>
        </is>
      </c>
      <c r="Y1180" t="n">
        <v>1152</v>
      </c>
      <c r="Z1180" t="n">
        <v>1075</v>
      </c>
      <c r="AA1180" t="n">
        <v>1374</v>
      </c>
      <c r="AB1180" t="n">
        <v>9</v>
      </c>
      <c r="AC1180" t="n">
        <v>9</v>
      </c>
      <c r="AD1180" t="n">
        <v>30</v>
      </c>
      <c r="AE1180" t="n">
        <v>42</v>
      </c>
      <c r="AF1180" t="n">
        <v>12</v>
      </c>
      <c r="AG1180" t="n">
        <v>18</v>
      </c>
      <c r="AH1180" t="n">
        <v>5</v>
      </c>
      <c r="AI1180" t="n">
        <v>8</v>
      </c>
      <c r="AJ1180" t="n">
        <v>13</v>
      </c>
      <c r="AK1180" t="n">
        <v>19</v>
      </c>
      <c r="AL1180" t="n">
        <v>6</v>
      </c>
      <c r="AM1180" t="n">
        <v>6</v>
      </c>
      <c r="AN1180" t="n">
        <v>0</v>
      </c>
      <c r="AO1180" t="n">
        <v>1</v>
      </c>
      <c r="AP1180" t="inlineStr">
        <is>
          <t>No</t>
        </is>
      </c>
      <c r="AQ1180" t="inlineStr">
        <is>
          <t>Yes</t>
        </is>
      </c>
      <c r="AR1180">
        <f>HYPERLINK("http://catalog.hathitrust.org/Record/000737315","HathiTrust Record")</f>
        <v/>
      </c>
      <c r="AS1180">
        <f>HYPERLINK("https://creighton-primo.hosted.exlibrisgroup.com/primo-explore/search?tab=default_tab&amp;search_scope=EVERYTHING&amp;vid=01CRU&amp;lang=en_US&amp;offset=0&amp;query=any,contains,991004107729702656","Catalog Record")</f>
        <v/>
      </c>
      <c r="AT1180">
        <f>HYPERLINK("http://www.worldcat.org/oclc/2388104","WorldCat Record")</f>
        <v/>
      </c>
      <c r="AU1180" t="inlineStr">
        <is>
          <t>329847:eng</t>
        </is>
      </c>
      <c r="AV1180" t="inlineStr">
        <is>
          <t>2388104</t>
        </is>
      </c>
      <c r="AW1180" t="inlineStr">
        <is>
          <t>991004107729702656</t>
        </is>
      </c>
      <c r="AX1180" t="inlineStr">
        <is>
          <t>991004107729702656</t>
        </is>
      </c>
      <c r="AY1180" t="inlineStr">
        <is>
          <t>2259248720002656</t>
        </is>
      </c>
      <c r="AZ1180" t="inlineStr">
        <is>
          <t>BOOK</t>
        </is>
      </c>
      <c r="BB1180" t="inlineStr">
        <is>
          <t>9780670450879</t>
        </is>
      </c>
      <c r="BC1180" t="inlineStr">
        <is>
          <t>32285001378032</t>
        </is>
      </c>
      <c r="BD1180" t="inlineStr">
        <is>
          <t>893894557</t>
        </is>
      </c>
    </row>
    <row r="1181">
      <c r="A1181" t="inlineStr">
        <is>
          <t>No</t>
        </is>
      </c>
      <c r="B1181" t="inlineStr">
        <is>
          <t>DS481.G3 M63</t>
        </is>
      </c>
      <c r="C1181" t="inlineStr">
        <is>
          <t>0                      DS 0481000G  3                  M  63</t>
        </is>
      </c>
      <c r="D1181" t="inlineStr">
        <is>
          <t>Gandhi and modern India.</t>
        </is>
      </c>
      <c r="F1181" t="inlineStr">
        <is>
          <t>No</t>
        </is>
      </c>
      <c r="G1181" t="inlineStr">
        <is>
          <t>1</t>
        </is>
      </c>
      <c r="H1181" t="inlineStr">
        <is>
          <t>No</t>
        </is>
      </c>
      <c r="I1181" t="inlineStr">
        <is>
          <t>No</t>
        </is>
      </c>
      <c r="J1181" t="inlineStr">
        <is>
          <t>0</t>
        </is>
      </c>
      <c r="K1181" t="inlineStr">
        <is>
          <t>Moon, Penderel, 1905-1987.</t>
        </is>
      </c>
      <c r="L1181" t="inlineStr">
        <is>
          <t>New York : Norton, [1969]</t>
        </is>
      </c>
      <c r="M1181" t="inlineStr">
        <is>
          <t>1969</t>
        </is>
      </c>
      <c r="N1181" t="inlineStr">
        <is>
          <t>[1st ed.]</t>
        </is>
      </c>
      <c r="O1181" t="inlineStr">
        <is>
          <t>eng</t>
        </is>
      </c>
      <c r="P1181" t="inlineStr">
        <is>
          <t>nyu</t>
        </is>
      </c>
      <c r="R1181" t="inlineStr">
        <is>
          <t xml:space="preserve">DS </t>
        </is>
      </c>
      <c r="S1181" t="n">
        <v>7</v>
      </c>
      <c r="T1181" t="n">
        <v>7</v>
      </c>
      <c r="U1181" t="inlineStr">
        <is>
          <t>2001-09-23</t>
        </is>
      </c>
      <c r="V1181" t="inlineStr">
        <is>
          <t>2001-09-23</t>
        </is>
      </c>
      <c r="W1181" t="inlineStr">
        <is>
          <t>1992-03-26</t>
        </is>
      </c>
      <c r="X1181" t="inlineStr">
        <is>
          <t>1992-03-26</t>
        </is>
      </c>
      <c r="Y1181" t="n">
        <v>712</v>
      </c>
      <c r="Z1181" t="n">
        <v>665</v>
      </c>
      <c r="AA1181" t="n">
        <v>692</v>
      </c>
      <c r="AB1181" t="n">
        <v>5</v>
      </c>
      <c r="AC1181" t="n">
        <v>5</v>
      </c>
      <c r="AD1181" t="n">
        <v>23</v>
      </c>
      <c r="AE1181" t="n">
        <v>25</v>
      </c>
      <c r="AF1181" t="n">
        <v>10</v>
      </c>
      <c r="AG1181" t="n">
        <v>12</v>
      </c>
      <c r="AH1181" t="n">
        <v>4</v>
      </c>
      <c r="AI1181" t="n">
        <v>4</v>
      </c>
      <c r="AJ1181" t="n">
        <v>9</v>
      </c>
      <c r="AK1181" t="n">
        <v>9</v>
      </c>
      <c r="AL1181" t="n">
        <v>4</v>
      </c>
      <c r="AM1181" t="n">
        <v>4</v>
      </c>
      <c r="AN1181" t="n">
        <v>1</v>
      </c>
      <c r="AO1181" t="n">
        <v>1</v>
      </c>
      <c r="AP1181" t="inlineStr">
        <is>
          <t>No</t>
        </is>
      </c>
      <c r="AQ1181" t="inlineStr">
        <is>
          <t>Yes</t>
        </is>
      </c>
      <c r="AR1181">
        <f>HYPERLINK("http://catalog.hathitrust.org/Record/001252683","HathiTrust Record")</f>
        <v/>
      </c>
      <c r="AS1181">
        <f>HYPERLINK("https://creighton-primo.hosted.exlibrisgroup.com/primo-explore/search?tab=default_tab&amp;search_scope=EVERYTHING&amp;vid=01CRU&amp;lang=en_US&amp;offset=0&amp;query=any,contains,991005434259702656","Catalog Record")</f>
        <v/>
      </c>
      <c r="AT1181">
        <f>HYPERLINK("http://www.worldcat.org/oclc/2360","WorldCat Record")</f>
        <v/>
      </c>
      <c r="AU1181" t="inlineStr">
        <is>
          <t>191035517:eng</t>
        </is>
      </c>
      <c r="AV1181" t="inlineStr">
        <is>
          <t>2360</t>
        </is>
      </c>
      <c r="AW1181" t="inlineStr">
        <is>
          <t>991005434259702656</t>
        </is>
      </c>
      <c r="AX1181" t="inlineStr">
        <is>
          <t>991005434259702656</t>
        </is>
      </c>
      <c r="AY1181" t="inlineStr">
        <is>
          <t>2262726420002656</t>
        </is>
      </c>
      <c r="AZ1181" t="inlineStr">
        <is>
          <t>BOOK</t>
        </is>
      </c>
      <c r="BC1181" t="inlineStr">
        <is>
          <t>32285001029270</t>
        </is>
      </c>
      <c r="BD1181" t="inlineStr">
        <is>
          <t>893626019</t>
        </is>
      </c>
    </row>
    <row r="1182">
      <c r="A1182" t="inlineStr">
        <is>
          <t>No</t>
        </is>
      </c>
      <c r="B1182" t="inlineStr">
        <is>
          <t>DS481.G3 M84</t>
        </is>
      </c>
      <c r="C1182" t="inlineStr">
        <is>
          <t>0                      DS 0481000G  3                  M  84</t>
        </is>
      </c>
      <c r="D1182" t="inlineStr">
        <is>
          <t>Mahatma Gandhi : a prophetic voice / by Haridas T. Muzumdar.</t>
        </is>
      </c>
      <c r="F1182" t="inlineStr">
        <is>
          <t>No</t>
        </is>
      </c>
      <c r="G1182" t="inlineStr">
        <is>
          <t>1</t>
        </is>
      </c>
      <c r="H1182" t="inlineStr">
        <is>
          <t>No</t>
        </is>
      </c>
      <c r="I1182" t="inlineStr">
        <is>
          <t>No</t>
        </is>
      </c>
      <c r="J1182" t="inlineStr">
        <is>
          <t>0</t>
        </is>
      </c>
      <c r="K1182" t="inlineStr">
        <is>
          <t>Muzumdar, Haridas Thakordas.</t>
        </is>
      </c>
      <c r="L1182" t="inlineStr">
        <is>
          <t>Ahmedabad [India] : Navajivan Pub. House [1963]</t>
        </is>
      </c>
      <c r="M1182" t="inlineStr">
        <is>
          <t>1963</t>
        </is>
      </c>
      <c r="N1182" t="inlineStr">
        <is>
          <t>[1st Indian ed.]</t>
        </is>
      </c>
      <c r="O1182" t="inlineStr">
        <is>
          <t>eng</t>
        </is>
      </c>
      <c r="P1182" t="inlineStr">
        <is>
          <t>___</t>
        </is>
      </c>
      <c r="R1182" t="inlineStr">
        <is>
          <t xml:space="preserve">DS </t>
        </is>
      </c>
      <c r="S1182" t="n">
        <v>21</v>
      </c>
      <c r="T1182" t="n">
        <v>21</v>
      </c>
      <c r="U1182" t="inlineStr">
        <is>
          <t>2003-04-07</t>
        </is>
      </c>
      <c r="V1182" t="inlineStr">
        <is>
          <t>2003-04-07</t>
        </is>
      </c>
      <c r="W1182" t="inlineStr">
        <is>
          <t>1990-10-09</t>
        </is>
      </c>
      <c r="X1182" t="inlineStr">
        <is>
          <t>1990-10-09</t>
        </is>
      </c>
      <c r="Y1182" t="n">
        <v>66</v>
      </c>
      <c r="Z1182" t="n">
        <v>54</v>
      </c>
      <c r="AA1182" t="n">
        <v>63</v>
      </c>
      <c r="AB1182" t="n">
        <v>1</v>
      </c>
      <c r="AC1182" t="n">
        <v>1</v>
      </c>
      <c r="AD1182" t="n">
        <v>0</v>
      </c>
      <c r="AE1182" t="n">
        <v>0</v>
      </c>
      <c r="AF1182" t="n">
        <v>0</v>
      </c>
      <c r="AG1182" t="n">
        <v>0</v>
      </c>
      <c r="AH1182" t="n">
        <v>0</v>
      </c>
      <c r="AI1182" t="n">
        <v>0</v>
      </c>
      <c r="AJ1182" t="n">
        <v>0</v>
      </c>
      <c r="AK1182" t="n">
        <v>0</v>
      </c>
      <c r="AL1182" t="n">
        <v>0</v>
      </c>
      <c r="AM1182" t="n">
        <v>0</v>
      </c>
      <c r="AN1182" t="n">
        <v>0</v>
      </c>
      <c r="AO1182" t="n">
        <v>0</v>
      </c>
      <c r="AP1182" t="inlineStr">
        <is>
          <t>No</t>
        </is>
      </c>
      <c r="AQ1182" t="inlineStr">
        <is>
          <t>Yes</t>
        </is>
      </c>
      <c r="AR1182">
        <f>HYPERLINK("http://catalog.hathitrust.org/Record/001252688","HathiTrust Record")</f>
        <v/>
      </c>
      <c r="AS1182">
        <f>HYPERLINK("https://creighton-primo.hosted.exlibrisgroup.com/primo-explore/search?tab=default_tab&amp;search_scope=EVERYTHING&amp;vid=01CRU&amp;lang=en_US&amp;offset=0&amp;query=any,contains,991003358509702656","Catalog Record")</f>
        <v/>
      </c>
      <c r="AT1182">
        <f>HYPERLINK("http://www.worldcat.org/oclc/893422","WorldCat Record")</f>
        <v/>
      </c>
      <c r="AU1182" t="inlineStr">
        <is>
          <t>1877622:eng</t>
        </is>
      </c>
      <c r="AV1182" t="inlineStr">
        <is>
          <t>893422</t>
        </is>
      </c>
      <c r="AW1182" t="inlineStr">
        <is>
          <t>991003358509702656</t>
        </is>
      </c>
      <c r="AX1182" t="inlineStr">
        <is>
          <t>991003358509702656</t>
        </is>
      </c>
      <c r="AY1182" t="inlineStr">
        <is>
          <t>2259886920002656</t>
        </is>
      </c>
      <c r="AZ1182" t="inlineStr">
        <is>
          <t>BOOK</t>
        </is>
      </c>
      <c r="BC1182" t="inlineStr">
        <is>
          <t>32285000336676</t>
        </is>
      </c>
      <c r="BD1182" t="inlineStr">
        <is>
          <t>893324021</t>
        </is>
      </c>
    </row>
    <row r="1183">
      <c r="A1183" t="inlineStr">
        <is>
          <t>No</t>
        </is>
      </c>
      <c r="B1183" t="inlineStr">
        <is>
          <t>DS481.G3 P6</t>
        </is>
      </c>
      <c r="C1183" t="inlineStr">
        <is>
          <t>0                      DS 0481000G  3                  P  6</t>
        </is>
      </c>
      <c r="D1183" t="inlineStr">
        <is>
          <t>Gandhi on world affairs.</t>
        </is>
      </c>
      <c r="F1183" t="inlineStr">
        <is>
          <t>No</t>
        </is>
      </c>
      <c r="G1183" t="inlineStr">
        <is>
          <t>1</t>
        </is>
      </c>
      <c r="H1183" t="inlineStr">
        <is>
          <t>No</t>
        </is>
      </c>
      <c r="I1183" t="inlineStr">
        <is>
          <t>No</t>
        </is>
      </c>
      <c r="J1183" t="inlineStr">
        <is>
          <t>0</t>
        </is>
      </c>
      <c r="K1183" t="inlineStr">
        <is>
          <t>Power, Paul F.</t>
        </is>
      </c>
      <c r="L1183" t="inlineStr">
        <is>
          <t>London : Allen &amp; Unwin, [1961, c1960]</t>
        </is>
      </c>
      <c r="M1183" t="inlineStr">
        <is>
          <t>1961</t>
        </is>
      </c>
      <c r="O1183" t="inlineStr">
        <is>
          <t>eng</t>
        </is>
      </c>
      <c r="P1183" t="inlineStr">
        <is>
          <t xml:space="preserve">xx </t>
        </is>
      </c>
      <c r="R1183" t="inlineStr">
        <is>
          <t xml:space="preserve">DS </t>
        </is>
      </c>
      <c r="S1183" t="n">
        <v>12</v>
      </c>
      <c r="T1183" t="n">
        <v>12</v>
      </c>
      <c r="U1183" t="inlineStr">
        <is>
          <t>2003-04-07</t>
        </is>
      </c>
      <c r="V1183" t="inlineStr">
        <is>
          <t>2003-04-07</t>
        </is>
      </c>
      <c r="W1183" t="inlineStr">
        <is>
          <t>1992-03-26</t>
        </is>
      </c>
      <c r="X1183" t="inlineStr">
        <is>
          <t>1992-03-26</t>
        </is>
      </c>
      <c r="Y1183" t="n">
        <v>73</v>
      </c>
      <c r="Z1183" t="n">
        <v>31</v>
      </c>
      <c r="AA1183" t="n">
        <v>373</v>
      </c>
      <c r="AB1183" t="n">
        <v>1</v>
      </c>
      <c r="AC1183" t="n">
        <v>4</v>
      </c>
      <c r="AD1183" t="n">
        <v>0</v>
      </c>
      <c r="AE1183" t="n">
        <v>15</v>
      </c>
      <c r="AF1183" t="n">
        <v>0</v>
      </c>
      <c r="AG1183" t="n">
        <v>5</v>
      </c>
      <c r="AH1183" t="n">
        <v>0</v>
      </c>
      <c r="AI1183" t="n">
        <v>4</v>
      </c>
      <c r="AJ1183" t="n">
        <v>0</v>
      </c>
      <c r="AK1183" t="n">
        <v>2</v>
      </c>
      <c r="AL1183" t="n">
        <v>0</v>
      </c>
      <c r="AM1183" t="n">
        <v>2</v>
      </c>
      <c r="AN1183" t="n">
        <v>0</v>
      </c>
      <c r="AO1183" t="n">
        <v>4</v>
      </c>
      <c r="AP1183" t="inlineStr">
        <is>
          <t>No</t>
        </is>
      </c>
      <c r="AQ1183" t="inlineStr">
        <is>
          <t>Yes</t>
        </is>
      </c>
      <c r="AR1183">
        <f>HYPERLINK("http://catalog.hathitrust.org/Record/006734181","HathiTrust Record")</f>
        <v/>
      </c>
      <c r="AS1183">
        <f>HYPERLINK("https://creighton-primo.hosted.exlibrisgroup.com/primo-explore/search?tab=default_tab&amp;search_scope=EVERYTHING&amp;vid=01CRU&amp;lang=en_US&amp;offset=0&amp;query=any,contains,991004634229702656","Catalog Record")</f>
        <v/>
      </c>
      <c r="AT1183">
        <f>HYPERLINK("http://www.worldcat.org/oclc/4396121","WorldCat Record")</f>
        <v/>
      </c>
      <c r="AU1183" t="inlineStr">
        <is>
          <t>1446962:eng</t>
        </is>
      </c>
      <c r="AV1183" t="inlineStr">
        <is>
          <t>4396121</t>
        </is>
      </c>
      <c r="AW1183" t="inlineStr">
        <is>
          <t>991004634229702656</t>
        </is>
      </c>
      <c r="AX1183" t="inlineStr">
        <is>
          <t>991004634229702656</t>
        </is>
      </c>
      <c r="AY1183" t="inlineStr">
        <is>
          <t>2263239200002656</t>
        </is>
      </c>
      <c r="AZ1183" t="inlineStr">
        <is>
          <t>BOOK</t>
        </is>
      </c>
      <c r="BC1183" t="inlineStr">
        <is>
          <t>32285001029262</t>
        </is>
      </c>
      <c r="BD1183" t="inlineStr">
        <is>
          <t>893442846</t>
        </is>
      </c>
    </row>
    <row r="1184">
      <c r="A1184" t="inlineStr">
        <is>
          <t>No</t>
        </is>
      </c>
      <c r="B1184" t="inlineStr">
        <is>
          <t>DS481.G3 P73 1971</t>
        </is>
      </c>
      <c r="C1184" t="inlineStr">
        <is>
          <t>0                      DS 0481000G  3                  P  73          1971</t>
        </is>
      </c>
      <c r="D1184" t="inlineStr">
        <is>
          <t>At the feet of Mahatma Gandhi.</t>
        </is>
      </c>
      <c r="F1184" t="inlineStr">
        <is>
          <t>No</t>
        </is>
      </c>
      <c r="G1184" t="inlineStr">
        <is>
          <t>1</t>
        </is>
      </c>
      <c r="H1184" t="inlineStr">
        <is>
          <t>No</t>
        </is>
      </c>
      <c r="I1184" t="inlineStr">
        <is>
          <t>No</t>
        </is>
      </c>
      <c r="J1184" t="inlineStr">
        <is>
          <t>0</t>
        </is>
      </c>
      <c r="K1184" t="inlineStr">
        <is>
          <t>Prasad, Rajendra, 1884-1963.</t>
        </is>
      </c>
      <c r="L1184" t="inlineStr">
        <is>
          <t>Westport, Conn. : Greenwood Press, [1971, c1961]</t>
        </is>
      </c>
      <c r="M1184" t="inlineStr">
        <is>
          <t>1971</t>
        </is>
      </c>
      <c r="O1184" t="inlineStr">
        <is>
          <t>eng</t>
        </is>
      </c>
      <c r="P1184" t="inlineStr">
        <is>
          <t>ctu</t>
        </is>
      </c>
      <c r="R1184" t="inlineStr">
        <is>
          <t xml:space="preserve">DS </t>
        </is>
      </c>
      <c r="S1184" t="n">
        <v>7</v>
      </c>
      <c r="T1184" t="n">
        <v>7</v>
      </c>
      <c r="U1184" t="inlineStr">
        <is>
          <t>1999-09-02</t>
        </is>
      </c>
      <c r="V1184" t="inlineStr">
        <is>
          <t>1999-09-02</t>
        </is>
      </c>
      <c r="W1184" t="inlineStr">
        <is>
          <t>1994-04-27</t>
        </is>
      </c>
      <c r="X1184" t="inlineStr">
        <is>
          <t>1994-04-27</t>
        </is>
      </c>
      <c r="Y1184" t="n">
        <v>146</v>
      </c>
      <c r="Z1184" t="n">
        <v>129</v>
      </c>
      <c r="AA1184" t="n">
        <v>308</v>
      </c>
      <c r="AB1184" t="n">
        <v>2</v>
      </c>
      <c r="AC1184" t="n">
        <v>2</v>
      </c>
      <c r="AD1184" t="n">
        <v>11</v>
      </c>
      <c r="AE1184" t="n">
        <v>15</v>
      </c>
      <c r="AF1184" t="n">
        <v>5</v>
      </c>
      <c r="AG1184" t="n">
        <v>5</v>
      </c>
      <c r="AH1184" t="n">
        <v>3</v>
      </c>
      <c r="AI1184" t="n">
        <v>4</v>
      </c>
      <c r="AJ1184" t="n">
        <v>5</v>
      </c>
      <c r="AK1184" t="n">
        <v>8</v>
      </c>
      <c r="AL1184" t="n">
        <v>1</v>
      </c>
      <c r="AM1184" t="n">
        <v>1</v>
      </c>
      <c r="AN1184" t="n">
        <v>0</v>
      </c>
      <c r="AO1184" t="n">
        <v>0</v>
      </c>
      <c r="AP1184" t="inlineStr">
        <is>
          <t>No</t>
        </is>
      </c>
      <c r="AQ1184" t="inlineStr">
        <is>
          <t>Yes</t>
        </is>
      </c>
      <c r="AR1184">
        <f>HYPERLINK("http://catalog.hathitrust.org/Record/012281752","HathiTrust Record")</f>
        <v/>
      </c>
      <c r="AS1184">
        <f>HYPERLINK("https://creighton-primo.hosted.exlibrisgroup.com/primo-explore/search?tab=default_tab&amp;search_scope=EVERYTHING&amp;vid=01CRU&amp;lang=en_US&amp;offset=0&amp;query=any,contains,991000996939702656","Catalog Record")</f>
        <v/>
      </c>
      <c r="AT1184">
        <f>HYPERLINK("http://www.worldcat.org/oclc/171451","WorldCat Record")</f>
        <v/>
      </c>
      <c r="AU1184" t="inlineStr">
        <is>
          <t>1297928:eng</t>
        </is>
      </c>
      <c r="AV1184" t="inlineStr">
        <is>
          <t>171451</t>
        </is>
      </c>
      <c r="AW1184" t="inlineStr">
        <is>
          <t>991000996939702656</t>
        </is>
      </c>
      <c r="AX1184" t="inlineStr">
        <is>
          <t>991000996939702656</t>
        </is>
      </c>
      <c r="AY1184" t="inlineStr">
        <is>
          <t>2267289570002656</t>
        </is>
      </c>
      <c r="AZ1184" t="inlineStr">
        <is>
          <t>BOOK</t>
        </is>
      </c>
      <c r="BB1184" t="inlineStr">
        <is>
          <t>9780837161549</t>
        </is>
      </c>
      <c r="BC1184" t="inlineStr">
        <is>
          <t>32285001893717</t>
        </is>
      </c>
      <c r="BD1184" t="inlineStr">
        <is>
          <t>893528569</t>
        </is>
      </c>
    </row>
    <row r="1185">
      <c r="A1185" t="inlineStr">
        <is>
          <t>No</t>
        </is>
      </c>
      <c r="B1185" t="inlineStr">
        <is>
          <t>DS481.G3 R688</t>
        </is>
      </c>
      <c r="C1185" t="inlineStr">
        <is>
          <t>0                      DS 0481000G  3                  R  688</t>
        </is>
      </c>
      <c r="D1185" t="inlineStr">
        <is>
          <t>Gandhi and his contemporaries / [by] P. C. Roy Chaudhury.</t>
        </is>
      </c>
      <c r="F1185" t="inlineStr">
        <is>
          <t>No</t>
        </is>
      </c>
      <c r="G1185" t="inlineStr">
        <is>
          <t>1</t>
        </is>
      </c>
      <c r="H1185" t="inlineStr">
        <is>
          <t>No</t>
        </is>
      </c>
      <c r="I1185" t="inlineStr">
        <is>
          <t>No</t>
        </is>
      </c>
      <c r="J1185" t="inlineStr">
        <is>
          <t>0</t>
        </is>
      </c>
      <c r="K1185" t="inlineStr">
        <is>
          <t>Roy Choudhury, Pranab Chandra, 1903-</t>
        </is>
      </c>
      <c r="L1185" t="inlineStr">
        <is>
          <t>Jullundur : Sterling Publishers, [1972]</t>
        </is>
      </c>
      <c r="M1185" t="inlineStr">
        <is>
          <t>1972</t>
        </is>
      </c>
      <c r="N1185" t="inlineStr">
        <is>
          <t>[1st ed.]</t>
        </is>
      </c>
      <c r="O1185" t="inlineStr">
        <is>
          <t>eng</t>
        </is>
      </c>
      <c r="P1185" t="inlineStr">
        <is>
          <t xml:space="preserve">ii </t>
        </is>
      </c>
      <c r="R1185" t="inlineStr">
        <is>
          <t xml:space="preserve">DS </t>
        </is>
      </c>
      <c r="S1185" t="n">
        <v>6</v>
      </c>
      <c r="T1185" t="n">
        <v>6</v>
      </c>
      <c r="U1185" t="inlineStr">
        <is>
          <t>2008-12-09</t>
        </is>
      </c>
      <c r="V1185" t="inlineStr">
        <is>
          <t>2008-12-09</t>
        </is>
      </c>
      <c r="W1185" t="inlineStr">
        <is>
          <t>1993-08-30</t>
        </is>
      </c>
      <c r="X1185" t="inlineStr">
        <is>
          <t>1993-08-30</t>
        </is>
      </c>
      <c r="Y1185" t="n">
        <v>319</v>
      </c>
      <c r="Z1185" t="n">
        <v>292</v>
      </c>
      <c r="AA1185" t="n">
        <v>317</v>
      </c>
      <c r="AB1185" t="n">
        <v>3</v>
      </c>
      <c r="AC1185" t="n">
        <v>3</v>
      </c>
      <c r="AD1185" t="n">
        <v>13</v>
      </c>
      <c r="AE1185" t="n">
        <v>13</v>
      </c>
      <c r="AF1185" t="n">
        <v>2</v>
      </c>
      <c r="AG1185" t="n">
        <v>2</v>
      </c>
      <c r="AH1185" t="n">
        <v>4</v>
      </c>
      <c r="AI1185" t="n">
        <v>4</v>
      </c>
      <c r="AJ1185" t="n">
        <v>7</v>
      </c>
      <c r="AK1185" t="n">
        <v>7</v>
      </c>
      <c r="AL1185" t="n">
        <v>2</v>
      </c>
      <c r="AM1185" t="n">
        <v>2</v>
      </c>
      <c r="AN1185" t="n">
        <v>0</v>
      </c>
      <c r="AO1185" t="n">
        <v>0</v>
      </c>
      <c r="AP1185" t="inlineStr">
        <is>
          <t>No</t>
        </is>
      </c>
      <c r="AQ1185" t="inlineStr">
        <is>
          <t>Yes</t>
        </is>
      </c>
      <c r="AR1185">
        <f>HYPERLINK("http://catalog.hathitrust.org/Record/001252732","HathiTrust Record")</f>
        <v/>
      </c>
      <c r="AS1185">
        <f>HYPERLINK("https://creighton-primo.hosted.exlibrisgroup.com/primo-explore/search?tab=default_tab&amp;search_scope=EVERYTHING&amp;vid=01CRU&amp;lang=en_US&amp;offset=0&amp;query=any,contains,991003117829702656","Catalog Record")</f>
        <v/>
      </c>
      <c r="AT1185">
        <f>HYPERLINK("http://www.worldcat.org/oclc/663997","WorldCat Record")</f>
        <v/>
      </c>
      <c r="AU1185" t="inlineStr">
        <is>
          <t>1666342:eng</t>
        </is>
      </c>
      <c r="AV1185" t="inlineStr">
        <is>
          <t>663997</t>
        </is>
      </c>
      <c r="AW1185" t="inlineStr">
        <is>
          <t>991003117829702656</t>
        </is>
      </c>
      <c r="AX1185" t="inlineStr">
        <is>
          <t>991003117829702656</t>
        </is>
      </c>
      <c r="AY1185" t="inlineStr">
        <is>
          <t>2271681760002656</t>
        </is>
      </c>
      <c r="AZ1185" t="inlineStr">
        <is>
          <t>BOOK</t>
        </is>
      </c>
      <c r="BC1185" t="inlineStr">
        <is>
          <t>32285001761633</t>
        </is>
      </c>
      <c r="BD1185" t="inlineStr">
        <is>
          <t>893809837</t>
        </is>
      </c>
    </row>
    <row r="1186">
      <c r="A1186" t="inlineStr">
        <is>
          <t>No</t>
        </is>
      </c>
      <c r="B1186" t="inlineStr">
        <is>
          <t>DS481.G3 S458</t>
        </is>
      </c>
      <c r="C1186" t="inlineStr">
        <is>
          <t>0                      DS 0481000G  3                  S  458</t>
        </is>
      </c>
      <c r="D1186" t="inlineStr">
        <is>
          <t>Gandhi today / J. D. Sethi ; with a foreward [sic] by Jayaprakash Narayan. --</t>
        </is>
      </c>
      <c r="F1186" t="inlineStr">
        <is>
          <t>No</t>
        </is>
      </c>
      <c r="G1186" t="inlineStr">
        <is>
          <t>1</t>
        </is>
      </c>
      <c r="H1186" t="inlineStr">
        <is>
          <t>No</t>
        </is>
      </c>
      <c r="I1186" t="inlineStr">
        <is>
          <t>No</t>
        </is>
      </c>
      <c r="J1186" t="inlineStr">
        <is>
          <t>0</t>
        </is>
      </c>
      <c r="K1186" t="inlineStr">
        <is>
          <t>Sethi, J. D. (Jai Dev), 1924-</t>
        </is>
      </c>
      <c r="L1186" t="inlineStr">
        <is>
          <t>Durham, N.C. : Carolina Academic Press, c1978.</t>
        </is>
      </c>
      <c r="M1186" t="inlineStr">
        <is>
          <t>1978</t>
        </is>
      </c>
      <c r="O1186" t="inlineStr">
        <is>
          <t>eng</t>
        </is>
      </c>
      <c r="P1186" t="inlineStr">
        <is>
          <t>ncu</t>
        </is>
      </c>
      <c r="R1186" t="inlineStr">
        <is>
          <t xml:space="preserve">DS </t>
        </is>
      </c>
      <c r="S1186" t="n">
        <v>17</v>
      </c>
      <c r="T1186" t="n">
        <v>17</v>
      </c>
      <c r="U1186" t="inlineStr">
        <is>
          <t>2002-04-24</t>
        </is>
      </c>
      <c r="V1186" t="inlineStr">
        <is>
          <t>2002-04-24</t>
        </is>
      </c>
      <c r="W1186" t="inlineStr">
        <is>
          <t>1990-10-09</t>
        </is>
      </c>
      <c r="X1186" t="inlineStr">
        <is>
          <t>1990-10-09</t>
        </is>
      </c>
      <c r="Y1186" t="n">
        <v>181</v>
      </c>
      <c r="Z1186" t="n">
        <v>152</v>
      </c>
      <c r="AA1186" t="n">
        <v>195</v>
      </c>
      <c r="AB1186" t="n">
        <v>2</v>
      </c>
      <c r="AC1186" t="n">
        <v>2</v>
      </c>
      <c r="AD1186" t="n">
        <v>5</v>
      </c>
      <c r="AE1186" t="n">
        <v>5</v>
      </c>
      <c r="AF1186" t="n">
        <v>1</v>
      </c>
      <c r="AG1186" t="n">
        <v>1</v>
      </c>
      <c r="AH1186" t="n">
        <v>1</v>
      </c>
      <c r="AI1186" t="n">
        <v>1</v>
      </c>
      <c r="AJ1186" t="n">
        <v>2</v>
      </c>
      <c r="AK1186" t="n">
        <v>2</v>
      </c>
      <c r="AL1186" t="n">
        <v>1</v>
      </c>
      <c r="AM1186" t="n">
        <v>1</v>
      </c>
      <c r="AN1186" t="n">
        <v>0</v>
      </c>
      <c r="AO1186" t="n">
        <v>0</v>
      </c>
      <c r="AP1186" t="inlineStr">
        <is>
          <t>No</t>
        </is>
      </c>
      <c r="AQ1186" t="inlineStr">
        <is>
          <t>Yes</t>
        </is>
      </c>
      <c r="AR1186">
        <f>HYPERLINK("http://catalog.hathitrust.org/Record/006214285","HathiTrust Record")</f>
        <v/>
      </c>
      <c r="AS1186">
        <f>HYPERLINK("https://creighton-primo.hosted.exlibrisgroup.com/primo-explore/search?tab=default_tab&amp;search_scope=EVERYTHING&amp;vid=01CRU&amp;lang=en_US&amp;offset=0&amp;query=any,contains,991004568289702656","Catalog Record")</f>
        <v/>
      </c>
      <c r="AT1186">
        <f>HYPERLINK("http://www.worldcat.org/oclc/4005198","WorldCat Record")</f>
        <v/>
      </c>
      <c r="AU1186" t="inlineStr">
        <is>
          <t>7382224:eng</t>
        </is>
      </c>
      <c r="AV1186" t="inlineStr">
        <is>
          <t>4005198</t>
        </is>
      </c>
      <c r="AW1186" t="inlineStr">
        <is>
          <t>991004568289702656</t>
        </is>
      </c>
      <c r="AX1186" t="inlineStr">
        <is>
          <t>991004568289702656</t>
        </is>
      </c>
      <c r="AY1186" t="inlineStr">
        <is>
          <t>2264894510002656</t>
        </is>
      </c>
      <c r="AZ1186" t="inlineStr">
        <is>
          <t>BOOK</t>
        </is>
      </c>
      <c r="BB1186" t="inlineStr">
        <is>
          <t>9780090890880</t>
        </is>
      </c>
      <c r="BC1186" t="inlineStr">
        <is>
          <t>32285000336684</t>
        </is>
      </c>
      <c r="BD1186" t="inlineStr">
        <is>
          <t>893788870</t>
        </is>
      </c>
    </row>
    <row r="1187">
      <c r="A1187" t="inlineStr">
        <is>
          <t>No</t>
        </is>
      </c>
      <c r="B1187" t="inlineStr">
        <is>
          <t>DS481.G3 S475</t>
        </is>
      </c>
      <c r="C1187" t="inlineStr">
        <is>
          <t>0                      DS 0481000G  3                  S  475</t>
        </is>
      </c>
      <c r="D1187" t="inlineStr">
        <is>
          <t>Mr. Gandhi.</t>
        </is>
      </c>
      <c r="F1187" t="inlineStr">
        <is>
          <t>No</t>
        </is>
      </c>
      <c r="G1187" t="inlineStr">
        <is>
          <t>1</t>
        </is>
      </c>
      <c r="H1187" t="inlineStr">
        <is>
          <t>No</t>
        </is>
      </c>
      <c r="I1187" t="inlineStr">
        <is>
          <t>No</t>
        </is>
      </c>
      <c r="J1187" t="inlineStr">
        <is>
          <t>0</t>
        </is>
      </c>
      <c r="K1187" t="inlineStr">
        <is>
          <t>Shahani, Ranjee, 1904-1968.</t>
        </is>
      </c>
      <c r="L1187" t="inlineStr">
        <is>
          <t>New York : Macmillan, 1961.</t>
        </is>
      </c>
      <c r="M1187" t="inlineStr">
        <is>
          <t>1961</t>
        </is>
      </c>
      <c r="O1187" t="inlineStr">
        <is>
          <t>eng</t>
        </is>
      </c>
      <c r="P1187" t="inlineStr">
        <is>
          <t>nyu</t>
        </is>
      </c>
      <c r="R1187" t="inlineStr">
        <is>
          <t xml:space="preserve">DS </t>
        </is>
      </c>
      <c r="S1187" t="n">
        <v>3</v>
      </c>
      <c r="T1187" t="n">
        <v>3</v>
      </c>
      <c r="U1187" t="inlineStr">
        <is>
          <t>2002-12-04</t>
        </is>
      </c>
      <c r="V1187" t="inlineStr">
        <is>
          <t>2002-12-04</t>
        </is>
      </c>
      <c r="W1187" t="inlineStr">
        <is>
          <t>1994-07-06</t>
        </is>
      </c>
      <c r="X1187" t="inlineStr">
        <is>
          <t>1994-07-06</t>
        </is>
      </c>
      <c r="Y1187" t="n">
        <v>398</v>
      </c>
      <c r="Z1187" t="n">
        <v>356</v>
      </c>
      <c r="AA1187" t="n">
        <v>359</v>
      </c>
      <c r="AB1187" t="n">
        <v>4</v>
      </c>
      <c r="AC1187" t="n">
        <v>4</v>
      </c>
      <c r="AD1187" t="n">
        <v>10</v>
      </c>
      <c r="AE1187" t="n">
        <v>10</v>
      </c>
      <c r="AF1187" t="n">
        <v>2</v>
      </c>
      <c r="AG1187" t="n">
        <v>2</v>
      </c>
      <c r="AH1187" t="n">
        <v>2</v>
      </c>
      <c r="AI1187" t="n">
        <v>2</v>
      </c>
      <c r="AJ1187" t="n">
        <v>5</v>
      </c>
      <c r="AK1187" t="n">
        <v>5</v>
      </c>
      <c r="AL1187" t="n">
        <v>2</v>
      </c>
      <c r="AM1187" t="n">
        <v>2</v>
      </c>
      <c r="AN1187" t="n">
        <v>0</v>
      </c>
      <c r="AO1187" t="n">
        <v>0</v>
      </c>
      <c r="AP1187" t="inlineStr">
        <is>
          <t>No</t>
        </is>
      </c>
      <c r="AQ1187" t="inlineStr">
        <is>
          <t>Yes</t>
        </is>
      </c>
      <c r="AR1187">
        <f>HYPERLINK("http://catalog.hathitrust.org/Record/001252739","HathiTrust Record")</f>
        <v/>
      </c>
      <c r="AS1187">
        <f>HYPERLINK("https://creighton-primo.hosted.exlibrisgroup.com/primo-explore/search?tab=default_tab&amp;search_scope=EVERYTHING&amp;vid=01CRU&amp;lang=en_US&amp;offset=0&amp;query=any,contains,991002711329702656","Catalog Record")</f>
        <v/>
      </c>
      <c r="AT1187">
        <f>HYPERLINK("http://www.worldcat.org/oclc/409379","WorldCat Record")</f>
        <v/>
      </c>
      <c r="AU1187" t="inlineStr">
        <is>
          <t>1446970:eng</t>
        </is>
      </c>
      <c r="AV1187" t="inlineStr">
        <is>
          <t>409379</t>
        </is>
      </c>
      <c r="AW1187" t="inlineStr">
        <is>
          <t>991002711329702656</t>
        </is>
      </c>
      <c r="AX1187" t="inlineStr">
        <is>
          <t>991002711329702656</t>
        </is>
      </c>
      <c r="AY1187" t="inlineStr">
        <is>
          <t>2262122620002656</t>
        </is>
      </c>
      <c r="AZ1187" t="inlineStr">
        <is>
          <t>BOOK</t>
        </is>
      </c>
      <c r="BC1187" t="inlineStr">
        <is>
          <t>32285001936193</t>
        </is>
      </c>
      <c r="BD1187" t="inlineStr">
        <is>
          <t>893603907</t>
        </is>
      </c>
    </row>
    <row r="1188">
      <c r="A1188" t="inlineStr">
        <is>
          <t>No</t>
        </is>
      </c>
      <c r="B1188" t="inlineStr">
        <is>
          <t>DS481.G3 S487 1982</t>
        </is>
      </c>
      <c r="C1188" t="inlineStr">
        <is>
          <t>0                      DS 0481000G  3                  S  487         1982</t>
        </is>
      </c>
      <c r="D1188" t="inlineStr">
        <is>
          <t>Gandhi, a memoir / William L. Shirer.</t>
        </is>
      </c>
      <c r="F1188" t="inlineStr">
        <is>
          <t>No</t>
        </is>
      </c>
      <c r="G1188" t="inlineStr">
        <is>
          <t>1</t>
        </is>
      </c>
      <c r="H1188" t="inlineStr">
        <is>
          <t>No</t>
        </is>
      </c>
      <c r="I1188" t="inlineStr">
        <is>
          <t>No</t>
        </is>
      </c>
      <c r="J1188" t="inlineStr">
        <is>
          <t>0</t>
        </is>
      </c>
      <c r="K1188" t="inlineStr">
        <is>
          <t>Shirer, William L. (William Lawrence), 1904-1993.</t>
        </is>
      </c>
      <c r="L1188" t="inlineStr">
        <is>
          <t>New York, N.Y. : Washington Square Press, 1982, c1979.</t>
        </is>
      </c>
      <c r="M1188" t="inlineStr">
        <is>
          <t>1982</t>
        </is>
      </c>
      <c r="O1188" t="inlineStr">
        <is>
          <t>eng</t>
        </is>
      </c>
      <c r="P1188" t="inlineStr">
        <is>
          <t>nyu</t>
        </is>
      </c>
      <c r="R1188" t="inlineStr">
        <is>
          <t xml:space="preserve">DS </t>
        </is>
      </c>
      <c r="S1188" t="n">
        <v>25</v>
      </c>
      <c r="T1188" t="n">
        <v>25</v>
      </c>
      <c r="U1188" t="inlineStr">
        <is>
          <t>2002-11-25</t>
        </is>
      </c>
      <c r="V1188" t="inlineStr">
        <is>
          <t>2002-11-25</t>
        </is>
      </c>
      <c r="W1188" t="inlineStr">
        <is>
          <t>1990-10-09</t>
        </is>
      </c>
      <c r="X1188" t="inlineStr">
        <is>
          <t>1990-10-09</t>
        </is>
      </c>
      <c r="Y1188" t="n">
        <v>194</v>
      </c>
      <c r="Z1188" t="n">
        <v>191</v>
      </c>
      <c r="AA1188" t="n">
        <v>1652</v>
      </c>
      <c r="AB1188" t="n">
        <v>2</v>
      </c>
      <c r="AC1188" t="n">
        <v>7</v>
      </c>
      <c r="AD1188" t="n">
        <v>2</v>
      </c>
      <c r="AE1188" t="n">
        <v>31</v>
      </c>
      <c r="AF1188" t="n">
        <v>2</v>
      </c>
      <c r="AG1188" t="n">
        <v>12</v>
      </c>
      <c r="AH1188" t="n">
        <v>0</v>
      </c>
      <c r="AI1188" t="n">
        <v>7</v>
      </c>
      <c r="AJ1188" t="n">
        <v>1</v>
      </c>
      <c r="AK1188" t="n">
        <v>16</v>
      </c>
      <c r="AL1188" t="n">
        <v>0</v>
      </c>
      <c r="AM1188" t="n">
        <v>3</v>
      </c>
      <c r="AN1188" t="n">
        <v>0</v>
      </c>
      <c r="AO1188" t="n">
        <v>1</v>
      </c>
      <c r="AP1188" t="inlineStr">
        <is>
          <t>No</t>
        </is>
      </c>
      <c r="AQ1188" t="inlineStr">
        <is>
          <t>No</t>
        </is>
      </c>
      <c r="AS1188">
        <f>HYPERLINK("https://creighton-primo.hosted.exlibrisgroup.com/primo-explore/search?tab=default_tab&amp;search_scope=EVERYTHING&amp;vid=01CRU&amp;lang=en_US&amp;offset=0&amp;query=any,contains,991000122009702656","Catalog Record")</f>
        <v/>
      </c>
      <c r="AT1188">
        <f>HYPERLINK("http://www.worldcat.org/oclc/9076023","WorldCat Record")</f>
        <v/>
      </c>
      <c r="AU1188" t="inlineStr">
        <is>
          <t>3768525042:eng</t>
        </is>
      </c>
      <c r="AV1188" t="inlineStr">
        <is>
          <t>9076023</t>
        </is>
      </c>
      <c r="AW1188" t="inlineStr">
        <is>
          <t>991000122009702656</t>
        </is>
      </c>
      <c r="AX1188" t="inlineStr">
        <is>
          <t>991000122009702656</t>
        </is>
      </c>
      <c r="AY1188" t="inlineStr">
        <is>
          <t>2270820300002656</t>
        </is>
      </c>
      <c r="AZ1188" t="inlineStr">
        <is>
          <t>BOOK</t>
        </is>
      </c>
      <c r="BB1188" t="inlineStr">
        <is>
          <t>9780671461478</t>
        </is>
      </c>
      <c r="BC1188" t="inlineStr">
        <is>
          <t>32285000336692</t>
        </is>
      </c>
      <c r="BD1188" t="inlineStr">
        <is>
          <t>893890434</t>
        </is>
      </c>
    </row>
    <row r="1189">
      <c r="A1189" t="inlineStr">
        <is>
          <t>No</t>
        </is>
      </c>
      <c r="B1189" t="inlineStr">
        <is>
          <t>DS481.G3 W29 1967</t>
        </is>
      </c>
      <c r="C1189" t="inlineStr">
        <is>
          <t>0                      DS 0481000G  3                  W  29          1967</t>
        </is>
      </c>
      <c r="D1189" t="inlineStr">
        <is>
          <t>Gandhi.</t>
        </is>
      </c>
      <c r="F1189" t="inlineStr">
        <is>
          <t>No</t>
        </is>
      </c>
      <c r="G1189" t="inlineStr">
        <is>
          <t>1</t>
        </is>
      </c>
      <c r="H1189" t="inlineStr">
        <is>
          <t>No</t>
        </is>
      </c>
      <c r="I1189" t="inlineStr">
        <is>
          <t>No</t>
        </is>
      </c>
      <c r="J1189" t="inlineStr">
        <is>
          <t>0</t>
        </is>
      </c>
      <c r="K1189" t="inlineStr">
        <is>
          <t>Watson, Francis, 1907-1988.</t>
        </is>
      </c>
      <c r="L1189" t="inlineStr">
        <is>
          <t>London : Oxford U.P., 1967.</t>
        </is>
      </c>
      <c r="M1189" t="inlineStr">
        <is>
          <t>1967</t>
        </is>
      </c>
      <c r="O1189" t="inlineStr">
        <is>
          <t>eng</t>
        </is>
      </c>
      <c r="P1189" t="inlineStr">
        <is>
          <t>enk</t>
        </is>
      </c>
      <c r="Q1189" t="inlineStr">
        <is>
          <t>The Clarendon biographies ; 18</t>
        </is>
      </c>
      <c r="R1189" t="inlineStr">
        <is>
          <t xml:space="preserve">DS </t>
        </is>
      </c>
      <c r="S1189" t="n">
        <v>11</v>
      </c>
      <c r="T1189" t="n">
        <v>11</v>
      </c>
      <c r="U1189" t="inlineStr">
        <is>
          <t>2008-04-14</t>
        </is>
      </c>
      <c r="V1189" t="inlineStr">
        <is>
          <t>2008-04-14</t>
        </is>
      </c>
      <c r="W1189" t="inlineStr">
        <is>
          <t>1994-04-27</t>
        </is>
      </c>
      <c r="X1189" t="inlineStr">
        <is>
          <t>1994-04-27</t>
        </is>
      </c>
      <c r="Y1189" t="n">
        <v>273</v>
      </c>
      <c r="Z1189" t="n">
        <v>230</v>
      </c>
      <c r="AA1189" t="n">
        <v>232</v>
      </c>
      <c r="AB1189" t="n">
        <v>4</v>
      </c>
      <c r="AC1189" t="n">
        <v>4</v>
      </c>
      <c r="AD1189" t="n">
        <v>6</v>
      </c>
      <c r="AE1189" t="n">
        <v>6</v>
      </c>
      <c r="AF1189" t="n">
        <v>1</v>
      </c>
      <c r="AG1189" t="n">
        <v>1</v>
      </c>
      <c r="AH1189" t="n">
        <v>1</v>
      </c>
      <c r="AI1189" t="n">
        <v>1</v>
      </c>
      <c r="AJ1189" t="n">
        <v>3</v>
      </c>
      <c r="AK1189" t="n">
        <v>3</v>
      </c>
      <c r="AL1189" t="n">
        <v>1</v>
      </c>
      <c r="AM1189" t="n">
        <v>1</v>
      </c>
      <c r="AN1189" t="n">
        <v>0</v>
      </c>
      <c r="AO1189" t="n">
        <v>0</v>
      </c>
      <c r="AP1189" t="inlineStr">
        <is>
          <t>No</t>
        </is>
      </c>
      <c r="AQ1189" t="inlineStr">
        <is>
          <t>Yes</t>
        </is>
      </c>
      <c r="AR1189">
        <f>HYPERLINK("http://catalog.hathitrust.org/Record/001252766","HathiTrust Record")</f>
        <v/>
      </c>
      <c r="AS1189">
        <f>HYPERLINK("https://creighton-primo.hosted.exlibrisgroup.com/primo-explore/search?tab=default_tab&amp;search_scope=EVERYTHING&amp;vid=01CRU&amp;lang=en_US&amp;offset=0&amp;query=any,contains,991002816269702656","Catalog Record")</f>
        <v/>
      </c>
      <c r="AT1189">
        <f>HYPERLINK("http://www.worldcat.org/oclc/459932","WorldCat Record")</f>
        <v/>
      </c>
      <c r="AU1189" t="inlineStr">
        <is>
          <t>3769942610:eng</t>
        </is>
      </c>
      <c r="AV1189" t="inlineStr">
        <is>
          <t>459932</t>
        </is>
      </c>
      <c r="AW1189" t="inlineStr">
        <is>
          <t>991002816269702656</t>
        </is>
      </c>
      <c r="AX1189" t="inlineStr">
        <is>
          <t>991002816269702656</t>
        </is>
      </c>
      <c r="AY1189" t="inlineStr">
        <is>
          <t>2264427970002656</t>
        </is>
      </c>
      <c r="AZ1189" t="inlineStr">
        <is>
          <t>BOOK</t>
        </is>
      </c>
      <c r="BC1189" t="inlineStr">
        <is>
          <t>32285001893709</t>
        </is>
      </c>
      <c r="BD1189" t="inlineStr">
        <is>
          <t>893227314</t>
        </is>
      </c>
    </row>
    <row r="1190">
      <c r="A1190" t="inlineStr">
        <is>
          <t>No</t>
        </is>
      </c>
      <c r="B1190" t="inlineStr">
        <is>
          <t>DS481.G3 W65</t>
        </is>
      </c>
      <c r="C1190" t="inlineStr">
        <is>
          <t>0                      DS 0481000G  3                  W  65</t>
        </is>
      </c>
      <c r="D1190" t="inlineStr">
        <is>
          <t>Mohandas Gandhi.</t>
        </is>
      </c>
      <c r="F1190" t="inlineStr">
        <is>
          <t>No</t>
        </is>
      </c>
      <c r="G1190" t="inlineStr">
        <is>
          <t>1</t>
        </is>
      </c>
      <c r="H1190" t="inlineStr">
        <is>
          <t>No</t>
        </is>
      </c>
      <c r="I1190" t="inlineStr">
        <is>
          <t>No</t>
        </is>
      </c>
      <c r="J1190" t="inlineStr">
        <is>
          <t>0</t>
        </is>
      </c>
      <c r="K1190" t="inlineStr">
        <is>
          <t>Woodcock, George, 1912-1995.</t>
        </is>
      </c>
      <c r="L1190" t="inlineStr">
        <is>
          <t>New York : Viking Press, [1971]</t>
        </is>
      </c>
      <c r="M1190" t="inlineStr">
        <is>
          <t>1971</t>
        </is>
      </c>
      <c r="O1190" t="inlineStr">
        <is>
          <t>eng</t>
        </is>
      </c>
      <c r="P1190" t="inlineStr">
        <is>
          <t>nyu</t>
        </is>
      </c>
      <c r="Q1190" t="inlineStr">
        <is>
          <t>Modern masters, M15</t>
        </is>
      </c>
      <c r="R1190" t="inlineStr">
        <is>
          <t xml:space="preserve">DS </t>
        </is>
      </c>
      <c r="S1190" t="n">
        <v>3</v>
      </c>
      <c r="T1190" t="n">
        <v>3</v>
      </c>
      <c r="U1190" t="inlineStr">
        <is>
          <t>1995-04-11</t>
        </is>
      </c>
      <c r="V1190" t="inlineStr">
        <is>
          <t>1995-04-11</t>
        </is>
      </c>
      <c r="W1190" t="inlineStr">
        <is>
          <t>1993-12-08</t>
        </is>
      </c>
      <c r="X1190" t="inlineStr">
        <is>
          <t>1993-12-08</t>
        </is>
      </c>
      <c r="Y1190" t="n">
        <v>588</v>
      </c>
      <c r="Z1190" t="n">
        <v>557</v>
      </c>
      <c r="AA1190" t="n">
        <v>586</v>
      </c>
      <c r="AB1190" t="n">
        <v>5</v>
      </c>
      <c r="AC1190" t="n">
        <v>5</v>
      </c>
      <c r="AD1190" t="n">
        <v>18</v>
      </c>
      <c r="AE1190" t="n">
        <v>20</v>
      </c>
      <c r="AF1190" t="n">
        <v>9</v>
      </c>
      <c r="AG1190" t="n">
        <v>10</v>
      </c>
      <c r="AH1190" t="n">
        <v>3</v>
      </c>
      <c r="AI1190" t="n">
        <v>4</v>
      </c>
      <c r="AJ1190" t="n">
        <v>10</v>
      </c>
      <c r="AK1190" t="n">
        <v>10</v>
      </c>
      <c r="AL1190" t="n">
        <v>1</v>
      </c>
      <c r="AM1190" t="n">
        <v>1</v>
      </c>
      <c r="AN1190" t="n">
        <v>0</v>
      </c>
      <c r="AO1190" t="n">
        <v>0</v>
      </c>
      <c r="AP1190" t="inlineStr">
        <is>
          <t>No</t>
        </is>
      </c>
      <c r="AQ1190" t="inlineStr">
        <is>
          <t>Yes</t>
        </is>
      </c>
      <c r="AR1190">
        <f>HYPERLINK("http://catalog.hathitrust.org/Record/001252770","HathiTrust Record")</f>
        <v/>
      </c>
      <c r="AS1190">
        <f>HYPERLINK("https://creighton-primo.hosted.exlibrisgroup.com/primo-explore/search?tab=default_tab&amp;search_scope=EVERYTHING&amp;vid=01CRU&amp;lang=en_US&amp;offset=0&amp;query=any,contains,991001057239702656","Catalog Record")</f>
        <v/>
      </c>
      <c r="AT1190">
        <f>HYPERLINK("http://www.worldcat.org/oclc/177513","WorldCat Record")</f>
        <v/>
      </c>
      <c r="AU1190" t="inlineStr">
        <is>
          <t>137804926:eng</t>
        </is>
      </c>
      <c r="AV1190" t="inlineStr">
        <is>
          <t>177513</t>
        </is>
      </c>
      <c r="AW1190" t="inlineStr">
        <is>
          <t>991001057239702656</t>
        </is>
      </c>
      <c r="AX1190" t="inlineStr">
        <is>
          <t>991001057239702656</t>
        </is>
      </c>
      <c r="AY1190" t="inlineStr">
        <is>
          <t>2268182690002656</t>
        </is>
      </c>
      <c r="AZ1190" t="inlineStr">
        <is>
          <t>BOOK</t>
        </is>
      </c>
      <c r="BB1190" t="inlineStr">
        <is>
          <t>9780670484294</t>
        </is>
      </c>
      <c r="BC1190" t="inlineStr">
        <is>
          <t>32285001806289</t>
        </is>
      </c>
      <c r="BD1190" t="inlineStr">
        <is>
          <t>893438833</t>
        </is>
      </c>
    </row>
    <row r="1191">
      <c r="A1191" t="inlineStr">
        <is>
          <t>No</t>
        </is>
      </c>
      <c r="B1191" t="inlineStr">
        <is>
          <t>DS481.G316 A39 1992</t>
        </is>
      </c>
      <c r="C1191" t="inlineStr">
        <is>
          <t>0                      DS 0481000G  316                A  39          1992</t>
        </is>
      </c>
      <c r="D1191" t="inlineStr">
        <is>
          <t>Remembering Rajiv / Mani Shankar Aiyar.</t>
        </is>
      </c>
      <c r="F1191" t="inlineStr">
        <is>
          <t>No</t>
        </is>
      </c>
      <c r="G1191" t="inlineStr">
        <is>
          <t>1</t>
        </is>
      </c>
      <c r="H1191" t="inlineStr">
        <is>
          <t>No</t>
        </is>
      </c>
      <c r="I1191" t="inlineStr">
        <is>
          <t>No</t>
        </is>
      </c>
      <c r="J1191" t="inlineStr">
        <is>
          <t>0</t>
        </is>
      </c>
      <c r="K1191" t="inlineStr">
        <is>
          <t>Aiyar, Mani Shankar, 1941-</t>
        </is>
      </c>
      <c r="L1191" t="inlineStr">
        <is>
          <t>Calcutta : Rupa, c1992.</t>
        </is>
      </c>
      <c r="M1191" t="inlineStr">
        <is>
          <t>1992</t>
        </is>
      </c>
      <c r="O1191" t="inlineStr">
        <is>
          <t>eng</t>
        </is>
      </c>
      <c r="P1191" t="inlineStr">
        <is>
          <t xml:space="preserve">ii </t>
        </is>
      </c>
      <c r="R1191" t="inlineStr">
        <is>
          <t xml:space="preserve">DS </t>
        </is>
      </c>
      <c r="S1191" t="n">
        <v>6</v>
      </c>
      <c r="T1191" t="n">
        <v>6</v>
      </c>
      <c r="U1191" t="inlineStr">
        <is>
          <t>1994-03-17</t>
        </is>
      </c>
      <c r="V1191" t="inlineStr">
        <is>
          <t>1994-03-17</t>
        </is>
      </c>
      <c r="W1191" t="inlineStr">
        <is>
          <t>1993-02-17</t>
        </is>
      </c>
      <c r="X1191" t="inlineStr">
        <is>
          <t>1993-02-17</t>
        </is>
      </c>
      <c r="Y1191" t="n">
        <v>35</v>
      </c>
      <c r="Z1191" t="n">
        <v>27</v>
      </c>
      <c r="AA1191" t="n">
        <v>29</v>
      </c>
      <c r="AB1191" t="n">
        <v>1</v>
      </c>
      <c r="AC1191" t="n">
        <v>1</v>
      </c>
      <c r="AD1191" t="n">
        <v>0</v>
      </c>
      <c r="AE1191" t="n">
        <v>0</v>
      </c>
      <c r="AF1191" t="n">
        <v>0</v>
      </c>
      <c r="AG1191" t="n">
        <v>0</v>
      </c>
      <c r="AH1191" t="n">
        <v>0</v>
      </c>
      <c r="AI1191" t="n">
        <v>0</v>
      </c>
      <c r="AJ1191" t="n">
        <v>0</v>
      </c>
      <c r="AK1191" t="n">
        <v>0</v>
      </c>
      <c r="AL1191" t="n">
        <v>0</v>
      </c>
      <c r="AM1191" t="n">
        <v>0</v>
      </c>
      <c r="AN1191" t="n">
        <v>0</v>
      </c>
      <c r="AO1191" t="n">
        <v>0</v>
      </c>
      <c r="AP1191" t="inlineStr">
        <is>
          <t>No</t>
        </is>
      </c>
      <c r="AQ1191" t="inlineStr">
        <is>
          <t>Yes</t>
        </is>
      </c>
      <c r="AR1191">
        <f>HYPERLINK("http://catalog.hathitrust.org/Record/002736629","HathiTrust Record")</f>
        <v/>
      </c>
      <c r="AS1191">
        <f>HYPERLINK("https://creighton-primo.hosted.exlibrisgroup.com/primo-explore/search?tab=default_tab&amp;search_scope=EVERYTHING&amp;vid=01CRU&amp;lang=en_US&amp;offset=0&amp;query=any,contains,991002136399702656","Catalog Record")</f>
        <v/>
      </c>
      <c r="AT1191">
        <f>HYPERLINK("http://www.worldcat.org/oclc/27403637","WorldCat Record")</f>
        <v/>
      </c>
      <c r="AU1191" t="inlineStr">
        <is>
          <t>29497555:eng</t>
        </is>
      </c>
      <c r="AV1191" t="inlineStr">
        <is>
          <t>27403637</t>
        </is>
      </c>
      <c r="AW1191" t="inlineStr">
        <is>
          <t>991002136399702656</t>
        </is>
      </c>
      <c r="AX1191" t="inlineStr">
        <is>
          <t>991002136399702656</t>
        </is>
      </c>
      <c r="AY1191" t="inlineStr">
        <is>
          <t>2259195410002656</t>
        </is>
      </c>
      <c r="AZ1191" t="inlineStr">
        <is>
          <t>BOOK</t>
        </is>
      </c>
      <c r="BB1191" t="inlineStr">
        <is>
          <t>9788171670871</t>
        </is>
      </c>
      <c r="BC1191" t="inlineStr">
        <is>
          <t>32285000989573</t>
        </is>
      </c>
      <c r="BD1191" t="inlineStr">
        <is>
          <t>893529586</t>
        </is>
      </c>
    </row>
    <row r="1192">
      <c r="A1192" t="inlineStr">
        <is>
          <t>No</t>
        </is>
      </c>
      <c r="B1192" t="inlineStr">
        <is>
          <t>DS481.K73 G4 1965</t>
        </is>
      </c>
      <c r="C1192" t="inlineStr">
        <is>
          <t>0                      DS 0481000K  73                 G  4           1965</t>
        </is>
      </c>
      <c r="D1192" t="inlineStr">
        <is>
          <t>Krishna Menon, a biography T.J.S. George.</t>
        </is>
      </c>
      <c r="F1192" t="inlineStr">
        <is>
          <t>No</t>
        </is>
      </c>
      <c r="G1192" t="inlineStr">
        <is>
          <t>1</t>
        </is>
      </c>
      <c r="H1192" t="inlineStr">
        <is>
          <t>No</t>
        </is>
      </c>
      <c r="I1192" t="inlineStr">
        <is>
          <t>No</t>
        </is>
      </c>
      <c r="J1192" t="inlineStr">
        <is>
          <t>0</t>
        </is>
      </c>
      <c r="K1192" t="inlineStr">
        <is>
          <t>George, T. J. S.</t>
        </is>
      </c>
      <c r="L1192" t="inlineStr">
        <is>
          <t>New York, Taplinger Pub. Co. [1965, c1964]</t>
        </is>
      </c>
      <c r="M1192" t="inlineStr">
        <is>
          <t>1965</t>
        </is>
      </c>
      <c r="O1192" t="inlineStr">
        <is>
          <t>eng</t>
        </is>
      </c>
      <c r="P1192" t="inlineStr">
        <is>
          <t>nyu</t>
        </is>
      </c>
      <c r="R1192" t="inlineStr">
        <is>
          <t xml:space="preserve">DS </t>
        </is>
      </c>
      <c r="S1192" t="n">
        <v>3</v>
      </c>
      <c r="T1192" t="n">
        <v>3</v>
      </c>
      <c r="U1192" t="inlineStr">
        <is>
          <t>2003-04-07</t>
        </is>
      </c>
      <c r="V1192" t="inlineStr">
        <is>
          <t>2003-04-07</t>
        </is>
      </c>
      <c r="W1192" t="inlineStr">
        <is>
          <t>1997-03-10</t>
        </is>
      </c>
      <c r="X1192" t="inlineStr">
        <is>
          <t>1997-03-10</t>
        </is>
      </c>
      <c r="Y1192" t="n">
        <v>382</v>
      </c>
      <c r="Z1192" t="n">
        <v>355</v>
      </c>
      <c r="AA1192" t="n">
        <v>431</v>
      </c>
      <c r="AB1192" t="n">
        <v>2</v>
      </c>
      <c r="AC1192" t="n">
        <v>2</v>
      </c>
      <c r="AD1192" t="n">
        <v>11</v>
      </c>
      <c r="AE1192" t="n">
        <v>13</v>
      </c>
      <c r="AF1192" t="n">
        <v>1</v>
      </c>
      <c r="AG1192" t="n">
        <v>2</v>
      </c>
      <c r="AH1192" t="n">
        <v>4</v>
      </c>
      <c r="AI1192" t="n">
        <v>5</v>
      </c>
      <c r="AJ1192" t="n">
        <v>7</v>
      </c>
      <c r="AK1192" t="n">
        <v>8</v>
      </c>
      <c r="AL1192" t="n">
        <v>1</v>
      </c>
      <c r="AM1192" t="n">
        <v>1</v>
      </c>
      <c r="AN1192" t="n">
        <v>0</v>
      </c>
      <c r="AO1192" t="n">
        <v>0</v>
      </c>
      <c r="AP1192" t="inlineStr">
        <is>
          <t>No</t>
        </is>
      </c>
      <c r="AQ1192" t="inlineStr">
        <is>
          <t>Yes</t>
        </is>
      </c>
      <c r="AR1192">
        <f>HYPERLINK("http://catalog.hathitrust.org/Record/007880331","HathiTrust Record")</f>
        <v/>
      </c>
      <c r="AS1192">
        <f>HYPERLINK("https://creighton-primo.hosted.exlibrisgroup.com/primo-explore/search?tab=default_tab&amp;search_scope=EVERYTHING&amp;vid=01CRU&amp;lang=en_US&amp;offset=0&amp;query=any,contains,991002711389702656","Catalog Record")</f>
        <v/>
      </c>
      <c r="AT1192">
        <f>HYPERLINK("http://www.worldcat.org/oclc/409386","WorldCat Record")</f>
        <v/>
      </c>
      <c r="AU1192" t="inlineStr">
        <is>
          <t>6515093:eng</t>
        </is>
      </c>
      <c r="AV1192" t="inlineStr">
        <is>
          <t>409386</t>
        </is>
      </c>
      <c r="AW1192" t="inlineStr">
        <is>
          <t>991002711389702656</t>
        </is>
      </c>
      <c r="AX1192" t="inlineStr">
        <is>
          <t>991002711389702656</t>
        </is>
      </c>
      <c r="AY1192" t="inlineStr">
        <is>
          <t>2262138850002656</t>
        </is>
      </c>
      <c r="AZ1192" t="inlineStr">
        <is>
          <t>BOOK</t>
        </is>
      </c>
      <c r="BC1192" t="inlineStr">
        <is>
          <t>32285002457462</t>
        </is>
      </c>
      <c r="BD1192" t="inlineStr">
        <is>
          <t>893616469</t>
        </is>
      </c>
    </row>
    <row r="1193">
      <c r="A1193" t="inlineStr">
        <is>
          <t>No</t>
        </is>
      </c>
      <c r="B1193" t="inlineStr">
        <is>
          <t>DS481.N2 B4 1978</t>
        </is>
      </c>
      <c r="C1193" t="inlineStr">
        <is>
          <t>0                      DS 0481000N  2                  B  4           1978</t>
        </is>
      </c>
      <c r="D1193" t="inlineStr">
        <is>
          <t>Jayaprakash Narayan : a political biography / Ajit Bhattacharjea.</t>
        </is>
      </c>
      <c r="F1193" t="inlineStr">
        <is>
          <t>No</t>
        </is>
      </c>
      <c r="G1193" t="inlineStr">
        <is>
          <t>1</t>
        </is>
      </c>
      <c r="H1193" t="inlineStr">
        <is>
          <t>No</t>
        </is>
      </c>
      <c r="I1193" t="inlineStr">
        <is>
          <t>No</t>
        </is>
      </c>
      <c r="J1193" t="inlineStr">
        <is>
          <t>0</t>
        </is>
      </c>
      <c r="K1193" t="inlineStr">
        <is>
          <t>Bhattacharjea, Ajit.</t>
        </is>
      </c>
      <c r="L1193" t="inlineStr">
        <is>
          <t>Delhi : Vikas Pub. House, 1978.</t>
        </is>
      </c>
      <c r="M1193" t="inlineStr">
        <is>
          <t>1978</t>
        </is>
      </c>
      <c r="N1193" t="inlineStr">
        <is>
          <t>Rev. and updated.</t>
        </is>
      </c>
      <c r="O1193" t="inlineStr">
        <is>
          <t>eng</t>
        </is>
      </c>
      <c r="P1193" t="inlineStr">
        <is>
          <t xml:space="preserve">ii </t>
        </is>
      </c>
      <c r="R1193" t="inlineStr">
        <is>
          <t xml:space="preserve">DS </t>
        </is>
      </c>
      <c r="S1193" t="n">
        <v>1</v>
      </c>
      <c r="T1193" t="n">
        <v>1</v>
      </c>
      <c r="U1193" t="inlineStr">
        <is>
          <t>1994-09-26</t>
        </is>
      </c>
      <c r="V1193" t="inlineStr">
        <is>
          <t>1994-09-26</t>
        </is>
      </c>
      <c r="W1193" t="inlineStr">
        <is>
          <t>1990-10-09</t>
        </is>
      </c>
      <c r="X1193" t="inlineStr">
        <is>
          <t>1990-10-09</t>
        </is>
      </c>
      <c r="Y1193" t="n">
        <v>84</v>
      </c>
      <c r="Z1193" t="n">
        <v>72</v>
      </c>
      <c r="AA1193" t="n">
        <v>156</v>
      </c>
      <c r="AB1193" t="n">
        <v>1</v>
      </c>
      <c r="AC1193" t="n">
        <v>1</v>
      </c>
      <c r="AD1193" t="n">
        <v>1</v>
      </c>
      <c r="AE1193" t="n">
        <v>1</v>
      </c>
      <c r="AF1193" t="n">
        <v>0</v>
      </c>
      <c r="AG1193" t="n">
        <v>0</v>
      </c>
      <c r="AH1193" t="n">
        <v>0</v>
      </c>
      <c r="AI1193" t="n">
        <v>0</v>
      </c>
      <c r="AJ1193" t="n">
        <v>1</v>
      </c>
      <c r="AK1193" t="n">
        <v>1</v>
      </c>
      <c r="AL1193" t="n">
        <v>0</v>
      </c>
      <c r="AM1193" t="n">
        <v>0</v>
      </c>
      <c r="AN1193" t="n">
        <v>0</v>
      </c>
      <c r="AO1193" t="n">
        <v>0</v>
      </c>
      <c r="AP1193" t="inlineStr">
        <is>
          <t>No</t>
        </is>
      </c>
      <c r="AQ1193" t="inlineStr">
        <is>
          <t>Yes</t>
        </is>
      </c>
      <c r="AR1193">
        <f>HYPERLINK("http://catalog.hathitrust.org/Record/000100999","HathiTrust Record")</f>
        <v/>
      </c>
      <c r="AS1193">
        <f>HYPERLINK("https://creighton-primo.hosted.exlibrisgroup.com/primo-explore/search?tab=default_tab&amp;search_scope=EVERYTHING&amp;vid=01CRU&amp;lang=en_US&amp;offset=0&amp;query=any,contains,991004477929702656","Catalog Record")</f>
        <v/>
      </c>
      <c r="AT1193">
        <f>HYPERLINK("http://www.worldcat.org/oclc/3614650","WorldCat Record")</f>
        <v/>
      </c>
      <c r="AU1193" t="inlineStr">
        <is>
          <t>3030334:eng</t>
        </is>
      </c>
      <c r="AV1193" t="inlineStr">
        <is>
          <t>3614650</t>
        </is>
      </c>
      <c r="AW1193" t="inlineStr">
        <is>
          <t>991004477929702656</t>
        </is>
      </c>
      <c r="AX1193" t="inlineStr">
        <is>
          <t>991004477929702656</t>
        </is>
      </c>
      <c r="AY1193" t="inlineStr">
        <is>
          <t>2268072820002656</t>
        </is>
      </c>
      <c r="AZ1193" t="inlineStr">
        <is>
          <t>BOOK</t>
        </is>
      </c>
      <c r="BC1193" t="inlineStr">
        <is>
          <t>32285000336700</t>
        </is>
      </c>
      <c r="BD1193" t="inlineStr">
        <is>
          <t>893253736</t>
        </is>
      </c>
    </row>
    <row r="1194">
      <c r="A1194" t="inlineStr">
        <is>
          <t>No</t>
        </is>
      </c>
      <c r="B1194" t="inlineStr">
        <is>
          <t>DS481.N35 A3 1941</t>
        </is>
      </c>
      <c r="C1194" t="inlineStr">
        <is>
          <t>0                      DS 0481000N  35                 A  3           1941</t>
        </is>
      </c>
      <c r="D1194" t="inlineStr">
        <is>
          <t>Toward freedom : the autobiography of Jawaharlal Nehru.</t>
        </is>
      </c>
      <c r="F1194" t="inlineStr">
        <is>
          <t>No</t>
        </is>
      </c>
      <c r="G1194" t="inlineStr">
        <is>
          <t>1</t>
        </is>
      </c>
      <c r="H1194" t="inlineStr">
        <is>
          <t>No</t>
        </is>
      </c>
      <c r="I1194" t="inlineStr">
        <is>
          <t>No</t>
        </is>
      </c>
      <c r="J1194" t="inlineStr">
        <is>
          <t>0</t>
        </is>
      </c>
      <c r="K1194" t="inlineStr">
        <is>
          <t>Nehru, Jawaharlal, 1889-1964.</t>
        </is>
      </c>
      <c r="L1194" t="inlineStr">
        <is>
          <t>New York : The John Day Company, [c1941]</t>
        </is>
      </c>
      <c r="M1194" t="inlineStr">
        <is>
          <t>1941</t>
        </is>
      </c>
      <c r="O1194" t="inlineStr">
        <is>
          <t>eng</t>
        </is>
      </c>
      <c r="P1194" t="inlineStr">
        <is>
          <t>nyu</t>
        </is>
      </c>
      <c r="R1194" t="inlineStr">
        <is>
          <t xml:space="preserve">DS </t>
        </is>
      </c>
      <c r="S1194" t="n">
        <v>5</v>
      </c>
      <c r="T1194" t="n">
        <v>5</v>
      </c>
      <c r="U1194" t="inlineStr">
        <is>
          <t>2003-04-07</t>
        </is>
      </c>
      <c r="V1194" t="inlineStr">
        <is>
          <t>2003-04-07</t>
        </is>
      </c>
      <c r="W1194" t="inlineStr">
        <is>
          <t>1995-04-26</t>
        </is>
      </c>
      <c r="X1194" t="inlineStr">
        <is>
          <t>1995-04-26</t>
        </is>
      </c>
      <c r="Y1194" t="n">
        <v>754</v>
      </c>
      <c r="Z1194" t="n">
        <v>724</v>
      </c>
      <c r="AA1194" t="n">
        <v>1361</v>
      </c>
      <c r="AB1194" t="n">
        <v>6</v>
      </c>
      <c r="AC1194" t="n">
        <v>12</v>
      </c>
      <c r="AD1194" t="n">
        <v>24</v>
      </c>
      <c r="AE1194" t="n">
        <v>53</v>
      </c>
      <c r="AF1194" t="n">
        <v>7</v>
      </c>
      <c r="AG1194" t="n">
        <v>22</v>
      </c>
      <c r="AH1194" t="n">
        <v>5</v>
      </c>
      <c r="AI1194" t="n">
        <v>9</v>
      </c>
      <c r="AJ1194" t="n">
        <v>10</v>
      </c>
      <c r="AK1194" t="n">
        <v>22</v>
      </c>
      <c r="AL1194" t="n">
        <v>5</v>
      </c>
      <c r="AM1194" t="n">
        <v>11</v>
      </c>
      <c r="AN1194" t="n">
        <v>0</v>
      </c>
      <c r="AO1194" t="n">
        <v>0</v>
      </c>
      <c r="AP1194" t="inlineStr">
        <is>
          <t>No</t>
        </is>
      </c>
      <c r="AQ1194" t="inlineStr">
        <is>
          <t>No</t>
        </is>
      </c>
      <c r="AS1194">
        <f>HYPERLINK("https://creighton-primo.hosted.exlibrisgroup.com/primo-explore/search?tab=default_tab&amp;search_scope=EVERYTHING&amp;vid=01CRU&amp;lang=en_US&amp;offset=0&amp;query=any,contains,991003132049702656","Catalog Record")</f>
        <v/>
      </c>
      <c r="AT1194">
        <f>HYPERLINK("http://www.worldcat.org/oclc/675071","WorldCat Record")</f>
        <v/>
      </c>
      <c r="AU1194" t="inlineStr">
        <is>
          <t>1482452:eng</t>
        </is>
      </c>
      <c r="AV1194" t="inlineStr">
        <is>
          <t>675071</t>
        </is>
      </c>
      <c r="AW1194" t="inlineStr">
        <is>
          <t>991003132049702656</t>
        </is>
      </c>
      <c r="AX1194" t="inlineStr">
        <is>
          <t>991003132049702656</t>
        </is>
      </c>
      <c r="AY1194" t="inlineStr">
        <is>
          <t>2267173340002656</t>
        </is>
      </c>
      <c r="AZ1194" t="inlineStr">
        <is>
          <t>BOOK</t>
        </is>
      </c>
      <c r="BC1194" t="inlineStr">
        <is>
          <t>32285002029568</t>
        </is>
      </c>
      <c r="BD1194" t="inlineStr">
        <is>
          <t>893623186</t>
        </is>
      </c>
    </row>
    <row r="1195">
      <c r="A1195" t="inlineStr">
        <is>
          <t>No</t>
        </is>
      </c>
      <c r="B1195" t="inlineStr">
        <is>
          <t>DS484 .I7</t>
        </is>
      </c>
      <c r="C1195" t="inlineStr">
        <is>
          <t>0                      DS 0484000I  7</t>
        </is>
      </c>
      <c r="D1195" t="inlineStr">
        <is>
          <t>Politics and social conflict in South India; the non-Brahman movement and Tamil separatism, 1916-1929 [by] Eugene F. Irschick.</t>
        </is>
      </c>
      <c r="F1195" t="inlineStr">
        <is>
          <t>No</t>
        </is>
      </c>
      <c r="G1195" t="inlineStr">
        <is>
          <t>1</t>
        </is>
      </c>
      <c r="H1195" t="inlineStr">
        <is>
          <t>No</t>
        </is>
      </c>
      <c r="I1195" t="inlineStr">
        <is>
          <t>No</t>
        </is>
      </c>
      <c r="J1195" t="inlineStr">
        <is>
          <t>0</t>
        </is>
      </c>
      <c r="K1195" t="inlineStr">
        <is>
          <t>Irschick, Eugene F.</t>
        </is>
      </c>
      <c r="L1195" t="inlineStr">
        <is>
          <t>Berkeley, University of California Press, 1969.</t>
        </is>
      </c>
      <c r="M1195" t="inlineStr">
        <is>
          <t>1969</t>
        </is>
      </c>
      <c r="O1195" t="inlineStr">
        <is>
          <t>eng</t>
        </is>
      </c>
      <c r="P1195" t="inlineStr">
        <is>
          <t>cau</t>
        </is>
      </c>
      <c r="R1195" t="inlineStr">
        <is>
          <t xml:space="preserve">DS </t>
        </is>
      </c>
      <c r="S1195" t="n">
        <v>1</v>
      </c>
      <c r="T1195" t="n">
        <v>1</v>
      </c>
      <c r="U1195" t="inlineStr">
        <is>
          <t>2001-02-10</t>
        </is>
      </c>
      <c r="V1195" t="inlineStr">
        <is>
          <t>2001-02-10</t>
        </is>
      </c>
      <c r="W1195" t="inlineStr">
        <is>
          <t>1997-03-10</t>
        </is>
      </c>
      <c r="X1195" t="inlineStr">
        <is>
          <t>1997-03-10</t>
        </is>
      </c>
      <c r="Y1195" t="n">
        <v>582</v>
      </c>
      <c r="Z1195" t="n">
        <v>482</v>
      </c>
      <c r="AA1195" t="n">
        <v>492</v>
      </c>
      <c r="AB1195" t="n">
        <v>3</v>
      </c>
      <c r="AC1195" t="n">
        <v>3</v>
      </c>
      <c r="AD1195" t="n">
        <v>28</v>
      </c>
      <c r="AE1195" t="n">
        <v>28</v>
      </c>
      <c r="AF1195" t="n">
        <v>12</v>
      </c>
      <c r="AG1195" t="n">
        <v>12</v>
      </c>
      <c r="AH1195" t="n">
        <v>9</v>
      </c>
      <c r="AI1195" t="n">
        <v>9</v>
      </c>
      <c r="AJ1195" t="n">
        <v>12</v>
      </c>
      <c r="AK1195" t="n">
        <v>12</v>
      </c>
      <c r="AL1195" t="n">
        <v>2</v>
      </c>
      <c r="AM1195" t="n">
        <v>2</v>
      </c>
      <c r="AN1195" t="n">
        <v>0</v>
      </c>
      <c r="AO1195" t="n">
        <v>0</v>
      </c>
      <c r="AP1195" t="inlineStr">
        <is>
          <t>No</t>
        </is>
      </c>
      <c r="AQ1195" t="inlineStr">
        <is>
          <t>Yes</t>
        </is>
      </c>
      <c r="AR1195">
        <f>HYPERLINK("http://catalog.hathitrust.org/Record/001253180","HathiTrust Record")</f>
        <v/>
      </c>
      <c r="AS1195">
        <f>HYPERLINK("https://creighton-primo.hosted.exlibrisgroup.com/primo-explore/search?tab=default_tab&amp;search_scope=EVERYTHING&amp;vid=01CRU&amp;lang=en_US&amp;offset=0&amp;query=any,contains,991005433899702656","Catalog Record")</f>
        <v/>
      </c>
      <c r="AT1195">
        <f>HYPERLINK("http://www.worldcat.org/oclc/2174","WorldCat Record")</f>
        <v/>
      </c>
      <c r="AU1195" t="inlineStr">
        <is>
          <t>199160456:eng</t>
        </is>
      </c>
      <c r="AV1195" t="inlineStr">
        <is>
          <t>2174</t>
        </is>
      </c>
      <c r="AW1195" t="inlineStr">
        <is>
          <t>991005433899702656</t>
        </is>
      </c>
      <c r="AX1195" t="inlineStr">
        <is>
          <t>991005433899702656</t>
        </is>
      </c>
      <c r="AY1195" t="inlineStr">
        <is>
          <t>2262677540002656</t>
        </is>
      </c>
      <c r="AZ1195" t="inlineStr">
        <is>
          <t>BOOK</t>
        </is>
      </c>
      <c r="BC1195" t="inlineStr">
        <is>
          <t>32285002457611</t>
        </is>
      </c>
      <c r="BD1195" t="inlineStr">
        <is>
          <t>893613708</t>
        </is>
      </c>
    </row>
    <row r="1196">
      <c r="A1196" t="inlineStr">
        <is>
          <t>No</t>
        </is>
      </c>
      <c r="B1196" t="inlineStr">
        <is>
          <t>DS484 .M64</t>
        </is>
      </c>
      <c r="C1196" t="inlineStr">
        <is>
          <t>0                      DS 0484000M  64</t>
        </is>
      </c>
      <c r="D1196" t="inlineStr">
        <is>
          <t>An Untouchable community in South India, structure and consensus / Michael Moffatt.</t>
        </is>
      </c>
      <c r="F1196" t="inlineStr">
        <is>
          <t>No</t>
        </is>
      </c>
      <c r="G1196" t="inlineStr">
        <is>
          <t>1</t>
        </is>
      </c>
      <c r="H1196" t="inlineStr">
        <is>
          <t>No</t>
        </is>
      </c>
      <c r="I1196" t="inlineStr">
        <is>
          <t>No</t>
        </is>
      </c>
      <c r="J1196" t="inlineStr">
        <is>
          <t>0</t>
        </is>
      </c>
      <c r="K1196" t="inlineStr">
        <is>
          <t>Moffatt, Michael, 1944-2011.</t>
        </is>
      </c>
      <c r="L1196" t="inlineStr">
        <is>
          <t>Princeton, N.J. : Princeton University Press, c1979.</t>
        </is>
      </c>
      <c r="M1196" t="inlineStr">
        <is>
          <t>1979</t>
        </is>
      </c>
      <c r="O1196" t="inlineStr">
        <is>
          <t>eng</t>
        </is>
      </c>
      <c r="P1196" t="inlineStr">
        <is>
          <t>nju</t>
        </is>
      </c>
      <c r="R1196" t="inlineStr">
        <is>
          <t xml:space="preserve">DS </t>
        </is>
      </c>
      <c r="S1196" t="n">
        <v>3</v>
      </c>
      <c r="T1196" t="n">
        <v>3</v>
      </c>
      <c r="U1196" t="inlineStr">
        <is>
          <t>1998-02-27</t>
        </is>
      </c>
      <c r="V1196" t="inlineStr">
        <is>
          <t>1998-02-27</t>
        </is>
      </c>
      <c r="W1196" t="inlineStr">
        <is>
          <t>1990-06-12</t>
        </is>
      </c>
      <c r="X1196" t="inlineStr">
        <is>
          <t>1990-06-12</t>
        </is>
      </c>
      <c r="Y1196" t="n">
        <v>552</v>
      </c>
      <c r="Z1196" t="n">
        <v>420</v>
      </c>
      <c r="AA1196" t="n">
        <v>641</v>
      </c>
      <c r="AB1196" t="n">
        <v>4</v>
      </c>
      <c r="AC1196" t="n">
        <v>6</v>
      </c>
      <c r="AD1196" t="n">
        <v>19</v>
      </c>
      <c r="AE1196" t="n">
        <v>29</v>
      </c>
      <c r="AF1196" t="n">
        <v>6</v>
      </c>
      <c r="AG1196" t="n">
        <v>12</v>
      </c>
      <c r="AH1196" t="n">
        <v>4</v>
      </c>
      <c r="AI1196" t="n">
        <v>7</v>
      </c>
      <c r="AJ1196" t="n">
        <v>11</v>
      </c>
      <c r="AK1196" t="n">
        <v>14</v>
      </c>
      <c r="AL1196" t="n">
        <v>3</v>
      </c>
      <c r="AM1196" t="n">
        <v>4</v>
      </c>
      <c r="AN1196" t="n">
        <v>0</v>
      </c>
      <c r="AO1196" t="n">
        <v>0</v>
      </c>
      <c r="AP1196" t="inlineStr">
        <is>
          <t>No</t>
        </is>
      </c>
      <c r="AQ1196" t="inlineStr">
        <is>
          <t>No</t>
        </is>
      </c>
      <c r="AS1196">
        <f>HYPERLINK("https://creighton-primo.hosted.exlibrisgroup.com/primo-explore/search?tab=default_tab&amp;search_scope=EVERYTHING&amp;vid=01CRU&amp;lang=en_US&amp;offset=0&amp;query=any,contains,991004594909702656","Catalog Record")</f>
        <v/>
      </c>
      <c r="AT1196">
        <f>HYPERLINK("http://www.worldcat.org/oclc/4136320","WorldCat Record")</f>
        <v/>
      </c>
      <c r="AU1196" t="inlineStr">
        <is>
          <t>442621:eng</t>
        </is>
      </c>
      <c r="AV1196" t="inlineStr">
        <is>
          <t>4136320</t>
        </is>
      </c>
      <c r="AW1196" t="inlineStr">
        <is>
          <t>991004594909702656</t>
        </is>
      </c>
      <c r="AX1196" t="inlineStr">
        <is>
          <t>991004594909702656</t>
        </is>
      </c>
      <c r="AY1196" t="inlineStr">
        <is>
          <t>2258116810002656</t>
        </is>
      </c>
      <c r="AZ1196" t="inlineStr">
        <is>
          <t>BOOK</t>
        </is>
      </c>
      <c r="BB1196" t="inlineStr">
        <is>
          <t>9780691093772</t>
        </is>
      </c>
      <c r="BC1196" t="inlineStr">
        <is>
          <t>32285000190701</t>
        </is>
      </c>
      <c r="BD1196" t="inlineStr">
        <is>
          <t>893600014</t>
        </is>
      </c>
    </row>
    <row r="1197">
      <c r="A1197" t="inlineStr">
        <is>
          <t>No</t>
        </is>
      </c>
      <c r="B1197" t="inlineStr">
        <is>
          <t>DS484 .N5 1966</t>
        </is>
      </c>
      <c r="C1197" t="inlineStr">
        <is>
          <t>0                      DS 0484000N  5           1966</t>
        </is>
      </c>
      <c r="D1197" t="inlineStr">
        <is>
          <t>A history of South India from prehistoric times to the fall of Vijayanagar [by] K.A. Nilakanta Sastri.</t>
        </is>
      </c>
      <c r="F1197" t="inlineStr">
        <is>
          <t>No</t>
        </is>
      </c>
      <c r="G1197" t="inlineStr">
        <is>
          <t>1</t>
        </is>
      </c>
      <c r="H1197" t="inlineStr">
        <is>
          <t>No</t>
        </is>
      </c>
      <c r="I1197" t="inlineStr">
        <is>
          <t>No</t>
        </is>
      </c>
      <c r="J1197" t="inlineStr">
        <is>
          <t>0</t>
        </is>
      </c>
      <c r="K1197" t="inlineStr">
        <is>
          <t>Nilakanta Sastri, K. A. (Kallidaikurichi Aiyah), 1892-1975.</t>
        </is>
      </c>
      <c r="L1197" t="inlineStr">
        <is>
          <t>[Madras] Indian Branch, Oxford University Press, 1966.</t>
        </is>
      </c>
      <c r="M1197" t="inlineStr">
        <is>
          <t>1966</t>
        </is>
      </c>
      <c r="N1197" t="inlineStr">
        <is>
          <t>3d ed.</t>
        </is>
      </c>
      <c r="O1197" t="inlineStr">
        <is>
          <t>eng</t>
        </is>
      </c>
      <c r="P1197" t="inlineStr">
        <is>
          <t xml:space="preserve">ii </t>
        </is>
      </c>
      <c r="R1197" t="inlineStr">
        <is>
          <t xml:space="preserve">DS </t>
        </is>
      </c>
      <c r="S1197" t="n">
        <v>2</v>
      </c>
      <c r="T1197" t="n">
        <v>2</v>
      </c>
      <c r="U1197" t="inlineStr">
        <is>
          <t>2008-03-22</t>
        </is>
      </c>
      <c r="V1197" t="inlineStr">
        <is>
          <t>2008-03-22</t>
        </is>
      </c>
      <c r="W1197" t="inlineStr">
        <is>
          <t>1996-08-09</t>
        </is>
      </c>
      <c r="X1197" t="inlineStr">
        <is>
          <t>1996-08-09</t>
        </is>
      </c>
      <c r="Y1197" t="n">
        <v>312</v>
      </c>
      <c r="Z1197" t="n">
        <v>279</v>
      </c>
      <c r="AA1197" t="n">
        <v>452</v>
      </c>
      <c r="AB1197" t="n">
        <v>2</v>
      </c>
      <c r="AC1197" t="n">
        <v>2</v>
      </c>
      <c r="AD1197" t="n">
        <v>12</v>
      </c>
      <c r="AE1197" t="n">
        <v>16</v>
      </c>
      <c r="AF1197" t="n">
        <v>5</v>
      </c>
      <c r="AG1197" t="n">
        <v>6</v>
      </c>
      <c r="AH1197" t="n">
        <v>2</v>
      </c>
      <c r="AI1197" t="n">
        <v>4</v>
      </c>
      <c r="AJ1197" t="n">
        <v>7</v>
      </c>
      <c r="AK1197" t="n">
        <v>9</v>
      </c>
      <c r="AL1197" t="n">
        <v>1</v>
      </c>
      <c r="AM1197" t="n">
        <v>1</v>
      </c>
      <c r="AN1197" t="n">
        <v>0</v>
      </c>
      <c r="AO1197" t="n">
        <v>0</v>
      </c>
      <c r="AP1197" t="inlineStr">
        <is>
          <t>No</t>
        </is>
      </c>
      <c r="AQ1197" t="inlineStr">
        <is>
          <t>Yes</t>
        </is>
      </c>
      <c r="AR1197">
        <f>HYPERLINK("http://catalog.hathitrust.org/Record/001869189","HathiTrust Record")</f>
        <v/>
      </c>
      <c r="AS1197">
        <f>HYPERLINK("https://creighton-primo.hosted.exlibrisgroup.com/primo-explore/search?tab=default_tab&amp;search_scope=EVERYTHING&amp;vid=01CRU&amp;lang=en_US&amp;offset=0&amp;query=any,contains,991003102679702656","Catalog Record")</f>
        <v/>
      </c>
      <c r="AT1197">
        <f>HYPERLINK("http://www.worldcat.org/oclc/652038","WorldCat Record")</f>
        <v/>
      </c>
      <c r="AU1197" t="inlineStr">
        <is>
          <t>1606145:eng</t>
        </is>
      </c>
      <c r="AV1197" t="inlineStr">
        <is>
          <t>652038</t>
        </is>
      </c>
      <c r="AW1197" t="inlineStr">
        <is>
          <t>991003102679702656</t>
        </is>
      </c>
      <c r="AX1197" t="inlineStr">
        <is>
          <t>991003102679702656</t>
        </is>
      </c>
      <c r="AY1197" t="inlineStr">
        <is>
          <t>2262860180002656</t>
        </is>
      </c>
      <c r="AZ1197" t="inlineStr">
        <is>
          <t>BOOK</t>
        </is>
      </c>
      <c r="BC1197" t="inlineStr">
        <is>
          <t>32285002272986</t>
        </is>
      </c>
      <c r="BD1197" t="inlineStr">
        <is>
          <t>893317654</t>
        </is>
      </c>
    </row>
    <row r="1198">
      <c r="A1198" t="inlineStr">
        <is>
          <t>No</t>
        </is>
      </c>
      <c r="B1198" t="inlineStr">
        <is>
          <t>DS484 .S75</t>
        </is>
      </c>
      <c r="C1198" t="inlineStr">
        <is>
          <t>0                      DS 0484000S  75</t>
        </is>
      </c>
      <c r="D1198" t="inlineStr">
        <is>
          <t>Structural approaches to South India studies / edited by Harry M. Buck &amp; Glenn E. Yocum.</t>
        </is>
      </c>
      <c r="F1198" t="inlineStr">
        <is>
          <t>No</t>
        </is>
      </c>
      <c r="G1198" t="inlineStr">
        <is>
          <t>1</t>
        </is>
      </c>
      <c r="H1198" t="inlineStr">
        <is>
          <t>No</t>
        </is>
      </c>
      <c r="I1198" t="inlineStr">
        <is>
          <t>No</t>
        </is>
      </c>
      <c r="J1198" t="inlineStr">
        <is>
          <t>0</t>
        </is>
      </c>
      <c r="L1198" t="inlineStr">
        <is>
          <t>Chambersburg, Pa. : Wilson Books, 1974.</t>
        </is>
      </c>
      <c r="M1198" t="inlineStr">
        <is>
          <t>1974</t>
        </is>
      </c>
      <c r="O1198" t="inlineStr">
        <is>
          <t>eng</t>
        </is>
      </c>
      <c r="P1198" t="inlineStr">
        <is>
          <t>pau</t>
        </is>
      </c>
      <c r="Q1198" t="inlineStr">
        <is>
          <t>South and Southeast Asia studies</t>
        </is>
      </c>
      <c r="R1198" t="inlineStr">
        <is>
          <t xml:space="preserve">DS </t>
        </is>
      </c>
      <c r="S1198" t="n">
        <v>1</v>
      </c>
      <c r="T1198" t="n">
        <v>1</v>
      </c>
      <c r="U1198" t="inlineStr">
        <is>
          <t>2001-02-10</t>
        </is>
      </c>
      <c r="V1198" t="inlineStr">
        <is>
          <t>2001-02-10</t>
        </is>
      </c>
      <c r="W1198" t="inlineStr">
        <is>
          <t>1990-10-09</t>
        </is>
      </c>
      <c r="X1198" t="inlineStr">
        <is>
          <t>1990-10-09</t>
        </is>
      </c>
      <c r="Y1198" t="n">
        <v>219</v>
      </c>
      <c r="Z1198" t="n">
        <v>190</v>
      </c>
      <c r="AA1198" t="n">
        <v>193</v>
      </c>
      <c r="AB1198" t="n">
        <v>1</v>
      </c>
      <c r="AC1198" t="n">
        <v>1</v>
      </c>
      <c r="AD1198" t="n">
        <v>7</v>
      </c>
      <c r="AE1198" t="n">
        <v>7</v>
      </c>
      <c r="AF1198" t="n">
        <v>2</v>
      </c>
      <c r="AG1198" t="n">
        <v>2</v>
      </c>
      <c r="AH1198" t="n">
        <v>3</v>
      </c>
      <c r="AI1198" t="n">
        <v>3</v>
      </c>
      <c r="AJ1198" t="n">
        <v>5</v>
      </c>
      <c r="AK1198" t="n">
        <v>5</v>
      </c>
      <c r="AL1198" t="n">
        <v>0</v>
      </c>
      <c r="AM1198" t="n">
        <v>0</v>
      </c>
      <c r="AN1198" t="n">
        <v>0</v>
      </c>
      <c r="AO1198" t="n">
        <v>0</v>
      </c>
      <c r="AP1198" t="inlineStr">
        <is>
          <t>No</t>
        </is>
      </c>
      <c r="AQ1198" t="inlineStr">
        <is>
          <t>Yes</t>
        </is>
      </c>
      <c r="AR1198">
        <f>HYPERLINK("http://catalog.hathitrust.org/Record/000146871","HathiTrust Record")</f>
        <v/>
      </c>
      <c r="AS1198">
        <f>HYPERLINK("https://creighton-primo.hosted.exlibrisgroup.com/primo-explore/search?tab=default_tab&amp;search_scope=EVERYTHING&amp;vid=01CRU&amp;lang=en_US&amp;offset=0&amp;query=any,contains,991003650389702656","Catalog Record")</f>
        <v/>
      </c>
      <c r="AT1198">
        <f>HYPERLINK("http://www.worldcat.org/oclc/1254011","WorldCat Record")</f>
        <v/>
      </c>
      <c r="AU1198" t="inlineStr">
        <is>
          <t>2169901:eng</t>
        </is>
      </c>
      <c r="AV1198" t="inlineStr">
        <is>
          <t>1254011</t>
        </is>
      </c>
      <c r="AW1198" t="inlineStr">
        <is>
          <t>991003650389702656</t>
        </is>
      </c>
      <c r="AX1198" t="inlineStr">
        <is>
          <t>991003650389702656</t>
        </is>
      </c>
      <c r="AY1198" t="inlineStr">
        <is>
          <t>2261490100002656</t>
        </is>
      </c>
      <c r="AZ1198" t="inlineStr">
        <is>
          <t>BOOK</t>
        </is>
      </c>
      <c r="BB1198" t="inlineStr">
        <is>
          <t>9780890120002</t>
        </is>
      </c>
      <c r="BC1198" t="inlineStr">
        <is>
          <t>32285000336718</t>
        </is>
      </c>
      <c r="BD1198" t="inlineStr">
        <is>
          <t>893252583</t>
        </is>
      </c>
    </row>
    <row r="1199">
      <c r="A1199" t="inlineStr">
        <is>
          <t>No</t>
        </is>
      </c>
      <c r="B1199" t="inlineStr">
        <is>
          <t>DS484.4 .B39 1989</t>
        </is>
      </c>
      <c r="C1199" t="inlineStr">
        <is>
          <t>0                      DS 0484400B  39          1989</t>
        </is>
      </c>
      <c r="D1199" t="inlineStr">
        <is>
          <t>Saints, goddesses, and kings : Muslims and Christians in South Indian Society, 1700-1900 / Susan Bayly.</t>
        </is>
      </c>
      <c r="F1199" t="inlineStr">
        <is>
          <t>No</t>
        </is>
      </c>
      <c r="G1199" t="inlineStr">
        <is>
          <t>1</t>
        </is>
      </c>
      <c r="H1199" t="inlineStr">
        <is>
          <t>No</t>
        </is>
      </c>
      <c r="I1199" t="inlineStr">
        <is>
          <t>No</t>
        </is>
      </c>
      <c r="J1199" t="inlineStr">
        <is>
          <t>0</t>
        </is>
      </c>
      <c r="K1199" t="inlineStr">
        <is>
          <t>Bayly, Susan.</t>
        </is>
      </c>
      <c r="L1199" t="inlineStr">
        <is>
          <t>Cambridge [England] ; New York : Cambridge University Press, 1989.</t>
        </is>
      </c>
      <c r="M1199" t="inlineStr">
        <is>
          <t>1989</t>
        </is>
      </c>
      <c r="O1199" t="inlineStr">
        <is>
          <t>eng</t>
        </is>
      </c>
      <c r="P1199" t="inlineStr">
        <is>
          <t>enk</t>
        </is>
      </c>
      <c r="Q1199" t="inlineStr">
        <is>
          <t>Cambridge South Asian studies ; 43</t>
        </is>
      </c>
      <c r="R1199" t="inlineStr">
        <is>
          <t xml:space="preserve">DS </t>
        </is>
      </c>
      <c r="S1199" t="n">
        <v>2</v>
      </c>
      <c r="T1199" t="n">
        <v>2</v>
      </c>
      <c r="U1199" t="inlineStr">
        <is>
          <t>2000-05-23</t>
        </is>
      </c>
      <c r="V1199" t="inlineStr">
        <is>
          <t>2000-05-23</t>
        </is>
      </c>
      <c r="W1199" t="inlineStr">
        <is>
          <t>1990-06-04</t>
        </is>
      </c>
      <c r="X1199" t="inlineStr">
        <is>
          <t>1990-06-04</t>
        </is>
      </c>
      <c r="Y1199" t="n">
        <v>494</v>
      </c>
      <c r="Z1199" t="n">
        <v>360</v>
      </c>
      <c r="AA1199" t="n">
        <v>532</v>
      </c>
      <c r="AB1199" t="n">
        <v>2</v>
      </c>
      <c r="AC1199" t="n">
        <v>4</v>
      </c>
      <c r="AD1199" t="n">
        <v>18</v>
      </c>
      <c r="AE1199" t="n">
        <v>32</v>
      </c>
      <c r="AF1199" t="n">
        <v>5</v>
      </c>
      <c r="AG1199" t="n">
        <v>11</v>
      </c>
      <c r="AH1199" t="n">
        <v>4</v>
      </c>
      <c r="AI1199" t="n">
        <v>9</v>
      </c>
      <c r="AJ1199" t="n">
        <v>12</v>
      </c>
      <c r="AK1199" t="n">
        <v>17</v>
      </c>
      <c r="AL1199" t="n">
        <v>1</v>
      </c>
      <c r="AM1199" t="n">
        <v>3</v>
      </c>
      <c r="AN1199" t="n">
        <v>0</v>
      </c>
      <c r="AO1199" t="n">
        <v>0</v>
      </c>
      <c r="AP1199" t="inlineStr">
        <is>
          <t>No</t>
        </is>
      </c>
      <c r="AQ1199" t="inlineStr">
        <is>
          <t>No</t>
        </is>
      </c>
      <c r="AS1199">
        <f>HYPERLINK("https://creighton-primo.hosted.exlibrisgroup.com/primo-explore/search?tab=default_tab&amp;search_scope=EVERYTHING&amp;vid=01CRU&amp;lang=en_US&amp;offset=0&amp;query=any,contains,991005410479702656","Catalog Record")</f>
        <v/>
      </c>
      <c r="AT1199">
        <f>HYPERLINK("http://www.worldcat.org/oclc/19126584","WorldCat Record")</f>
        <v/>
      </c>
      <c r="AU1199" t="inlineStr">
        <is>
          <t>4927065810:eng</t>
        </is>
      </c>
      <c r="AV1199" t="inlineStr">
        <is>
          <t>19126584</t>
        </is>
      </c>
      <c r="AW1199" t="inlineStr">
        <is>
          <t>991005410479702656</t>
        </is>
      </c>
      <c r="AX1199" t="inlineStr">
        <is>
          <t>991005410479702656</t>
        </is>
      </c>
      <c r="AY1199" t="inlineStr">
        <is>
          <t>2271197450002656</t>
        </is>
      </c>
      <c r="AZ1199" t="inlineStr">
        <is>
          <t>BOOK</t>
        </is>
      </c>
      <c r="BB1199" t="inlineStr">
        <is>
          <t>9780521372015</t>
        </is>
      </c>
      <c r="BC1199" t="inlineStr">
        <is>
          <t>32285000158641</t>
        </is>
      </c>
      <c r="BD1199" t="inlineStr">
        <is>
          <t>893896417</t>
        </is>
      </c>
    </row>
    <row r="1200">
      <c r="A1200" t="inlineStr">
        <is>
          <t>No</t>
        </is>
      </c>
      <c r="B1200" t="inlineStr">
        <is>
          <t>DS485 .F7</t>
        </is>
      </c>
      <c r="C1200" t="inlineStr">
        <is>
          <t>0                      DS 0485000F  7</t>
        </is>
      </c>
      <c r="D1200" t="inlineStr">
        <is>
          <t>The foreign policy of modern Japan / edited by Robert A. Scalapino ; foreword by Edwin O. Reischauer.</t>
        </is>
      </c>
      <c r="F1200" t="inlineStr">
        <is>
          <t>No</t>
        </is>
      </c>
      <c r="G1200" t="inlineStr">
        <is>
          <t>1</t>
        </is>
      </c>
      <c r="H1200" t="inlineStr">
        <is>
          <t>No</t>
        </is>
      </c>
      <c r="I1200" t="inlineStr">
        <is>
          <t>No</t>
        </is>
      </c>
      <c r="J1200" t="inlineStr">
        <is>
          <t>0</t>
        </is>
      </c>
      <c r="L1200" t="inlineStr">
        <is>
          <t>Berkeley : University of California Press, 1977.</t>
        </is>
      </c>
      <c r="M1200" t="inlineStr">
        <is>
          <t>1977</t>
        </is>
      </c>
      <c r="O1200" t="inlineStr">
        <is>
          <t>eng</t>
        </is>
      </c>
      <c r="P1200" t="inlineStr">
        <is>
          <t>cau</t>
        </is>
      </c>
      <c r="R1200" t="inlineStr">
        <is>
          <t xml:space="preserve">DS </t>
        </is>
      </c>
      <c r="S1200" t="n">
        <v>2</v>
      </c>
      <c r="T1200" t="n">
        <v>2</v>
      </c>
      <c r="U1200" t="inlineStr">
        <is>
          <t>1995-10-31</t>
        </is>
      </c>
      <c r="V1200" t="inlineStr">
        <is>
          <t>1995-10-31</t>
        </is>
      </c>
      <c r="W1200" t="inlineStr">
        <is>
          <t>1990-10-09</t>
        </is>
      </c>
      <c r="X1200" t="inlineStr">
        <is>
          <t>1990-10-09</t>
        </is>
      </c>
      <c r="Y1200" t="n">
        <v>151</v>
      </c>
      <c r="Z1200" t="n">
        <v>130</v>
      </c>
      <c r="AA1200" t="n">
        <v>508</v>
      </c>
      <c r="AB1200" t="n">
        <v>3</v>
      </c>
      <c r="AC1200" t="n">
        <v>4</v>
      </c>
      <c r="AD1200" t="n">
        <v>5</v>
      </c>
      <c r="AE1200" t="n">
        <v>25</v>
      </c>
      <c r="AF1200" t="n">
        <v>0</v>
      </c>
      <c r="AG1200" t="n">
        <v>9</v>
      </c>
      <c r="AH1200" t="n">
        <v>2</v>
      </c>
      <c r="AI1200" t="n">
        <v>7</v>
      </c>
      <c r="AJ1200" t="n">
        <v>2</v>
      </c>
      <c r="AK1200" t="n">
        <v>15</v>
      </c>
      <c r="AL1200" t="n">
        <v>2</v>
      </c>
      <c r="AM1200" t="n">
        <v>3</v>
      </c>
      <c r="AN1200" t="n">
        <v>0</v>
      </c>
      <c r="AO1200" t="n">
        <v>0</v>
      </c>
      <c r="AP1200" t="inlineStr">
        <is>
          <t>No</t>
        </is>
      </c>
      <c r="AQ1200" t="inlineStr">
        <is>
          <t>No</t>
        </is>
      </c>
      <c r="AS1200">
        <f>HYPERLINK("https://creighton-primo.hosted.exlibrisgroup.com/primo-explore/search?tab=default_tab&amp;search_scope=EVERYTHING&amp;vid=01CRU&amp;lang=en_US&amp;offset=0&amp;query=any,contains,991004372099702656","Catalog Record")</f>
        <v/>
      </c>
      <c r="AT1200">
        <f>HYPERLINK("http://www.worldcat.org/oclc/3197152","WorldCat Record")</f>
        <v/>
      </c>
      <c r="AU1200" t="inlineStr">
        <is>
          <t>190021414:eng</t>
        </is>
      </c>
      <c r="AV1200" t="inlineStr">
        <is>
          <t>3197152</t>
        </is>
      </c>
      <c r="AW1200" t="inlineStr">
        <is>
          <t>991004372099702656</t>
        </is>
      </c>
      <c r="AX1200" t="inlineStr">
        <is>
          <t>991004372099702656</t>
        </is>
      </c>
      <c r="AY1200" t="inlineStr">
        <is>
          <t>2263767560002656</t>
        </is>
      </c>
      <c r="AZ1200" t="inlineStr">
        <is>
          <t>BOOK</t>
        </is>
      </c>
      <c r="BB1200" t="inlineStr">
        <is>
          <t>9780520031968</t>
        </is>
      </c>
      <c r="BC1200" t="inlineStr">
        <is>
          <t>32285000336767</t>
        </is>
      </c>
      <c r="BD1200" t="inlineStr">
        <is>
          <t>893423716</t>
        </is>
      </c>
    </row>
    <row r="1201">
      <c r="A1201" t="inlineStr">
        <is>
          <t>No</t>
        </is>
      </c>
      <c r="B1201" t="inlineStr">
        <is>
          <t>DS485.B41 M27</t>
        </is>
      </c>
      <c r="C1201" t="inlineStr">
        <is>
          <t>0                      DS 0485000B  41                 M  27</t>
        </is>
      </c>
      <c r="D1201" t="inlineStr">
        <is>
          <t>Introducing East Pakistan: geography, everyday life, places of interest, by A. Z. Shahabuddin Mahmood.</t>
        </is>
      </c>
      <c r="F1201" t="inlineStr">
        <is>
          <t>No</t>
        </is>
      </c>
      <c r="G1201" t="inlineStr">
        <is>
          <t>1</t>
        </is>
      </c>
      <c r="H1201" t="inlineStr">
        <is>
          <t>No</t>
        </is>
      </c>
      <c r="I1201" t="inlineStr">
        <is>
          <t>No</t>
        </is>
      </c>
      <c r="J1201" t="inlineStr">
        <is>
          <t>0</t>
        </is>
      </c>
      <c r="K1201" t="inlineStr">
        <is>
          <t>Mahmood, A. Z. Shahabuddin (Abu Zafar Shahabuddin)</t>
        </is>
      </c>
      <c r="L1201" t="inlineStr">
        <is>
          <t>Dacca, Roushan Akhter Begum] 1969.</t>
        </is>
      </c>
      <c r="M1201" t="inlineStr">
        <is>
          <t>1969</t>
        </is>
      </c>
      <c r="N1201" t="inlineStr">
        <is>
          <t>[1st ed.</t>
        </is>
      </c>
      <c r="O1201" t="inlineStr">
        <is>
          <t>eng</t>
        </is>
      </c>
      <c r="P1201" t="inlineStr">
        <is>
          <t xml:space="preserve">bg </t>
        </is>
      </c>
      <c r="R1201" t="inlineStr">
        <is>
          <t xml:space="preserve">DS </t>
        </is>
      </c>
      <c r="S1201" t="n">
        <v>1</v>
      </c>
      <c r="T1201" t="n">
        <v>1</v>
      </c>
      <c r="U1201" t="inlineStr">
        <is>
          <t>2005-04-18</t>
        </is>
      </c>
      <c r="V1201" t="inlineStr">
        <is>
          <t>2005-04-18</t>
        </is>
      </c>
      <c r="W1201" t="inlineStr">
        <is>
          <t>1997-03-10</t>
        </is>
      </c>
      <c r="X1201" t="inlineStr">
        <is>
          <t>1997-03-10</t>
        </is>
      </c>
      <c r="Y1201" t="n">
        <v>170</v>
      </c>
      <c r="Z1201" t="n">
        <v>170</v>
      </c>
      <c r="AA1201" t="n">
        <v>172</v>
      </c>
      <c r="AB1201" t="n">
        <v>3</v>
      </c>
      <c r="AC1201" t="n">
        <v>3</v>
      </c>
      <c r="AD1201" t="n">
        <v>8</v>
      </c>
      <c r="AE1201" t="n">
        <v>8</v>
      </c>
      <c r="AF1201" t="n">
        <v>0</v>
      </c>
      <c r="AG1201" t="n">
        <v>0</v>
      </c>
      <c r="AH1201" t="n">
        <v>3</v>
      </c>
      <c r="AI1201" t="n">
        <v>3</v>
      </c>
      <c r="AJ1201" t="n">
        <v>4</v>
      </c>
      <c r="AK1201" t="n">
        <v>4</v>
      </c>
      <c r="AL1201" t="n">
        <v>2</v>
      </c>
      <c r="AM1201" t="n">
        <v>2</v>
      </c>
      <c r="AN1201" t="n">
        <v>0</v>
      </c>
      <c r="AO1201" t="n">
        <v>0</v>
      </c>
      <c r="AP1201" t="inlineStr">
        <is>
          <t>No</t>
        </is>
      </c>
      <c r="AQ1201" t="inlineStr">
        <is>
          <t>Yes</t>
        </is>
      </c>
      <c r="AR1201">
        <f>HYPERLINK("http://catalog.hathitrust.org/Record/000001647","HathiTrust Record")</f>
        <v/>
      </c>
      <c r="AS1201">
        <f>HYPERLINK("https://creighton-primo.hosted.exlibrisgroup.com/primo-explore/search?tab=default_tab&amp;search_scope=EVERYTHING&amp;vid=01CRU&amp;lang=en_US&amp;offset=0&amp;query=any,contains,991000660929702656","Catalog Record")</f>
        <v/>
      </c>
      <c r="AT1201">
        <f>HYPERLINK("http://www.worldcat.org/oclc/117395","WorldCat Record")</f>
        <v/>
      </c>
      <c r="AU1201" t="inlineStr">
        <is>
          <t>1235860:eng</t>
        </is>
      </c>
      <c r="AV1201" t="inlineStr">
        <is>
          <t>117395</t>
        </is>
      </c>
      <c r="AW1201" t="inlineStr">
        <is>
          <t>991000660929702656</t>
        </is>
      </c>
      <c r="AX1201" t="inlineStr">
        <is>
          <t>991000660929702656</t>
        </is>
      </c>
      <c r="AY1201" t="inlineStr">
        <is>
          <t>2260978430002656</t>
        </is>
      </c>
      <c r="AZ1201" t="inlineStr">
        <is>
          <t>BOOK</t>
        </is>
      </c>
      <c r="BC1201" t="inlineStr">
        <is>
          <t>32285002457629</t>
        </is>
      </c>
      <c r="BD1201" t="inlineStr">
        <is>
          <t>893225187</t>
        </is>
      </c>
    </row>
    <row r="1202">
      <c r="A1202" t="inlineStr">
        <is>
          <t>No</t>
        </is>
      </c>
      <c r="B1202" t="inlineStr">
        <is>
          <t>DS485.B44 I5 1976</t>
        </is>
      </c>
      <c r="C1202" t="inlineStr">
        <is>
          <t>0                      DS 0485000B  44                 I  5           1976</t>
        </is>
      </c>
      <c r="D1202" t="inlineStr">
        <is>
          <t>Marriage and rank in Bengali culture : a history of caste and clan in middle period Bengal / Ronald B. Inden.</t>
        </is>
      </c>
      <c r="F1202" t="inlineStr">
        <is>
          <t>No</t>
        </is>
      </c>
      <c r="G1202" t="inlineStr">
        <is>
          <t>1</t>
        </is>
      </c>
      <c r="H1202" t="inlineStr">
        <is>
          <t>No</t>
        </is>
      </c>
      <c r="I1202" t="inlineStr">
        <is>
          <t>No</t>
        </is>
      </c>
      <c r="J1202" t="inlineStr">
        <is>
          <t>0</t>
        </is>
      </c>
      <c r="K1202" t="inlineStr">
        <is>
          <t>Inden, Ronald B.</t>
        </is>
      </c>
      <c r="L1202" t="inlineStr">
        <is>
          <t>Berkeley : University of California Press, c1976.</t>
        </is>
      </c>
      <c r="M1202" t="inlineStr">
        <is>
          <t>1976</t>
        </is>
      </c>
      <c r="O1202" t="inlineStr">
        <is>
          <t>eng</t>
        </is>
      </c>
      <c r="P1202" t="inlineStr">
        <is>
          <t>cau</t>
        </is>
      </c>
      <c r="R1202" t="inlineStr">
        <is>
          <t xml:space="preserve">DS </t>
        </is>
      </c>
      <c r="S1202" t="n">
        <v>19</v>
      </c>
      <c r="T1202" t="n">
        <v>19</v>
      </c>
      <c r="U1202" t="inlineStr">
        <is>
          <t>1999-03-10</t>
        </is>
      </c>
      <c r="V1202" t="inlineStr">
        <is>
          <t>1999-03-10</t>
        </is>
      </c>
      <c r="W1202" t="inlineStr">
        <is>
          <t>1997-03-10</t>
        </is>
      </c>
      <c r="X1202" t="inlineStr">
        <is>
          <t>1997-03-10</t>
        </is>
      </c>
      <c r="Y1202" t="n">
        <v>387</v>
      </c>
      <c r="Z1202" t="n">
        <v>304</v>
      </c>
      <c r="AA1202" t="n">
        <v>315</v>
      </c>
      <c r="AB1202" t="n">
        <v>3</v>
      </c>
      <c r="AC1202" t="n">
        <v>3</v>
      </c>
      <c r="AD1202" t="n">
        <v>14</v>
      </c>
      <c r="AE1202" t="n">
        <v>14</v>
      </c>
      <c r="AF1202" t="n">
        <v>3</v>
      </c>
      <c r="AG1202" t="n">
        <v>3</v>
      </c>
      <c r="AH1202" t="n">
        <v>3</v>
      </c>
      <c r="AI1202" t="n">
        <v>3</v>
      </c>
      <c r="AJ1202" t="n">
        <v>9</v>
      </c>
      <c r="AK1202" t="n">
        <v>9</v>
      </c>
      <c r="AL1202" t="n">
        <v>2</v>
      </c>
      <c r="AM1202" t="n">
        <v>2</v>
      </c>
      <c r="AN1202" t="n">
        <v>0</v>
      </c>
      <c r="AO1202" t="n">
        <v>0</v>
      </c>
      <c r="AP1202" t="inlineStr">
        <is>
          <t>No</t>
        </is>
      </c>
      <c r="AQ1202" t="inlineStr">
        <is>
          <t>No</t>
        </is>
      </c>
      <c r="AS1202">
        <f>HYPERLINK("https://creighton-primo.hosted.exlibrisgroup.com/primo-explore/search?tab=default_tab&amp;search_scope=EVERYTHING&amp;vid=01CRU&amp;lang=en_US&amp;offset=0&amp;query=any,contains,991003973629702656","Catalog Record")</f>
        <v/>
      </c>
      <c r="AT1202">
        <f>HYPERLINK("http://www.worldcat.org/oclc/1995061","WorldCat Record")</f>
        <v/>
      </c>
      <c r="AU1202" t="inlineStr">
        <is>
          <t>3515346:eng</t>
        </is>
      </c>
      <c r="AV1202" t="inlineStr">
        <is>
          <t>1995061</t>
        </is>
      </c>
      <c r="AW1202" t="inlineStr">
        <is>
          <t>991003973629702656</t>
        </is>
      </c>
      <c r="AX1202" t="inlineStr">
        <is>
          <t>991003973629702656</t>
        </is>
      </c>
      <c r="AY1202" t="inlineStr">
        <is>
          <t>2260017050002656</t>
        </is>
      </c>
      <c r="AZ1202" t="inlineStr">
        <is>
          <t>BOOK</t>
        </is>
      </c>
      <c r="BB1202" t="inlineStr">
        <is>
          <t>9780520025691</t>
        </is>
      </c>
      <c r="BC1202" t="inlineStr">
        <is>
          <t>32285002457637</t>
        </is>
      </c>
      <c r="BD1202" t="inlineStr">
        <is>
          <t>893693375</t>
        </is>
      </c>
    </row>
    <row r="1203">
      <c r="A1203" t="inlineStr">
        <is>
          <t>No</t>
        </is>
      </c>
      <c r="B1203" t="inlineStr">
        <is>
          <t>DS485.B4512 M886 2001</t>
        </is>
      </c>
      <c r="C1203" t="inlineStr">
        <is>
          <t>0                      DS 0485000B  4512               M  886         2001</t>
        </is>
      </c>
      <c r="D1203" t="inlineStr">
        <is>
          <t>Understanding the Bengal Muslims : interpretative essays / edited by Rafiuddin Ahmed.</t>
        </is>
      </c>
      <c r="F1203" t="inlineStr">
        <is>
          <t>No</t>
        </is>
      </c>
      <c r="G1203" t="inlineStr">
        <is>
          <t>1</t>
        </is>
      </c>
      <c r="H1203" t="inlineStr">
        <is>
          <t>No</t>
        </is>
      </c>
      <c r="I1203" t="inlineStr">
        <is>
          <t>No</t>
        </is>
      </c>
      <c r="J1203" t="inlineStr">
        <is>
          <t>0</t>
        </is>
      </c>
      <c r="L1203" t="inlineStr">
        <is>
          <t>New Delhi : Oxford University Press, 2001.</t>
        </is>
      </c>
      <c r="M1203" t="inlineStr">
        <is>
          <t>2001</t>
        </is>
      </c>
      <c r="O1203" t="inlineStr">
        <is>
          <t>eng</t>
        </is>
      </c>
      <c r="P1203" t="inlineStr">
        <is>
          <t xml:space="preserve">ii </t>
        </is>
      </c>
      <c r="R1203" t="inlineStr">
        <is>
          <t xml:space="preserve">DS </t>
        </is>
      </c>
      <c r="S1203" t="n">
        <v>4</v>
      </c>
      <c r="T1203" t="n">
        <v>4</v>
      </c>
      <c r="U1203" t="inlineStr">
        <is>
          <t>2008-04-02</t>
        </is>
      </c>
      <c r="V1203" t="inlineStr">
        <is>
          <t>2008-04-02</t>
        </is>
      </c>
      <c r="W1203" t="inlineStr">
        <is>
          <t>2002-10-02</t>
        </is>
      </c>
      <c r="X1203" t="inlineStr">
        <is>
          <t>2002-10-02</t>
        </is>
      </c>
      <c r="Y1203" t="n">
        <v>178</v>
      </c>
      <c r="Z1203" t="n">
        <v>134</v>
      </c>
      <c r="AA1203" t="n">
        <v>136</v>
      </c>
      <c r="AB1203" t="n">
        <v>2</v>
      </c>
      <c r="AC1203" t="n">
        <v>2</v>
      </c>
      <c r="AD1203" t="n">
        <v>8</v>
      </c>
      <c r="AE1203" t="n">
        <v>8</v>
      </c>
      <c r="AF1203" t="n">
        <v>1</v>
      </c>
      <c r="AG1203" t="n">
        <v>1</v>
      </c>
      <c r="AH1203" t="n">
        <v>3</v>
      </c>
      <c r="AI1203" t="n">
        <v>3</v>
      </c>
      <c r="AJ1203" t="n">
        <v>4</v>
      </c>
      <c r="AK1203" t="n">
        <v>4</v>
      </c>
      <c r="AL1203" t="n">
        <v>1</v>
      </c>
      <c r="AM1203" t="n">
        <v>1</v>
      </c>
      <c r="AN1203" t="n">
        <v>0</v>
      </c>
      <c r="AO1203" t="n">
        <v>0</v>
      </c>
      <c r="AP1203" t="inlineStr">
        <is>
          <t>No</t>
        </is>
      </c>
      <c r="AQ1203" t="inlineStr">
        <is>
          <t>Yes</t>
        </is>
      </c>
      <c r="AR1203">
        <f>HYPERLINK("http://catalog.hathitrust.org/Record/003589229","HathiTrust Record")</f>
        <v/>
      </c>
      <c r="AS1203">
        <f>HYPERLINK("https://creighton-primo.hosted.exlibrisgroup.com/primo-explore/search?tab=default_tab&amp;search_scope=EVERYTHING&amp;vid=01CRU&amp;lang=en_US&amp;offset=0&amp;query=any,contains,991003865479702656","Catalog Record")</f>
        <v/>
      </c>
      <c r="AT1203">
        <f>HYPERLINK("http://www.worldcat.org/oclc/46601394","WorldCat Record")</f>
        <v/>
      </c>
      <c r="AU1203" t="inlineStr">
        <is>
          <t>837067728:eng</t>
        </is>
      </c>
      <c r="AV1203" t="inlineStr">
        <is>
          <t>46601394</t>
        </is>
      </c>
      <c r="AW1203" t="inlineStr">
        <is>
          <t>991003865479702656</t>
        </is>
      </c>
      <c r="AX1203" t="inlineStr">
        <is>
          <t>991003865479702656</t>
        </is>
      </c>
      <c r="AY1203" t="inlineStr">
        <is>
          <t>2270085230002656</t>
        </is>
      </c>
      <c r="AZ1203" t="inlineStr">
        <is>
          <t>BOOK</t>
        </is>
      </c>
      <c r="BB1203" t="inlineStr">
        <is>
          <t>9780195655209</t>
        </is>
      </c>
      <c r="BC1203" t="inlineStr">
        <is>
          <t>32285004651344</t>
        </is>
      </c>
      <c r="BD1203" t="inlineStr">
        <is>
          <t>893506079</t>
        </is>
      </c>
    </row>
    <row r="1204">
      <c r="A1204" t="inlineStr">
        <is>
          <t>No</t>
        </is>
      </c>
      <c r="B1204" t="inlineStr">
        <is>
          <t>DS485.B48 K48</t>
        </is>
      </c>
      <c r="C1204" t="inlineStr">
        <is>
          <t>0                      DS 0485000B  48                 K  48</t>
        </is>
      </c>
      <c r="D1204" t="inlineStr">
        <is>
          <t>The transition in Bengal, 1756-1775: a study of Seiyid Muhammad Reza Khan.</t>
        </is>
      </c>
      <c r="F1204" t="inlineStr">
        <is>
          <t>No</t>
        </is>
      </c>
      <c r="G1204" t="inlineStr">
        <is>
          <t>1</t>
        </is>
      </c>
      <c r="H1204" t="inlineStr">
        <is>
          <t>No</t>
        </is>
      </c>
      <c r="I1204" t="inlineStr">
        <is>
          <t>No</t>
        </is>
      </c>
      <c r="J1204" t="inlineStr">
        <is>
          <t>0</t>
        </is>
      </c>
      <c r="K1204" t="inlineStr">
        <is>
          <t>Khan, Abdul Majed.</t>
        </is>
      </c>
      <c r="L1204" t="inlineStr">
        <is>
          <t>London, Cambridge U.P., 1969.</t>
        </is>
      </c>
      <c r="M1204" t="inlineStr">
        <is>
          <t>1969</t>
        </is>
      </c>
      <c r="O1204" t="inlineStr">
        <is>
          <t>eng</t>
        </is>
      </c>
      <c r="P1204" t="inlineStr">
        <is>
          <t>enk</t>
        </is>
      </c>
      <c r="Q1204" t="inlineStr">
        <is>
          <t>Cambridge South Asian studies ; 7</t>
        </is>
      </c>
      <c r="R1204" t="inlineStr">
        <is>
          <t xml:space="preserve">DS </t>
        </is>
      </c>
      <c r="S1204" t="n">
        <v>1</v>
      </c>
      <c r="T1204" t="n">
        <v>1</v>
      </c>
      <c r="U1204" t="inlineStr">
        <is>
          <t>2000-09-13</t>
        </is>
      </c>
      <c r="V1204" t="inlineStr">
        <is>
          <t>2000-09-13</t>
        </is>
      </c>
      <c r="W1204" t="inlineStr">
        <is>
          <t>1996-08-09</t>
        </is>
      </c>
      <c r="X1204" t="inlineStr">
        <is>
          <t>1996-08-09</t>
        </is>
      </c>
      <c r="Y1204" t="n">
        <v>325</v>
      </c>
      <c r="Z1204" t="n">
        <v>235</v>
      </c>
      <c r="AA1204" t="n">
        <v>244</v>
      </c>
      <c r="AB1204" t="n">
        <v>3</v>
      </c>
      <c r="AC1204" t="n">
        <v>3</v>
      </c>
      <c r="AD1204" t="n">
        <v>13</v>
      </c>
      <c r="AE1204" t="n">
        <v>13</v>
      </c>
      <c r="AF1204" t="n">
        <v>3</v>
      </c>
      <c r="AG1204" t="n">
        <v>3</v>
      </c>
      <c r="AH1204" t="n">
        <v>3</v>
      </c>
      <c r="AI1204" t="n">
        <v>3</v>
      </c>
      <c r="AJ1204" t="n">
        <v>7</v>
      </c>
      <c r="AK1204" t="n">
        <v>7</v>
      </c>
      <c r="AL1204" t="n">
        <v>2</v>
      </c>
      <c r="AM1204" t="n">
        <v>2</v>
      </c>
      <c r="AN1204" t="n">
        <v>0</v>
      </c>
      <c r="AO1204" t="n">
        <v>0</v>
      </c>
      <c r="AP1204" t="inlineStr">
        <is>
          <t>No</t>
        </is>
      </c>
      <c r="AQ1204" t="inlineStr">
        <is>
          <t>No</t>
        </is>
      </c>
      <c r="AS1204">
        <f>HYPERLINK("https://creighton-primo.hosted.exlibrisgroup.com/primo-explore/search?tab=default_tab&amp;search_scope=EVERYTHING&amp;vid=01CRU&amp;lang=en_US&amp;offset=0&amp;query=any,contains,991002884629702656","Catalog Record")</f>
        <v/>
      </c>
      <c r="AT1204">
        <f>HYPERLINK("http://www.worldcat.org/oclc/507817","WorldCat Record")</f>
        <v/>
      </c>
      <c r="AU1204" t="inlineStr">
        <is>
          <t>351048454:eng</t>
        </is>
      </c>
      <c r="AV1204" t="inlineStr">
        <is>
          <t>507817</t>
        </is>
      </c>
      <c r="AW1204" t="inlineStr">
        <is>
          <t>991002884629702656</t>
        </is>
      </c>
      <c r="AX1204" t="inlineStr">
        <is>
          <t>991002884629702656</t>
        </is>
      </c>
      <c r="AY1204" t="inlineStr">
        <is>
          <t>2260348520002656</t>
        </is>
      </c>
      <c r="AZ1204" t="inlineStr">
        <is>
          <t>BOOK</t>
        </is>
      </c>
      <c r="BB1204" t="inlineStr">
        <is>
          <t>9780521071246</t>
        </is>
      </c>
      <c r="BC1204" t="inlineStr">
        <is>
          <t>32285002272994</t>
        </is>
      </c>
      <c r="BD1204" t="inlineStr">
        <is>
          <t>893598015</t>
        </is>
      </c>
    </row>
    <row r="1205">
      <c r="A1205" t="inlineStr">
        <is>
          <t>No</t>
        </is>
      </c>
      <c r="B1205" t="inlineStr">
        <is>
          <t>DS485.B81 C48</t>
        </is>
      </c>
      <c r="C1205" t="inlineStr">
        <is>
          <t>0                      DS 0485000B  81                 C  48</t>
        </is>
      </c>
      <c r="D1205" t="inlineStr">
        <is>
          <t>Modern Burma, a survey of political and economic development, by John Leroy Christian. Issued under the auspices of the International secretariat, Institute of Pacific relations.</t>
        </is>
      </c>
      <c r="F1205" t="inlineStr">
        <is>
          <t>No</t>
        </is>
      </c>
      <c r="G1205" t="inlineStr">
        <is>
          <t>1</t>
        </is>
      </c>
      <c r="H1205" t="inlineStr">
        <is>
          <t>No</t>
        </is>
      </c>
      <c r="I1205" t="inlineStr">
        <is>
          <t>No</t>
        </is>
      </c>
      <c r="J1205" t="inlineStr">
        <is>
          <t>0</t>
        </is>
      </c>
      <c r="K1205" t="inlineStr">
        <is>
          <t>Christian, John LeRoy.</t>
        </is>
      </c>
      <c r="L1205" t="inlineStr">
        <is>
          <t>Berkeley, Los Angeles, University of California Press, 1942.</t>
        </is>
      </c>
      <c r="M1205" t="inlineStr">
        <is>
          <t>1942</t>
        </is>
      </c>
      <c r="O1205" t="inlineStr">
        <is>
          <t>eng</t>
        </is>
      </c>
      <c r="P1205" t="inlineStr">
        <is>
          <t>cau</t>
        </is>
      </c>
      <c r="R1205" t="inlineStr">
        <is>
          <t xml:space="preserve">DS </t>
        </is>
      </c>
      <c r="S1205" t="n">
        <v>1</v>
      </c>
      <c r="T1205" t="n">
        <v>1</v>
      </c>
      <c r="U1205" t="inlineStr">
        <is>
          <t>1998-04-15</t>
        </is>
      </c>
      <c r="V1205" t="inlineStr">
        <is>
          <t>1998-04-15</t>
        </is>
      </c>
      <c r="W1205" t="inlineStr">
        <is>
          <t>1997-03-10</t>
        </is>
      </c>
      <c r="X1205" t="inlineStr">
        <is>
          <t>1997-03-10</t>
        </is>
      </c>
      <c r="Y1205" t="n">
        <v>447</v>
      </c>
      <c r="Z1205" t="n">
        <v>367</v>
      </c>
      <c r="AA1205" t="n">
        <v>388</v>
      </c>
      <c r="AB1205" t="n">
        <v>5</v>
      </c>
      <c r="AC1205" t="n">
        <v>5</v>
      </c>
      <c r="AD1205" t="n">
        <v>16</v>
      </c>
      <c r="AE1205" t="n">
        <v>16</v>
      </c>
      <c r="AF1205" t="n">
        <v>2</v>
      </c>
      <c r="AG1205" t="n">
        <v>2</v>
      </c>
      <c r="AH1205" t="n">
        <v>3</v>
      </c>
      <c r="AI1205" t="n">
        <v>3</v>
      </c>
      <c r="AJ1205" t="n">
        <v>9</v>
      </c>
      <c r="AK1205" t="n">
        <v>9</v>
      </c>
      <c r="AL1205" t="n">
        <v>4</v>
      </c>
      <c r="AM1205" t="n">
        <v>4</v>
      </c>
      <c r="AN1205" t="n">
        <v>0</v>
      </c>
      <c r="AO1205" t="n">
        <v>0</v>
      </c>
      <c r="AP1205" t="inlineStr">
        <is>
          <t>No</t>
        </is>
      </c>
      <c r="AQ1205" t="inlineStr">
        <is>
          <t>Yes</t>
        </is>
      </c>
      <c r="AR1205">
        <f>HYPERLINK("http://catalog.hathitrust.org/Record/001266780","HathiTrust Record")</f>
        <v/>
      </c>
      <c r="AS1205">
        <f>HYPERLINK("https://creighton-primo.hosted.exlibrisgroup.com/primo-explore/search?tab=default_tab&amp;search_scope=EVERYTHING&amp;vid=01CRU&amp;lang=en_US&amp;offset=0&amp;query=any,contains,991003728209702656","Catalog Record")</f>
        <v/>
      </c>
      <c r="AT1205">
        <f>HYPERLINK("http://www.worldcat.org/oclc/1377656","WorldCat Record")</f>
        <v/>
      </c>
      <c r="AU1205" t="inlineStr">
        <is>
          <t>1749079568:eng</t>
        </is>
      </c>
      <c r="AV1205" t="inlineStr">
        <is>
          <t>1377656</t>
        </is>
      </c>
      <c r="AW1205" t="inlineStr">
        <is>
          <t>991003728209702656</t>
        </is>
      </c>
      <c r="AX1205" t="inlineStr">
        <is>
          <t>991003728209702656</t>
        </is>
      </c>
      <c r="AY1205" t="inlineStr">
        <is>
          <t>2258029930002656</t>
        </is>
      </c>
      <c r="AZ1205" t="inlineStr">
        <is>
          <t>BOOK</t>
        </is>
      </c>
      <c r="BC1205" t="inlineStr">
        <is>
          <t>32285002457736</t>
        </is>
      </c>
      <c r="BD1205" t="inlineStr">
        <is>
          <t>893705552</t>
        </is>
      </c>
    </row>
    <row r="1206">
      <c r="A1206" t="inlineStr">
        <is>
          <t>No</t>
        </is>
      </c>
      <c r="B1206" t="inlineStr">
        <is>
          <t>DS485.B86 H24</t>
        </is>
      </c>
      <c r="C1206" t="inlineStr">
        <is>
          <t>0                      DS 0485000B  86                 H  24</t>
        </is>
      </c>
      <c r="D1206" t="inlineStr">
        <is>
          <t>Burma.</t>
        </is>
      </c>
      <c r="F1206" t="inlineStr">
        <is>
          <t>No</t>
        </is>
      </c>
      <c r="G1206" t="inlineStr">
        <is>
          <t>1</t>
        </is>
      </c>
      <c r="H1206" t="inlineStr">
        <is>
          <t>No</t>
        </is>
      </c>
      <c r="I1206" t="inlineStr">
        <is>
          <t>No</t>
        </is>
      </c>
      <c r="J1206" t="inlineStr">
        <is>
          <t>0</t>
        </is>
      </c>
      <c r="K1206" t="inlineStr">
        <is>
          <t>Hall, D. G. E. (Daniel George Edward), 1891-1979.</t>
        </is>
      </c>
      <c r="L1206" t="inlineStr">
        <is>
          <t>London, New York, Hutchinson's University Library, 1950.</t>
        </is>
      </c>
      <c r="M1206" t="inlineStr">
        <is>
          <t>1950</t>
        </is>
      </c>
      <c r="O1206" t="inlineStr">
        <is>
          <t>eng</t>
        </is>
      </c>
      <c r="P1206" t="inlineStr">
        <is>
          <t>enk</t>
        </is>
      </c>
      <c r="Q1206" t="inlineStr">
        <is>
          <t>Hutchinson's University Library, no. 46. British Empire history</t>
        </is>
      </c>
      <c r="R1206" t="inlineStr">
        <is>
          <t xml:space="preserve">DS </t>
        </is>
      </c>
      <c r="S1206" t="n">
        <v>3</v>
      </c>
      <c r="T1206" t="n">
        <v>3</v>
      </c>
      <c r="U1206" t="inlineStr">
        <is>
          <t>2005-01-20</t>
        </is>
      </c>
      <c r="V1206" t="inlineStr">
        <is>
          <t>2005-01-20</t>
        </is>
      </c>
      <c r="W1206" t="inlineStr">
        <is>
          <t>1997-03-10</t>
        </is>
      </c>
      <c r="X1206" t="inlineStr">
        <is>
          <t>1997-03-10</t>
        </is>
      </c>
      <c r="Y1206" t="n">
        <v>278</v>
      </c>
      <c r="Z1206" t="n">
        <v>206</v>
      </c>
      <c r="AA1206" t="n">
        <v>389</v>
      </c>
      <c r="AB1206" t="n">
        <v>2</v>
      </c>
      <c r="AC1206" t="n">
        <v>2</v>
      </c>
      <c r="AD1206" t="n">
        <v>12</v>
      </c>
      <c r="AE1206" t="n">
        <v>18</v>
      </c>
      <c r="AF1206" t="n">
        <v>3</v>
      </c>
      <c r="AG1206" t="n">
        <v>5</v>
      </c>
      <c r="AH1206" t="n">
        <v>5</v>
      </c>
      <c r="AI1206" t="n">
        <v>6</v>
      </c>
      <c r="AJ1206" t="n">
        <v>6</v>
      </c>
      <c r="AK1206" t="n">
        <v>12</v>
      </c>
      <c r="AL1206" t="n">
        <v>1</v>
      </c>
      <c r="AM1206" t="n">
        <v>1</v>
      </c>
      <c r="AN1206" t="n">
        <v>0</v>
      </c>
      <c r="AO1206" t="n">
        <v>0</v>
      </c>
      <c r="AP1206" t="inlineStr">
        <is>
          <t>No</t>
        </is>
      </c>
      <c r="AQ1206" t="inlineStr">
        <is>
          <t>No</t>
        </is>
      </c>
      <c r="AS1206">
        <f>HYPERLINK("https://creighton-primo.hosted.exlibrisgroup.com/primo-explore/search?tab=default_tab&amp;search_scope=EVERYTHING&amp;vid=01CRU&amp;lang=en_US&amp;offset=0&amp;query=any,contains,991002894359702656","Catalog Record")</f>
        <v/>
      </c>
      <c r="AT1206">
        <f>HYPERLINK("http://www.worldcat.org/oclc/513262","WorldCat Record")</f>
        <v/>
      </c>
      <c r="AU1206" t="inlineStr">
        <is>
          <t>5558348:eng</t>
        </is>
      </c>
      <c r="AV1206" t="inlineStr">
        <is>
          <t>513262</t>
        </is>
      </c>
      <c r="AW1206" t="inlineStr">
        <is>
          <t>991002894359702656</t>
        </is>
      </c>
      <c r="AX1206" t="inlineStr">
        <is>
          <t>991002894359702656</t>
        </is>
      </c>
      <c r="AY1206" t="inlineStr">
        <is>
          <t>2260728770002656</t>
        </is>
      </c>
      <c r="AZ1206" t="inlineStr">
        <is>
          <t>BOOK</t>
        </is>
      </c>
      <c r="BC1206" t="inlineStr">
        <is>
          <t>32285002457751</t>
        </is>
      </c>
      <c r="BD1206" t="inlineStr">
        <is>
          <t>893793064</t>
        </is>
      </c>
    </row>
    <row r="1207">
      <c r="A1207" t="inlineStr">
        <is>
          <t>No</t>
        </is>
      </c>
      <c r="B1207" t="inlineStr">
        <is>
          <t>DS485.B86 H77</t>
        </is>
      </c>
      <c r="C1207" t="inlineStr">
        <is>
          <t>0                      DS 0485000B  86                 H  77</t>
        </is>
      </c>
      <c r="D1207" t="inlineStr">
        <is>
          <t>A history of Burma, by Maung Htin Aung.</t>
        </is>
      </c>
      <c r="F1207" t="inlineStr">
        <is>
          <t>No</t>
        </is>
      </c>
      <c r="G1207" t="inlineStr">
        <is>
          <t>1</t>
        </is>
      </c>
      <c r="H1207" t="inlineStr">
        <is>
          <t>No</t>
        </is>
      </c>
      <c r="I1207" t="inlineStr">
        <is>
          <t>No</t>
        </is>
      </c>
      <c r="J1207" t="inlineStr">
        <is>
          <t>0</t>
        </is>
      </c>
      <c r="K1207" t="inlineStr">
        <is>
          <t>Htin Aung, U</t>
        </is>
      </c>
      <c r="L1207" t="inlineStr">
        <is>
          <t>New York, Columbia University Press, 1967.</t>
        </is>
      </c>
      <c r="M1207" t="inlineStr">
        <is>
          <t>1967</t>
        </is>
      </c>
      <c r="O1207" t="inlineStr">
        <is>
          <t>eng</t>
        </is>
      </c>
      <c r="P1207" t="inlineStr">
        <is>
          <t>nyu</t>
        </is>
      </c>
      <c r="R1207" t="inlineStr">
        <is>
          <t xml:space="preserve">DS </t>
        </is>
      </c>
      <c r="S1207" t="n">
        <v>4</v>
      </c>
      <c r="T1207" t="n">
        <v>4</v>
      </c>
      <c r="U1207" t="inlineStr">
        <is>
          <t>2005-01-20</t>
        </is>
      </c>
      <c r="V1207" t="inlineStr">
        <is>
          <t>2005-01-20</t>
        </is>
      </c>
      <c r="W1207" t="inlineStr">
        <is>
          <t>1997-03-10</t>
        </is>
      </c>
      <c r="X1207" t="inlineStr">
        <is>
          <t>1997-03-10</t>
        </is>
      </c>
      <c r="Y1207" t="n">
        <v>877</v>
      </c>
      <c r="Z1207" t="n">
        <v>754</v>
      </c>
      <c r="AA1207" t="n">
        <v>775</v>
      </c>
      <c r="AB1207" t="n">
        <v>5</v>
      </c>
      <c r="AC1207" t="n">
        <v>5</v>
      </c>
      <c r="AD1207" t="n">
        <v>32</v>
      </c>
      <c r="AE1207" t="n">
        <v>32</v>
      </c>
      <c r="AF1207" t="n">
        <v>13</v>
      </c>
      <c r="AG1207" t="n">
        <v>13</v>
      </c>
      <c r="AH1207" t="n">
        <v>7</v>
      </c>
      <c r="AI1207" t="n">
        <v>7</v>
      </c>
      <c r="AJ1207" t="n">
        <v>14</v>
      </c>
      <c r="AK1207" t="n">
        <v>14</v>
      </c>
      <c r="AL1207" t="n">
        <v>4</v>
      </c>
      <c r="AM1207" t="n">
        <v>4</v>
      </c>
      <c r="AN1207" t="n">
        <v>0</v>
      </c>
      <c r="AO1207" t="n">
        <v>0</v>
      </c>
      <c r="AP1207" t="inlineStr">
        <is>
          <t>No</t>
        </is>
      </c>
      <c r="AQ1207" t="inlineStr">
        <is>
          <t>No</t>
        </is>
      </c>
      <c r="AS1207">
        <f>HYPERLINK("https://creighton-primo.hosted.exlibrisgroup.com/primo-explore/search?tab=default_tab&amp;search_scope=EVERYTHING&amp;vid=01CRU&amp;lang=en_US&amp;offset=0&amp;query=any,contains,991003197749702656","Catalog Record")</f>
        <v/>
      </c>
      <c r="AT1207">
        <f>HYPERLINK("http://www.worldcat.org/oclc/722761","WorldCat Record")</f>
        <v/>
      </c>
      <c r="AU1207" t="inlineStr">
        <is>
          <t>1407747303:eng</t>
        </is>
      </c>
      <c r="AV1207" t="inlineStr">
        <is>
          <t>722761</t>
        </is>
      </c>
      <c r="AW1207" t="inlineStr">
        <is>
          <t>991003197749702656</t>
        </is>
      </c>
      <c r="AX1207" t="inlineStr">
        <is>
          <t>991003197749702656</t>
        </is>
      </c>
      <c r="AY1207" t="inlineStr">
        <is>
          <t>2256820990002656</t>
        </is>
      </c>
      <c r="AZ1207" t="inlineStr">
        <is>
          <t>BOOK</t>
        </is>
      </c>
      <c r="BC1207" t="inlineStr">
        <is>
          <t>32285002457769</t>
        </is>
      </c>
      <c r="BD1207" t="inlineStr">
        <is>
          <t>893434728</t>
        </is>
      </c>
    </row>
    <row r="1208">
      <c r="A1208" t="inlineStr">
        <is>
          <t>No</t>
        </is>
      </c>
      <c r="B1208" t="inlineStr">
        <is>
          <t>DS485.B86 T7</t>
        </is>
      </c>
      <c r="C1208" t="inlineStr">
        <is>
          <t>0                      DS 0485000B  86                 T  7</t>
        </is>
      </c>
      <c r="D1208" t="inlineStr">
        <is>
          <t>Burma : from kingdom to republic; a historical and political analysis / [by] Frank N. Trager.</t>
        </is>
      </c>
      <c r="F1208" t="inlineStr">
        <is>
          <t>No</t>
        </is>
      </c>
      <c r="G1208" t="inlineStr">
        <is>
          <t>1</t>
        </is>
      </c>
      <c r="H1208" t="inlineStr">
        <is>
          <t>No</t>
        </is>
      </c>
      <c r="I1208" t="inlineStr">
        <is>
          <t>No</t>
        </is>
      </c>
      <c r="J1208" t="inlineStr">
        <is>
          <t>0</t>
        </is>
      </c>
      <c r="K1208" t="inlineStr">
        <is>
          <t>Trager, Frank N.</t>
        </is>
      </c>
      <c r="L1208" t="inlineStr">
        <is>
          <t>New York : Frederick A. Praeger, [1966]</t>
        </is>
      </c>
      <c r="M1208" t="inlineStr">
        <is>
          <t>1966</t>
        </is>
      </c>
      <c r="O1208" t="inlineStr">
        <is>
          <t>eng</t>
        </is>
      </c>
      <c r="P1208" t="inlineStr">
        <is>
          <t>nyu</t>
        </is>
      </c>
      <c r="R1208" t="inlineStr">
        <is>
          <t xml:space="preserve">DS </t>
        </is>
      </c>
      <c r="S1208" t="n">
        <v>4</v>
      </c>
      <c r="T1208" t="n">
        <v>4</v>
      </c>
      <c r="U1208" t="inlineStr">
        <is>
          <t>2005-01-26</t>
        </is>
      </c>
      <c r="V1208" t="inlineStr">
        <is>
          <t>2005-01-26</t>
        </is>
      </c>
      <c r="W1208" t="inlineStr">
        <is>
          <t>1992-04-24</t>
        </is>
      </c>
      <c r="X1208" t="inlineStr">
        <is>
          <t>1992-04-24</t>
        </is>
      </c>
      <c r="Y1208" t="n">
        <v>612</v>
      </c>
      <c r="Z1208" t="n">
        <v>557</v>
      </c>
      <c r="AA1208" t="n">
        <v>620</v>
      </c>
      <c r="AB1208" t="n">
        <v>4</v>
      </c>
      <c r="AC1208" t="n">
        <v>4</v>
      </c>
      <c r="AD1208" t="n">
        <v>20</v>
      </c>
      <c r="AE1208" t="n">
        <v>24</v>
      </c>
      <c r="AF1208" t="n">
        <v>7</v>
      </c>
      <c r="AG1208" t="n">
        <v>7</v>
      </c>
      <c r="AH1208" t="n">
        <v>4</v>
      </c>
      <c r="AI1208" t="n">
        <v>6</v>
      </c>
      <c r="AJ1208" t="n">
        <v>11</v>
      </c>
      <c r="AK1208" t="n">
        <v>13</v>
      </c>
      <c r="AL1208" t="n">
        <v>3</v>
      </c>
      <c r="AM1208" t="n">
        <v>3</v>
      </c>
      <c r="AN1208" t="n">
        <v>1</v>
      </c>
      <c r="AO1208" t="n">
        <v>1</v>
      </c>
      <c r="AP1208" t="inlineStr">
        <is>
          <t>No</t>
        </is>
      </c>
      <c r="AQ1208" t="inlineStr">
        <is>
          <t>Yes</t>
        </is>
      </c>
      <c r="AR1208">
        <f>HYPERLINK("http://catalog.hathitrust.org/Record/001253494","HathiTrust Record")</f>
        <v/>
      </c>
      <c r="AS1208">
        <f>HYPERLINK("https://creighton-primo.hosted.exlibrisgroup.com/primo-explore/search?tab=default_tab&amp;search_scope=EVERYTHING&amp;vid=01CRU&amp;lang=en_US&amp;offset=0&amp;query=any,contains,991002385319702656","Catalog Record")</f>
        <v/>
      </c>
      <c r="AT1208">
        <f>HYPERLINK("http://www.worldcat.org/oclc/329720","WorldCat Record")</f>
        <v/>
      </c>
      <c r="AU1208" t="inlineStr">
        <is>
          <t>1426430:eng</t>
        </is>
      </c>
      <c r="AV1208" t="inlineStr">
        <is>
          <t>329720</t>
        </is>
      </c>
      <c r="AW1208" t="inlineStr">
        <is>
          <t>991002385319702656</t>
        </is>
      </c>
      <c r="AX1208" t="inlineStr">
        <is>
          <t>991002385319702656</t>
        </is>
      </c>
      <c r="AY1208" t="inlineStr">
        <is>
          <t>2267480500002656</t>
        </is>
      </c>
      <c r="AZ1208" t="inlineStr">
        <is>
          <t>BOOK</t>
        </is>
      </c>
      <c r="BC1208" t="inlineStr">
        <is>
          <t>32285001086783</t>
        </is>
      </c>
      <c r="BD1208" t="inlineStr">
        <is>
          <t>893710220</t>
        </is>
      </c>
    </row>
    <row r="1209">
      <c r="A1209" t="inlineStr">
        <is>
          <t>No</t>
        </is>
      </c>
      <c r="B1209" t="inlineStr">
        <is>
          <t>DS485.B89 B28</t>
        </is>
      </c>
      <c r="C1209" t="inlineStr">
        <is>
          <t>0                      DS 0485000B  89                 B  28</t>
        </is>
      </c>
      <c r="D1209" t="inlineStr">
        <is>
          <t>Breakthrough in Burma; memoirs of a revolution, 1939-1946 [by] Ba Maw.</t>
        </is>
      </c>
      <c r="F1209" t="inlineStr">
        <is>
          <t>No</t>
        </is>
      </c>
      <c r="G1209" t="inlineStr">
        <is>
          <t>1</t>
        </is>
      </c>
      <c r="H1209" t="inlineStr">
        <is>
          <t>No</t>
        </is>
      </c>
      <c r="I1209" t="inlineStr">
        <is>
          <t>No</t>
        </is>
      </c>
      <c r="J1209" t="inlineStr">
        <is>
          <t>0</t>
        </is>
      </c>
      <c r="K1209" t="inlineStr">
        <is>
          <t>Ba Maw, U, 1892-</t>
        </is>
      </c>
      <c r="L1209" t="inlineStr">
        <is>
          <t>New Haven, Yale University Press, 1968.</t>
        </is>
      </c>
      <c r="M1209" t="inlineStr">
        <is>
          <t>1968</t>
        </is>
      </c>
      <c r="O1209" t="inlineStr">
        <is>
          <t>eng</t>
        </is>
      </c>
      <c r="P1209" t="inlineStr">
        <is>
          <t>ctu</t>
        </is>
      </c>
      <c r="R1209" t="inlineStr">
        <is>
          <t xml:space="preserve">DS </t>
        </is>
      </c>
      <c r="S1209" t="n">
        <v>1</v>
      </c>
      <c r="T1209" t="n">
        <v>1</v>
      </c>
      <c r="U1209" t="inlineStr">
        <is>
          <t>2005-03-03</t>
        </is>
      </c>
      <c r="V1209" t="inlineStr">
        <is>
          <t>2005-03-03</t>
        </is>
      </c>
      <c r="W1209" t="inlineStr">
        <is>
          <t>1997-03-10</t>
        </is>
      </c>
      <c r="X1209" t="inlineStr">
        <is>
          <t>1997-03-10</t>
        </is>
      </c>
      <c r="Y1209" t="n">
        <v>675</v>
      </c>
      <c r="Z1209" t="n">
        <v>563</v>
      </c>
      <c r="AA1209" t="n">
        <v>572</v>
      </c>
      <c r="AB1209" t="n">
        <v>4</v>
      </c>
      <c r="AC1209" t="n">
        <v>4</v>
      </c>
      <c r="AD1209" t="n">
        <v>25</v>
      </c>
      <c r="AE1209" t="n">
        <v>25</v>
      </c>
      <c r="AF1209" t="n">
        <v>10</v>
      </c>
      <c r="AG1209" t="n">
        <v>10</v>
      </c>
      <c r="AH1209" t="n">
        <v>6</v>
      </c>
      <c r="AI1209" t="n">
        <v>6</v>
      </c>
      <c r="AJ1209" t="n">
        <v>12</v>
      </c>
      <c r="AK1209" t="n">
        <v>12</v>
      </c>
      <c r="AL1209" t="n">
        <v>3</v>
      </c>
      <c r="AM1209" t="n">
        <v>3</v>
      </c>
      <c r="AN1209" t="n">
        <v>0</v>
      </c>
      <c r="AO1209" t="n">
        <v>0</v>
      </c>
      <c r="AP1209" t="inlineStr">
        <is>
          <t>No</t>
        </is>
      </c>
      <c r="AQ1209" t="inlineStr">
        <is>
          <t>Yes</t>
        </is>
      </c>
      <c r="AR1209">
        <f>HYPERLINK("http://catalog.hathitrust.org/Record/001253501","HathiTrust Record")</f>
        <v/>
      </c>
      <c r="AS1209">
        <f>HYPERLINK("https://creighton-primo.hosted.exlibrisgroup.com/primo-explore/search?tab=default_tab&amp;search_scope=EVERYTHING&amp;vid=01CRU&amp;lang=en_US&amp;offset=0&amp;query=any,contains,991002710689702656","Catalog Record")</f>
        <v/>
      </c>
      <c r="AT1209">
        <f>HYPERLINK("http://www.worldcat.org/oclc/409133","WorldCat Record")</f>
        <v/>
      </c>
      <c r="AU1209" t="inlineStr">
        <is>
          <t>1445971:eng</t>
        </is>
      </c>
      <c r="AV1209" t="inlineStr">
        <is>
          <t>409133</t>
        </is>
      </c>
      <c r="AW1209" t="inlineStr">
        <is>
          <t>991002710689702656</t>
        </is>
      </c>
      <c r="AX1209" t="inlineStr">
        <is>
          <t>991002710689702656</t>
        </is>
      </c>
      <c r="AY1209" t="inlineStr">
        <is>
          <t>2262132700002656</t>
        </is>
      </c>
      <c r="AZ1209" t="inlineStr">
        <is>
          <t>BOOK</t>
        </is>
      </c>
      <c r="BC1209" t="inlineStr">
        <is>
          <t>32285002457777</t>
        </is>
      </c>
      <c r="BD1209" t="inlineStr">
        <is>
          <t>893335626</t>
        </is>
      </c>
    </row>
    <row r="1210">
      <c r="A1210" t="inlineStr">
        <is>
          <t>No</t>
        </is>
      </c>
      <c r="B1210" t="inlineStr">
        <is>
          <t>DS485.B892 J6</t>
        </is>
      </c>
      <c r="C1210" t="inlineStr">
        <is>
          <t>0                      DS 0485000B  892                J  6</t>
        </is>
      </c>
      <c r="D1210" t="inlineStr">
        <is>
          <t>Burma's foreign policy; a study in neutralism.</t>
        </is>
      </c>
      <c r="F1210" t="inlineStr">
        <is>
          <t>No</t>
        </is>
      </c>
      <c r="G1210" t="inlineStr">
        <is>
          <t>1</t>
        </is>
      </c>
      <c r="H1210" t="inlineStr">
        <is>
          <t>No</t>
        </is>
      </c>
      <c r="I1210" t="inlineStr">
        <is>
          <t>No</t>
        </is>
      </c>
      <c r="J1210" t="inlineStr">
        <is>
          <t>0</t>
        </is>
      </c>
      <c r="K1210" t="inlineStr">
        <is>
          <t>Johnstone, William Crane, 1901-</t>
        </is>
      </c>
      <c r="L1210" t="inlineStr">
        <is>
          <t>Cambridge, Harvard University Press, 1963.</t>
        </is>
      </c>
      <c r="M1210" t="inlineStr">
        <is>
          <t>1963</t>
        </is>
      </c>
      <c r="O1210" t="inlineStr">
        <is>
          <t>eng</t>
        </is>
      </c>
      <c r="P1210" t="inlineStr">
        <is>
          <t>mau</t>
        </is>
      </c>
      <c r="R1210" t="inlineStr">
        <is>
          <t xml:space="preserve">DS </t>
        </is>
      </c>
      <c r="S1210" t="n">
        <v>1</v>
      </c>
      <c r="T1210" t="n">
        <v>1</v>
      </c>
      <c r="U1210" t="inlineStr">
        <is>
          <t>1998-04-15</t>
        </is>
      </c>
      <c r="V1210" t="inlineStr">
        <is>
          <t>1998-04-15</t>
        </is>
      </c>
      <c r="W1210" t="inlineStr">
        <is>
          <t>1997-03-10</t>
        </is>
      </c>
      <c r="X1210" t="inlineStr">
        <is>
          <t>1997-03-10</t>
        </is>
      </c>
      <c r="Y1210" t="n">
        <v>590</v>
      </c>
      <c r="Z1210" t="n">
        <v>483</v>
      </c>
      <c r="AA1210" t="n">
        <v>499</v>
      </c>
      <c r="AB1210" t="n">
        <v>4</v>
      </c>
      <c r="AC1210" t="n">
        <v>4</v>
      </c>
      <c r="AD1210" t="n">
        <v>22</v>
      </c>
      <c r="AE1210" t="n">
        <v>23</v>
      </c>
      <c r="AF1210" t="n">
        <v>6</v>
      </c>
      <c r="AG1210" t="n">
        <v>7</v>
      </c>
      <c r="AH1210" t="n">
        <v>5</v>
      </c>
      <c r="AI1210" t="n">
        <v>5</v>
      </c>
      <c r="AJ1210" t="n">
        <v>14</v>
      </c>
      <c r="AK1210" t="n">
        <v>15</v>
      </c>
      <c r="AL1210" t="n">
        <v>3</v>
      </c>
      <c r="AM1210" t="n">
        <v>3</v>
      </c>
      <c r="AN1210" t="n">
        <v>0</v>
      </c>
      <c r="AO1210" t="n">
        <v>0</v>
      </c>
      <c r="AP1210" t="inlineStr">
        <is>
          <t>Yes</t>
        </is>
      </c>
      <c r="AQ1210" t="inlineStr">
        <is>
          <t>No</t>
        </is>
      </c>
      <c r="AR1210">
        <f>HYPERLINK("http://catalog.hathitrust.org/Record/002594710","HathiTrust Record")</f>
        <v/>
      </c>
      <c r="AS1210">
        <f>HYPERLINK("https://creighton-primo.hosted.exlibrisgroup.com/primo-explore/search?tab=default_tab&amp;search_scope=EVERYTHING&amp;vid=01CRU&amp;lang=en_US&amp;offset=0&amp;query=any,contains,991002711479702656","Catalog Record")</f>
        <v/>
      </c>
      <c r="AT1210">
        <f>HYPERLINK("http://www.worldcat.org/oclc/409415","WorldCat Record")</f>
        <v/>
      </c>
      <c r="AU1210" t="inlineStr">
        <is>
          <t>366121676:eng</t>
        </is>
      </c>
      <c r="AV1210" t="inlineStr">
        <is>
          <t>409415</t>
        </is>
      </c>
      <c r="AW1210" t="inlineStr">
        <is>
          <t>991002711479702656</t>
        </is>
      </c>
      <c r="AX1210" t="inlineStr">
        <is>
          <t>991002711479702656</t>
        </is>
      </c>
      <c r="AY1210" t="inlineStr">
        <is>
          <t>2262367020002656</t>
        </is>
      </c>
      <c r="AZ1210" t="inlineStr">
        <is>
          <t>BOOK</t>
        </is>
      </c>
      <c r="BC1210" t="inlineStr">
        <is>
          <t>32285002457793</t>
        </is>
      </c>
      <c r="BD1210" t="inlineStr">
        <is>
          <t>893517641</t>
        </is>
      </c>
    </row>
    <row r="1211">
      <c r="A1211" t="inlineStr">
        <is>
          <t>No</t>
        </is>
      </c>
      <c r="B1211" t="inlineStr">
        <is>
          <t>DS485.C2 S55</t>
        </is>
      </c>
      <c r="C1211" t="inlineStr">
        <is>
          <t>0                      DS 0485000C  2                  S  55</t>
        </is>
      </c>
      <c r="D1211" t="inlineStr">
        <is>
          <t>The first age of the Portuguese embassies, navigations and peregrinations to the ancient kingdoms of Cambay and Bengal (1500-1521).</t>
        </is>
      </c>
      <c r="F1211" t="inlineStr">
        <is>
          <t>No</t>
        </is>
      </c>
      <c r="G1211" t="inlineStr">
        <is>
          <t>1</t>
        </is>
      </c>
      <c r="H1211" t="inlineStr">
        <is>
          <t>No</t>
        </is>
      </c>
      <c r="I1211" t="inlineStr">
        <is>
          <t>No</t>
        </is>
      </c>
      <c r="J1211" t="inlineStr">
        <is>
          <t>0</t>
        </is>
      </c>
      <c r="K1211" t="inlineStr">
        <is>
          <t>Smith, Ronald Bishop, compiler.</t>
        </is>
      </c>
      <c r="L1211" t="inlineStr">
        <is>
          <t>Bethesda, Md. : Printed by Decatur Press, 1969.</t>
        </is>
      </c>
      <c r="M1211" t="inlineStr">
        <is>
          <t>1969</t>
        </is>
      </c>
      <c r="O1211" t="inlineStr">
        <is>
          <t>eng</t>
        </is>
      </c>
      <c r="P1211" t="inlineStr">
        <is>
          <t>mdu</t>
        </is>
      </c>
      <c r="R1211" t="inlineStr">
        <is>
          <t xml:space="preserve">DS </t>
        </is>
      </c>
      <c r="S1211" t="n">
        <v>1</v>
      </c>
      <c r="T1211" t="n">
        <v>1</v>
      </c>
      <c r="U1211" t="inlineStr">
        <is>
          <t>2000-12-28</t>
        </is>
      </c>
      <c r="V1211" t="inlineStr">
        <is>
          <t>2000-12-28</t>
        </is>
      </c>
      <c r="W1211" t="inlineStr">
        <is>
          <t>1990-10-09</t>
        </is>
      </c>
      <c r="X1211" t="inlineStr">
        <is>
          <t>1990-10-09</t>
        </is>
      </c>
      <c r="Y1211" t="n">
        <v>377</v>
      </c>
      <c r="Z1211" t="n">
        <v>339</v>
      </c>
      <c r="AA1211" t="n">
        <v>346</v>
      </c>
      <c r="AB1211" t="n">
        <v>2</v>
      </c>
      <c r="AC1211" t="n">
        <v>2</v>
      </c>
      <c r="AD1211" t="n">
        <v>32</v>
      </c>
      <c r="AE1211" t="n">
        <v>32</v>
      </c>
      <c r="AF1211" t="n">
        <v>12</v>
      </c>
      <c r="AG1211" t="n">
        <v>12</v>
      </c>
      <c r="AH1211" t="n">
        <v>7</v>
      </c>
      <c r="AI1211" t="n">
        <v>7</v>
      </c>
      <c r="AJ1211" t="n">
        <v>22</v>
      </c>
      <c r="AK1211" t="n">
        <v>22</v>
      </c>
      <c r="AL1211" t="n">
        <v>1</v>
      </c>
      <c r="AM1211" t="n">
        <v>1</v>
      </c>
      <c r="AN1211" t="n">
        <v>0</v>
      </c>
      <c r="AO1211" t="n">
        <v>0</v>
      </c>
      <c r="AP1211" t="inlineStr">
        <is>
          <t>No</t>
        </is>
      </c>
      <c r="AQ1211" t="inlineStr">
        <is>
          <t>Yes</t>
        </is>
      </c>
      <c r="AR1211">
        <f>HYPERLINK("http://catalog.hathitrust.org/Record/001253516","HathiTrust Record")</f>
        <v/>
      </c>
      <c r="AS1211">
        <f>HYPERLINK("https://creighton-primo.hosted.exlibrisgroup.com/primo-explore/search?tab=default_tab&amp;search_scope=EVERYTHING&amp;vid=01CRU&amp;lang=en_US&amp;offset=0&amp;query=any,contains,991003039119702656","Catalog Record")</f>
        <v/>
      </c>
      <c r="AT1211">
        <f>HYPERLINK("http://www.worldcat.org/oclc/600696","WorldCat Record")</f>
        <v/>
      </c>
      <c r="AU1211" t="inlineStr">
        <is>
          <t>1808218716:eng</t>
        </is>
      </c>
      <c r="AV1211" t="inlineStr">
        <is>
          <t>600696</t>
        </is>
      </c>
      <c r="AW1211" t="inlineStr">
        <is>
          <t>991003039119702656</t>
        </is>
      </c>
      <c r="AX1211" t="inlineStr">
        <is>
          <t>991003039119702656</t>
        </is>
      </c>
      <c r="AY1211" t="inlineStr">
        <is>
          <t>2260965080002656</t>
        </is>
      </c>
      <c r="AZ1211" t="inlineStr">
        <is>
          <t>BOOK</t>
        </is>
      </c>
      <c r="BC1211" t="inlineStr">
        <is>
          <t>32285000336742</t>
        </is>
      </c>
      <c r="BD1211" t="inlineStr">
        <is>
          <t>893799320</t>
        </is>
      </c>
    </row>
    <row r="1212">
      <c r="A1212" t="inlineStr">
        <is>
          <t>No</t>
        </is>
      </c>
      <c r="B1212" t="inlineStr">
        <is>
          <t>DS485.D25 A47 1999</t>
        </is>
      </c>
      <c r="C1212" t="inlineStr">
        <is>
          <t>0                      DS 0485000D  25                 A  47          1999</t>
        </is>
      </c>
      <c r="D1212" t="inlineStr">
        <is>
          <t>Divining the Deccan : a motorbike to the heart of India / Bill Aitken.</t>
        </is>
      </c>
      <c r="F1212" t="inlineStr">
        <is>
          <t>No</t>
        </is>
      </c>
      <c r="G1212" t="inlineStr">
        <is>
          <t>1</t>
        </is>
      </c>
      <c r="H1212" t="inlineStr">
        <is>
          <t>No</t>
        </is>
      </c>
      <c r="I1212" t="inlineStr">
        <is>
          <t>No</t>
        </is>
      </c>
      <c r="J1212" t="inlineStr">
        <is>
          <t>0</t>
        </is>
      </c>
      <c r="K1212" t="inlineStr">
        <is>
          <t>Aitken, Bill.</t>
        </is>
      </c>
      <c r="L1212" t="inlineStr">
        <is>
          <t>New Delhi : Oxford University Press, 1999.</t>
        </is>
      </c>
      <c r="M1212" t="inlineStr">
        <is>
          <t>1999</t>
        </is>
      </c>
      <c r="O1212" t="inlineStr">
        <is>
          <t>eng</t>
        </is>
      </c>
      <c r="P1212" t="inlineStr">
        <is>
          <t xml:space="preserve">ii </t>
        </is>
      </c>
      <c r="R1212" t="inlineStr">
        <is>
          <t xml:space="preserve">DS </t>
        </is>
      </c>
      <c r="S1212" t="n">
        <v>3</v>
      </c>
      <c r="T1212" t="n">
        <v>3</v>
      </c>
      <c r="U1212" t="inlineStr">
        <is>
          <t>2002-04-17</t>
        </is>
      </c>
      <c r="V1212" t="inlineStr">
        <is>
          <t>2002-04-17</t>
        </is>
      </c>
      <c r="W1212" t="inlineStr">
        <is>
          <t>2002-04-04</t>
        </is>
      </c>
      <c r="X1212" t="inlineStr">
        <is>
          <t>2002-04-04</t>
        </is>
      </c>
      <c r="Y1212" t="n">
        <v>76</v>
      </c>
      <c r="Z1212" t="n">
        <v>65</v>
      </c>
      <c r="AA1212" t="n">
        <v>68</v>
      </c>
      <c r="AB1212" t="n">
        <v>1</v>
      </c>
      <c r="AC1212" t="n">
        <v>1</v>
      </c>
      <c r="AD1212" t="n">
        <v>4</v>
      </c>
      <c r="AE1212" t="n">
        <v>4</v>
      </c>
      <c r="AF1212" t="n">
        <v>0</v>
      </c>
      <c r="AG1212" t="n">
        <v>0</v>
      </c>
      <c r="AH1212" t="n">
        <v>2</v>
      </c>
      <c r="AI1212" t="n">
        <v>2</v>
      </c>
      <c r="AJ1212" t="n">
        <v>3</v>
      </c>
      <c r="AK1212" t="n">
        <v>3</v>
      </c>
      <c r="AL1212" t="n">
        <v>0</v>
      </c>
      <c r="AM1212" t="n">
        <v>0</v>
      </c>
      <c r="AN1212" t="n">
        <v>0</v>
      </c>
      <c r="AO1212" t="n">
        <v>0</v>
      </c>
      <c r="AP1212" t="inlineStr">
        <is>
          <t>No</t>
        </is>
      </c>
      <c r="AQ1212" t="inlineStr">
        <is>
          <t>Yes</t>
        </is>
      </c>
      <c r="AR1212">
        <f>HYPERLINK("http://catalog.hathitrust.org/Record/003508468","HathiTrust Record")</f>
        <v/>
      </c>
      <c r="AS1212">
        <f>HYPERLINK("https://creighton-primo.hosted.exlibrisgroup.com/primo-explore/search?tab=default_tab&amp;search_scope=EVERYTHING&amp;vid=01CRU&amp;lang=en_US&amp;offset=0&amp;query=any,contains,991003731459702656","Catalog Record")</f>
        <v/>
      </c>
      <c r="AT1212">
        <f>HYPERLINK("http://www.worldcat.org/oclc/43852358","WorldCat Record")</f>
        <v/>
      </c>
      <c r="AU1212" t="inlineStr">
        <is>
          <t>475896451:eng</t>
        </is>
      </c>
      <c r="AV1212" t="inlineStr">
        <is>
          <t>43852358</t>
        </is>
      </c>
      <c r="AW1212" t="inlineStr">
        <is>
          <t>991003731459702656</t>
        </is>
      </c>
      <c r="AX1212" t="inlineStr">
        <is>
          <t>991003731459702656</t>
        </is>
      </c>
      <c r="AY1212" t="inlineStr">
        <is>
          <t>2269873290002656</t>
        </is>
      </c>
      <c r="AZ1212" t="inlineStr">
        <is>
          <t>BOOK</t>
        </is>
      </c>
      <c r="BB1212" t="inlineStr">
        <is>
          <t>9780195647112</t>
        </is>
      </c>
      <c r="BC1212" t="inlineStr">
        <is>
          <t>32285004476783</t>
        </is>
      </c>
      <c r="BD1212" t="inlineStr">
        <is>
          <t>893228383</t>
        </is>
      </c>
    </row>
    <row r="1213">
      <c r="A1213" t="inlineStr">
        <is>
          <t>No</t>
        </is>
      </c>
      <c r="B1213" t="inlineStr">
        <is>
          <t>DS485.D35 F6 1985</t>
        </is>
      </c>
      <c r="C1213" t="inlineStr">
        <is>
          <t>0                      DS 0485000D  35                 F  6           1985</t>
        </is>
      </c>
      <c r="D1213" t="inlineStr">
        <is>
          <t>The Hill of Devi / by E.M. Forster.</t>
        </is>
      </c>
      <c r="F1213" t="inlineStr">
        <is>
          <t>No</t>
        </is>
      </c>
      <c r="G1213" t="inlineStr">
        <is>
          <t>1</t>
        </is>
      </c>
      <c r="H1213" t="inlineStr">
        <is>
          <t>No</t>
        </is>
      </c>
      <c r="I1213" t="inlineStr">
        <is>
          <t>No</t>
        </is>
      </c>
      <c r="J1213" t="inlineStr">
        <is>
          <t>0</t>
        </is>
      </c>
      <c r="K1213" t="inlineStr">
        <is>
          <t>Forster, E. M. (Edward Morgan), 1879-1970.</t>
        </is>
      </c>
      <c r="L1213" t="inlineStr">
        <is>
          <t>San Diego : Harcourt Brace Jovanovich, [1985], c1953.</t>
        </is>
      </c>
      <c r="M1213" t="inlineStr">
        <is>
          <t>1985</t>
        </is>
      </c>
      <c r="O1213" t="inlineStr">
        <is>
          <t>eng</t>
        </is>
      </c>
      <c r="P1213" t="inlineStr">
        <is>
          <t>cau</t>
        </is>
      </c>
      <c r="R1213" t="inlineStr">
        <is>
          <t xml:space="preserve">DS </t>
        </is>
      </c>
      <c r="S1213" t="n">
        <v>3</v>
      </c>
      <c r="T1213" t="n">
        <v>3</v>
      </c>
      <c r="U1213" t="inlineStr">
        <is>
          <t>2000-10-11</t>
        </is>
      </c>
      <c r="V1213" t="inlineStr">
        <is>
          <t>2000-10-11</t>
        </is>
      </c>
      <c r="W1213" t="inlineStr">
        <is>
          <t>1990-10-09</t>
        </is>
      </c>
      <c r="X1213" t="inlineStr">
        <is>
          <t>1990-10-09</t>
        </is>
      </c>
      <c r="Y1213" t="n">
        <v>74</v>
      </c>
      <c r="Z1213" t="n">
        <v>66</v>
      </c>
      <c r="AA1213" t="n">
        <v>723</v>
      </c>
      <c r="AB1213" t="n">
        <v>2</v>
      </c>
      <c r="AC1213" t="n">
        <v>6</v>
      </c>
      <c r="AD1213" t="n">
        <v>1</v>
      </c>
      <c r="AE1213" t="n">
        <v>30</v>
      </c>
      <c r="AF1213" t="n">
        <v>0</v>
      </c>
      <c r="AG1213" t="n">
        <v>12</v>
      </c>
      <c r="AH1213" t="n">
        <v>0</v>
      </c>
      <c r="AI1213" t="n">
        <v>7</v>
      </c>
      <c r="AJ1213" t="n">
        <v>0</v>
      </c>
      <c r="AK1213" t="n">
        <v>13</v>
      </c>
      <c r="AL1213" t="n">
        <v>1</v>
      </c>
      <c r="AM1213" t="n">
        <v>5</v>
      </c>
      <c r="AN1213" t="n">
        <v>0</v>
      </c>
      <c r="AO1213" t="n">
        <v>0</v>
      </c>
      <c r="AP1213" t="inlineStr">
        <is>
          <t>No</t>
        </is>
      </c>
      <c r="AQ1213" t="inlineStr">
        <is>
          <t>No</t>
        </is>
      </c>
      <c r="AS1213">
        <f>HYPERLINK("https://creighton-primo.hosted.exlibrisgroup.com/primo-explore/search?tab=default_tab&amp;search_scope=EVERYTHING&amp;vid=01CRU&amp;lang=en_US&amp;offset=0&amp;query=any,contains,991000620479702656","Catalog Record")</f>
        <v/>
      </c>
      <c r="AT1213">
        <f>HYPERLINK("http://www.worldcat.org/oclc/11971356","WorldCat Record")</f>
        <v/>
      </c>
      <c r="AU1213" t="inlineStr">
        <is>
          <t>5453852566:eng</t>
        </is>
      </c>
      <c r="AV1213" t="inlineStr">
        <is>
          <t>11971356</t>
        </is>
      </c>
      <c r="AW1213" t="inlineStr">
        <is>
          <t>991000620479702656</t>
        </is>
      </c>
      <c r="AX1213" t="inlineStr">
        <is>
          <t>991000620479702656</t>
        </is>
      </c>
      <c r="AY1213" t="inlineStr">
        <is>
          <t>2256926970002656</t>
        </is>
      </c>
      <c r="AZ1213" t="inlineStr">
        <is>
          <t>BOOK</t>
        </is>
      </c>
      <c r="BB1213" t="inlineStr">
        <is>
          <t>9780156402651</t>
        </is>
      </c>
      <c r="BC1213" t="inlineStr">
        <is>
          <t>32285000336759</t>
        </is>
      </c>
      <c r="BD1213" t="inlineStr">
        <is>
          <t>893521851</t>
        </is>
      </c>
    </row>
    <row r="1214">
      <c r="A1214" t="inlineStr">
        <is>
          <t>No</t>
        </is>
      </c>
      <c r="B1214" t="inlineStr">
        <is>
          <t>DS485.G8 P38</t>
        </is>
      </c>
      <c r="C1214" t="inlineStr">
        <is>
          <t>0                      DS 0485000G  8                  P  38</t>
        </is>
      </c>
      <c r="D1214" t="inlineStr">
        <is>
          <t>Merchants and rulers in Gujarat : the response to the Portuguese in the sixteenth century / M. N. Pearson.</t>
        </is>
      </c>
      <c r="F1214" t="inlineStr">
        <is>
          <t>No</t>
        </is>
      </c>
      <c r="G1214" t="inlineStr">
        <is>
          <t>1</t>
        </is>
      </c>
      <c r="H1214" t="inlineStr">
        <is>
          <t>No</t>
        </is>
      </c>
      <c r="I1214" t="inlineStr">
        <is>
          <t>No</t>
        </is>
      </c>
      <c r="J1214" t="inlineStr">
        <is>
          <t>0</t>
        </is>
      </c>
      <c r="K1214" t="inlineStr">
        <is>
          <t>Pearson, M. N. (Michael Naylor), 1941-</t>
        </is>
      </c>
      <c r="L1214" t="inlineStr">
        <is>
          <t>Berkeley : University of California Press, c1976.</t>
        </is>
      </c>
      <c r="M1214" t="inlineStr">
        <is>
          <t>1976</t>
        </is>
      </c>
      <c r="O1214" t="inlineStr">
        <is>
          <t>eng</t>
        </is>
      </c>
      <c r="P1214" t="inlineStr">
        <is>
          <t>cau</t>
        </is>
      </c>
      <c r="R1214" t="inlineStr">
        <is>
          <t xml:space="preserve">DS </t>
        </is>
      </c>
      <c r="S1214" t="n">
        <v>2</v>
      </c>
      <c r="T1214" t="n">
        <v>2</v>
      </c>
      <c r="U1214" t="inlineStr">
        <is>
          <t>2000-12-28</t>
        </is>
      </c>
      <c r="V1214" t="inlineStr">
        <is>
          <t>2000-12-28</t>
        </is>
      </c>
      <c r="W1214" t="inlineStr">
        <is>
          <t>1997-03-10</t>
        </is>
      </c>
      <c r="X1214" t="inlineStr">
        <is>
          <t>1997-03-10</t>
        </is>
      </c>
      <c r="Y1214" t="n">
        <v>378</v>
      </c>
      <c r="Z1214" t="n">
        <v>273</v>
      </c>
      <c r="AA1214" t="n">
        <v>291</v>
      </c>
      <c r="AB1214" t="n">
        <v>2</v>
      </c>
      <c r="AC1214" t="n">
        <v>2</v>
      </c>
      <c r="AD1214" t="n">
        <v>11</v>
      </c>
      <c r="AE1214" t="n">
        <v>11</v>
      </c>
      <c r="AF1214" t="n">
        <v>2</v>
      </c>
      <c r="AG1214" t="n">
        <v>2</v>
      </c>
      <c r="AH1214" t="n">
        <v>4</v>
      </c>
      <c r="AI1214" t="n">
        <v>4</v>
      </c>
      <c r="AJ1214" t="n">
        <v>6</v>
      </c>
      <c r="AK1214" t="n">
        <v>6</v>
      </c>
      <c r="AL1214" t="n">
        <v>1</v>
      </c>
      <c r="AM1214" t="n">
        <v>1</v>
      </c>
      <c r="AN1214" t="n">
        <v>0</v>
      </c>
      <c r="AO1214" t="n">
        <v>0</v>
      </c>
      <c r="AP1214" t="inlineStr">
        <is>
          <t>No</t>
        </is>
      </c>
      <c r="AQ1214" t="inlineStr">
        <is>
          <t>No</t>
        </is>
      </c>
      <c r="AS1214">
        <f>HYPERLINK("https://creighton-primo.hosted.exlibrisgroup.com/primo-explore/search?tab=default_tab&amp;search_scope=EVERYTHING&amp;vid=01CRU&amp;lang=en_US&amp;offset=0&amp;query=any,contains,991004018129702656","Catalog Record")</f>
        <v/>
      </c>
      <c r="AT1214">
        <f>HYPERLINK("http://www.worldcat.org/oclc/2118473","WorldCat Record")</f>
        <v/>
      </c>
      <c r="AU1214" t="inlineStr">
        <is>
          <t>365409213:eng</t>
        </is>
      </c>
      <c r="AV1214" t="inlineStr">
        <is>
          <t>2118473</t>
        </is>
      </c>
      <c r="AW1214" t="inlineStr">
        <is>
          <t>991004018129702656</t>
        </is>
      </c>
      <c r="AX1214" t="inlineStr">
        <is>
          <t>991004018129702656</t>
        </is>
      </c>
      <c r="AY1214" t="inlineStr">
        <is>
          <t>2265315090002656</t>
        </is>
      </c>
      <c r="AZ1214" t="inlineStr">
        <is>
          <t>BOOK</t>
        </is>
      </c>
      <c r="BB1214" t="inlineStr">
        <is>
          <t>9780520028098</t>
        </is>
      </c>
      <c r="BC1214" t="inlineStr">
        <is>
          <t>32285002457801</t>
        </is>
      </c>
      <c r="BD1214" t="inlineStr">
        <is>
          <t>893247060</t>
        </is>
      </c>
    </row>
    <row r="1215">
      <c r="A1215" t="inlineStr">
        <is>
          <t>No</t>
        </is>
      </c>
      <c r="B1215" t="inlineStr">
        <is>
          <t>DS485.H6 D66</t>
        </is>
      </c>
      <c r="C1215" t="inlineStr">
        <is>
          <t>0                      DS 0485000H  6                  D  66</t>
        </is>
      </c>
      <c r="D1215" t="inlineStr">
        <is>
          <t>Beyond the high Himalayas.</t>
        </is>
      </c>
      <c r="F1215" t="inlineStr">
        <is>
          <t>No</t>
        </is>
      </c>
      <c r="G1215" t="inlineStr">
        <is>
          <t>1</t>
        </is>
      </c>
      <c r="H1215" t="inlineStr">
        <is>
          <t>No</t>
        </is>
      </c>
      <c r="I1215" t="inlineStr">
        <is>
          <t>No</t>
        </is>
      </c>
      <c r="J1215" t="inlineStr">
        <is>
          <t>0</t>
        </is>
      </c>
      <c r="K1215" t="inlineStr">
        <is>
          <t>Douglas, William O. (William Orville), 1898-1980.</t>
        </is>
      </c>
      <c r="L1215" t="inlineStr">
        <is>
          <t>Garden City, N.Y., Doubleday, 1952.</t>
        </is>
      </c>
      <c r="M1215" t="inlineStr">
        <is>
          <t>1952</t>
        </is>
      </c>
      <c r="N1215" t="inlineStr">
        <is>
          <t>[1st ed.]</t>
        </is>
      </c>
      <c r="O1215" t="inlineStr">
        <is>
          <t>eng</t>
        </is>
      </c>
      <c r="P1215" t="inlineStr">
        <is>
          <t>nyu</t>
        </is>
      </c>
      <c r="R1215" t="inlineStr">
        <is>
          <t xml:space="preserve">DS </t>
        </is>
      </c>
      <c r="S1215" t="n">
        <v>3</v>
      </c>
      <c r="T1215" t="n">
        <v>3</v>
      </c>
      <c r="U1215" t="inlineStr">
        <is>
          <t>1997-09-23</t>
        </is>
      </c>
      <c r="V1215" t="inlineStr">
        <is>
          <t>1997-09-23</t>
        </is>
      </c>
      <c r="W1215" t="inlineStr">
        <is>
          <t>1990-10-09</t>
        </is>
      </c>
      <c r="X1215" t="inlineStr">
        <is>
          <t>1990-10-09</t>
        </is>
      </c>
      <c r="Y1215" t="n">
        <v>1002</v>
      </c>
      <c r="Z1215" t="n">
        <v>953</v>
      </c>
      <c r="AA1215" t="n">
        <v>976</v>
      </c>
      <c r="AB1215" t="n">
        <v>11</v>
      </c>
      <c r="AC1215" t="n">
        <v>11</v>
      </c>
      <c r="AD1215" t="n">
        <v>30</v>
      </c>
      <c r="AE1215" t="n">
        <v>30</v>
      </c>
      <c r="AF1215" t="n">
        <v>9</v>
      </c>
      <c r="AG1215" t="n">
        <v>9</v>
      </c>
      <c r="AH1215" t="n">
        <v>7</v>
      </c>
      <c r="AI1215" t="n">
        <v>7</v>
      </c>
      <c r="AJ1215" t="n">
        <v>9</v>
      </c>
      <c r="AK1215" t="n">
        <v>9</v>
      </c>
      <c r="AL1215" t="n">
        <v>7</v>
      </c>
      <c r="AM1215" t="n">
        <v>7</v>
      </c>
      <c r="AN1215" t="n">
        <v>3</v>
      </c>
      <c r="AO1215" t="n">
        <v>3</v>
      </c>
      <c r="AP1215" t="inlineStr">
        <is>
          <t>No</t>
        </is>
      </c>
      <c r="AQ1215" t="inlineStr">
        <is>
          <t>No</t>
        </is>
      </c>
      <c r="AR1215">
        <f>HYPERLINK("http://catalog.hathitrust.org/Record/001253642","HathiTrust Record")</f>
        <v/>
      </c>
      <c r="AS1215">
        <f>HYPERLINK("https://creighton-primo.hosted.exlibrisgroup.com/primo-explore/search?tab=default_tab&amp;search_scope=EVERYTHING&amp;vid=01CRU&amp;lang=en_US&amp;offset=0&amp;query=any,contains,991002711509702656","Catalog Record")</f>
        <v/>
      </c>
      <c r="AT1215">
        <f>HYPERLINK("http://www.worldcat.org/oclc/409419","WorldCat Record")</f>
        <v/>
      </c>
      <c r="AU1215" t="inlineStr">
        <is>
          <t>48209756:eng</t>
        </is>
      </c>
      <c r="AV1215" t="inlineStr">
        <is>
          <t>409419</t>
        </is>
      </c>
      <c r="AW1215" t="inlineStr">
        <is>
          <t>991002711509702656</t>
        </is>
      </c>
      <c r="AX1215" t="inlineStr">
        <is>
          <t>991002711509702656</t>
        </is>
      </c>
      <c r="AY1215" t="inlineStr">
        <is>
          <t>2262368420002656</t>
        </is>
      </c>
      <c r="AZ1215" t="inlineStr">
        <is>
          <t>BOOK</t>
        </is>
      </c>
      <c r="BC1215" t="inlineStr">
        <is>
          <t>32285000336783</t>
        </is>
      </c>
      <c r="BD1215" t="inlineStr">
        <is>
          <t>893904048</t>
        </is>
      </c>
    </row>
    <row r="1216">
      <c r="A1216" t="inlineStr">
        <is>
          <t>No</t>
        </is>
      </c>
      <c r="B1216" t="inlineStr">
        <is>
          <t>DS485.K27 A83 2001</t>
        </is>
      </c>
      <c r="C1216" t="inlineStr">
        <is>
          <t>0                      DS 0485000K  27                 A  83          2001</t>
        </is>
      </c>
      <c r="D1216" t="inlineStr">
        <is>
          <t>Kashmir and neighbours : tale, terror, truce / Turkkaya Ataov.</t>
        </is>
      </c>
      <c r="F1216" t="inlineStr">
        <is>
          <t>No</t>
        </is>
      </c>
      <c r="G1216" t="inlineStr">
        <is>
          <t>1</t>
        </is>
      </c>
      <c r="H1216" t="inlineStr">
        <is>
          <t>No</t>
        </is>
      </c>
      <c r="I1216" t="inlineStr">
        <is>
          <t>No</t>
        </is>
      </c>
      <c r="J1216" t="inlineStr">
        <is>
          <t>0</t>
        </is>
      </c>
      <c r="K1216" t="inlineStr">
        <is>
          <t>Ataöv, Türkkaya.</t>
        </is>
      </c>
      <c r="L1216" t="inlineStr">
        <is>
          <t>Aldershot, Eng. ; Burlington, VT : Ashgate, c2001.</t>
        </is>
      </c>
      <c r="M1216" t="inlineStr">
        <is>
          <t>2001</t>
        </is>
      </c>
      <c r="O1216" t="inlineStr">
        <is>
          <t>eng</t>
        </is>
      </c>
      <c r="P1216" t="inlineStr">
        <is>
          <t>enk</t>
        </is>
      </c>
      <c r="R1216" t="inlineStr">
        <is>
          <t xml:space="preserve">DS </t>
        </is>
      </c>
      <c r="S1216" t="n">
        <v>6</v>
      </c>
      <c r="T1216" t="n">
        <v>6</v>
      </c>
      <c r="U1216" t="inlineStr">
        <is>
          <t>2007-10-06</t>
        </is>
      </c>
      <c r="V1216" t="inlineStr">
        <is>
          <t>2007-10-06</t>
        </is>
      </c>
      <c r="W1216" t="inlineStr">
        <is>
          <t>2003-04-09</t>
        </is>
      </c>
      <c r="X1216" t="inlineStr">
        <is>
          <t>2003-04-09</t>
        </is>
      </c>
      <c r="Y1216" t="n">
        <v>254</v>
      </c>
      <c r="Z1216" t="n">
        <v>179</v>
      </c>
      <c r="AA1216" t="n">
        <v>193</v>
      </c>
      <c r="AB1216" t="n">
        <v>2</v>
      </c>
      <c r="AC1216" t="n">
        <v>2</v>
      </c>
      <c r="AD1216" t="n">
        <v>7</v>
      </c>
      <c r="AE1216" t="n">
        <v>7</v>
      </c>
      <c r="AF1216" t="n">
        <v>2</v>
      </c>
      <c r="AG1216" t="n">
        <v>2</v>
      </c>
      <c r="AH1216" t="n">
        <v>3</v>
      </c>
      <c r="AI1216" t="n">
        <v>3</v>
      </c>
      <c r="AJ1216" t="n">
        <v>2</v>
      </c>
      <c r="AK1216" t="n">
        <v>2</v>
      </c>
      <c r="AL1216" t="n">
        <v>1</v>
      </c>
      <c r="AM1216" t="n">
        <v>1</v>
      </c>
      <c r="AN1216" t="n">
        <v>0</v>
      </c>
      <c r="AO1216" t="n">
        <v>0</v>
      </c>
      <c r="AP1216" t="inlineStr">
        <is>
          <t>No</t>
        </is>
      </c>
      <c r="AQ1216" t="inlineStr">
        <is>
          <t>Yes</t>
        </is>
      </c>
      <c r="AR1216">
        <f>HYPERLINK("http://catalog.hathitrust.org/Record/004202652","HathiTrust Record")</f>
        <v/>
      </c>
      <c r="AS1216">
        <f>HYPERLINK("https://creighton-primo.hosted.exlibrisgroup.com/primo-explore/search?tab=default_tab&amp;search_scope=EVERYTHING&amp;vid=01CRU&amp;lang=en_US&amp;offset=0&amp;query=any,contains,991004018589702656","Catalog Record")</f>
        <v/>
      </c>
      <c r="AT1216">
        <f>HYPERLINK("http://www.worldcat.org/oclc/49001699","WorldCat Record")</f>
        <v/>
      </c>
      <c r="AU1216" t="inlineStr">
        <is>
          <t>365953151:eng</t>
        </is>
      </c>
      <c r="AV1216" t="inlineStr">
        <is>
          <t>49001699</t>
        </is>
      </c>
      <c r="AW1216" t="inlineStr">
        <is>
          <t>991004018589702656</t>
        </is>
      </c>
      <c r="AX1216" t="inlineStr">
        <is>
          <t>991004018589702656</t>
        </is>
      </c>
      <c r="AY1216" t="inlineStr">
        <is>
          <t>2270110950002656</t>
        </is>
      </c>
      <c r="AZ1216" t="inlineStr">
        <is>
          <t>BOOK</t>
        </is>
      </c>
      <c r="BB1216" t="inlineStr">
        <is>
          <t>9780754622468</t>
        </is>
      </c>
      <c r="BC1216" t="inlineStr">
        <is>
          <t>32285004741269</t>
        </is>
      </c>
      <c r="BD1216" t="inlineStr">
        <is>
          <t>893445990</t>
        </is>
      </c>
    </row>
    <row r="1217">
      <c r="A1217" t="inlineStr">
        <is>
          <t>No</t>
        </is>
      </c>
      <c r="B1217" t="inlineStr">
        <is>
          <t>DS485.K27 D36 2001</t>
        </is>
      </c>
      <c r="C1217" t="inlineStr">
        <is>
          <t>0                      DS 0485000K  27                 D  36          2001</t>
        </is>
      </c>
      <c r="D1217" t="inlineStr">
        <is>
          <t>Kashmir and Sindh : nation-building, ethnicity and regional politics in South Asia / Suranjan Das.</t>
        </is>
      </c>
      <c r="F1217" t="inlineStr">
        <is>
          <t>No</t>
        </is>
      </c>
      <c r="G1217" t="inlineStr">
        <is>
          <t>1</t>
        </is>
      </c>
      <c r="H1217" t="inlineStr">
        <is>
          <t>No</t>
        </is>
      </c>
      <c r="I1217" t="inlineStr">
        <is>
          <t>No</t>
        </is>
      </c>
      <c r="J1217" t="inlineStr">
        <is>
          <t>0</t>
        </is>
      </c>
      <c r="K1217" t="inlineStr">
        <is>
          <t>Das, Suranjan.</t>
        </is>
      </c>
      <c r="L1217" t="inlineStr">
        <is>
          <t>London : Anthem Press, c2001.</t>
        </is>
      </c>
      <c r="M1217" t="inlineStr">
        <is>
          <t>2001</t>
        </is>
      </c>
      <c r="O1217" t="inlineStr">
        <is>
          <t>eng</t>
        </is>
      </c>
      <c r="P1217" t="inlineStr">
        <is>
          <t>enk</t>
        </is>
      </c>
      <c r="Q1217" t="inlineStr">
        <is>
          <t>Anthem modern South Asian studies</t>
        </is>
      </c>
      <c r="R1217" t="inlineStr">
        <is>
          <t xml:space="preserve">DS </t>
        </is>
      </c>
      <c r="S1217" t="n">
        <v>4</v>
      </c>
      <c r="T1217" t="n">
        <v>4</v>
      </c>
      <c r="U1217" t="inlineStr">
        <is>
          <t>2006-05-10</t>
        </is>
      </c>
      <c r="V1217" t="inlineStr">
        <is>
          <t>2006-05-10</t>
        </is>
      </c>
      <c r="W1217" t="inlineStr">
        <is>
          <t>2003-04-08</t>
        </is>
      </c>
      <c r="X1217" t="inlineStr">
        <is>
          <t>2003-04-08</t>
        </is>
      </c>
      <c r="Y1217" t="n">
        <v>174</v>
      </c>
      <c r="Z1217" t="n">
        <v>131</v>
      </c>
      <c r="AA1217" t="n">
        <v>153</v>
      </c>
      <c r="AB1217" t="n">
        <v>1</v>
      </c>
      <c r="AC1217" t="n">
        <v>1</v>
      </c>
      <c r="AD1217" t="n">
        <v>11</v>
      </c>
      <c r="AE1217" t="n">
        <v>11</v>
      </c>
      <c r="AF1217" t="n">
        <v>3</v>
      </c>
      <c r="AG1217" t="n">
        <v>3</v>
      </c>
      <c r="AH1217" t="n">
        <v>4</v>
      </c>
      <c r="AI1217" t="n">
        <v>4</v>
      </c>
      <c r="AJ1217" t="n">
        <v>7</v>
      </c>
      <c r="AK1217" t="n">
        <v>7</v>
      </c>
      <c r="AL1217" t="n">
        <v>0</v>
      </c>
      <c r="AM1217" t="n">
        <v>0</v>
      </c>
      <c r="AN1217" t="n">
        <v>0</v>
      </c>
      <c r="AO1217" t="n">
        <v>0</v>
      </c>
      <c r="AP1217" t="inlineStr">
        <is>
          <t>No</t>
        </is>
      </c>
      <c r="AQ1217" t="inlineStr">
        <is>
          <t>No</t>
        </is>
      </c>
      <c r="AS1217">
        <f>HYPERLINK("https://creighton-primo.hosted.exlibrisgroup.com/primo-explore/search?tab=default_tab&amp;search_scope=EVERYTHING&amp;vid=01CRU&amp;lang=en_US&amp;offset=0&amp;query=any,contains,991004018639702656","Catalog Record")</f>
        <v/>
      </c>
      <c r="AT1217">
        <f>HYPERLINK("http://www.worldcat.org/oclc/49542566","WorldCat Record")</f>
        <v/>
      </c>
      <c r="AU1217" t="inlineStr">
        <is>
          <t>38894614:eng</t>
        </is>
      </c>
      <c r="AV1217" t="inlineStr">
        <is>
          <t>49542566</t>
        </is>
      </c>
      <c r="AW1217" t="inlineStr">
        <is>
          <t>991004018639702656</t>
        </is>
      </c>
      <c r="AX1217" t="inlineStr">
        <is>
          <t>991004018639702656</t>
        </is>
      </c>
      <c r="AY1217" t="inlineStr">
        <is>
          <t>2265858010002656</t>
        </is>
      </c>
      <c r="AZ1217" t="inlineStr">
        <is>
          <t>BOOK</t>
        </is>
      </c>
      <c r="BB1217" t="inlineStr">
        <is>
          <t>9781898855699</t>
        </is>
      </c>
      <c r="BC1217" t="inlineStr">
        <is>
          <t>32285004740204</t>
        </is>
      </c>
      <c r="BD1217" t="inlineStr">
        <is>
          <t>893881949</t>
        </is>
      </c>
    </row>
    <row r="1218">
      <c r="A1218" t="inlineStr">
        <is>
          <t>No</t>
        </is>
      </c>
      <c r="B1218" t="inlineStr">
        <is>
          <t>DS485.K27 G37 1997</t>
        </is>
      </c>
      <c r="C1218" t="inlineStr">
        <is>
          <t>0                      DS 0485000K  27                 G  37          1997</t>
        </is>
      </c>
      <c r="D1218" t="inlineStr">
        <is>
          <t>The crisis in Kashmir : portents of war, hopes of peace / Šumit Ganguly.</t>
        </is>
      </c>
      <c r="F1218" t="inlineStr">
        <is>
          <t>No</t>
        </is>
      </c>
      <c r="G1218" t="inlineStr">
        <is>
          <t>1</t>
        </is>
      </c>
      <c r="H1218" t="inlineStr">
        <is>
          <t>No</t>
        </is>
      </c>
      <c r="I1218" t="inlineStr">
        <is>
          <t>No</t>
        </is>
      </c>
      <c r="J1218" t="inlineStr">
        <is>
          <t>0</t>
        </is>
      </c>
      <c r="K1218" t="inlineStr">
        <is>
          <t>Ganguly, Sumit.</t>
        </is>
      </c>
      <c r="L1218" t="inlineStr">
        <is>
          <t>[Washington, D.C.] : Woodrow Wilson Center Press ; Cambridge ; New York : Cambridge University Press, 1997.</t>
        </is>
      </c>
      <c r="M1218" t="inlineStr">
        <is>
          <t>1997</t>
        </is>
      </c>
      <c r="O1218" t="inlineStr">
        <is>
          <t>eng</t>
        </is>
      </c>
      <c r="P1218" t="inlineStr">
        <is>
          <t>dcu</t>
        </is>
      </c>
      <c r="Q1218" t="inlineStr">
        <is>
          <t>Woodrow Wilson Center series</t>
        </is>
      </c>
      <c r="R1218" t="inlineStr">
        <is>
          <t xml:space="preserve">DS </t>
        </is>
      </c>
      <c r="S1218" t="n">
        <v>10</v>
      </c>
      <c r="T1218" t="n">
        <v>10</v>
      </c>
      <c r="U1218" t="inlineStr">
        <is>
          <t>2007-10-06</t>
        </is>
      </c>
      <c r="V1218" t="inlineStr">
        <is>
          <t>2007-10-06</t>
        </is>
      </c>
      <c r="W1218" t="inlineStr">
        <is>
          <t>1998-04-20</t>
        </is>
      </c>
      <c r="X1218" t="inlineStr">
        <is>
          <t>1998-04-20</t>
        </is>
      </c>
      <c r="Y1218" t="n">
        <v>389</v>
      </c>
      <c r="Z1218" t="n">
        <v>289</v>
      </c>
      <c r="AA1218" t="n">
        <v>339</v>
      </c>
      <c r="AB1218" t="n">
        <v>3</v>
      </c>
      <c r="AC1218" t="n">
        <v>3</v>
      </c>
      <c r="AD1218" t="n">
        <v>16</v>
      </c>
      <c r="AE1218" t="n">
        <v>17</v>
      </c>
      <c r="AF1218" t="n">
        <v>5</v>
      </c>
      <c r="AG1218" t="n">
        <v>5</v>
      </c>
      <c r="AH1218" t="n">
        <v>5</v>
      </c>
      <c r="AI1218" t="n">
        <v>5</v>
      </c>
      <c r="AJ1218" t="n">
        <v>9</v>
      </c>
      <c r="AK1218" t="n">
        <v>10</v>
      </c>
      <c r="AL1218" t="n">
        <v>2</v>
      </c>
      <c r="AM1218" t="n">
        <v>2</v>
      </c>
      <c r="AN1218" t="n">
        <v>0</v>
      </c>
      <c r="AO1218" t="n">
        <v>0</v>
      </c>
      <c r="AP1218" t="inlineStr">
        <is>
          <t>No</t>
        </is>
      </c>
      <c r="AQ1218" t="inlineStr">
        <is>
          <t>No</t>
        </is>
      </c>
      <c r="AS1218">
        <f>HYPERLINK("https://creighton-primo.hosted.exlibrisgroup.com/primo-explore/search?tab=default_tab&amp;search_scope=EVERYTHING&amp;vid=01CRU&amp;lang=en_US&amp;offset=0&amp;query=any,contains,991002730529702656","Catalog Record")</f>
        <v/>
      </c>
      <c r="AT1218">
        <f>HYPERLINK("http://www.worldcat.org/oclc/35814799","WorldCat Record")</f>
        <v/>
      </c>
      <c r="AU1218" t="inlineStr">
        <is>
          <t>20676754:eng</t>
        </is>
      </c>
      <c r="AV1218" t="inlineStr">
        <is>
          <t>35814799</t>
        </is>
      </c>
      <c r="AW1218" t="inlineStr">
        <is>
          <t>991002730529702656</t>
        </is>
      </c>
      <c r="AX1218" t="inlineStr">
        <is>
          <t>991002730529702656</t>
        </is>
      </c>
      <c r="AY1218" t="inlineStr">
        <is>
          <t>2258499610002656</t>
        </is>
      </c>
      <c r="AZ1218" t="inlineStr">
        <is>
          <t>BOOK</t>
        </is>
      </c>
      <c r="BB1218" t="inlineStr">
        <is>
          <t>9780521590662</t>
        </is>
      </c>
      <c r="BC1218" t="inlineStr">
        <is>
          <t>32285003375614</t>
        </is>
      </c>
      <c r="BD1218" t="inlineStr">
        <is>
          <t>893627277</t>
        </is>
      </c>
    </row>
    <row r="1219">
      <c r="A1219" t="inlineStr">
        <is>
          <t>No</t>
        </is>
      </c>
      <c r="B1219" t="inlineStr">
        <is>
          <t>DS485.K27 N36 1994</t>
        </is>
      </c>
      <c r="C1219" t="inlineStr">
        <is>
          <t>0                      DS 0485000K  27                 N  36          1994</t>
        </is>
      </c>
      <c r="D1219" t="inlineStr">
        <is>
          <t>Conquering Kashmir : a Pakistani obsession / K.K. Nanda.</t>
        </is>
      </c>
      <c r="F1219" t="inlineStr">
        <is>
          <t>No</t>
        </is>
      </c>
      <c r="G1219" t="inlineStr">
        <is>
          <t>1</t>
        </is>
      </c>
      <c r="H1219" t="inlineStr">
        <is>
          <t>No</t>
        </is>
      </c>
      <c r="I1219" t="inlineStr">
        <is>
          <t>No</t>
        </is>
      </c>
      <c r="J1219" t="inlineStr">
        <is>
          <t>0</t>
        </is>
      </c>
      <c r="K1219" t="inlineStr">
        <is>
          <t>Nanda, K. K., Lieut. Gen.</t>
        </is>
      </c>
      <c r="L1219" t="inlineStr">
        <is>
          <t>New Delhi : Lancers Books, 1994.</t>
        </is>
      </c>
      <c r="M1219" t="inlineStr">
        <is>
          <t>1994</t>
        </is>
      </c>
      <c r="O1219" t="inlineStr">
        <is>
          <t>eng</t>
        </is>
      </c>
      <c r="P1219" t="inlineStr">
        <is>
          <t xml:space="preserve">ii </t>
        </is>
      </c>
      <c r="R1219" t="inlineStr">
        <is>
          <t xml:space="preserve">DS </t>
        </is>
      </c>
      <c r="S1219" t="n">
        <v>7</v>
      </c>
      <c r="T1219" t="n">
        <v>7</v>
      </c>
      <c r="U1219" t="inlineStr">
        <is>
          <t>2006-05-10</t>
        </is>
      </c>
      <c r="V1219" t="inlineStr">
        <is>
          <t>2006-05-10</t>
        </is>
      </c>
      <c r="W1219" t="inlineStr">
        <is>
          <t>1998-10-07</t>
        </is>
      </c>
      <c r="X1219" t="inlineStr">
        <is>
          <t>1998-10-07</t>
        </is>
      </c>
      <c r="Y1219" t="n">
        <v>49</v>
      </c>
      <c r="Z1219" t="n">
        <v>31</v>
      </c>
      <c r="AA1219" t="n">
        <v>32</v>
      </c>
      <c r="AB1219" t="n">
        <v>1</v>
      </c>
      <c r="AC1219" t="n">
        <v>1</v>
      </c>
      <c r="AD1219" t="n">
        <v>0</v>
      </c>
      <c r="AE1219" t="n">
        <v>0</v>
      </c>
      <c r="AF1219" t="n">
        <v>0</v>
      </c>
      <c r="AG1219" t="n">
        <v>0</v>
      </c>
      <c r="AH1219" t="n">
        <v>0</v>
      </c>
      <c r="AI1219" t="n">
        <v>0</v>
      </c>
      <c r="AJ1219" t="n">
        <v>0</v>
      </c>
      <c r="AK1219" t="n">
        <v>0</v>
      </c>
      <c r="AL1219" t="n">
        <v>0</v>
      </c>
      <c r="AM1219" t="n">
        <v>0</v>
      </c>
      <c r="AN1219" t="n">
        <v>0</v>
      </c>
      <c r="AO1219" t="n">
        <v>0</v>
      </c>
      <c r="AP1219" t="inlineStr">
        <is>
          <t>No</t>
        </is>
      </c>
      <c r="AQ1219" t="inlineStr">
        <is>
          <t>Yes</t>
        </is>
      </c>
      <c r="AR1219">
        <f>HYPERLINK("http://catalog.hathitrust.org/Record/003022492","HathiTrust Record")</f>
        <v/>
      </c>
      <c r="AS1219">
        <f>HYPERLINK("https://creighton-primo.hosted.exlibrisgroup.com/primo-explore/search?tab=default_tab&amp;search_scope=EVERYTHING&amp;vid=01CRU&amp;lang=en_US&amp;offset=0&amp;query=any,contains,991002458219702656","Catalog Record")</f>
        <v/>
      </c>
      <c r="AT1219">
        <f>HYPERLINK("http://www.worldcat.org/oclc/32048167","WorldCat Record")</f>
        <v/>
      </c>
      <c r="AU1219" t="inlineStr">
        <is>
          <t>474064208:eng</t>
        </is>
      </c>
      <c r="AV1219" t="inlineStr">
        <is>
          <t>32048167</t>
        </is>
      </c>
      <c r="AW1219" t="inlineStr">
        <is>
          <t>991002458219702656</t>
        </is>
      </c>
      <c r="AX1219" t="inlineStr">
        <is>
          <t>991002458219702656</t>
        </is>
      </c>
      <c r="AY1219" t="inlineStr">
        <is>
          <t>2267953910002656</t>
        </is>
      </c>
      <c r="AZ1219" t="inlineStr">
        <is>
          <t>BOOK</t>
        </is>
      </c>
      <c r="BB1219" t="inlineStr">
        <is>
          <t>9788170950455</t>
        </is>
      </c>
      <c r="BC1219" t="inlineStr">
        <is>
          <t>32285003472817</t>
        </is>
      </c>
      <c r="BD1219" t="inlineStr">
        <is>
          <t>893352336</t>
        </is>
      </c>
    </row>
    <row r="1220">
      <c r="A1220" t="inlineStr">
        <is>
          <t>No</t>
        </is>
      </c>
      <c r="B1220" t="inlineStr">
        <is>
          <t>DS485.K27 W57 1998</t>
        </is>
      </c>
      <c r="C1220" t="inlineStr">
        <is>
          <t>0                      DS 0485000K  27                 W  57          1998</t>
        </is>
      </c>
      <c r="D1220" t="inlineStr">
        <is>
          <t>India, Pakistan, and the Kashmir dispute : on regional conflict and its resolution / Robert G. Wirsing.</t>
        </is>
      </c>
      <c r="F1220" t="inlineStr">
        <is>
          <t>No</t>
        </is>
      </c>
      <c r="G1220" t="inlineStr">
        <is>
          <t>1</t>
        </is>
      </c>
      <c r="H1220" t="inlineStr">
        <is>
          <t>No</t>
        </is>
      </c>
      <c r="I1220" t="inlineStr">
        <is>
          <t>No</t>
        </is>
      </c>
      <c r="J1220" t="inlineStr">
        <is>
          <t>0</t>
        </is>
      </c>
      <c r="K1220" t="inlineStr">
        <is>
          <t>Wirsing, Robert.</t>
        </is>
      </c>
      <c r="L1220" t="inlineStr">
        <is>
          <t>New York : St. Martin's Press, c1998.</t>
        </is>
      </c>
      <c r="M1220" t="inlineStr">
        <is>
          <t>1998</t>
        </is>
      </c>
      <c r="N1220" t="inlineStr">
        <is>
          <t>1st St Martins's pbk. ed.</t>
        </is>
      </c>
      <c r="O1220" t="inlineStr">
        <is>
          <t>eng</t>
        </is>
      </c>
      <c r="P1220" t="inlineStr">
        <is>
          <t>nyu</t>
        </is>
      </c>
      <c r="R1220" t="inlineStr">
        <is>
          <t xml:space="preserve">DS </t>
        </is>
      </c>
      <c r="S1220" t="n">
        <v>22</v>
      </c>
      <c r="T1220" t="n">
        <v>22</v>
      </c>
      <c r="U1220" t="inlineStr">
        <is>
          <t>2007-10-06</t>
        </is>
      </c>
      <c r="V1220" t="inlineStr">
        <is>
          <t>2007-10-06</t>
        </is>
      </c>
      <c r="W1220" t="inlineStr">
        <is>
          <t>1998-07-28</t>
        </is>
      </c>
      <c r="X1220" t="inlineStr">
        <is>
          <t>1998-07-28</t>
        </is>
      </c>
      <c r="Y1220" t="n">
        <v>78</v>
      </c>
      <c r="Z1220" t="n">
        <v>69</v>
      </c>
      <c r="AA1220" t="n">
        <v>419</v>
      </c>
      <c r="AB1220" t="n">
        <v>1</v>
      </c>
      <c r="AC1220" t="n">
        <v>4</v>
      </c>
      <c r="AD1220" t="n">
        <v>5</v>
      </c>
      <c r="AE1220" t="n">
        <v>20</v>
      </c>
      <c r="AF1220" t="n">
        <v>4</v>
      </c>
      <c r="AG1220" t="n">
        <v>8</v>
      </c>
      <c r="AH1220" t="n">
        <v>2</v>
      </c>
      <c r="AI1220" t="n">
        <v>5</v>
      </c>
      <c r="AJ1220" t="n">
        <v>1</v>
      </c>
      <c r="AK1220" t="n">
        <v>9</v>
      </c>
      <c r="AL1220" t="n">
        <v>0</v>
      </c>
      <c r="AM1220" t="n">
        <v>3</v>
      </c>
      <c r="AN1220" t="n">
        <v>0</v>
      </c>
      <c r="AO1220" t="n">
        <v>0</v>
      </c>
      <c r="AP1220" t="inlineStr">
        <is>
          <t>No</t>
        </is>
      </c>
      <c r="AQ1220" t="inlineStr">
        <is>
          <t>No</t>
        </is>
      </c>
      <c r="AS1220">
        <f>HYPERLINK("https://creighton-primo.hosted.exlibrisgroup.com/primo-explore/search?tab=default_tab&amp;search_scope=EVERYTHING&amp;vid=01CRU&amp;lang=en_US&amp;offset=0&amp;query=any,contains,991002923499702656","Catalog Record")</f>
        <v/>
      </c>
      <c r="AT1220">
        <f>HYPERLINK("http://www.worldcat.org/oclc/38855406","WorldCat Record")</f>
        <v/>
      </c>
      <c r="AU1220" t="inlineStr">
        <is>
          <t>197957685:eng</t>
        </is>
      </c>
      <c r="AV1220" t="inlineStr">
        <is>
          <t>38855406</t>
        </is>
      </c>
      <c r="AW1220" t="inlineStr">
        <is>
          <t>991002923499702656</t>
        </is>
      </c>
      <c r="AX1220" t="inlineStr">
        <is>
          <t>991002923499702656</t>
        </is>
      </c>
      <c r="AY1220" t="inlineStr">
        <is>
          <t>2256490750002656</t>
        </is>
      </c>
      <c r="AZ1220" t="inlineStr">
        <is>
          <t>BOOK</t>
        </is>
      </c>
      <c r="BB1220" t="inlineStr">
        <is>
          <t>9780312175627</t>
        </is>
      </c>
      <c r="BC1220" t="inlineStr">
        <is>
          <t>32285003446647</t>
        </is>
      </c>
      <c r="BD1220" t="inlineStr">
        <is>
          <t>893445448</t>
        </is>
      </c>
    </row>
    <row r="1221">
      <c r="A1221" t="inlineStr">
        <is>
          <t>No</t>
        </is>
      </c>
      <c r="B1221" t="inlineStr">
        <is>
          <t>DS485.M348 F45 2003</t>
        </is>
      </c>
      <c r="C1221" t="inlineStr">
        <is>
          <t>0                      DS 0485000M  348                F  45          2003</t>
        </is>
      </c>
      <c r="D1221" t="inlineStr">
        <is>
          <t>Connected places : region, pilgrimage, and geographical imagination in India / Anne Feldhaus.</t>
        </is>
      </c>
      <c r="F1221" t="inlineStr">
        <is>
          <t>No</t>
        </is>
      </c>
      <c r="G1221" t="inlineStr">
        <is>
          <t>1</t>
        </is>
      </c>
      <c r="H1221" t="inlineStr">
        <is>
          <t>No</t>
        </is>
      </c>
      <c r="I1221" t="inlineStr">
        <is>
          <t>No</t>
        </is>
      </c>
      <c r="J1221" t="inlineStr">
        <is>
          <t>0</t>
        </is>
      </c>
      <c r="K1221" t="inlineStr">
        <is>
          <t>Feldhaus, Anne.</t>
        </is>
      </c>
      <c r="L1221" t="inlineStr">
        <is>
          <t>New York : Palgrave Macmillan, 2003.</t>
        </is>
      </c>
      <c r="M1221" t="inlineStr">
        <is>
          <t>2003</t>
        </is>
      </c>
      <c r="N1221" t="inlineStr">
        <is>
          <t>1st ed.</t>
        </is>
      </c>
      <c r="O1221" t="inlineStr">
        <is>
          <t>eng</t>
        </is>
      </c>
      <c r="P1221" t="inlineStr">
        <is>
          <t>nyu</t>
        </is>
      </c>
      <c r="Q1221" t="inlineStr">
        <is>
          <t>Religion/culture/critique</t>
        </is>
      </c>
      <c r="R1221" t="inlineStr">
        <is>
          <t xml:space="preserve">DS </t>
        </is>
      </c>
      <c r="S1221" t="n">
        <v>2</v>
      </c>
      <c r="T1221" t="n">
        <v>2</v>
      </c>
      <c r="U1221" t="inlineStr">
        <is>
          <t>2008-02-11</t>
        </is>
      </c>
      <c r="V1221" t="inlineStr">
        <is>
          <t>2008-02-11</t>
        </is>
      </c>
      <c r="W1221" t="inlineStr">
        <is>
          <t>2004-04-21</t>
        </is>
      </c>
      <c r="X1221" t="inlineStr">
        <is>
          <t>2004-04-21</t>
        </is>
      </c>
      <c r="Y1221" t="n">
        <v>219</v>
      </c>
      <c r="Z1221" t="n">
        <v>169</v>
      </c>
      <c r="AA1221" t="n">
        <v>210</v>
      </c>
      <c r="AB1221" t="n">
        <v>2</v>
      </c>
      <c r="AC1221" t="n">
        <v>2</v>
      </c>
      <c r="AD1221" t="n">
        <v>11</v>
      </c>
      <c r="AE1221" t="n">
        <v>13</v>
      </c>
      <c r="AF1221" t="n">
        <v>3</v>
      </c>
      <c r="AG1221" t="n">
        <v>4</v>
      </c>
      <c r="AH1221" t="n">
        <v>4</v>
      </c>
      <c r="AI1221" t="n">
        <v>5</v>
      </c>
      <c r="AJ1221" t="n">
        <v>6</v>
      </c>
      <c r="AK1221" t="n">
        <v>6</v>
      </c>
      <c r="AL1221" t="n">
        <v>1</v>
      </c>
      <c r="AM1221" t="n">
        <v>1</v>
      </c>
      <c r="AN1221" t="n">
        <v>0</v>
      </c>
      <c r="AO1221" t="n">
        <v>0</v>
      </c>
      <c r="AP1221" t="inlineStr">
        <is>
          <t>No</t>
        </is>
      </c>
      <c r="AQ1221" t="inlineStr">
        <is>
          <t>No</t>
        </is>
      </c>
      <c r="AS1221">
        <f>HYPERLINK("https://creighton-primo.hosted.exlibrisgroup.com/primo-explore/search?tab=default_tab&amp;search_scope=EVERYTHING&amp;vid=01CRU&amp;lang=en_US&amp;offset=0&amp;query=any,contains,991004268239702656","Catalog Record")</f>
        <v/>
      </c>
      <c r="AT1221">
        <f>HYPERLINK("http://www.worldcat.org/oclc/51879680","WorldCat Record")</f>
        <v/>
      </c>
      <c r="AU1221" t="inlineStr">
        <is>
          <t>793983186:eng</t>
        </is>
      </c>
      <c r="AV1221" t="inlineStr">
        <is>
          <t>51879680</t>
        </is>
      </c>
      <c r="AW1221" t="inlineStr">
        <is>
          <t>991004268239702656</t>
        </is>
      </c>
      <c r="AX1221" t="inlineStr">
        <is>
          <t>991004268239702656</t>
        </is>
      </c>
      <c r="AY1221" t="inlineStr">
        <is>
          <t>2261338700002656</t>
        </is>
      </c>
      <c r="AZ1221" t="inlineStr">
        <is>
          <t>BOOK</t>
        </is>
      </c>
      <c r="BB1221" t="inlineStr">
        <is>
          <t>9781403963239</t>
        </is>
      </c>
      <c r="BC1221" t="inlineStr">
        <is>
          <t>32285004901426</t>
        </is>
      </c>
      <c r="BD1221" t="inlineStr">
        <is>
          <t>893605818</t>
        </is>
      </c>
    </row>
    <row r="1222">
      <c r="A1222" t="inlineStr">
        <is>
          <t>No</t>
        </is>
      </c>
      <c r="B1222" t="inlineStr">
        <is>
          <t>DS485.M349 G66 1998</t>
        </is>
      </c>
      <c r="C1222" t="inlineStr">
        <is>
          <t>0                      DS 0485000M  349                G  66          1998</t>
        </is>
      </c>
      <c r="D1222" t="inlineStr">
        <is>
          <t>Marathas, marauders, and state formation in eighteenth-century India / Stewart Gordon.</t>
        </is>
      </c>
      <c r="F1222" t="inlineStr">
        <is>
          <t>No</t>
        </is>
      </c>
      <c r="G1222" t="inlineStr">
        <is>
          <t>1</t>
        </is>
      </c>
      <c r="H1222" t="inlineStr">
        <is>
          <t>No</t>
        </is>
      </c>
      <c r="I1222" t="inlineStr">
        <is>
          <t>No</t>
        </is>
      </c>
      <c r="J1222" t="inlineStr">
        <is>
          <t>0</t>
        </is>
      </c>
      <c r="K1222" t="inlineStr">
        <is>
          <t>Gordon, Stewart, 1945-</t>
        </is>
      </c>
      <c r="L1222" t="inlineStr">
        <is>
          <t>Delhi : Oxford University Press, 1998, c1994.</t>
        </is>
      </c>
      <c r="M1222" t="inlineStr">
        <is>
          <t>1998</t>
        </is>
      </c>
      <c r="O1222" t="inlineStr">
        <is>
          <t>eng</t>
        </is>
      </c>
      <c r="P1222" t="inlineStr">
        <is>
          <t xml:space="preserve">ii </t>
        </is>
      </c>
      <c r="Q1222" t="inlineStr">
        <is>
          <t>Oxford India paperbacks</t>
        </is>
      </c>
      <c r="R1222" t="inlineStr">
        <is>
          <t xml:space="preserve">DS </t>
        </is>
      </c>
      <c r="S1222" t="n">
        <v>3</v>
      </c>
      <c r="T1222" t="n">
        <v>3</v>
      </c>
      <c r="U1222" t="inlineStr">
        <is>
          <t>2007-04-14</t>
        </is>
      </c>
      <c r="V1222" t="inlineStr">
        <is>
          <t>2007-04-14</t>
        </is>
      </c>
      <c r="W1222" t="inlineStr">
        <is>
          <t>2002-11-11</t>
        </is>
      </c>
      <c r="X1222" t="inlineStr">
        <is>
          <t>2002-11-11</t>
        </is>
      </c>
      <c r="Y1222" t="n">
        <v>37</v>
      </c>
      <c r="Z1222" t="n">
        <v>18</v>
      </c>
      <c r="AA1222" t="n">
        <v>150</v>
      </c>
      <c r="AB1222" t="n">
        <v>1</v>
      </c>
      <c r="AC1222" t="n">
        <v>2</v>
      </c>
      <c r="AD1222" t="n">
        <v>2</v>
      </c>
      <c r="AE1222" t="n">
        <v>9</v>
      </c>
      <c r="AF1222" t="n">
        <v>0</v>
      </c>
      <c r="AG1222" t="n">
        <v>1</v>
      </c>
      <c r="AH1222" t="n">
        <v>0</v>
      </c>
      <c r="AI1222" t="n">
        <v>3</v>
      </c>
      <c r="AJ1222" t="n">
        <v>2</v>
      </c>
      <c r="AK1222" t="n">
        <v>7</v>
      </c>
      <c r="AL1222" t="n">
        <v>0</v>
      </c>
      <c r="AM1222" t="n">
        <v>1</v>
      </c>
      <c r="AN1222" t="n">
        <v>0</v>
      </c>
      <c r="AO1222" t="n">
        <v>0</v>
      </c>
      <c r="AP1222" t="inlineStr">
        <is>
          <t>No</t>
        </is>
      </c>
      <c r="AQ1222" t="inlineStr">
        <is>
          <t>No</t>
        </is>
      </c>
      <c r="AS1222">
        <f>HYPERLINK("https://creighton-primo.hosted.exlibrisgroup.com/primo-explore/search?tab=default_tab&amp;search_scope=EVERYTHING&amp;vid=01CRU&amp;lang=en_US&amp;offset=0&amp;query=any,contains,991003866369702656","Catalog Record")</f>
        <v/>
      </c>
      <c r="AT1222">
        <f>HYPERLINK("http://www.worldcat.org/oclc/41019541","WorldCat Record")</f>
        <v/>
      </c>
      <c r="AU1222" t="inlineStr">
        <is>
          <t>118034510:eng</t>
        </is>
      </c>
      <c r="AV1222" t="inlineStr">
        <is>
          <t>41019541</t>
        </is>
      </c>
      <c r="AW1222" t="inlineStr">
        <is>
          <t>991003866369702656</t>
        </is>
      </c>
      <c r="AX1222" t="inlineStr">
        <is>
          <t>991003866369702656</t>
        </is>
      </c>
      <c r="AY1222" t="inlineStr">
        <is>
          <t>2269928920002656</t>
        </is>
      </c>
      <c r="AZ1222" t="inlineStr">
        <is>
          <t>BOOK</t>
        </is>
      </c>
      <c r="BB1222" t="inlineStr">
        <is>
          <t>9780195647488</t>
        </is>
      </c>
      <c r="BC1222" t="inlineStr">
        <is>
          <t>32285004662663</t>
        </is>
      </c>
      <c r="BD1222" t="inlineStr">
        <is>
          <t>893627824</t>
        </is>
      </c>
    </row>
    <row r="1223">
      <c r="A1223" t="inlineStr">
        <is>
          <t>No</t>
        </is>
      </c>
      <c r="B1223" t="inlineStr">
        <is>
          <t>DS485.N4 B8 1971b</t>
        </is>
      </c>
      <c r="C1223" t="inlineStr">
        <is>
          <t>0                      DS 0485000N  4                  B  8           1971b</t>
        </is>
      </c>
      <c r="D1223" t="inlineStr">
        <is>
          <t>An account of the Kingdom of Nepal and of the territories annexed to this dominion by the House of Gorkha, by Francis Buchanan Hamilton. With an introd. by Marc Gaborieau.</t>
        </is>
      </c>
      <c r="F1223" t="inlineStr">
        <is>
          <t>No</t>
        </is>
      </c>
      <c r="G1223" t="inlineStr">
        <is>
          <t>1</t>
        </is>
      </c>
      <c r="H1223" t="inlineStr">
        <is>
          <t>No</t>
        </is>
      </c>
      <c r="I1223" t="inlineStr">
        <is>
          <t>No</t>
        </is>
      </c>
      <c r="J1223" t="inlineStr">
        <is>
          <t>0</t>
        </is>
      </c>
      <c r="K1223" t="inlineStr">
        <is>
          <t>Hamilton, Francis, 1762-1829.</t>
        </is>
      </c>
      <c r="L1223" t="inlineStr">
        <is>
          <t>New Delhi, Man̄juśrī Pub. House, 1971.</t>
        </is>
      </c>
      <c r="M1223" t="inlineStr">
        <is>
          <t>1971</t>
        </is>
      </c>
      <c r="O1223" t="inlineStr">
        <is>
          <t>eng</t>
        </is>
      </c>
      <c r="P1223" t="inlineStr">
        <is>
          <t xml:space="preserve">ii </t>
        </is>
      </c>
      <c r="Q1223" t="inlineStr">
        <is>
          <t>Bibliotheca Himalayica ; ser. 1, v. 10</t>
        </is>
      </c>
      <c r="R1223" t="inlineStr">
        <is>
          <t xml:space="preserve">DS </t>
        </is>
      </c>
      <c r="S1223" t="n">
        <v>1</v>
      </c>
      <c r="T1223" t="n">
        <v>1</v>
      </c>
      <c r="U1223" t="inlineStr">
        <is>
          <t>1998-10-01</t>
        </is>
      </c>
      <c r="V1223" t="inlineStr">
        <is>
          <t>1998-10-01</t>
        </is>
      </c>
      <c r="W1223" t="inlineStr">
        <is>
          <t>1996-08-09</t>
        </is>
      </c>
      <c r="X1223" t="inlineStr">
        <is>
          <t>1996-08-09</t>
        </is>
      </c>
      <c r="Y1223" t="n">
        <v>302</v>
      </c>
      <c r="Z1223" t="n">
        <v>275</v>
      </c>
      <c r="AA1223" t="n">
        <v>351</v>
      </c>
      <c r="AB1223" t="n">
        <v>2</v>
      </c>
      <c r="AC1223" t="n">
        <v>3</v>
      </c>
      <c r="AD1223" t="n">
        <v>11</v>
      </c>
      <c r="AE1223" t="n">
        <v>13</v>
      </c>
      <c r="AF1223" t="n">
        <v>2</v>
      </c>
      <c r="AG1223" t="n">
        <v>2</v>
      </c>
      <c r="AH1223" t="n">
        <v>3</v>
      </c>
      <c r="AI1223" t="n">
        <v>4</v>
      </c>
      <c r="AJ1223" t="n">
        <v>7</v>
      </c>
      <c r="AK1223" t="n">
        <v>7</v>
      </c>
      <c r="AL1223" t="n">
        <v>1</v>
      </c>
      <c r="AM1223" t="n">
        <v>2</v>
      </c>
      <c r="AN1223" t="n">
        <v>0</v>
      </c>
      <c r="AO1223" t="n">
        <v>0</v>
      </c>
      <c r="AP1223" t="inlineStr">
        <is>
          <t>No</t>
        </is>
      </c>
      <c r="AQ1223" t="inlineStr">
        <is>
          <t>Yes</t>
        </is>
      </c>
      <c r="AR1223">
        <f>HYPERLINK("http://catalog.hathitrust.org/Record/000007367","HathiTrust Record")</f>
        <v/>
      </c>
      <c r="AS1223">
        <f>HYPERLINK("https://creighton-primo.hosted.exlibrisgroup.com/primo-explore/search?tab=default_tab&amp;search_scope=EVERYTHING&amp;vid=01CRU&amp;lang=en_US&amp;offset=0&amp;query=any,contains,991002814009702656","Catalog Record")</f>
        <v/>
      </c>
      <c r="AT1223">
        <f>HYPERLINK("http://www.worldcat.org/oclc/457093","WorldCat Record")</f>
        <v/>
      </c>
      <c r="AU1223" t="inlineStr">
        <is>
          <t>1470820:eng</t>
        </is>
      </c>
      <c r="AV1223" t="inlineStr">
        <is>
          <t>457093</t>
        </is>
      </c>
      <c r="AW1223" t="inlineStr">
        <is>
          <t>991002814009702656</t>
        </is>
      </c>
      <c r="AX1223" t="inlineStr">
        <is>
          <t>991002814009702656</t>
        </is>
      </c>
      <c r="AY1223" t="inlineStr">
        <is>
          <t>2262828480002656</t>
        </is>
      </c>
      <c r="AZ1223" t="inlineStr">
        <is>
          <t>BOOK</t>
        </is>
      </c>
      <c r="BC1223" t="inlineStr">
        <is>
          <t>32285002273034</t>
        </is>
      </c>
      <c r="BD1223" t="inlineStr">
        <is>
          <t>893867741</t>
        </is>
      </c>
    </row>
    <row r="1224">
      <c r="A1224" t="inlineStr">
        <is>
          <t>No</t>
        </is>
      </c>
      <c r="B1224" t="inlineStr">
        <is>
          <t>DS485.N4 H55</t>
        </is>
      </c>
      <c r="C1224" t="inlineStr">
        <is>
          <t>0                      DS 0485000N  4                  H  55</t>
        </is>
      </c>
      <c r="D1224" t="inlineStr">
        <is>
          <t>The Magars of Banyan Hill, by John T. Hitchcock.</t>
        </is>
      </c>
      <c r="F1224" t="inlineStr">
        <is>
          <t>No</t>
        </is>
      </c>
      <c r="G1224" t="inlineStr">
        <is>
          <t>1</t>
        </is>
      </c>
      <c r="H1224" t="inlineStr">
        <is>
          <t>No</t>
        </is>
      </c>
      <c r="I1224" t="inlineStr">
        <is>
          <t>No</t>
        </is>
      </c>
      <c r="J1224" t="inlineStr">
        <is>
          <t>0</t>
        </is>
      </c>
      <c r="K1224" t="inlineStr">
        <is>
          <t>Hitchcock, John Thayer, 1917-</t>
        </is>
      </c>
      <c r="L1224" t="inlineStr">
        <is>
          <t>New York, Holt, Rinehart and Winston [1966]</t>
        </is>
      </c>
      <c r="M1224" t="inlineStr">
        <is>
          <t>1966</t>
        </is>
      </c>
      <c r="O1224" t="inlineStr">
        <is>
          <t>eng</t>
        </is>
      </c>
      <c r="P1224" t="inlineStr">
        <is>
          <t>nyu</t>
        </is>
      </c>
      <c r="Q1224" t="inlineStr">
        <is>
          <t>Case studies in cultural anthropology</t>
        </is>
      </c>
      <c r="R1224" t="inlineStr">
        <is>
          <t xml:space="preserve">DS </t>
        </is>
      </c>
      <c r="S1224" t="n">
        <v>2</v>
      </c>
      <c r="T1224" t="n">
        <v>2</v>
      </c>
      <c r="U1224" t="inlineStr">
        <is>
          <t>2003-09-16</t>
        </is>
      </c>
      <c r="V1224" t="inlineStr">
        <is>
          <t>2003-09-16</t>
        </is>
      </c>
      <c r="W1224" t="inlineStr">
        <is>
          <t>1997-03-10</t>
        </is>
      </c>
      <c r="X1224" t="inlineStr">
        <is>
          <t>1997-03-10</t>
        </is>
      </c>
      <c r="Y1224" t="n">
        <v>837</v>
      </c>
      <c r="Z1224" t="n">
        <v>709</v>
      </c>
      <c r="AA1224" t="n">
        <v>717</v>
      </c>
      <c r="AB1224" t="n">
        <v>5</v>
      </c>
      <c r="AC1224" t="n">
        <v>5</v>
      </c>
      <c r="AD1224" t="n">
        <v>28</v>
      </c>
      <c r="AE1224" t="n">
        <v>28</v>
      </c>
      <c r="AF1224" t="n">
        <v>10</v>
      </c>
      <c r="AG1224" t="n">
        <v>10</v>
      </c>
      <c r="AH1224" t="n">
        <v>8</v>
      </c>
      <c r="AI1224" t="n">
        <v>8</v>
      </c>
      <c r="AJ1224" t="n">
        <v>13</v>
      </c>
      <c r="AK1224" t="n">
        <v>13</v>
      </c>
      <c r="AL1224" t="n">
        <v>4</v>
      </c>
      <c r="AM1224" t="n">
        <v>4</v>
      </c>
      <c r="AN1224" t="n">
        <v>0</v>
      </c>
      <c r="AO1224" t="n">
        <v>0</v>
      </c>
      <c r="AP1224" t="inlineStr">
        <is>
          <t>No</t>
        </is>
      </c>
      <c r="AQ1224" t="inlineStr">
        <is>
          <t>Yes</t>
        </is>
      </c>
      <c r="AR1224">
        <f>HYPERLINK("http://catalog.hathitrust.org/Record/001254054","HathiTrust Record")</f>
        <v/>
      </c>
      <c r="AS1224">
        <f>HYPERLINK("https://creighton-primo.hosted.exlibrisgroup.com/primo-explore/search?tab=default_tab&amp;search_scope=EVERYTHING&amp;vid=01CRU&amp;lang=en_US&amp;offset=0&amp;query=any,contains,991002711449702656","Catalog Record")</f>
        <v/>
      </c>
      <c r="AT1224">
        <f>HYPERLINK("http://www.worldcat.org/oclc/409408","WorldCat Record")</f>
        <v/>
      </c>
      <c r="AU1224" t="inlineStr">
        <is>
          <t>1447088:eng</t>
        </is>
      </c>
      <c r="AV1224" t="inlineStr">
        <is>
          <t>409408</t>
        </is>
      </c>
      <c r="AW1224" t="inlineStr">
        <is>
          <t>991002711449702656</t>
        </is>
      </c>
      <c r="AX1224" t="inlineStr">
        <is>
          <t>991002711449702656</t>
        </is>
      </c>
      <c r="AY1224" t="inlineStr">
        <is>
          <t>2262365200002656</t>
        </is>
      </c>
      <c r="AZ1224" t="inlineStr">
        <is>
          <t>BOOK</t>
        </is>
      </c>
      <c r="BC1224" t="inlineStr">
        <is>
          <t>32285002457850</t>
        </is>
      </c>
      <c r="BD1224" t="inlineStr">
        <is>
          <t>893329434</t>
        </is>
      </c>
    </row>
    <row r="1225">
      <c r="A1225" t="inlineStr">
        <is>
          <t>No</t>
        </is>
      </c>
      <c r="B1225" t="inlineStr">
        <is>
          <t>DS485.N4 J34 1966</t>
        </is>
      </c>
      <c r="C1225" t="inlineStr">
        <is>
          <t>0                      DS 0485000N  4                  J  34          1966</t>
        </is>
      </c>
      <c r="D1225" t="inlineStr">
        <is>
          <t>The Gurkhas [by] Harold James &amp; Denis Sheil-Small.</t>
        </is>
      </c>
      <c r="F1225" t="inlineStr">
        <is>
          <t>No</t>
        </is>
      </c>
      <c r="G1225" t="inlineStr">
        <is>
          <t>1</t>
        </is>
      </c>
      <c r="H1225" t="inlineStr">
        <is>
          <t>No</t>
        </is>
      </c>
      <c r="I1225" t="inlineStr">
        <is>
          <t>No</t>
        </is>
      </c>
      <c r="J1225" t="inlineStr">
        <is>
          <t>0</t>
        </is>
      </c>
      <c r="K1225" t="inlineStr">
        <is>
          <t>James, Harold, 1956-</t>
        </is>
      </c>
      <c r="L1225" t="inlineStr">
        <is>
          <t>[Harrisburg, Pa.] Stackpole Books [1966, c1965]</t>
        </is>
      </c>
      <c r="M1225" t="inlineStr">
        <is>
          <t>1966</t>
        </is>
      </c>
      <c r="O1225" t="inlineStr">
        <is>
          <t>eng</t>
        </is>
      </c>
      <c r="P1225" t="inlineStr">
        <is>
          <t xml:space="preserve">xx </t>
        </is>
      </c>
      <c r="R1225" t="inlineStr">
        <is>
          <t xml:space="preserve">DS </t>
        </is>
      </c>
      <c r="S1225" t="n">
        <v>4</v>
      </c>
      <c r="T1225" t="n">
        <v>4</v>
      </c>
      <c r="U1225" t="inlineStr">
        <is>
          <t>2001-03-26</t>
        </is>
      </c>
      <c r="V1225" t="inlineStr">
        <is>
          <t>2001-03-26</t>
        </is>
      </c>
      <c r="W1225" t="inlineStr">
        <is>
          <t>1997-03-10</t>
        </is>
      </c>
      <c r="X1225" t="inlineStr">
        <is>
          <t>1997-03-10</t>
        </is>
      </c>
      <c r="Y1225" t="n">
        <v>177</v>
      </c>
      <c r="Z1225" t="n">
        <v>161</v>
      </c>
      <c r="AA1225" t="n">
        <v>205</v>
      </c>
      <c r="AB1225" t="n">
        <v>1</v>
      </c>
      <c r="AC1225" t="n">
        <v>2</v>
      </c>
      <c r="AD1225" t="n">
        <v>4</v>
      </c>
      <c r="AE1225" t="n">
        <v>6</v>
      </c>
      <c r="AF1225" t="n">
        <v>1</v>
      </c>
      <c r="AG1225" t="n">
        <v>1</v>
      </c>
      <c r="AH1225" t="n">
        <v>2</v>
      </c>
      <c r="AI1225" t="n">
        <v>3</v>
      </c>
      <c r="AJ1225" t="n">
        <v>3</v>
      </c>
      <c r="AK1225" t="n">
        <v>3</v>
      </c>
      <c r="AL1225" t="n">
        <v>0</v>
      </c>
      <c r="AM1225" t="n">
        <v>1</v>
      </c>
      <c r="AN1225" t="n">
        <v>0</v>
      </c>
      <c r="AO1225" t="n">
        <v>0</v>
      </c>
      <c r="AP1225" t="inlineStr">
        <is>
          <t>No</t>
        </is>
      </c>
      <c r="AQ1225" t="inlineStr">
        <is>
          <t>No</t>
        </is>
      </c>
      <c r="AS1225">
        <f>HYPERLINK("https://creighton-primo.hosted.exlibrisgroup.com/primo-explore/search?tab=default_tab&amp;search_scope=EVERYTHING&amp;vid=01CRU&amp;lang=en_US&amp;offset=0&amp;query=any,contains,991003760499702656","Catalog Record")</f>
        <v/>
      </c>
      <c r="AT1225">
        <f>HYPERLINK("http://www.worldcat.org/oclc/1447250","WorldCat Record")</f>
        <v/>
      </c>
      <c r="AU1225" t="inlineStr">
        <is>
          <t>3523796:eng</t>
        </is>
      </c>
      <c r="AV1225" t="inlineStr">
        <is>
          <t>1447250</t>
        </is>
      </c>
      <c r="AW1225" t="inlineStr">
        <is>
          <t>991003760499702656</t>
        </is>
      </c>
      <c r="AX1225" t="inlineStr">
        <is>
          <t>991003760499702656</t>
        </is>
      </c>
      <c r="AY1225" t="inlineStr">
        <is>
          <t>2271774930002656</t>
        </is>
      </c>
      <c r="AZ1225" t="inlineStr">
        <is>
          <t>BOOK</t>
        </is>
      </c>
      <c r="BC1225" t="inlineStr">
        <is>
          <t>32285002457868</t>
        </is>
      </c>
      <c r="BD1225" t="inlineStr">
        <is>
          <t>893611406</t>
        </is>
      </c>
    </row>
    <row r="1226">
      <c r="A1226" t="inlineStr">
        <is>
          <t>No</t>
        </is>
      </c>
      <c r="B1226" t="inlineStr">
        <is>
          <t>DS485.N4 R67</t>
        </is>
      </c>
      <c r="C1226" t="inlineStr">
        <is>
          <t>0                      DS 0485000N  4                  R  67</t>
        </is>
      </c>
      <c r="D1226" t="inlineStr">
        <is>
          <t>Nepal; strategy for survival [by] Leo E. Rose.</t>
        </is>
      </c>
      <c r="F1226" t="inlineStr">
        <is>
          <t>No</t>
        </is>
      </c>
      <c r="G1226" t="inlineStr">
        <is>
          <t>1</t>
        </is>
      </c>
      <c r="H1226" t="inlineStr">
        <is>
          <t>No</t>
        </is>
      </c>
      <c r="I1226" t="inlineStr">
        <is>
          <t>No</t>
        </is>
      </c>
      <c r="J1226" t="inlineStr">
        <is>
          <t>0</t>
        </is>
      </c>
      <c r="K1226" t="inlineStr">
        <is>
          <t>Rose, Leo E.</t>
        </is>
      </c>
      <c r="L1226" t="inlineStr">
        <is>
          <t>Berkeley, University of California Press, 1971.</t>
        </is>
      </c>
      <c r="M1226" t="inlineStr">
        <is>
          <t>1971</t>
        </is>
      </c>
      <c r="O1226" t="inlineStr">
        <is>
          <t>eng</t>
        </is>
      </c>
      <c r="P1226" t="inlineStr">
        <is>
          <t>cau</t>
        </is>
      </c>
      <c r="R1226" t="inlineStr">
        <is>
          <t xml:space="preserve">DS </t>
        </is>
      </c>
      <c r="S1226" t="n">
        <v>6</v>
      </c>
      <c r="T1226" t="n">
        <v>6</v>
      </c>
      <c r="U1226" t="inlineStr">
        <is>
          <t>2000-05-31</t>
        </is>
      </c>
      <c r="V1226" t="inlineStr">
        <is>
          <t>2000-05-31</t>
        </is>
      </c>
      <c r="W1226" t="inlineStr">
        <is>
          <t>1997-03-10</t>
        </is>
      </c>
      <c r="X1226" t="inlineStr">
        <is>
          <t>1997-03-10</t>
        </is>
      </c>
      <c r="Y1226" t="n">
        <v>649</v>
      </c>
      <c r="Z1226" t="n">
        <v>556</v>
      </c>
      <c r="AA1226" t="n">
        <v>575</v>
      </c>
      <c r="AB1226" t="n">
        <v>4</v>
      </c>
      <c r="AC1226" t="n">
        <v>4</v>
      </c>
      <c r="AD1226" t="n">
        <v>25</v>
      </c>
      <c r="AE1226" t="n">
        <v>25</v>
      </c>
      <c r="AF1226" t="n">
        <v>11</v>
      </c>
      <c r="AG1226" t="n">
        <v>11</v>
      </c>
      <c r="AH1226" t="n">
        <v>6</v>
      </c>
      <c r="AI1226" t="n">
        <v>6</v>
      </c>
      <c r="AJ1226" t="n">
        <v>10</v>
      </c>
      <c r="AK1226" t="n">
        <v>10</v>
      </c>
      <c r="AL1226" t="n">
        <v>3</v>
      </c>
      <c r="AM1226" t="n">
        <v>3</v>
      </c>
      <c r="AN1226" t="n">
        <v>0</v>
      </c>
      <c r="AO1226" t="n">
        <v>0</v>
      </c>
      <c r="AP1226" t="inlineStr">
        <is>
          <t>No</t>
        </is>
      </c>
      <c r="AQ1226" t="inlineStr">
        <is>
          <t>Yes</t>
        </is>
      </c>
      <c r="AR1226">
        <f>HYPERLINK("http://catalog.hathitrust.org/Record/001869751","HathiTrust Record")</f>
        <v/>
      </c>
      <c r="AS1226">
        <f>HYPERLINK("https://creighton-primo.hosted.exlibrisgroup.com/primo-explore/search?tab=default_tab&amp;search_scope=EVERYTHING&amp;vid=01CRU&amp;lang=en_US&amp;offset=0&amp;query=any,contains,991005358139702656","Catalog Record")</f>
        <v/>
      </c>
      <c r="AT1226">
        <f>HYPERLINK("http://www.worldcat.org/oclc/1275342","WorldCat Record")</f>
        <v/>
      </c>
      <c r="AU1226" t="inlineStr">
        <is>
          <t>2203441:eng</t>
        </is>
      </c>
      <c r="AV1226" t="inlineStr">
        <is>
          <t>1275342</t>
        </is>
      </c>
      <c r="AW1226" t="inlineStr">
        <is>
          <t>991005358139702656</t>
        </is>
      </c>
      <c r="AX1226" t="inlineStr">
        <is>
          <t>991005358139702656</t>
        </is>
      </c>
      <c r="AY1226" t="inlineStr">
        <is>
          <t>2260391850002656</t>
        </is>
      </c>
      <c r="AZ1226" t="inlineStr">
        <is>
          <t>BOOK</t>
        </is>
      </c>
      <c r="BB1226" t="inlineStr">
        <is>
          <t>9780520016439</t>
        </is>
      </c>
      <c r="BC1226" t="inlineStr">
        <is>
          <t>32285002457884</t>
        </is>
      </c>
      <c r="BD1226" t="inlineStr">
        <is>
          <t>893431353</t>
        </is>
      </c>
    </row>
    <row r="1227">
      <c r="A1227" t="inlineStr">
        <is>
          <t>No</t>
        </is>
      </c>
      <c r="B1227" t="inlineStr">
        <is>
          <t>DS485.N7 S7 1974</t>
        </is>
      </c>
      <c r="C1227" t="inlineStr">
        <is>
          <t>0                      DS 0485000N  7                  S  7           1974</t>
        </is>
      </c>
      <c r="D1227" t="inlineStr">
        <is>
          <t>On Alexander's track to the Indus : personal narrative of explorations on the north-west frontier of India carried out under the orders of H. M. Indian Government / by Sir Aurel Stein.</t>
        </is>
      </c>
      <c r="F1227" t="inlineStr">
        <is>
          <t>No</t>
        </is>
      </c>
      <c r="G1227" t="inlineStr">
        <is>
          <t>1</t>
        </is>
      </c>
      <c r="H1227" t="inlineStr">
        <is>
          <t>No</t>
        </is>
      </c>
      <c r="I1227" t="inlineStr">
        <is>
          <t>No</t>
        </is>
      </c>
      <c r="J1227" t="inlineStr">
        <is>
          <t>0</t>
        </is>
      </c>
      <c r="K1227" t="inlineStr">
        <is>
          <t>Stein, Aurel, Sir, 1862-1943.</t>
        </is>
      </c>
      <c r="L1227" t="inlineStr">
        <is>
          <t>Chicago : Ares Publishers, 1974.</t>
        </is>
      </c>
      <c r="M1227" t="inlineStr">
        <is>
          <t>1974</t>
        </is>
      </c>
      <c r="O1227" t="inlineStr">
        <is>
          <t>eng</t>
        </is>
      </c>
      <c r="P1227" t="inlineStr">
        <is>
          <t>ilu</t>
        </is>
      </c>
      <c r="R1227" t="inlineStr">
        <is>
          <t xml:space="preserve">DS </t>
        </is>
      </c>
      <c r="S1227" t="n">
        <v>4</v>
      </c>
      <c r="T1227" t="n">
        <v>4</v>
      </c>
      <c r="U1227" t="inlineStr">
        <is>
          <t>2008-08-21</t>
        </is>
      </c>
      <c r="V1227" t="inlineStr">
        <is>
          <t>2008-08-21</t>
        </is>
      </c>
      <c r="W1227" t="inlineStr">
        <is>
          <t>1990-10-09</t>
        </is>
      </c>
      <c r="X1227" t="inlineStr">
        <is>
          <t>1990-10-09</t>
        </is>
      </c>
      <c r="Y1227" t="n">
        <v>131</v>
      </c>
      <c r="Z1227" t="n">
        <v>105</v>
      </c>
      <c r="AA1227" t="n">
        <v>309</v>
      </c>
      <c r="AB1227" t="n">
        <v>2</v>
      </c>
      <c r="AC1227" t="n">
        <v>3</v>
      </c>
      <c r="AD1227" t="n">
        <v>7</v>
      </c>
      <c r="AE1227" t="n">
        <v>13</v>
      </c>
      <c r="AF1227" t="n">
        <v>2</v>
      </c>
      <c r="AG1227" t="n">
        <v>3</v>
      </c>
      <c r="AH1227" t="n">
        <v>2</v>
      </c>
      <c r="AI1227" t="n">
        <v>4</v>
      </c>
      <c r="AJ1227" t="n">
        <v>6</v>
      </c>
      <c r="AK1227" t="n">
        <v>8</v>
      </c>
      <c r="AL1227" t="n">
        <v>1</v>
      </c>
      <c r="AM1227" t="n">
        <v>2</v>
      </c>
      <c r="AN1227" t="n">
        <v>0</v>
      </c>
      <c r="AO1227" t="n">
        <v>0</v>
      </c>
      <c r="AP1227" t="inlineStr">
        <is>
          <t>No</t>
        </is>
      </c>
      <c r="AQ1227" t="inlineStr">
        <is>
          <t>Yes</t>
        </is>
      </c>
      <c r="AR1227">
        <f>HYPERLINK("http://catalog.hathitrust.org/Record/000165080","HathiTrust Record")</f>
        <v/>
      </c>
      <c r="AS1227">
        <f>HYPERLINK("https://creighton-primo.hosted.exlibrisgroup.com/primo-explore/search?tab=default_tab&amp;search_scope=EVERYTHING&amp;vid=01CRU&amp;lang=en_US&amp;offset=0&amp;query=any,contains,991003557409702656","Catalog Record")</f>
        <v/>
      </c>
      <c r="AT1227">
        <f>HYPERLINK("http://www.worldcat.org/oclc/1126526","WorldCat Record")</f>
        <v/>
      </c>
      <c r="AU1227" t="inlineStr">
        <is>
          <t>1575765:eng</t>
        </is>
      </c>
      <c r="AV1227" t="inlineStr">
        <is>
          <t>1126526</t>
        </is>
      </c>
      <c r="AW1227" t="inlineStr">
        <is>
          <t>991003557409702656</t>
        </is>
      </c>
      <c r="AX1227" t="inlineStr">
        <is>
          <t>991003557409702656</t>
        </is>
      </c>
      <c r="AY1227" t="inlineStr">
        <is>
          <t>2270368830002656</t>
        </is>
      </c>
      <c r="AZ1227" t="inlineStr">
        <is>
          <t>BOOK</t>
        </is>
      </c>
      <c r="BB1227" t="inlineStr">
        <is>
          <t>9780890050361</t>
        </is>
      </c>
      <c r="BC1227" t="inlineStr">
        <is>
          <t>32285000336809</t>
        </is>
      </c>
      <c r="BD1227" t="inlineStr">
        <is>
          <t>893805911</t>
        </is>
      </c>
    </row>
    <row r="1228">
      <c r="A1228" t="inlineStr">
        <is>
          <t>No</t>
        </is>
      </c>
      <c r="B1228" t="inlineStr">
        <is>
          <t>DS485.P2 L33 1964</t>
        </is>
      </c>
      <c r="C1228" t="inlineStr">
        <is>
          <t>0                      DS 0485000P  2                  L  33          1964</t>
        </is>
      </c>
      <c r="D1228" t="inlineStr">
        <is>
          <t>History of the Panjab from the remotest antiquity to the present time.</t>
        </is>
      </c>
      <c r="F1228" t="inlineStr">
        <is>
          <t>No</t>
        </is>
      </c>
      <c r="G1228" t="inlineStr">
        <is>
          <t>1</t>
        </is>
      </c>
      <c r="H1228" t="inlineStr">
        <is>
          <t>No</t>
        </is>
      </c>
      <c r="I1228" t="inlineStr">
        <is>
          <t>No</t>
        </is>
      </c>
      <c r="J1228" t="inlineStr">
        <is>
          <t>0</t>
        </is>
      </c>
      <c r="K1228" t="inlineStr">
        <is>
          <t>Latif, Syad Muhammad, 1851-1902.</t>
        </is>
      </c>
      <c r="L1228" t="inlineStr">
        <is>
          <t>New Delhi, Eurasia Pub. House, 1964.</t>
        </is>
      </c>
      <c r="M1228" t="inlineStr">
        <is>
          <t>1964</t>
        </is>
      </c>
      <c r="O1228" t="inlineStr">
        <is>
          <t>eng</t>
        </is>
      </c>
      <c r="P1228" t="inlineStr">
        <is>
          <t xml:space="preserve">xx </t>
        </is>
      </c>
      <c r="R1228" t="inlineStr">
        <is>
          <t xml:space="preserve">DS </t>
        </is>
      </c>
      <c r="S1228" t="n">
        <v>3</v>
      </c>
      <c r="T1228" t="n">
        <v>3</v>
      </c>
      <c r="U1228" t="inlineStr">
        <is>
          <t>1998-03-18</t>
        </is>
      </c>
      <c r="V1228" t="inlineStr">
        <is>
          <t>1998-03-18</t>
        </is>
      </c>
      <c r="W1228" t="inlineStr">
        <is>
          <t>1996-08-09</t>
        </is>
      </c>
      <c r="X1228" t="inlineStr">
        <is>
          <t>1996-08-09</t>
        </is>
      </c>
      <c r="Y1228" t="n">
        <v>120</v>
      </c>
      <c r="Z1228" t="n">
        <v>94</v>
      </c>
      <c r="AA1228" t="n">
        <v>116</v>
      </c>
      <c r="AB1228" t="n">
        <v>1</v>
      </c>
      <c r="AC1228" t="n">
        <v>2</v>
      </c>
      <c r="AD1228" t="n">
        <v>1</v>
      </c>
      <c r="AE1228" t="n">
        <v>2</v>
      </c>
      <c r="AF1228" t="n">
        <v>0</v>
      </c>
      <c r="AG1228" t="n">
        <v>0</v>
      </c>
      <c r="AH1228" t="n">
        <v>0</v>
      </c>
      <c r="AI1228" t="n">
        <v>0</v>
      </c>
      <c r="AJ1228" t="n">
        <v>1</v>
      </c>
      <c r="AK1228" t="n">
        <v>1</v>
      </c>
      <c r="AL1228" t="n">
        <v>0</v>
      </c>
      <c r="AM1228" t="n">
        <v>1</v>
      </c>
      <c r="AN1228" t="n">
        <v>0</v>
      </c>
      <c r="AO1228" t="n">
        <v>0</v>
      </c>
      <c r="AP1228" t="inlineStr">
        <is>
          <t>No</t>
        </is>
      </c>
      <c r="AQ1228" t="inlineStr">
        <is>
          <t>Yes</t>
        </is>
      </c>
      <c r="AR1228">
        <f>HYPERLINK("http://catalog.hathitrust.org/Record/001254181","HathiTrust Record")</f>
        <v/>
      </c>
      <c r="AS1228">
        <f>HYPERLINK("https://creighton-primo.hosted.exlibrisgroup.com/primo-explore/search?tab=default_tab&amp;search_scope=EVERYTHING&amp;vid=01CRU&amp;lang=en_US&amp;offset=0&amp;query=any,contains,991003397459702656","Catalog Record")</f>
        <v/>
      </c>
      <c r="AT1228">
        <f>HYPERLINK("http://www.worldcat.org/oclc/936342","WorldCat Record")</f>
        <v/>
      </c>
      <c r="AU1228" t="inlineStr">
        <is>
          <t>1891449:eng</t>
        </is>
      </c>
      <c r="AV1228" t="inlineStr">
        <is>
          <t>936342</t>
        </is>
      </c>
      <c r="AW1228" t="inlineStr">
        <is>
          <t>991003397459702656</t>
        </is>
      </c>
      <c r="AX1228" t="inlineStr">
        <is>
          <t>991003397459702656</t>
        </is>
      </c>
      <c r="AY1228" t="inlineStr">
        <is>
          <t>2272398880002656</t>
        </is>
      </c>
      <c r="AZ1228" t="inlineStr">
        <is>
          <t>BOOK</t>
        </is>
      </c>
      <c r="BC1228" t="inlineStr">
        <is>
          <t>32285002273042</t>
        </is>
      </c>
      <c r="BD1228" t="inlineStr">
        <is>
          <t>893598552</t>
        </is>
      </c>
    </row>
    <row r="1229">
      <c r="A1229" t="inlineStr">
        <is>
          <t>No</t>
        </is>
      </c>
      <c r="B1229" t="inlineStr">
        <is>
          <t>DS485.P3 K36 1986</t>
        </is>
      </c>
      <c r="C1229" t="inlineStr">
        <is>
          <t>0                      DS 0485000P  3                  K  36          1986</t>
        </is>
      </c>
      <c r="D1229" t="inlineStr">
        <is>
          <t>Sikh separatism : the politics of faith / Rajiv A. Kapur.</t>
        </is>
      </c>
      <c r="F1229" t="inlineStr">
        <is>
          <t>No</t>
        </is>
      </c>
      <c r="G1229" t="inlineStr">
        <is>
          <t>1</t>
        </is>
      </c>
      <c r="H1229" t="inlineStr">
        <is>
          <t>No</t>
        </is>
      </c>
      <c r="I1229" t="inlineStr">
        <is>
          <t>No</t>
        </is>
      </c>
      <c r="J1229" t="inlineStr">
        <is>
          <t>0</t>
        </is>
      </c>
      <c r="K1229" t="inlineStr">
        <is>
          <t>Kapur, Rajiv A.</t>
        </is>
      </c>
      <c r="L1229" t="inlineStr">
        <is>
          <t>London ; Boston ; Allen &amp; Unwin, 1986.</t>
        </is>
      </c>
      <c r="M1229" t="inlineStr">
        <is>
          <t>1986</t>
        </is>
      </c>
      <c r="O1229" t="inlineStr">
        <is>
          <t>eng</t>
        </is>
      </c>
      <c r="P1229" t="inlineStr">
        <is>
          <t>enk</t>
        </is>
      </c>
      <c r="R1229" t="inlineStr">
        <is>
          <t xml:space="preserve">DS </t>
        </is>
      </c>
      <c r="S1229" t="n">
        <v>17</v>
      </c>
      <c r="T1229" t="n">
        <v>17</v>
      </c>
      <c r="U1229" t="inlineStr">
        <is>
          <t>1999-09-19</t>
        </is>
      </c>
      <c r="V1229" t="inlineStr">
        <is>
          <t>1999-09-19</t>
        </is>
      </c>
      <c r="W1229" t="inlineStr">
        <is>
          <t>1990-10-09</t>
        </is>
      </c>
      <c r="X1229" t="inlineStr">
        <is>
          <t>1990-10-09</t>
        </is>
      </c>
      <c r="Y1229" t="n">
        <v>376</v>
      </c>
      <c r="Z1229" t="n">
        <v>279</v>
      </c>
      <c r="AA1229" t="n">
        <v>281</v>
      </c>
      <c r="AB1229" t="n">
        <v>4</v>
      </c>
      <c r="AC1229" t="n">
        <v>4</v>
      </c>
      <c r="AD1229" t="n">
        <v>14</v>
      </c>
      <c r="AE1229" t="n">
        <v>14</v>
      </c>
      <c r="AF1229" t="n">
        <v>4</v>
      </c>
      <c r="AG1229" t="n">
        <v>4</v>
      </c>
      <c r="AH1229" t="n">
        <v>4</v>
      </c>
      <c r="AI1229" t="n">
        <v>4</v>
      </c>
      <c r="AJ1229" t="n">
        <v>7</v>
      </c>
      <c r="AK1229" t="n">
        <v>7</v>
      </c>
      <c r="AL1229" t="n">
        <v>3</v>
      </c>
      <c r="AM1229" t="n">
        <v>3</v>
      </c>
      <c r="AN1229" t="n">
        <v>0</v>
      </c>
      <c r="AO1229" t="n">
        <v>0</v>
      </c>
      <c r="AP1229" t="inlineStr">
        <is>
          <t>No</t>
        </is>
      </c>
      <c r="AQ1229" t="inlineStr">
        <is>
          <t>No</t>
        </is>
      </c>
      <c r="AS1229">
        <f>HYPERLINK("https://creighton-primo.hosted.exlibrisgroup.com/primo-explore/search?tab=default_tab&amp;search_scope=EVERYTHING&amp;vid=01CRU&amp;lang=en_US&amp;offset=0&amp;query=any,contains,991000722019702656","Catalog Record")</f>
        <v/>
      </c>
      <c r="AT1229">
        <f>HYPERLINK("http://www.worldcat.org/oclc/12667402","WorldCat Record")</f>
        <v/>
      </c>
      <c r="AU1229" t="inlineStr">
        <is>
          <t>836673545:eng</t>
        </is>
      </c>
      <c r="AV1229" t="inlineStr">
        <is>
          <t>12667402</t>
        </is>
      </c>
      <c r="AW1229" t="inlineStr">
        <is>
          <t>991000722019702656</t>
        </is>
      </c>
      <c r="AX1229" t="inlineStr">
        <is>
          <t>991000722019702656</t>
        </is>
      </c>
      <c r="AY1229" t="inlineStr">
        <is>
          <t>2262768380002656</t>
        </is>
      </c>
      <c r="AZ1229" t="inlineStr">
        <is>
          <t>BOOK</t>
        </is>
      </c>
      <c r="BB1229" t="inlineStr">
        <is>
          <t>9780043201794</t>
        </is>
      </c>
      <c r="BC1229" t="inlineStr">
        <is>
          <t>32285000336825</t>
        </is>
      </c>
      <c r="BD1229" t="inlineStr">
        <is>
          <t>893608226</t>
        </is>
      </c>
    </row>
    <row r="1230">
      <c r="A1230" t="inlineStr">
        <is>
          <t>No</t>
        </is>
      </c>
      <c r="B1230" t="inlineStr">
        <is>
          <t>DS485.P3 S493 1984</t>
        </is>
      </c>
      <c r="C1230" t="inlineStr">
        <is>
          <t>0                      DS 0485000P  3                  S  493         1984</t>
        </is>
      </c>
      <c r="D1230" t="inlineStr">
        <is>
          <t>A history of the Sikhs / by Khushwant Singh.</t>
        </is>
      </c>
      <c r="E1230" t="inlineStr">
        <is>
          <t>V.2</t>
        </is>
      </c>
      <c r="F1230" t="inlineStr">
        <is>
          <t>Yes</t>
        </is>
      </c>
      <c r="G1230" t="inlineStr">
        <is>
          <t>1</t>
        </is>
      </c>
      <c r="H1230" t="inlineStr">
        <is>
          <t>No</t>
        </is>
      </c>
      <c r="I1230" t="inlineStr">
        <is>
          <t>No</t>
        </is>
      </c>
      <c r="J1230" t="inlineStr">
        <is>
          <t>0</t>
        </is>
      </c>
      <c r="K1230" t="inlineStr">
        <is>
          <t>Khushwant Singh, 1915-2014.</t>
        </is>
      </c>
      <c r="L1230" t="inlineStr">
        <is>
          <t>Princeton, N.J. : Princeton University Press, 1984, c1963.</t>
        </is>
      </c>
      <c r="M1230" t="inlineStr">
        <is>
          <t>1984</t>
        </is>
      </c>
      <c r="O1230" t="inlineStr">
        <is>
          <t>eng</t>
        </is>
      </c>
      <c r="P1230" t="inlineStr">
        <is>
          <t>nju</t>
        </is>
      </c>
      <c r="R1230" t="inlineStr">
        <is>
          <t xml:space="preserve">DS </t>
        </is>
      </c>
      <c r="S1230" t="n">
        <v>8</v>
      </c>
      <c r="T1230" t="n">
        <v>10</v>
      </c>
      <c r="U1230" t="inlineStr">
        <is>
          <t>2002-02-22</t>
        </is>
      </c>
      <c r="V1230" t="inlineStr">
        <is>
          <t>2002-02-22</t>
        </is>
      </c>
      <c r="W1230" t="inlineStr">
        <is>
          <t>1990-10-09</t>
        </is>
      </c>
      <c r="X1230" t="inlineStr">
        <is>
          <t>1990-10-09</t>
        </is>
      </c>
      <c r="Y1230" t="n">
        <v>144</v>
      </c>
      <c r="Z1230" t="n">
        <v>128</v>
      </c>
      <c r="AA1230" t="n">
        <v>896</v>
      </c>
      <c r="AB1230" t="n">
        <v>1</v>
      </c>
      <c r="AC1230" t="n">
        <v>3</v>
      </c>
      <c r="AD1230" t="n">
        <v>3</v>
      </c>
      <c r="AE1230" t="n">
        <v>36</v>
      </c>
      <c r="AF1230" t="n">
        <v>2</v>
      </c>
      <c r="AG1230" t="n">
        <v>17</v>
      </c>
      <c r="AH1230" t="n">
        <v>0</v>
      </c>
      <c r="AI1230" t="n">
        <v>7</v>
      </c>
      <c r="AJ1230" t="n">
        <v>2</v>
      </c>
      <c r="AK1230" t="n">
        <v>18</v>
      </c>
      <c r="AL1230" t="n">
        <v>0</v>
      </c>
      <c r="AM1230" t="n">
        <v>2</v>
      </c>
      <c r="AN1230" t="n">
        <v>0</v>
      </c>
      <c r="AO1230" t="n">
        <v>0</v>
      </c>
      <c r="AP1230" t="inlineStr">
        <is>
          <t>No</t>
        </is>
      </c>
      <c r="AQ1230" t="inlineStr">
        <is>
          <t>Yes</t>
        </is>
      </c>
      <c r="AR1230">
        <f>HYPERLINK("http://catalog.hathitrust.org/Record/001254237","HathiTrust Record")</f>
        <v/>
      </c>
      <c r="AS1230">
        <f>HYPERLINK("https://creighton-primo.hosted.exlibrisgroup.com/primo-explore/search?tab=default_tab&amp;search_scope=EVERYTHING&amp;vid=01CRU&amp;lang=en_US&amp;offset=0&amp;query=any,contains,991000598839702656","Catalog Record")</f>
        <v/>
      </c>
      <c r="AT1230">
        <f>HYPERLINK("http://www.worldcat.org/oclc/11819068","WorldCat Record")</f>
        <v/>
      </c>
      <c r="AU1230" t="inlineStr">
        <is>
          <t>3943316990:eng</t>
        </is>
      </c>
      <c r="AV1230" t="inlineStr">
        <is>
          <t>11819068</t>
        </is>
      </c>
      <c r="AW1230" t="inlineStr">
        <is>
          <t>991000598839702656</t>
        </is>
      </c>
      <c r="AX1230" t="inlineStr">
        <is>
          <t>991000598839702656</t>
        </is>
      </c>
      <c r="AY1230" t="inlineStr">
        <is>
          <t>2263472530002656</t>
        </is>
      </c>
      <c r="AZ1230" t="inlineStr">
        <is>
          <t>BOOK</t>
        </is>
      </c>
      <c r="BB1230" t="inlineStr">
        <is>
          <t>9780691008035</t>
        </is>
      </c>
      <c r="BC1230" t="inlineStr">
        <is>
          <t>32285000336841</t>
        </is>
      </c>
      <c r="BD1230" t="inlineStr">
        <is>
          <t>893249494</t>
        </is>
      </c>
    </row>
    <row r="1231">
      <c r="A1231" t="inlineStr">
        <is>
          <t>No</t>
        </is>
      </c>
      <c r="B1231" t="inlineStr">
        <is>
          <t>DS485.P3 S493 1984</t>
        </is>
      </c>
      <c r="C1231" t="inlineStr">
        <is>
          <t>0                      DS 0485000P  3                  S  493         1984</t>
        </is>
      </c>
      <c r="D1231" t="inlineStr">
        <is>
          <t>A history of the Sikhs / by Khushwant Singh.</t>
        </is>
      </c>
      <c r="E1231" t="inlineStr">
        <is>
          <t>V.1</t>
        </is>
      </c>
      <c r="F1231" t="inlineStr">
        <is>
          <t>Yes</t>
        </is>
      </c>
      <c r="G1231" t="inlineStr">
        <is>
          <t>1</t>
        </is>
      </c>
      <c r="H1231" t="inlineStr">
        <is>
          <t>No</t>
        </is>
      </c>
      <c r="I1231" t="inlineStr">
        <is>
          <t>No</t>
        </is>
      </c>
      <c r="J1231" t="inlineStr">
        <is>
          <t>0</t>
        </is>
      </c>
      <c r="K1231" t="inlineStr">
        <is>
          <t>Khushwant Singh, 1915-2014.</t>
        </is>
      </c>
      <c r="L1231" t="inlineStr">
        <is>
          <t>Princeton, N.J. : Princeton University Press, 1984, c1963.</t>
        </is>
      </c>
      <c r="M1231" t="inlineStr">
        <is>
          <t>1984</t>
        </is>
      </c>
      <c r="O1231" t="inlineStr">
        <is>
          <t>eng</t>
        </is>
      </c>
      <c r="P1231" t="inlineStr">
        <is>
          <t>nju</t>
        </is>
      </c>
      <c r="R1231" t="inlineStr">
        <is>
          <t xml:space="preserve">DS </t>
        </is>
      </c>
      <c r="S1231" t="n">
        <v>2</v>
      </c>
      <c r="T1231" t="n">
        <v>10</v>
      </c>
      <c r="U1231" t="inlineStr">
        <is>
          <t>1997-09-28</t>
        </is>
      </c>
      <c r="V1231" t="inlineStr">
        <is>
          <t>2002-02-22</t>
        </is>
      </c>
      <c r="W1231" t="inlineStr">
        <is>
          <t>1990-10-09</t>
        </is>
      </c>
      <c r="X1231" t="inlineStr">
        <is>
          <t>1990-10-09</t>
        </is>
      </c>
      <c r="Y1231" t="n">
        <v>144</v>
      </c>
      <c r="Z1231" t="n">
        <v>128</v>
      </c>
      <c r="AA1231" t="n">
        <v>896</v>
      </c>
      <c r="AB1231" t="n">
        <v>1</v>
      </c>
      <c r="AC1231" t="n">
        <v>3</v>
      </c>
      <c r="AD1231" t="n">
        <v>3</v>
      </c>
      <c r="AE1231" t="n">
        <v>36</v>
      </c>
      <c r="AF1231" t="n">
        <v>2</v>
      </c>
      <c r="AG1231" t="n">
        <v>17</v>
      </c>
      <c r="AH1231" t="n">
        <v>0</v>
      </c>
      <c r="AI1231" t="n">
        <v>7</v>
      </c>
      <c r="AJ1231" t="n">
        <v>2</v>
      </c>
      <c r="AK1231" t="n">
        <v>18</v>
      </c>
      <c r="AL1231" t="n">
        <v>0</v>
      </c>
      <c r="AM1231" t="n">
        <v>2</v>
      </c>
      <c r="AN1231" t="n">
        <v>0</v>
      </c>
      <c r="AO1231" t="n">
        <v>0</v>
      </c>
      <c r="AP1231" t="inlineStr">
        <is>
          <t>No</t>
        </is>
      </c>
      <c r="AQ1231" t="inlineStr">
        <is>
          <t>Yes</t>
        </is>
      </c>
      <c r="AR1231">
        <f>HYPERLINK("http://catalog.hathitrust.org/Record/001254237","HathiTrust Record")</f>
        <v/>
      </c>
      <c r="AS1231">
        <f>HYPERLINK("https://creighton-primo.hosted.exlibrisgroup.com/primo-explore/search?tab=default_tab&amp;search_scope=EVERYTHING&amp;vid=01CRU&amp;lang=en_US&amp;offset=0&amp;query=any,contains,991000598839702656","Catalog Record")</f>
        <v/>
      </c>
      <c r="AT1231">
        <f>HYPERLINK("http://www.worldcat.org/oclc/11819068","WorldCat Record")</f>
        <v/>
      </c>
      <c r="AU1231" t="inlineStr">
        <is>
          <t>3943316990:eng</t>
        </is>
      </c>
      <c r="AV1231" t="inlineStr">
        <is>
          <t>11819068</t>
        </is>
      </c>
      <c r="AW1231" t="inlineStr">
        <is>
          <t>991000598839702656</t>
        </is>
      </c>
      <c r="AX1231" t="inlineStr">
        <is>
          <t>991000598839702656</t>
        </is>
      </c>
      <c r="AY1231" t="inlineStr">
        <is>
          <t>2263472530002656</t>
        </is>
      </c>
      <c r="AZ1231" t="inlineStr">
        <is>
          <t>BOOK</t>
        </is>
      </c>
      <c r="BB1231" t="inlineStr">
        <is>
          <t>9780691008035</t>
        </is>
      </c>
      <c r="BC1231" t="inlineStr">
        <is>
          <t>32285000336833</t>
        </is>
      </c>
      <c r="BD1231" t="inlineStr">
        <is>
          <t>893237440</t>
        </is>
      </c>
    </row>
    <row r="1232">
      <c r="A1232" t="inlineStr">
        <is>
          <t>No</t>
        </is>
      </c>
      <c r="B1232" t="inlineStr">
        <is>
          <t>DS485.P83 D57 1987</t>
        </is>
      </c>
      <c r="C1232" t="inlineStr">
        <is>
          <t>0                      DS 0485000P  83                 D  57          1987</t>
        </is>
      </c>
      <c r="D1232" t="inlineStr">
        <is>
          <t>The hollow crown : ethnohistory of an Indian kingdom / Nicholas B. Dirks.</t>
        </is>
      </c>
      <c r="F1232" t="inlineStr">
        <is>
          <t>No</t>
        </is>
      </c>
      <c r="G1232" t="inlineStr">
        <is>
          <t>1</t>
        </is>
      </c>
      <c r="H1232" t="inlineStr">
        <is>
          <t>No</t>
        </is>
      </c>
      <c r="I1232" t="inlineStr">
        <is>
          <t>No</t>
        </is>
      </c>
      <c r="J1232" t="inlineStr">
        <is>
          <t>0</t>
        </is>
      </c>
      <c r="K1232" t="inlineStr">
        <is>
          <t>Dirks, Nicholas B., 1950-</t>
        </is>
      </c>
      <c r="L1232" t="inlineStr">
        <is>
          <t>Cambridge [Cambridgeshire] ; New York : Cambridge University Press, 1987.</t>
        </is>
      </c>
      <c r="M1232" t="inlineStr">
        <is>
          <t>1987</t>
        </is>
      </c>
      <c r="O1232" t="inlineStr">
        <is>
          <t>eng</t>
        </is>
      </c>
      <c r="P1232" t="inlineStr">
        <is>
          <t>enk</t>
        </is>
      </c>
      <c r="Q1232" t="inlineStr">
        <is>
          <t>Cambridge South Asian studies</t>
        </is>
      </c>
      <c r="R1232" t="inlineStr">
        <is>
          <t xml:space="preserve">DS </t>
        </is>
      </c>
      <c r="S1232" t="n">
        <v>1</v>
      </c>
      <c r="T1232" t="n">
        <v>1</v>
      </c>
      <c r="U1232" t="inlineStr">
        <is>
          <t>1993-02-24</t>
        </is>
      </c>
      <c r="V1232" t="inlineStr">
        <is>
          <t>1993-02-24</t>
        </is>
      </c>
      <c r="W1232" t="inlineStr">
        <is>
          <t>1990-10-09</t>
        </is>
      </c>
      <c r="X1232" t="inlineStr">
        <is>
          <t>1990-10-09</t>
        </is>
      </c>
      <c r="Y1232" t="n">
        <v>311</v>
      </c>
      <c r="Z1232" t="n">
        <v>199</v>
      </c>
      <c r="AA1232" t="n">
        <v>275</v>
      </c>
      <c r="AB1232" t="n">
        <v>1</v>
      </c>
      <c r="AC1232" t="n">
        <v>3</v>
      </c>
      <c r="AD1232" t="n">
        <v>10</v>
      </c>
      <c r="AE1232" t="n">
        <v>16</v>
      </c>
      <c r="AF1232" t="n">
        <v>2</v>
      </c>
      <c r="AG1232" t="n">
        <v>5</v>
      </c>
      <c r="AH1232" t="n">
        <v>4</v>
      </c>
      <c r="AI1232" t="n">
        <v>4</v>
      </c>
      <c r="AJ1232" t="n">
        <v>7</v>
      </c>
      <c r="AK1232" t="n">
        <v>10</v>
      </c>
      <c r="AL1232" t="n">
        <v>0</v>
      </c>
      <c r="AM1232" t="n">
        <v>2</v>
      </c>
      <c r="AN1232" t="n">
        <v>0</v>
      </c>
      <c r="AO1232" t="n">
        <v>0</v>
      </c>
      <c r="AP1232" t="inlineStr">
        <is>
          <t>No</t>
        </is>
      </c>
      <c r="AQ1232" t="inlineStr">
        <is>
          <t>No</t>
        </is>
      </c>
      <c r="AS1232">
        <f>HYPERLINK("https://creighton-primo.hosted.exlibrisgroup.com/primo-explore/search?tab=default_tab&amp;search_scope=EVERYTHING&amp;vid=01CRU&amp;lang=en_US&amp;offset=0&amp;query=any,contains,991000928689702656","Catalog Record")</f>
        <v/>
      </c>
      <c r="AT1232">
        <f>HYPERLINK("http://www.worldcat.org/oclc/14242883","WorldCat Record")</f>
        <v/>
      </c>
      <c r="AU1232" t="inlineStr">
        <is>
          <t>795412735:eng</t>
        </is>
      </c>
      <c r="AV1232" t="inlineStr">
        <is>
          <t>14242883</t>
        </is>
      </c>
      <c r="AW1232" t="inlineStr">
        <is>
          <t>991000928689702656</t>
        </is>
      </c>
      <c r="AX1232" t="inlineStr">
        <is>
          <t>991000928689702656</t>
        </is>
      </c>
      <c r="AY1232" t="inlineStr">
        <is>
          <t>2270241740002656</t>
        </is>
      </c>
      <c r="AZ1232" t="inlineStr">
        <is>
          <t>BOOK</t>
        </is>
      </c>
      <c r="BB1232" t="inlineStr">
        <is>
          <t>9780521326049</t>
        </is>
      </c>
      <c r="BC1232" t="inlineStr">
        <is>
          <t>32285000336858</t>
        </is>
      </c>
      <c r="BD1232" t="inlineStr">
        <is>
          <t>893696298</t>
        </is>
      </c>
    </row>
    <row r="1233">
      <c r="A1233" t="inlineStr">
        <is>
          <t>No</t>
        </is>
      </c>
      <c r="B1233" t="inlineStr">
        <is>
          <t>DS485.R2 S62 1981</t>
        </is>
      </c>
      <c r="C1233" t="inlineStr">
        <is>
          <t>0                      DS 0485000R  2                  S  62          1981</t>
        </is>
      </c>
      <c r="D1233" t="inlineStr">
        <is>
          <t>Rajasthan, India's enchanted land / introduction and 80 color photographs by Raghubir Singh ; foreword by Satyajit Ray.</t>
        </is>
      </c>
      <c r="F1233" t="inlineStr">
        <is>
          <t>No</t>
        </is>
      </c>
      <c r="G1233" t="inlineStr">
        <is>
          <t>1</t>
        </is>
      </c>
      <c r="H1233" t="inlineStr">
        <is>
          <t>No</t>
        </is>
      </c>
      <c r="I1233" t="inlineStr">
        <is>
          <t>No</t>
        </is>
      </c>
      <c r="J1233" t="inlineStr">
        <is>
          <t>0</t>
        </is>
      </c>
      <c r="K1233" t="inlineStr">
        <is>
          <t>Singh, Raghubir.</t>
        </is>
      </c>
      <c r="L1233" t="inlineStr">
        <is>
          <t>New York, N.Y. : Thames and Hudson, 1981.</t>
        </is>
      </c>
      <c r="M1233" t="inlineStr">
        <is>
          <t>1981</t>
        </is>
      </c>
      <c r="O1233" t="inlineStr">
        <is>
          <t>eng</t>
        </is>
      </c>
      <c r="P1233" t="inlineStr">
        <is>
          <t>nyu</t>
        </is>
      </c>
      <c r="R1233" t="inlineStr">
        <is>
          <t xml:space="preserve">DS </t>
        </is>
      </c>
      <c r="S1233" t="n">
        <v>6</v>
      </c>
      <c r="T1233" t="n">
        <v>6</v>
      </c>
      <c r="U1233" t="inlineStr">
        <is>
          <t>1994-07-06</t>
        </is>
      </c>
      <c r="V1233" t="inlineStr">
        <is>
          <t>1994-07-06</t>
        </is>
      </c>
      <c r="W1233" t="inlineStr">
        <is>
          <t>1990-10-09</t>
        </is>
      </c>
      <c r="X1233" t="inlineStr">
        <is>
          <t>1990-10-09</t>
        </is>
      </c>
      <c r="Y1233" t="n">
        <v>228</v>
      </c>
      <c r="Z1233" t="n">
        <v>193</v>
      </c>
      <c r="AA1233" t="n">
        <v>226</v>
      </c>
      <c r="AB1233" t="n">
        <v>1</v>
      </c>
      <c r="AC1233" t="n">
        <v>1</v>
      </c>
      <c r="AD1233" t="n">
        <v>4</v>
      </c>
      <c r="AE1233" t="n">
        <v>4</v>
      </c>
      <c r="AF1233" t="n">
        <v>1</v>
      </c>
      <c r="AG1233" t="n">
        <v>1</v>
      </c>
      <c r="AH1233" t="n">
        <v>2</v>
      </c>
      <c r="AI1233" t="n">
        <v>2</v>
      </c>
      <c r="AJ1233" t="n">
        <v>3</v>
      </c>
      <c r="AK1233" t="n">
        <v>3</v>
      </c>
      <c r="AL1233" t="n">
        <v>0</v>
      </c>
      <c r="AM1233" t="n">
        <v>0</v>
      </c>
      <c r="AN1233" t="n">
        <v>0</v>
      </c>
      <c r="AO1233" t="n">
        <v>0</v>
      </c>
      <c r="AP1233" t="inlineStr">
        <is>
          <t>No</t>
        </is>
      </c>
      <c r="AQ1233" t="inlineStr">
        <is>
          <t>No</t>
        </is>
      </c>
      <c r="AS1233">
        <f>HYPERLINK("https://creighton-primo.hosted.exlibrisgroup.com/primo-explore/search?tab=default_tab&amp;search_scope=EVERYTHING&amp;vid=01CRU&amp;lang=en_US&amp;offset=0&amp;query=any,contains,991005225029702656","Catalog Record")</f>
        <v/>
      </c>
      <c r="AT1233">
        <f>HYPERLINK("http://www.worldcat.org/oclc/8280481","WorldCat Record")</f>
        <v/>
      </c>
      <c r="AU1233" t="inlineStr">
        <is>
          <t>3943471209:eng</t>
        </is>
      </c>
      <c r="AV1233" t="inlineStr">
        <is>
          <t>8280481</t>
        </is>
      </c>
      <c r="AW1233" t="inlineStr">
        <is>
          <t>991005225029702656</t>
        </is>
      </c>
      <c r="AX1233" t="inlineStr">
        <is>
          <t>991005225029702656</t>
        </is>
      </c>
      <c r="AY1233" t="inlineStr">
        <is>
          <t>2257260370002656</t>
        </is>
      </c>
      <c r="AZ1233" t="inlineStr">
        <is>
          <t>BOOK</t>
        </is>
      </c>
      <c r="BB1233" t="inlineStr">
        <is>
          <t>9780500540701</t>
        </is>
      </c>
      <c r="BC1233" t="inlineStr">
        <is>
          <t>32285000336866</t>
        </is>
      </c>
      <c r="BD1233" t="inlineStr">
        <is>
          <t>893431079</t>
        </is>
      </c>
    </row>
    <row r="1234">
      <c r="A1234" t="inlineStr">
        <is>
          <t>No</t>
        </is>
      </c>
      <c r="B1234" t="inlineStr">
        <is>
          <t>DS485.S5 Z4</t>
        </is>
      </c>
      <c r="C1234" t="inlineStr">
        <is>
          <t>0                      DS 0485000S  5                  Z  4</t>
        </is>
      </c>
      <c r="D1234" t="inlineStr">
        <is>
          <t>Lands of the thunderbolt : Sikhim, Chumbi &amp; Bhutan / by the Earl of Ronaldshay.</t>
        </is>
      </c>
      <c r="F1234" t="inlineStr">
        <is>
          <t>No</t>
        </is>
      </c>
      <c r="G1234" t="inlineStr">
        <is>
          <t>1</t>
        </is>
      </c>
      <c r="H1234" t="inlineStr">
        <is>
          <t>No</t>
        </is>
      </c>
      <c r="I1234" t="inlineStr">
        <is>
          <t>No</t>
        </is>
      </c>
      <c r="J1234" t="inlineStr">
        <is>
          <t>0</t>
        </is>
      </c>
      <c r="K1234" t="inlineStr">
        <is>
          <t>Zetland, Lawrence John Lumley Dundas, Marquis of, 1876-1961.</t>
        </is>
      </c>
      <c r="L1234" t="inlineStr">
        <is>
          <t>Boston ; and New York : Houghton Mifflin co., 1923.</t>
        </is>
      </c>
      <c r="M1234" t="inlineStr">
        <is>
          <t>1923</t>
        </is>
      </c>
      <c r="O1234" t="inlineStr">
        <is>
          <t>eng</t>
        </is>
      </c>
      <c r="P1234" t="inlineStr">
        <is>
          <t>mau</t>
        </is>
      </c>
      <c r="R1234" t="inlineStr">
        <is>
          <t xml:space="preserve">DS </t>
        </is>
      </c>
      <c r="S1234" t="n">
        <v>6</v>
      </c>
      <c r="T1234" t="n">
        <v>6</v>
      </c>
      <c r="U1234" t="inlineStr">
        <is>
          <t>2004-12-13</t>
        </is>
      </c>
      <c r="V1234" t="inlineStr">
        <is>
          <t>2004-12-13</t>
        </is>
      </c>
      <c r="W1234" t="inlineStr">
        <is>
          <t>1997-03-10</t>
        </is>
      </c>
      <c r="X1234" t="inlineStr">
        <is>
          <t>1997-03-10</t>
        </is>
      </c>
      <c r="Y1234" t="n">
        <v>57</v>
      </c>
      <c r="Z1234" t="n">
        <v>52</v>
      </c>
      <c r="AA1234" t="n">
        <v>131</v>
      </c>
      <c r="AB1234" t="n">
        <v>1</v>
      </c>
      <c r="AC1234" t="n">
        <v>1</v>
      </c>
      <c r="AD1234" t="n">
        <v>2</v>
      </c>
      <c r="AE1234" t="n">
        <v>3</v>
      </c>
      <c r="AF1234" t="n">
        <v>1</v>
      </c>
      <c r="AG1234" t="n">
        <v>1</v>
      </c>
      <c r="AH1234" t="n">
        <v>1</v>
      </c>
      <c r="AI1234" t="n">
        <v>2</v>
      </c>
      <c r="AJ1234" t="n">
        <v>1</v>
      </c>
      <c r="AK1234" t="n">
        <v>1</v>
      </c>
      <c r="AL1234" t="n">
        <v>0</v>
      </c>
      <c r="AM1234" t="n">
        <v>0</v>
      </c>
      <c r="AN1234" t="n">
        <v>0</v>
      </c>
      <c r="AO1234" t="n">
        <v>0</v>
      </c>
      <c r="AP1234" t="inlineStr">
        <is>
          <t>Yes</t>
        </is>
      </c>
      <c r="AQ1234" t="inlineStr">
        <is>
          <t>No</t>
        </is>
      </c>
      <c r="AR1234">
        <f>HYPERLINK("http://catalog.hathitrust.org/Record/009979096","HathiTrust Record")</f>
        <v/>
      </c>
      <c r="AS1234">
        <f>HYPERLINK("https://creighton-primo.hosted.exlibrisgroup.com/primo-explore/search?tab=default_tab&amp;search_scope=EVERYTHING&amp;vid=01CRU&amp;lang=en_US&amp;offset=0&amp;query=any,contains,991002944109702656","Catalog Record")</f>
        <v/>
      </c>
      <c r="AT1234">
        <f>HYPERLINK("http://www.worldcat.org/oclc/536260","WorldCat Record")</f>
        <v/>
      </c>
      <c r="AU1234" t="inlineStr">
        <is>
          <t>24528784:eng</t>
        </is>
      </c>
      <c r="AV1234" t="inlineStr">
        <is>
          <t>536260</t>
        </is>
      </c>
      <c r="AW1234" t="inlineStr">
        <is>
          <t>991002944109702656</t>
        </is>
      </c>
      <c r="AX1234" t="inlineStr">
        <is>
          <t>991002944109702656</t>
        </is>
      </c>
      <c r="AY1234" t="inlineStr">
        <is>
          <t>2263771570002656</t>
        </is>
      </c>
      <c r="AZ1234" t="inlineStr">
        <is>
          <t>BOOK</t>
        </is>
      </c>
      <c r="BC1234" t="inlineStr">
        <is>
          <t>32285002457900</t>
        </is>
      </c>
      <c r="BD1234" t="inlineStr">
        <is>
          <t>893348136</t>
        </is>
      </c>
    </row>
    <row r="1235">
      <c r="A1235" t="inlineStr">
        <is>
          <t>No</t>
        </is>
      </c>
      <c r="B1235" t="inlineStr">
        <is>
          <t>DS485.U64 R54</t>
        </is>
      </c>
      <c r="C1235" t="inlineStr">
        <is>
          <t>0                      DS 0485000U  64                 R  54</t>
        </is>
      </c>
      <c r="D1235" t="inlineStr">
        <is>
          <t>Separatism among Indian Muslims : the politics of the United Provinces' Muslims, 1860-1923 / Francis Robinson.</t>
        </is>
      </c>
      <c r="F1235" t="inlineStr">
        <is>
          <t>No</t>
        </is>
      </c>
      <c r="G1235" t="inlineStr">
        <is>
          <t>1</t>
        </is>
      </c>
      <c r="H1235" t="inlineStr">
        <is>
          <t>No</t>
        </is>
      </c>
      <c r="I1235" t="inlineStr">
        <is>
          <t>No</t>
        </is>
      </c>
      <c r="J1235" t="inlineStr">
        <is>
          <t>0</t>
        </is>
      </c>
      <c r="K1235" t="inlineStr">
        <is>
          <t>Robinson, Francis.</t>
        </is>
      </c>
      <c r="L1235" t="inlineStr">
        <is>
          <t>London : Cambridge University Press, 1974.</t>
        </is>
      </c>
      <c r="M1235" t="inlineStr">
        <is>
          <t>1974</t>
        </is>
      </c>
      <c r="O1235" t="inlineStr">
        <is>
          <t>eng</t>
        </is>
      </c>
      <c r="P1235" t="inlineStr">
        <is>
          <t>enk</t>
        </is>
      </c>
      <c r="Q1235" t="inlineStr">
        <is>
          <t>Cambridge South Asian studies ; no. 16</t>
        </is>
      </c>
      <c r="R1235" t="inlineStr">
        <is>
          <t xml:space="preserve">DS </t>
        </is>
      </c>
      <c r="S1235" t="n">
        <v>1</v>
      </c>
      <c r="T1235" t="n">
        <v>1</v>
      </c>
      <c r="U1235" t="inlineStr">
        <is>
          <t>2002-11-25</t>
        </is>
      </c>
      <c r="V1235" t="inlineStr">
        <is>
          <t>2002-11-25</t>
        </is>
      </c>
      <c r="W1235" t="inlineStr">
        <is>
          <t>1997-03-10</t>
        </is>
      </c>
      <c r="X1235" t="inlineStr">
        <is>
          <t>1997-03-10</t>
        </is>
      </c>
      <c r="Y1235" t="n">
        <v>296</v>
      </c>
      <c r="Z1235" t="n">
        <v>214</v>
      </c>
      <c r="AA1235" t="n">
        <v>270</v>
      </c>
      <c r="AB1235" t="n">
        <v>2</v>
      </c>
      <c r="AC1235" t="n">
        <v>2</v>
      </c>
      <c r="AD1235" t="n">
        <v>12</v>
      </c>
      <c r="AE1235" t="n">
        <v>13</v>
      </c>
      <c r="AF1235" t="n">
        <v>3</v>
      </c>
      <c r="AG1235" t="n">
        <v>4</v>
      </c>
      <c r="AH1235" t="n">
        <v>5</v>
      </c>
      <c r="AI1235" t="n">
        <v>5</v>
      </c>
      <c r="AJ1235" t="n">
        <v>5</v>
      </c>
      <c r="AK1235" t="n">
        <v>6</v>
      </c>
      <c r="AL1235" t="n">
        <v>1</v>
      </c>
      <c r="AM1235" t="n">
        <v>1</v>
      </c>
      <c r="AN1235" t="n">
        <v>0</v>
      </c>
      <c r="AO1235" t="n">
        <v>0</v>
      </c>
      <c r="AP1235" t="inlineStr">
        <is>
          <t>No</t>
        </is>
      </c>
      <c r="AQ1235" t="inlineStr">
        <is>
          <t>No</t>
        </is>
      </c>
      <c r="AS1235">
        <f>HYPERLINK("https://creighton-primo.hosted.exlibrisgroup.com/primo-explore/search?tab=default_tab&amp;search_scope=EVERYTHING&amp;vid=01CRU&amp;lang=en_US&amp;offset=0&amp;query=any,contains,991003623029702656","Catalog Record")</f>
        <v/>
      </c>
      <c r="AT1235">
        <f>HYPERLINK("http://www.worldcat.org/oclc/1211762","WorldCat Record")</f>
        <v/>
      </c>
      <c r="AU1235" t="inlineStr">
        <is>
          <t>795760007:eng</t>
        </is>
      </c>
      <c r="AV1235" t="inlineStr">
        <is>
          <t>1211762</t>
        </is>
      </c>
      <c r="AW1235" t="inlineStr">
        <is>
          <t>991003623029702656</t>
        </is>
      </c>
      <c r="AX1235" t="inlineStr">
        <is>
          <t>991003623029702656</t>
        </is>
      </c>
      <c r="AY1235" t="inlineStr">
        <is>
          <t>2268343550002656</t>
        </is>
      </c>
      <c r="AZ1235" t="inlineStr">
        <is>
          <t>BOOK</t>
        </is>
      </c>
      <c r="BB1235" t="inlineStr">
        <is>
          <t>9780521204323</t>
        </is>
      </c>
      <c r="BC1235" t="inlineStr">
        <is>
          <t>32285002457934</t>
        </is>
      </c>
      <c r="BD1235" t="inlineStr">
        <is>
          <t>893692938</t>
        </is>
      </c>
    </row>
    <row r="1236">
      <c r="A1236" t="inlineStr">
        <is>
          <t>No</t>
        </is>
      </c>
      <c r="B1236" t="inlineStr">
        <is>
          <t>DS486.D3 H85 1965b</t>
        </is>
      </c>
      <c r="C1236" t="inlineStr">
        <is>
          <t>0                      DS 0486000D  3                  H  85          1965b</t>
        </is>
      </c>
      <c r="D1236" t="inlineStr">
        <is>
          <t>Delhi, Agra, Fatehpur Sikri / Martin Hürlimann.</t>
        </is>
      </c>
      <c r="F1236" t="inlineStr">
        <is>
          <t>No</t>
        </is>
      </c>
      <c r="G1236" t="inlineStr">
        <is>
          <t>1</t>
        </is>
      </c>
      <c r="H1236" t="inlineStr">
        <is>
          <t>No</t>
        </is>
      </c>
      <c r="I1236" t="inlineStr">
        <is>
          <t>No</t>
        </is>
      </c>
      <c r="J1236" t="inlineStr">
        <is>
          <t>0</t>
        </is>
      </c>
      <c r="K1236" t="inlineStr">
        <is>
          <t>Hürlimann, Martin, 1897-1984.</t>
        </is>
      </c>
      <c r="L1236" t="inlineStr">
        <is>
          <t>London : Thames and Hudson, [1965].</t>
        </is>
      </c>
      <c r="M1236" t="inlineStr">
        <is>
          <t>1965</t>
        </is>
      </c>
      <c r="O1236" t="inlineStr">
        <is>
          <t>eng</t>
        </is>
      </c>
      <c r="P1236" t="inlineStr">
        <is>
          <t>enk</t>
        </is>
      </c>
      <c r="R1236" t="inlineStr">
        <is>
          <t xml:space="preserve">DS </t>
        </is>
      </c>
      <c r="S1236" t="n">
        <v>1</v>
      </c>
      <c r="T1236" t="n">
        <v>1</v>
      </c>
      <c r="U1236" t="inlineStr">
        <is>
          <t>1992-01-13</t>
        </is>
      </c>
      <c r="V1236" t="inlineStr">
        <is>
          <t>1992-01-13</t>
        </is>
      </c>
      <c r="W1236" t="inlineStr">
        <is>
          <t>1990-10-09</t>
        </is>
      </c>
      <c r="X1236" t="inlineStr">
        <is>
          <t>1990-10-09</t>
        </is>
      </c>
      <c r="Y1236" t="n">
        <v>68</v>
      </c>
      <c r="Z1236" t="n">
        <v>26</v>
      </c>
      <c r="AA1236" t="n">
        <v>162</v>
      </c>
      <c r="AB1236" t="n">
        <v>1</v>
      </c>
      <c r="AC1236" t="n">
        <v>1</v>
      </c>
      <c r="AD1236" t="n">
        <v>0</v>
      </c>
      <c r="AE1236" t="n">
        <v>3</v>
      </c>
      <c r="AF1236" t="n">
        <v>0</v>
      </c>
      <c r="AG1236" t="n">
        <v>2</v>
      </c>
      <c r="AH1236" t="n">
        <v>0</v>
      </c>
      <c r="AI1236" t="n">
        <v>0</v>
      </c>
      <c r="AJ1236" t="n">
        <v>0</v>
      </c>
      <c r="AK1236" t="n">
        <v>1</v>
      </c>
      <c r="AL1236" t="n">
        <v>0</v>
      </c>
      <c r="AM1236" t="n">
        <v>0</v>
      </c>
      <c r="AN1236" t="n">
        <v>0</v>
      </c>
      <c r="AO1236" t="n">
        <v>0</v>
      </c>
      <c r="AP1236" t="inlineStr">
        <is>
          <t>No</t>
        </is>
      </c>
      <c r="AQ1236" t="inlineStr">
        <is>
          <t>No</t>
        </is>
      </c>
      <c r="AS1236">
        <f>HYPERLINK("https://creighton-primo.hosted.exlibrisgroup.com/primo-explore/search?tab=default_tab&amp;search_scope=EVERYTHING&amp;vid=01CRU&amp;lang=en_US&amp;offset=0&amp;query=any,contains,991005091889702656","Catalog Record")</f>
        <v/>
      </c>
      <c r="AT1236">
        <f>HYPERLINK("http://www.worldcat.org/oclc/7231521","WorldCat Record")</f>
        <v/>
      </c>
      <c r="AU1236" t="inlineStr">
        <is>
          <t>2220924:eng</t>
        </is>
      </c>
      <c r="AV1236" t="inlineStr">
        <is>
          <t>7231521</t>
        </is>
      </c>
      <c r="AW1236" t="inlineStr">
        <is>
          <t>991005091889702656</t>
        </is>
      </c>
      <c r="AX1236" t="inlineStr">
        <is>
          <t>991005091889702656</t>
        </is>
      </c>
      <c r="AY1236" t="inlineStr">
        <is>
          <t>2272064890002656</t>
        </is>
      </c>
      <c r="AZ1236" t="inlineStr">
        <is>
          <t>BOOK</t>
        </is>
      </c>
      <c r="BC1236" t="inlineStr">
        <is>
          <t>32285000336882</t>
        </is>
      </c>
      <c r="BD1236" t="inlineStr">
        <is>
          <t>893526880</t>
        </is>
      </c>
    </row>
    <row r="1237">
      <c r="A1237" t="inlineStr">
        <is>
          <t>No</t>
        </is>
      </c>
      <c r="B1237" t="inlineStr">
        <is>
          <t>DS486.D3 S58 1999</t>
        </is>
      </c>
      <c r="C1237" t="inlineStr">
        <is>
          <t>0                      DS 0486000D  3                  S  58          1999</t>
        </is>
      </c>
      <c r="D1237" t="inlineStr">
        <is>
          <t>Ancient Delhi / Upinder Singh.</t>
        </is>
      </c>
      <c r="F1237" t="inlineStr">
        <is>
          <t>No</t>
        </is>
      </c>
      <c r="G1237" t="inlineStr">
        <is>
          <t>1</t>
        </is>
      </c>
      <c r="H1237" t="inlineStr">
        <is>
          <t>No</t>
        </is>
      </c>
      <c r="I1237" t="inlineStr">
        <is>
          <t>No</t>
        </is>
      </c>
      <c r="J1237" t="inlineStr">
        <is>
          <t>0</t>
        </is>
      </c>
      <c r="K1237" t="inlineStr">
        <is>
          <t>Singh, Upinder.</t>
        </is>
      </c>
      <c r="L1237" t="inlineStr">
        <is>
          <t>New Delhi ; New York : Oxford University Press, 1999.</t>
        </is>
      </c>
      <c r="M1237" t="inlineStr">
        <is>
          <t>1999</t>
        </is>
      </c>
      <c r="O1237" t="inlineStr">
        <is>
          <t>eng</t>
        </is>
      </c>
      <c r="P1237" t="inlineStr">
        <is>
          <t xml:space="preserve">ii </t>
        </is>
      </c>
      <c r="R1237" t="inlineStr">
        <is>
          <t xml:space="preserve">DS </t>
        </is>
      </c>
      <c r="S1237" t="n">
        <v>3</v>
      </c>
      <c r="T1237" t="n">
        <v>3</v>
      </c>
      <c r="U1237" t="inlineStr">
        <is>
          <t>2002-02-22</t>
        </is>
      </c>
      <c r="V1237" t="inlineStr">
        <is>
          <t>2002-02-22</t>
        </is>
      </c>
      <c r="W1237" t="inlineStr">
        <is>
          <t>2002-01-09</t>
        </is>
      </c>
      <c r="X1237" t="inlineStr">
        <is>
          <t>2002-01-09</t>
        </is>
      </c>
      <c r="Y1237" t="n">
        <v>174</v>
      </c>
      <c r="Z1237" t="n">
        <v>134</v>
      </c>
      <c r="AA1237" t="n">
        <v>137</v>
      </c>
      <c r="AB1237" t="n">
        <v>2</v>
      </c>
      <c r="AC1237" t="n">
        <v>2</v>
      </c>
      <c r="AD1237" t="n">
        <v>7</v>
      </c>
      <c r="AE1237" t="n">
        <v>7</v>
      </c>
      <c r="AF1237" t="n">
        <v>2</v>
      </c>
      <c r="AG1237" t="n">
        <v>2</v>
      </c>
      <c r="AH1237" t="n">
        <v>2</v>
      </c>
      <c r="AI1237" t="n">
        <v>2</v>
      </c>
      <c r="AJ1237" t="n">
        <v>5</v>
      </c>
      <c r="AK1237" t="n">
        <v>5</v>
      </c>
      <c r="AL1237" t="n">
        <v>1</v>
      </c>
      <c r="AM1237" t="n">
        <v>1</v>
      </c>
      <c r="AN1237" t="n">
        <v>0</v>
      </c>
      <c r="AO1237" t="n">
        <v>0</v>
      </c>
      <c r="AP1237" t="inlineStr">
        <is>
          <t>No</t>
        </is>
      </c>
      <c r="AQ1237" t="inlineStr">
        <is>
          <t>Yes</t>
        </is>
      </c>
      <c r="AR1237">
        <f>HYPERLINK("http://catalog.hathitrust.org/Record/004092226","HathiTrust Record")</f>
        <v/>
      </c>
      <c r="AS1237">
        <f>HYPERLINK("https://creighton-primo.hosted.exlibrisgroup.com/primo-explore/search?tab=default_tab&amp;search_scope=EVERYTHING&amp;vid=01CRU&amp;lang=en_US&amp;offset=0&amp;query=any,contains,991003687929702656","Catalog Record")</f>
        <v/>
      </c>
      <c r="AT1237">
        <f>HYPERLINK("http://www.worldcat.org/oclc/44068157","WorldCat Record")</f>
        <v/>
      </c>
      <c r="AU1237" t="inlineStr">
        <is>
          <t>33292431:eng</t>
        </is>
      </c>
      <c r="AV1237" t="inlineStr">
        <is>
          <t>44068157</t>
        </is>
      </c>
      <c r="AW1237" t="inlineStr">
        <is>
          <t>991003687929702656</t>
        </is>
      </c>
      <c r="AX1237" t="inlineStr">
        <is>
          <t>991003687929702656</t>
        </is>
      </c>
      <c r="AY1237" t="inlineStr">
        <is>
          <t>2259129510002656</t>
        </is>
      </c>
      <c r="AZ1237" t="inlineStr">
        <is>
          <t>BOOK</t>
        </is>
      </c>
      <c r="BB1237" t="inlineStr">
        <is>
          <t>9780195649192</t>
        </is>
      </c>
      <c r="BC1237" t="inlineStr">
        <is>
          <t>32285004446158</t>
        </is>
      </c>
      <c r="BD1237" t="inlineStr">
        <is>
          <t>893881436</t>
        </is>
      </c>
    </row>
    <row r="1238">
      <c r="A1238" t="inlineStr">
        <is>
          <t>No</t>
        </is>
      </c>
      <c r="B1238" t="inlineStr">
        <is>
          <t>DS486.E8 D4 1954a</t>
        </is>
      </c>
      <c r="C1238" t="inlineStr">
        <is>
          <t>0                      DS 0486000E  8                  D  4           1954a</t>
        </is>
      </c>
      <c r="D1238" t="inlineStr">
        <is>
          <t>Alone to Everest.</t>
        </is>
      </c>
      <c r="F1238" t="inlineStr">
        <is>
          <t>No</t>
        </is>
      </c>
      <c r="G1238" t="inlineStr">
        <is>
          <t>1</t>
        </is>
      </c>
      <c r="H1238" t="inlineStr">
        <is>
          <t>No</t>
        </is>
      </c>
      <c r="I1238" t="inlineStr">
        <is>
          <t>No</t>
        </is>
      </c>
      <c r="J1238" t="inlineStr">
        <is>
          <t>0</t>
        </is>
      </c>
      <c r="K1238" t="inlineStr">
        <is>
          <t>Denman, Earl.</t>
        </is>
      </c>
      <c r="L1238" t="inlineStr">
        <is>
          <t>New York, Coward-McCann [1954]</t>
        </is>
      </c>
      <c r="M1238" t="inlineStr">
        <is>
          <t>1954</t>
        </is>
      </c>
      <c r="O1238" t="inlineStr">
        <is>
          <t>eng</t>
        </is>
      </c>
      <c r="P1238" t="inlineStr">
        <is>
          <t>nyu</t>
        </is>
      </c>
      <c r="R1238" t="inlineStr">
        <is>
          <t xml:space="preserve">DS </t>
        </is>
      </c>
      <c r="S1238" t="n">
        <v>3</v>
      </c>
      <c r="T1238" t="n">
        <v>3</v>
      </c>
      <c r="U1238" t="inlineStr">
        <is>
          <t>1999-10-21</t>
        </is>
      </c>
      <c r="V1238" t="inlineStr">
        <is>
          <t>1999-10-21</t>
        </is>
      </c>
      <c r="W1238" t="inlineStr">
        <is>
          <t>1997-03-10</t>
        </is>
      </c>
      <c r="X1238" t="inlineStr">
        <is>
          <t>1997-03-10</t>
        </is>
      </c>
      <c r="Y1238" t="n">
        <v>116</v>
      </c>
      <c r="Z1238" t="n">
        <v>109</v>
      </c>
      <c r="AA1238" t="n">
        <v>161</v>
      </c>
      <c r="AB1238" t="n">
        <v>1</v>
      </c>
      <c r="AC1238" t="n">
        <v>2</v>
      </c>
      <c r="AD1238" t="n">
        <v>2</v>
      </c>
      <c r="AE1238" t="n">
        <v>4</v>
      </c>
      <c r="AF1238" t="n">
        <v>0</v>
      </c>
      <c r="AG1238" t="n">
        <v>1</v>
      </c>
      <c r="AH1238" t="n">
        <v>1</v>
      </c>
      <c r="AI1238" t="n">
        <v>2</v>
      </c>
      <c r="AJ1238" t="n">
        <v>1</v>
      </c>
      <c r="AK1238" t="n">
        <v>1</v>
      </c>
      <c r="AL1238" t="n">
        <v>0</v>
      </c>
      <c r="AM1238" t="n">
        <v>1</v>
      </c>
      <c r="AN1238" t="n">
        <v>0</v>
      </c>
      <c r="AO1238" t="n">
        <v>0</v>
      </c>
      <c r="AP1238" t="inlineStr">
        <is>
          <t>No</t>
        </is>
      </c>
      <c r="AQ1238" t="inlineStr">
        <is>
          <t>Yes</t>
        </is>
      </c>
      <c r="AR1238">
        <f>HYPERLINK("http://catalog.hathitrust.org/Record/100820821","HathiTrust Record")</f>
        <v/>
      </c>
      <c r="AS1238">
        <f>HYPERLINK("https://creighton-primo.hosted.exlibrisgroup.com/primo-explore/search?tab=default_tab&amp;search_scope=EVERYTHING&amp;vid=01CRU&amp;lang=en_US&amp;offset=0&amp;query=any,contains,991003863249702656","Catalog Record")</f>
        <v/>
      </c>
      <c r="AT1238">
        <f>HYPERLINK("http://www.worldcat.org/oclc/1672094","WorldCat Record")</f>
        <v/>
      </c>
      <c r="AU1238" t="inlineStr">
        <is>
          <t>2502136:eng</t>
        </is>
      </c>
      <c r="AV1238" t="inlineStr">
        <is>
          <t>1672094</t>
        </is>
      </c>
      <c r="AW1238" t="inlineStr">
        <is>
          <t>991003863249702656</t>
        </is>
      </c>
      <c r="AX1238" t="inlineStr">
        <is>
          <t>991003863249702656</t>
        </is>
      </c>
      <c r="AY1238" t="inlineStr">
        <is>
          <t>2266707860002656</t>
        </is>
      </c>
      <c r="AZ1238" t="inlineStr">
        <is>
          <t>BOOK</t>
        </is>
      </c>
      <c r="BC1238" t="inlineStr">
        <is>
          <t>32285002457967</t>
        </is>
      </c>
      <c r="BD1238" t="inlineStr">
        <is>
          <t>893324631</t>
        </is>
      </c>
    </row>
    <row r="1239">
      <c r="A1239" t="inlineStr">
        <is>
          <t>No</t>
        </is>
      </c>
      <c r="B1239" t="inlineStr">
        <is>
          <t>DS486.E8 N57 1927b</t>
        </is>
      </c>
      <c r="C1239" t="inlineStr">
        <is>
          <t>0                      DS 0486000E  8                  N  57          1927b</t>
        </is>
      </c>
      <c r="D1239" t="inlineStr">
        <is>
          <t>The story of Everest, by Captain John Noel ... illustrated from photographs by the author.</t>
        </is>
      </c>
      <c r="F1239" t="inlineStr">
        <is>
          <t>No</t>
        </is>
      </c>
      <c r="G1239" t="inlineStr">
        <is>
          <t>1</t>
        </is>
      </c>
      <c r="H1239" t="inlineStr">
        <is>
          <t>No</t>
        </is>
      </c>
      <c r="I1239" t="inlineStr">
        <is>
          <t>No</t>
        </is>
      </c>
      <c r="J1239" t="inlineStr">
        <is>
          <t>0</t>
        </is>
      </c>
      <c r="K1239" t="inlineStr">
        <is>
          <t>Noel, J. B. L. (John Baptist Lucius), 1890-1989.</t>
        </is>
      </c>
      <c r="L1239" t="inlineStr">
        <is>
          <t>New York, Blue Ribbon Books, c1927, 1931 printing.</t>
        </is>
      </c>
      <c r="M1239" t="inlineStr">
        <is>
          <t>1931</t>
        </is>
      </c>
      <c r="O1239" t="inlineStr">
        <is>
          <t>eng</t>
        </is>
      </c>
      <c r="P1239" t="inlineStr">
        <is>
          <t>___</t>
        </is>
      </c>
      <c r="R1239" t="inlineStr">
        <is>
          <t xml:space="preserve">DS </t>
        </is>
      </c>
      <c r="S1239" t="n">
        <v>5</v>
      </c>
      <c r="T1239" t="n">
        <v>5</v>
      </c>
      <c r="U1239" t="inlineStr">
        <is>
          <t>1999-10-21</t>
        </is>
      </c>
      <c r="V1239" t="inlineStr">
        <is>
          <t>1999-10-21</t>
        </is>
      </c>
      <c r="W1239" t="inlineStr">
        <is>
          <t>1990-10-09</t>
        </is>
      </c>
      <c r="X1239" t="inlineStr">
        <is>
          <t>1990-10-09</t>
        </is>
      </c>
      <c r="Y1239" t="n">
        <v>66</v>
      </c>
      <c r="Z1239" t="n">
        <v>60</v>
      </c>
      <c r="AA1239" t="n">
        <v>226</v>
      </c>
      <c r="AB1239" t="n">
        <v>1</v>
      </c>
      <c r="AC1239" t="n">
        <v>3</v>
      </c>
      <c r="AD1239" t="n">
        <v>1</v>
      </c>
      <c r="AE1239" t="n">
        <v>10</v>
      </c>
      <c r="AF1239" t="n">
        <v>1</v>
      </c>
      <c r="AG1239" t="n">
        <v>3</v>
      </c>
      <c r="AH1239" t="n">
        <v>0</v>
      </c>
      <c r="AI1239" t="n">
        <v>3</v>
      </c>
      <c r="AJ1239" t="n">
        <v>0</v>
      </c>
      <c r="AK1239" t="n">
        <v>3</v>
      </c>
      <c r="AL1239" t="n">
        <v>0</v>
      </c>
      <c r="AM1239" t="n">
        <v>2</v>
      </c>
      <c r="AN1239" t="n">
        <v>0</v>
      </c>
      <c r="AO1239" t="n">
        <v>0</v>
      </c>
      <c r="AP1239" t="inlineStr">
        <is>
          <t>No</t>
        </is>
      </c>
      <c r="AQ1239" t="inlineStr">
        <is>
          <t>No</t>
        </is>
      </c>
      <c r="AR1239">
        <f>HYPERLINK("http://catalog.hathitrust.org/Record/001869620","HathiTrust Record")</f>
        <v/>
      </c>
      <c r="AS1239">
        <f>HYPERLINK("https://creighton-primo.hosted.exlibrisgroup.com/primo-explore/search?tab=default_tab&amp;search_scope=EVERYTHING&amp;vid=01CRU&amp;lang=en_US&amp;offset=0&amp;query=any,contains,991003099869702656","Catalog Record")</f>
        <v/>
      </c>
      <c r="AT1239">
        <f>HYPERLINK("http://www.worldcat.org/oclc/649119","WorldCat Record")</f>
        <v/>
      </c>
      <c r="AU1239" t="inlineStr">
        <is>
          <t>768109610:eng</t>
        </is>
      </c>
      <c r="AV1239" t="inlineStr">
        <is>
          <t>649119</t>
        </is>
      </c>
      <c r="AW1239" t="inlineStr">
        <is>
          <t>991003099869702656</t>
        </is>
      </c>
      <c r="AX1239" t="inlineStr">
        <is>
          <t>991003099869702656</t>
        </is>
      </c>
      <c r="AY1239" t="inlineStr">
        <is>
          <t>2259072080002656</t>
        </is>
      </c>
      <c r="AZ1239" t="inlineStr">
        <is>
          <t>BOOK</t>
        </is>
      </c>
      <c r="BC1239" t="inlineStr">
        <is>
          <t>32285000336890</t>
        </is>
      </c>
      <c r="BD1239" t="inlineStr">
        <is>
          <t>893717324</t>
        </is>
      </c>
    </row>
    <row r="1240">
      <c r="A1240" t="inlineStr">
        <is>
          <t>No</t>
        </is>
      </c>
      <c r="B1240" t="inlineStr">
        <is>
          <t>DS486.G63 B4</t>
        </is>
      </c>
      <c r="C1240" t="inlineStr">
        <is>
          <t>0                      DS 0486000G  63                 B  4</t>
        </is>
      </c>
      <c r="D1240" t="inlineStr">
        <is>
          <t>Gopalpur; a south Indian village.</t>
        </is>
      </c>
      <c r="F1240" t="inlineStr">
        <is>
          <t>No</t>
        </is>
      </c>
      <c r="G1240" t="inlineStr">
        <is>
          <t>1</t>
        </is>
      </c>
      <c r="H1240" t="inlineStr">
        <is>
          <t>No</t>
        </is>
      </c>
      <c r="I1240" t="inlineStr">
        <is>
          <t>No</t>
        </is>
      </c>
      <c r="J1240" t="inlineStr">
        <is>
          <t>0</t>
        </is>
      </c>
      <c r="K1240" t="inlineStr">
        <is>
          <t>Beals, Alan R.</t>
        </is>
      </c>
      <c r="L1240" t="inlineStr">
        <is>
          <t>New York, Holt, Rinehart and Winston [1962]</t>
        </is>
      </c>
      <c r="M1240" t="inlineStr">
        <is>
          <t>1962</t>
        </is>
      </c>
      <c r="O1240" t="inlineStr">
        <is>
          <t>eng</t>
        </is>
      </c>
      <c r="P1240" t="inlineStr">
        <is>
          <t>nyu</t>
        </is>
      </c>
      <c r="Q1240" t="inlineStr">
        <is>
          <t>Case studies in cultural anthropology</t>
        </is>
      </c>
      <c r="R1240" t="inlineStr">
        <is>
          <t xml:space="preserve">DS </t>
        </is>
      </c>
      <c r="S1240" t="n">
        <v>4</v>
      </c>
      <c r="T1240" t="n">
        <v>4</v>
      </c>
      <c r="U1240" t="inlineStr">
        <is>
          <t>2000-08-30</t>
        </is>
      </c>
      <c r="V1240" t="inlineStr">
        <is>
          <t>2000-08-30</t>
        </is>
      </c>
      <c r="W1240" t="inlineStr">
        <is>
          <t>1997-03-10</t>
        </is>
      </c>
      <c r="X1240" t="inlineStr">
        <is>
          <t>1997-03-10</t>
        </is>
      </c>
      <c r="Y1240" t="n">
        <v>1059</v>
      </c>
      <c r="Z1240" t="n">
        <v>906</v>
      </c>
      <c r="AA1240" t="n">
        <v>1038</v>
      </c>
      <c r="AB1240" t="n">
        <v>7</v>
      </c>
      <c r="AC1240" t="n">
        <v>9</v>
      </c>
      <c r="AD1240" t="n">
        <v>40</v>
      </c>
      <c r="AE1240" t="n">
        <v>47</v>
      </c>
      <c r="AF1240" t="n">
        <v>18</v>
      </c>
      <c r="AG1240" t="n">
        <v>22</v>
      </c>
      <c r="AH1240" t="n">
        <v>6</v>
      </c>
      <c r="AI1240" t="n">
        <v>6</v>
      </c>
      <c r="AJ1240" t="n">
        <v>19</v>
      </c>
      <c r="AK1240" t="n">
        <v>21</v>
      </c>
      <c r="AL1240" t="n">
        <v>6</v>
      </c>
      <c r="AM1240" t="n">
        <v>8</v>
      </c>
      <c r="AN1240" t="n">
        <v>0</v>
      </c>
      <c r="AO1240" t="n">
        <v>0</v>
      </c>
      <c r="AP1240" t="inlineStr">
        <is>
          <t>No</t>
        </is>
      </c>
      <c r="AQ1240" t="inlineStr">
        <is>
          <t>Yes</t>
        </is>
      </c>
      <c r="AR1240">
        <f>HYPERLINK("http://catalog.hathitrust.org/Record/001254453","HathiTrust Record")</f>
        <v/>
      </c>
      <c r="AS1240">
        <f>HYPERLINK("https://creighton-primo.hosted.exlibrisgroup.com/primo-explore/search?tab=default_tab&amp;search_scope=EVERYTHING&amp;vid=01CRU&amp;lang=en_US&amp;offset=0&amp;query=any,contains,991001021389702656","Catalog Record")</f>
        <v/>
      </c>
      <c r="AT1240">
        <f>HYPERLINK("http://www.worldcat.org/oclc/173759","WorldCat Record")</f>
        <v/>
      </c>
      <c r="AU1240" t="inlineStr">
        <is>
          <t>17879298:eng</t>
        </is>
      </c>
      <c r="AV1240" t="inlineStr">
        <is>
          <t>173759</t>
        </is>
      </c>
      <c r="AW1240" t="inlineStr">
        <is>
          <t>991001021389702656</t>
        </is>
      </c>
      <c r="AX1240" t="inlineStr">
        <is>
          <t>991001021389702656</t>
        </is>
      </c>
      <c r="AY1240" t="inlineStr">
        <is>
          <t>2268411580002656</t>
        </is>
      </c>
      <c r="AZ1240" t="inlineStr">
        <is>
          <t>BOOK</t>
        </is>
      </c>
      <c r="BC1240" t="inlineStr">
        <is>
          <t>32285002457975</t>
        </is>
      </c>
      <c r="BD1240" t="inlineStr">
        <is>
          <t>893778481</t>
        </is>
      </c>
    </row>
    <row r="1241">
      <c r="A1241" t="inlineStr">
        <is>
          <t>No</t>
        </is>
      </c>
      <c r="B1241" t="inlineStr">
        <is>
          <t>DS486.H84 A98 1992</t>
        </is>
      </c>
      <c r="C1241" t="inlineStr">
        <is>
          <t>0                      DS 0486000H  84                 A  98          1992</t>
        </is>
      </c>
      <c r="D1241" t="inlineStr">
        <is>
          <t>City of legends : the story of Hyderabad / Ian Austin.</t>
        </is>
      </c>
      <c r="F1241" t="inlineStr">
        <is>
          <t>No</t>
        </is>
      </c>
      <c r="G1241" t="inlineStr">
        <is>
          <t>1</t>
        </is>
      </c>
      <c r="H1241" t="inlineStr">
        <is>
          <t>No</t>
        </is>
      </c>
      <c r="I1241" t="inlineStr">
        <is>
          <t>No</t>
        </is>
      </c>
      <c r="J1241" t="inlineStr">
        <is>
          <t>0</t>
        </is>
      </c>
      <c r="K1241" t="inlineStr">
        <is>
          <t>Austin, Ian.</t>
        </is>
      </c>
      <c r="L1241" t="inlineStr">
        <is>
          <t>New Delhi : VIKING : Penguin Books India, c1992.</t>
        </is>
      </c>
      <c r="M1241" t="inlineStr">
        <is>
          <t>1992</t>
        </is>
      </c>
      <c r="O1241" t="inlineStr">
        <is>
          <t>eng</t>
        </is>
      </c>
      <c r="P1241" t="inlineStr">
        <is>
          <t xml:space="preserve">ii </t>
        </is>
      </c>
      <c r="R1241" t="inlineStr">
        <is>
          <t xml:space="preserve">DS </t>
        </is>
      </c>
      <c r="S1241" t="n">
        <v>2</v>
      </c>
      <c r="T1241" t="n">
        <v>2</v>
      </c>
      <c r="U1241" t="inlineStr">
        <is>
          <t>1998-10-27</t>
        </is>
      </c>
      <c r="V1241" t="inlineStr">
        <is>
          <t>1998-10-27</t>
        </is>
      </c>
      <c r="W1241" t="inlineStr">
        <is>
          <t>1993-04-05</t>
        </is>
      </c>
      <c r="X1241" t="inlineStr">
        <is>
          <t>1993-04-05</t>
        </is>
      </c>
      <c r="Y1241" t="n">
        <v>32</v>
      </c>
      <c r="Z1241" t="n">
        <v>28</v>
      </c>
      <c r="AA1241" t="n">
        <v>30</v>
      </c>
      <c r="AB1241" t="n">
        <v>1</v>
      </c>
      <c r="AC1241" t="n">
        <v>1</v>
      </c>
      <c r="AD1241" t="n">
        <v>0</v>
      </c>
      <c r="AE1241" t="n">
        <v>0</v>
      </c>
      <c r="AF1241" t="n">
        <v>0</v>
      </c>
      <c r="AG1241" t="n">
        <v>0</v>
      </c>
      <c r="AH1241" t="n">
        <v>0</v>
      </c>
      <c r="AI1241" t="n">
        <v>0</v>
      </c>
      <c r="AJ1241" t="n">
        <v>0</v>
      </c>
      <c r="AK1241" t="n">
        <v>0</v>
      </c>
      <c r="AL1241" t="n">
        <v>0</v>
      </c>
      <c r="AM1241" t="n">
        <v>0</v>
      </c>
      <c r="AN1241" t="n">
        <v>0</v>
      </c>
      <c r="AO1241" t="n">
        <v>0</v>
      </c>
      <c r="AP1241" t="inlineStr">
        <is>
          <t>No</t>
        </is>
      </c>
      <c r="AQ1241" t="inlineStr">
        <is>
          <t>Yes</t>
        </is>
      </c>
      <c r="AR1241">
        <f>HYPERLINK("http://catalog.hathitrust.org/Record/002886094","HathiTrust Record")</f>
        <v/>
      </c>
      <c r="AS1241">
        <f>HYPERLINK("https://creighton-primo.hosted.exlibrisgroup.com/primo-explore/search?tab=default_tab&amp;search_scope=EVERYTHING&amp;vid=01CRU&amp;lang=en_US&amp;offset=0&amp;query=any,contains,991002163159702656","Catalog Record")</f>
        <v/>
      </c>
      <c r="AT1241">
        <f>HYPERLINK("http://www.worldcat.org/oclc/27820667","WorldCat Record")</f>
        <v/>
      </c>
      <c r="AU1241" t="inlineStr">
        <is>
          <t>30363713:eng</t>
        </is>
      </c>
      <c r="AV1241" t="inlineStr">
        <is>
          <t>27820667</t>
        </is>
      </c>
      <c r="AW1241" t="inlineStr">
        <is>
          <t>991002163159702656</t>
        </is>
      </c>
      <c r="AX1241" t="inlineStr">
        <is>
          <t>991002163159702656</t>
        </is>
      </c>
      <c r="AY1241" t="inlineStr">
        <is>
          <t>2269602990002656</t>
        </is>
      </c>
      <c r="AZ1241" t="inlineStr">
        <is>
          <t>BOOK</t>
        </is>
      </c>
      <c r="BB1241" t="inlineStr">
        <is>
          <t>9780670847242</t>
        </is>
      </c>
      <c r="BC1241" t="inlineStr">
        <is>
          <t>32285000989847</t>
        </is>
      </c>
      <c r="BD1241" t="inlineStr">
        <is>
          <t>893250890</t>
        </is>
      </c>
    </row>
    <row r="1242">
      <c r="A1242" t="inlineStr">
        <is>
          <t>No</t>
        </is>
      </c>
      <c r="B1242" t="inlineStr">
        <is>
          <t>DS489.5 .L78 1966a</t>
        </is>
      </c>
      <c r="C1242" t="inlineStr">
        <is>
          <t>0                      DS 0489500L  78          1966a</t>
        </is>
      </c>
      <c r="D1242" t="inlineStr">
        <is>
          <t>The modern history of Ceylon [by] E. F. C. Ludowyk.</t>
        </is>
      </c>
      <c r="F1242" t="inlineStr">
        <is>
          <t>No</t>
        </is>
      </c>
      <c r="G1242" t="inlineStr">
        <is>
          <t>1</t>
        </is>
      </c>
      <c r="H1242" t="inlineStr">
        <is>
          <t>No</t>
        </is>
      </c>
      <c r="I1242" t="inlineStr">
        <is>
          <t>No</t>
        </is>
      </c>
      <c r="J1242" t="inlineStr">
        <is>
          <t>0</t>
        </is>
      </c>
      <c r="K1242" t="inlineStr">
        <is>
          <t>Ludowyk, E. F. C. (Evelyn Frederick Charles), 1906-1985.</t>
        </is>
      </c>
      <c r="L1242" t="inlineStr">
        <is>
          <t>New York, Praeger [1966]</t>
        </is>
      </c>
      <c r="M1242" t="inlineStr">
        <is>
          <t>1966</t>
        </is>
      </c>
      <c r="O1242" t="inlineStr">
        <is>
          <t>eng</t>
        </is>
      </c>
      <c r="P1242" t="inlineStr">
        <is>
          <t>nyu</t>
        </is>
      </c>
      <c r="Q1242" t="inlineStr">
        <is>
          <t>The Praeger Asia-Africa series</t>
        </is>
      </c>
      <c r="R1242" t="inlineStr">
        <is>
          <t xml:space="preserve">DS </t>
        </is>
      </c>
      <c r="S1242" t="n">
        <v>1</v>
      </c>
      <c r="T1242" t="n">
        <v>1</v>
      </c>
      <c r="U1242" t="inlineStr">
        <is>
          <t>1998-11-19</t>
        </is>
      </c>
      <c r="V1242" t="inlineStr">
        <is>
          <t>1998-11-19</t>
        </is>
      </c>
      <c r="W1242" t="inlineStr">
        <is>
          <t>1997-03-10</t>
        </is>
      </c>
      <c r="X1242" t="inlineStr">
        <is>
          <t>1997-03-10</t>
        </is>
      </c>
      <c r="Y1242" t="n">
        <v>545</v>
      </c>
      <c r="Z1242" t="n">
        <v>515</v>
      </c>
      <c r="AA1242" t="n">
        <v>568</v>
      </c>
      <c r="AB1242" t="n">
        <v>4</v>
      </c>
      <c r="AC1242" t="n">
        <v>4</v>
      </c>
      <c r="AD1242" t="n">
        <v>18</v>
      </c>
      <c r="AE1242" t="n">
        <v>20</v>
      </c>
      <c r="AF1242" t="n">
        <v>7</v>
      </c>
      <c r="AG1242" t="n">
        <v>7</v>
      </c>
      <c r="AH1242" t="n">
        <v>3</v>
      </c>
      <c r="AI1242" t="n">
        <v>3</v>
      </c>
      <c r="AJ1242" t="n">
        <v>8</v>
      </c>
      <c r="AK1242" t="n">
        <v>10</v>
      </c>
      <c r="AL1242" t="n">
        <v>3</v>
      </c>
      <c r="AM1242" t="n">
        <v>3</v>
      </c>
      <c r="AN1242" t="n">
        <v>0</v>
      </c>
      <c r="AO1242" t="n">
        <v>0</v>
      </c>
      <c r="AP1242" t="inlineStr">
        <is>
          <t>No</t>
        </is>
      </c>
      <c r="AQ1242" t="inlineStr">
        <is>
          <t>No</t>
        </is>
      </c>
      <c r="AS1242">
        <f>HYPERLINK("https://creighton-primo.hosted.exlibrisgroup.com/primo-explore/search?tab=default_tab&amp;search_scope=EVERYTHING&amp;vid=01CRU&amp;lang=en_US&amp;offset=0&amp;query=any,contains,991001041479702656","Catalog Record")</f>
        <v/>
      </c>
      <c r="AT1242">
        <f>HYPERLINK("http://www.worldcat.org/oclc/175777","WorldCat Record")</f>
        <v/>
      </c>
      <c r="AU1242" t="inlineStr">
        <is>
          <t>194815621:eng</t>
        </is>
      </c>
      <c r="AV1242" t="inlineStr">
        <is>
          <t>175777</t>
        </is>
      </c>
      <c r="AW1242" t="inlineStr">
        <is>
          <t>991001041479702656</t>
        </is>
      </c>
      <c r="AX1242" t="inlineStr">
        <is>
          <t>991001041479702656</t>
        </is>
      </c>
      <c r="AY1242" t="inlineStr">
        <is>
          <t>2265193010002656</t>
        </is>
      </c>
      <c r="AZ1242" t="inlineStr">
        <is>
          <t>BOOK</t>
        </is>
      </c>
      <c r="BC1242" t="inlineStr">
        <is>
          <t>32285002458056</t>
        </is>
      </c>
      <c r="BD1242" t="inlineStr">
        <is>
          <t>893225562</t>
        </is>
      </c>
    </row>
    <row r="1243">
      <c r="A1243" t="inlineStr">
        <is>
          <t>No</t>
        </is>
      </c>
      <c r="B1243" t="inlineStr">
        <is>
          <t>DS489.8 .H67</t>
        </is>
      </c>
      <c r="C1243" t="inlineStr">
        <is>
          <t>0                      DS 0489800H  67</t>
        </is>
      </c>
      <c r="D1243" t="inlineStr">
        <is>
          <t>Coup theories and officers' motives : Sri Lanka in comparative perspective / Donald L. Horowitz.</t>
        </is>
      </c>
      <c r="F1243" t="inlineStr">
        <is>
          <t>No</t>
        </is>
      </c>
      <c r="G1243" t="inlineStr">
        <is>
          <t>1</t>
        </is>
      </c>
      <c r="H1243" t="inlineStr">
        <is>
          <t>No</t>
        </is>
      </c>
      <c r="I1243" t="inlineStr">
        <is>
          <t>No</t>
        </is>
      </c>
      <c r="J1243" t="inlineStr">
        <is>
          <t>0</t>
        </is>
      </c>
      <c r="K1243" t="inlineStr">
        <is>
          <t>Horowitz, Donald L.</t>
        </is>
      </c>
      <c r="L1243" t="inlineStr">
        <is>
          <t>Princeton, N.J. : Princeton University Press, c1980.</t>
        </is>
      </c>
      <c r="M1243" t="inlineStr">
        <is>
          <t>1980</t>
        </is>
      </c>
      <c r="O1243" t="inlineStr">
        <is>
          <t>eng</t>
        </is>
      </c>
      <c r="P1243" t="inlineStr">
        <is>
          <t>nju</t>
        </is>
      </c>
      <c r="R1243" t="inlineStr">
        <is>
          <t xml:space="preserve">DS </t>
        </is>
      </c>
      <c r="S1243" t="n">
        <v>3</v>
      </c>
      <c r="T1243" t="n">
        <v>3</v>
      </c>
      <c r="U1243" t="inlineStr">
        <is>
          <t>2004-11-17</t>
        </is>
      </c>
      <c r="V1243" t="inlineStr">
        <is>
          <t>2004-11-17</t>
        </is>
      </c>
      <c r="W1243" t="inlineStr">
        <is>
          <t>1990-05-01</t>
        </is>
      </c>
      <c r="X1243" t="inlineStr">
        <is>
          <t>1990-05-01</t>
        </is>
      </c>
      <c r="Y1243" t="n">
        <v>401</v>
      </c>
      <c r="Z1243" t="n">
        <v>296</v>
      </c>
      <c r="AA1243" t="n">
        <v>543</v>
      </c>
      <c r="AB1243" t="n">
        <v>4</v>
      </c>
      <c r="AC1243" t="n">
        <v>6</v>
      </c>
      <c r="AD1243" t="n">
        <v>10</v>
      </c>
      <c r="AE1243" t="n">
        <v>23</v>
      </c>
      <c r="AF1243" t="n">
        <v>0</v>
      </c>
      <c r="AG1243" t="n">
        <v>8</v>
      </c>
      <c r="AH1243" t="n">
        <v>3</v>
      </c>
      <c r="AI1243" t="n">
        <v>7</v>
      </c>
      <c r="AJ1243" t="n">
        <v>6</v>
      </c>
      <c r="AK1243" t="n">
        <v>10</v>
      </c>
      <c r="AL1243" t="n">
        <v>3</v>
      </c>
      <c r="AM1243" t="n">
        <v>4</v>
      </c>
      <c r="AN1243" t="n">
        <v>0</v>
      </c>
      <c r="AO1243" t="n">
        <v>0</v>
      </c>
      <c r="AP1243" t="inlineStr">
        <is>
          <t>No</t>
        </is>
      </c>
      <c r="AQ1243" t="inlineStr">
        <is>
          <t>No</t>
        </is>
      </c>
      <c r="AS1243">
        <f>HYPERLINK("https://creighton-primo.hosted.exlibrisgroup.com/primo-explore/search?tab=default_tab&amp;search_scope=EVERYTHING&amp;vid=01CRU&amp;lang=en_US&amp;offset=0&amp;query=any,contains,991004985939702656","Catalog Record")</f>
        <v/>
      </c>
      <c r="AT1243">
        <f>HYPERLINK("http://www.worldcat.org/oclc/6448310","WorldCat Record")</f>
        <v/>
      </c>
      <c r="AU1243" t="inlineStr">
        <is>
          <t>865276174:eng</t>
        </is>
      </c>
      <c r="AV1243" t="inlineStr">
        <is>
          <t>6448310</t>
        </is>
      </c>
      <c r="AW1243" t="inlineStr">
        <is>
          <t>991004985939702656</t>
        </is>
      </c>
      <c r="AX1243" t="inlineStr">
        <is>
          <t>991004985939702656</t>
        </is>
      </c>
      <c r="AY1243" t="inlineStr">
        <is>
          <t>2269764410002656</t>
        </is>
      </c>
      <c r="AZ1243" t="inlineStr">
        <is>
          <t>BOOK</t>
        </is>
      </c>
      <c r="BB1243" t="inlineStr">
        <is>
          <t>9780691021997</t>
        </is>
      </c>
      <c r="BC1243" t="inlineStr">
        <is>
          <t>32285000145036</t>
        </is>
      </c>
      <c r="BD1243" t="inlineStr">
        <is>
          <t>893326015</t>
        </is>
      </c>
    </row>
    <row r="1244">
      <c r="A1244" t="inlineStr">
        <is>
          <t>No</t>
        </is>
      </c>
      <c r="B1244" t="inlineStr">
        <is>
          <t>DS489.8 .T34 1991</t>
        </is>
      </c>
      <c r="C1244" t="inlineStr">
        <is>
          <t>0                      DS 0489800T  34          1991</t>
        </is>
      </c>
      <c r="D1244" t="inlineStr">
        <is>
          <t>Sri Lanka : ethnic fratricide and the dismantling of democracy / S.J. Tambiah.</t>
        </is>
      </c>
      <c r="F1244" t="inlineStr">
        <is>
          <t>No</t>
        </is>
      </c>
      <c r="G1244" t="inlineStr">
        <is>
          <t>1</t>
        </is>
      </c>
      <c r="H1244" t="inlineStr">
        <is>
          <t>No</t>
        </is>
      </c>
      <c r="I1244" t="inlineStr">
        <is>
          <t>No</t>
        </is>
      </c>
      <c r="J1244" t="inlineStr">
        <is>
          <t>0</t>
        </is>
      </c>
      <c r="K1244" t="inlineStr">
        <is>
          <t>Tambiah, Stanley Jeyaraja, 1929-2014.</t>
        </is>
      </c>
      <c r="L1244" t="inlineStr">
        <is>
          <t>Chicago : University of Chicago Press, 1991, c1986.</t>
        </is>
      </c>
      <c r="M1244" t="inlineStr">
        <is>
          <t>1991</t>
        </is>
      </c>
      <c r="N1244" t="inlineStr">
        <is>
          <t>Paperback ed.</t>
        </is>
      </c>
      <c r="O1244" t="inlineStr">
        <is>
          <t>eng</t>
        </is>
      </c>
      <c r="P1244" t="inlineStr">
        <is>
          <t>ilu</t>
        </is>
      </c>
      <c r="R1244" t="inlineStr">
        <is>
          <t xml:space="preserve">DS </t>
        </is>
      </c>
      <c r="S1244" t="n">
        <v>14</v>
      </c>
      <c r="T1244" t="n">
        <v>14</v>
      </c>
      <c r="U1244" t="inlineStr">
        <is>
          <t>2007-01-31</t>
        </is>
      </c>
      <c r="V1244" t="inlineStr">
        <is>
          <t>2007-01-31</t>
        </is>
      </c>
      <c r="W1244" t="inlineStr">
        <is>
          <t>1992-04-08</t>
        </is>
      </c>
      <c r="X1244" t="inlineStr">
        <is>
          <t>1992-04-08</t>
        </is>
      </c>
      <c r="Y1244" t="n">
        <v>508</v>
      </c>
      <c r="Z1244" t="n">
        <v>383</v>
      </c>
      <c r="AA1244" t="n">
        <v>396</v>
      </c>
      <c r="AB1244" t="n">
        <v>2</v>
      </c>
      <c r="AC1244" t="n">
        <v>2</v>
      </c>
      <c r="AD1244" t="n">
        <v>13</v>
      </c>
      <c r="AE1244" t="n">
        <v>13</v>
      </c>
      <c r="AF1244" t="n">
        <v>1</v>
      </c>
      <c r="AG1244" t="n">
        <v>1</v>
      </c>
      <c r="AH1244" t="n">
        <v>5</v>
      </c>
      <c r="AI1244" t="n">
        <v>5</v>
      </c>
      <c r="AJ1244" t="n">
        <v>9</v>
      </c>
      <c r="AK1244" t="n">
        <v>9</v>
      </c>
      <c r="AL1244" t="n">
        <v>1</v>
      </c>
      <c r="AM1244" t="n">
        <v>1</v>
      </c>
      <c r="AN1244" t="n">
        <v>0</v>
      </c>
      <c r="AO1244" t="n">
        <v>0</v>
      </c>
      <c r="AP1244" t="inlineStr">
        <is>
          <t>No</t>
        </is>
      </c>
      <c r="AQ1244" t="inlineStr">
        <is>
          <t>No</t>
        </is>
      </c>
      <c r="AS1244">
        <f>HYPERLINK("https://creighton-primo.hosted.exlibrisgroup.com/primo-explore/search?tab=default_tab&amp;search_scope=EVERYTHING&amp;vid=01CRU&amp;lang=en_US&amp;offset=0&amp;query=any,contains,991000741169702656","Catalog Record")</f>
        <v/>
      </c>
      <c r="AT1244">
        <f>HYPERLINK("http://www.worldcat.org/oclc/12808514","WorldCat Record")</f>
        <v/>
      </c>
      <c r="AU1244" t="inlineStr">
        <is>
          <t>795382702:eng</t>
        </is>
      </c>
      <c r="AV1244" t="inlineStr">
        <is>
          <t>12808514</t>
        </is>
      </c>
      <c r="AW1244" t="inlineStr">
        <is>
          <t>991000741169702656</t>
        </is>
      </c>
      <c r="AX1244" t="inlineStr">
        <is>
          <t>991000741169702656</t>
        </is>
      </c>
      <c r="AY1244" t="inlineStr">
        <is>
          <t>2259765190002656</t>
        </is>
      </c>
      <c r="AZ1244" t="inlineStr">
        <is>
          <t>BOOK</t>
        </is>
      </c>
      <c r="BB1244" t="inlineStr">
        <is>
          <t>9780226789521</t>
        </is>
      </c>
      <c r="BC1244" t="inlineStr">
        <is>
          <t>32285001008811</t>
        </is>
      </c>
      <c r="BD1244" t="inlineStr">
        <is>
          <t>893515572</t>
        </is>
      </c>
    </row>
    <row r="1245">
      <c r="A1245" t="inlineStr">
        <is>
          <t>No</t>
        </is>
      </c>
      <c r="B1245" t="inlineStr">
        <is>
          <t>DS489.84 .C74 1999</t>
        </is>
      </c>
      <c r="C1245" t="inlineStr">
        <is>
          <t>0                      DS 0489840C  74          1999</t>
        </is>
      </c>
      <c r="D1245" t="inlineStr">
        <is>
          <t>Creating peace in Sri Lanka : civil war and reconciliation / Robert I. Rotberg, editor.</t>
        </is>
      </c>
      <c r="F1245" t="inlineStr">
        <is>
          <t>No</t>
        </is>
      </c>
      <c r="G1245" t="inlineStr">
        <is>
          <t>1</t>
        </is>
      </c>
      <c r="H1245" t="inlineStr">
        <is>
          <t>No</t>
        </is>
      </c>
      <c r="I1245" t="inlineStr">
        <is>
          <t>No</t>
        </is>
      </c>
      <c r="J1245" t="inlineStr">
        <is>
          <t>0</t>
        </is>
      </c>
      <c r="L1245" t="inlineStr">
        <is>
          <t>Cambridge, Mass. : World Peace Foundation and Belfer Center for Science and International Affairs ; Washington, D.C. : Brookings Institution Press, 1999.</t>
        </is>
      </c>
      <c r="M1245" t="inlineStr">
        <is>
          <t>1999</t>
        </is>
      </c>
      <c r="O1245" t="inlineStr">
        <is>
          <t>eng</t>
        </is>
      </c>
      <c r="P1245" t="inlineStr">
        <is>
          <t>mau</t>
        </is>
      </c>
      <c r="R1245" t="inlineStr">
        <is>
          <t xml:space="preserve">DS </t>
        </is>
      </c>
      <c r="S1245" t="n">
        <v>8</v>
      </c>
      <c r="T1245" t="n">
        <v>8</v>
      </c>
      <c r="U1245" t="inlineStr">
        <is>
          <t>2010-06-01</t>
        </is>
      </c>
      <c r="V1245" t="inlineStr">
        <is>
          <t>2010-06-01</t>
        </is>
      </c>
      <c r="W1245" t="inlineStr">
        <is>
          <t>2000-02-23</t>
        </is>
      </c>
      <c r="X1245" t="inlineStr">
        <is>
          <t>2000-02-23</t>
        </is>
      </c>
      <c r="Y1245" t="n">
        <v>433</v>
      </c>
      <c r="Z1245" t="n">
        <v>357</v>
      </c>
      <c r="AA1245" t="n">
        <v>357</v>
      </c>
      <c r="AB1245" t="n">
        <v>3</v>
      </c>
      <c r="AC1245" t="n">
        <v>3</v>
      </c>
      <c r="AD1245" t="n">
        <v>21</v>
      </c>
      <c r="AE1245" t="n">
        <v>21</v>
      </c>
      <c r="AF1245" t="n">
        <v>7</v>
      </c>
      <c r="AG1245" t="n">
        <v>7</v>
      </c>
      <c r="AH1245" t="n">
        <v>5</v>
      </c>
      <c r="AI1245" t="n">
        <v>5</v>
      </c>
      <c r="AJ1245" t="n">
        <v>13</v>
      </c>
      <c r="AK1245" t="n">
        <v>13</v>
      </c>
      <c r="AL1245" t="n">
        <v>2</v>
      </c>
      <c r="AM1245" t="n">
        <v>2</v>
      </c>
      <c r="AN1245" t="n">
        <v>1</v>
      </c>
      <c r="AO1245" t="n">
        <v>1</v>
      </c>
      <c r="AP1245" t="inlineStr">
        <is>
          <t>No</t>
        </is>
      </c>
      <c r="AQ1245" t="inlineStr">
        <is>
          <t>No</t>
        </is>
      </c>
      <c r="AS1245">
        <f>HYPERLINK("https://creighton-primo.hosted.exlibrisgroup.com/primo-explore/search?tab=default_tab&amp;search_scope=EVERYTHING&amp;vid=01CRU&amp;lang=en_US&amp;offset=0&amp;query=any,contains,991003030729702656","Catalog Record")</f>
        <v/>
      </c>
      <c r="AT1245">
        <f>HYPERLINK("http://www.worldcat.org/oclc/41516383","WorldCat Record")</f>
        <v/>
      </c>
      <c r="AU1245" t="inlineStr">
        <is>
          <t>891220442:eng</t>
        </is>
      </c>
      <c r="AV1245" t="inlineStr">
        <is>
          <t>41516383</t>
        </is>
      </c>
      <c r="AW1245" t="inlineStr">
        <is>
          <t>991003030729702656</t>
        </is>
      </c>
      <c r="AX1245" t="inlineStr">
        <is>
          <t>991003030729702656</t>
        </is>
      </c>
      <c r="AY1245" t="inlineStr">
        <is>
          <t>2257788270002656</t>
        </is>
      </c>
      <c r="AZ1245" t="inlineStr">
        <is>
          <t>BOOK</t>
        </is>
      </c>
      <c r="BB1245" t="inlineStr">
        <is>
          <t>9780815775782</t>
        </is>
      </c>
      <c r="BC1245" t="inlineStr">
        <is>
          <t>32285003663134</t>
        </is>
      </c>
      <c r="BD1245" t="inlineStr">
        <is>
          <t>893530781</t>
        </is>
      </c>
    </row>
    <row r="1246">
      <c r="A1246" t="inlineStr">
        <is>
          <t>No</t>
        </is>
      </c>
      <c r="B1246" t="inlineStr">
        <is>
          <t>DS489.84 .D48 2004</t>
        </is>
      </c>
      <c r="C1246" t="inlineStr">
        <is>
          <t>0                      DS 0489840D  48          2004</t>
        </is>
      </c>
      <c r="D1246" t="inlineStr">
        <is>
          <t>Blowback : linguistic nationalism, institutional decay, and ethnic conflict in Sri Lanka / Neil DeVotta.</t>
        </is>
      </c>
      <c r="F1246" t="inlineStr">
        <is>
          <t>No</t>
        </is>
      </c>
      <c r="G1246" t="inlineStr">
        <is>
          <t>1</t>
        </is>
      </c>
      <c r="H1246" t="inlineStr">
        <is>
          <t>No</t>
        </is>
      </c>
      <c r="I1246" t="inlineStr">
        <is>
          <t>No</t>
        </is>
      </c>
      <c r="J1246" t="inlineStr">
        <is>
          <t>0</t>
        </is>
      </c>
      <c r="K1246" t="inlineStr">
        <is>
          <t>DeVotta, Neil.</t>
        </is>
      </c>
      <c r="L1246" t="inlineStr">
        <is>
          <t>Stanford, Calif. : Stanford University Press, 2004.</t>
        </is>
      </c>
      <c r="M1246" t="inlineStr">
        <is>
          <t>2004</t>
        </is>
      </c>
      <c r="O1246" t="inlineStr">
        <is>
          <t>eng</t>
        </is>
      </c>
      <c r="P1246" t="inlineStr">
        <is>
          <t>cau</t>
        </is>
      </c>
      <c r="Q1246" t="inlineStr">
        <is>
          <t>Contemporary issues in Asia and the Pacific</t>
        </is>
      </c>
      <c r="R1246" t="inlineStr">
        <is>
          <t xml:space="preserve">DS </t>
        </is>
      </c>
      <c r="S1246" t="n">
        <v>3</v>
      </c>
      <c r="T1246" t="n">
        <v>3</v>
      </c>
      <c r="U1246" t="inlineStr">
        <is>
          <t>2007-01-31</t>
        </is>
      </c>
      <c r="V1246" t="inlineStr">
        <is>
          <t>2007-01-31</t>
        </is>
      </c>
      <c r="W1246" t="inlineStr">
        <is>
          <t>2005-10-04</t>
        </is>
      </c>
      <c r="X1246" t="inlineStr">
        <is>
          <t>2005-10-04</t>
        </is>
      </c>
      <c r="Y1246" t="n">
        <v>258</v>
      </c>
      <c r="Z1246" t="n">
        <v>195</v>
      </c>
      <c r="AA1246" t="n">
        <v>197</v>
      </c>
      <c r="AB1246" t="n">
        <v>2</v>
      </c>
      <c r="AC1246" t="n">
        <v>2</v>
      </c>
      <c r="AD1246" t="n">
        <v>14</v>
      </c>
      <c r="AE1246" t="n">
        <v>14</v>
      </c>
      <c r="AF1246" t="n">
        <v>5</v>
      </c>
      <c r="AG1246" t="n">
        <v>5</v>
      </c>
      <c r="AH1246" t="n">
        <v>5</v>
      </c>
      <c r="AI1246" t="n">
        <v>5</v>
      </c>
      <c r="AJ1246" t="n">
        <v>8</v>
      </c>
      <c r="AK1246" t="n">
        <v>8</v>
      </c>
      <c r="AL1246" t="n">
        <v>1</v>
      </c>
      <c r="AM1246" t="n">
        <v>1</v>
      </c>
      <c r="AN1246" t="n">
        <v>0</v>
      </c>
      <c r="AO1246" t="n">
        <v>0</v>
      </c>
      <c r="AP1246" t="inlineStr">
        <is>
          <t>No</t>
        </is>
      </c>
      <c r="AQ1246" t="inlineStr">
        <is>
          <t>Yes</t>
        </is>
      </c>
      <c r="AR1246">
        <f>HYPERLINK("http://catalog.hathitrust.org/Record/004719437","HathiTrust Record")</f>
        <v/>
      </c>
      <c r="AS1246">
        <f>HYPERLINK("https://creighton-primo.hosted.exlibrisgroup.com/primo-explore/search?tab=default_tab&amp;search_scope=EVERYTHING&amp;vid=01CRU&amp;lang=en_US&amp;offset=0&amp;query=any,contains,991004642709702656","Catalog Record")</f>
        <v/>
      </c>
      <c r="AT1246">
        <f>HYPERLINK("http://www.worldcat.org/oclc/53900982","WorldCat Record")</f>
        <v/>
      </c>
      <c r="AU1246" t="inlineStr">
        <is>
          <t>11921838:eng</t>
        </is>
      </c>
      <c r="AV1246" t="inlineStr">
        <is>
          <t>53900982</t>
        </is>
      </c>
      <c r="AW1246" t="inlineStr">
        <is>
          <t>991004642709702656</t>
        </is>
      </c>
      <c r="AX1246" t="inlineStr">
        <is>
          <t>991004642709702656</t>
        </is>
      </c>
      <c r="AY1246" t="inlineStr">
        <is>
          <t>2270045500002656</t>
        </is>
      </c>
      <c r="AZ1246" t="inlineStr">
        <is>
          <t>BOOK</t>
        </is>
      </c>
      <c r="BB1246" t="inlineStr">
        <is>
          <t>9780804749237</t>
        </is>
      </c>
      <c r="BC1246" t="inlineStr">
        <is>
          <t>32285005087068</t>
        </is>
      </c>
      <c r="BD1246" t="inlineStr">
        <is>
          <t>893253926</t>
        </is>
      </c>
    </row>
    <row r="1247">
      <c r="A1247" t="inlineStr">
        <is>
          <t>No</t>
        </is>
      </c>
      <c r="B1247" t="inlineStr">
        <is>
          <t>DS49 .I9</t>
        </is>
      </c>
      <c r="C1247" t="inlineStr">
        <is>
          <t>0                      DS 0049000I  9</t>
        </is>
      </c>
      <c r="D1247" t="inlineStr">
        <is>
          <t>The Arab world: past, present, and future, by Nejla Izzeddin. Foreword by William Ernest Hocking.</t>
        </is>
      </c>
      <c r="F1247" t="inlineStr">
        <is>
          <t>No</t>
        </is>
      </c>
      <c r="G1247" t="inlineStr">
        <is>
          <t>1</t>
        </is>
      </c>
      <c r="H1247" t="inlineStr">
        <is>
          <t>No</t>
        </is>
      </c>
      <c r="I1247" t="inlineStr">
        <is>
          <t>No</t>
        </is>
      </c>
      <c r="J1247" t="inlineStr">
        <is>
          <t>0</t>
        </is>
      </c>
      <c r="K1247" t="inlineStr">
        <is>
          <t>Abu Izzeddin, Nejla M.</t>
        </is>
      </c>
      <c r="L1247" t="inlineStr">
        <is>
          <t>Chicago, H. Regnery, 1953.</t>
        </is>
      </c>
      <c r="M1247" t="inlineStr">
        <is>
          <t>1953</t>
        </is>
      </c>
      <c r="O1247" t="inlineStr">
        <is>
          <t>eng</t>
        </is>
      </c>
      <c r="P1247" t="inlineStr">
        <is>
          <t>ilu</t>
        </is>
      </c>
      <c r="R1247" t="inlineStr">
        <is>
          <t xml:space="preserve">DS </t>
        </is>
      </c>
      <c r="S1247" t="n">
        <v>4</v>
      </c>
      <c r="T1247" t="n">
        <v>4</v>
      </c>
      <c r="U1247" t="inlineStr">
        <is>
          <t>2009-02-16</t>
        </is>
      </c>
      <c r="V1247" t="inlineStr">
        <is>
          <t>2009-02-16</t>
        </is>
      </c>
      <c r="W1247" t="inlineStr">
        <is>
          <t>1996-08-02</t>
        </is>
      </c>
      <c r="X1247" t="inlineStr">
        <is>
          <t>1996-08-02</t>
        </is>
      </c>
      <c r="Y1247" t="n">
        <v>735</v>
      </c>
      <c r="Z1247" t="n">
        <v>688</v>
      </c>
      <c r="AA1247" t="n">
        <v>701</v>
      </c>
      <c r="AB1247" t="n">
        <v>8</v>
      </c>
      <c r="AC1247" t="n">
        <v>8</v>
      </c>
      <c r="AD1247" t="n">
        <v>35</v>
      </c>
      <c r="AE1247" t="n">
        <v>35</v>
      </c>
      <c r="AF1247" t="n">
        <v>12</v>
      </c>
      <c r="AG1247" t="n">
        <v>12</v>
      </c>
      <c r="AH1247" t="n">
        <v>7</v>
      </c>
      <c r="AI1247" t="n">
        <v>7</v>
      </c>
      <c r="AJ1247" t="n">
        <v>15</v>
      </c>
      <c r="AK1247" t="n">
        <v>15</v>
      </c>
      <c r="AL1247" t="n">
        <v>7</v>
      </c>
      <c r="AM1247" t="n">
        <v>7</v>
      </c>
      <c r="AN1247" t="n">
        <v>0</v>
      </c>
      <c r="AO1247" t="n">
        <v>0</v>
      </c>
      <c r="AP1247" t="inlineStr">
        <is>
          <t>Yes</t>
        </is>
      </c>
      <c r="AQ1247" t="inlineStr">
        <is>
          <t>No</t>
        </is>
      </c>
      <c r="AR1247">
        <f>HYPERLINK("http://catalog.hathitrust.org/Record/001862637","HathiTrust Record")</f>
        <v/>
      </c>
      <c r="AS1247">
        <f>HYPERLINK("https://creighton-primo.hosted.exlibrisgroup.com/primo-explore/search?tab=default_tab&amp;search_scope=EVERYTHING&amp;vid=01CRU&amp;lang=en_US&amp;offset=0&amp;query=any,contains,991001477019702656","Catalog Record")</f>
        <v/>
      </c>
      <c r="AT1247">
        <f>HYPERLINK("http://www.worldcat.org/oclc/19588607","WorldCat Record")</f>
        <v/>
      </c>
      <c r="AU1247" t="inlineStr">
        <is>
          <t>796663950:eng</t>
        </is>
      </c>
      <c r="AV1247" t="inlineStr">
        <is>
          <t>19588607</t>
        </is>
      </c>
      <c r="AW1247" t="inlineStr">
        <is>
          <t>991001477019702656</t>
        </is>
      </c>
      <c r="AX1247" t="inlineStr">
        <is>
          <t>991001477019702656</t>
        </is>
      </c>
      <c r="AY1247" t="inlineStr">
        <is>
          <t>2262260370002656</t>
        </is>
      </c>
      <c r="AZ1247" t="inlineStr">
        <is>
          <t>BOOK</t>
        </is>
      </c>
      <c r="BC1247" t="inlineStr">
        <is>
          <t>32285002209525</t>
        </is>
      </c>
      <c r="BD1247" t="inlineStr">
        <is>
          <t>893709314</t>
        </is>
      </c>
    </row>
    <row r="1248">
      <c r="A1248" t="inlineStr">
        <is>
          <t>No</t>
        </is>
      </c>
      <c r="B1248" t="inlineStr">
        <is>
          <t>DS49 .M65 1936</t>
        </is>
      </c>
      <c r="C1248" t="inlineStr">
        <is>
          <t>0                      DS 0049000M  65          1936</t>
        </is>
      </c>
      <c r="D1248" t="inlineStr">
        <is>
          <t>In the steps of St. Paul.</t>
        </is>
      </c>
      <c r="F1248" t="inlineStr">
        <is>
          <t>No</t>
        </is>
      </c>
      <c r="G1248" t="inlineStr">
        <is>
          <t>1</t>
        </is>
      </c>
      <c r="H1248" t="inlineStr">
        <is>
          <t>No</t>
        </is>
      </c>
      <c r="I1248" t="inlineStr">
        <is>
          <t>No</t>
        </is>
      </c>
      <c r="J1248" t="inlineStr">
        <is>
          <t>0</t>
        </is>
      </c>
      <c r="K1248" t="inlineStr">
        <is>
          <t>Morton, H. V. (Henry Vollam), 1892-1979.</t>
        </is>
      </c>
      <c r="L1248" t="inlineStr">
        <is>
          <t>New York, Dodd, Mead &amp; company, 1936.</t>
        </is>
      </c>
      <c r="M1248" t="inlineStr">
        <is>
          <t>1936</t>
        </is>
      </c>
      <c r="O1248" t="inlineStr">
        <is>
          <t>eng</t>
        </is>
      </c>
      <c r="P1248" t="inlineStr">
        <is>
          <t>nyu</t>
        </is>
      </c>
      <c r="R1248" t="inlineStr">
        <is>
          <t xml:space="preserve">DS </t>
        </is>
      </c>
      <c r="S1248" t="n">
        <v>3</v>
      </c>
      <c r="T1248" t="n">
        <v>3</v>
      </c>
      <c r="U1248" t="inlineStr">
        <is>
          <t>1999-02-01</t>
        </is>
      </c>
      <c r="V1248" t="inlineStr">
        <is>
          <t>1999-02-01</t>
        </is>
      </c>
      <c r="W1248" t="inlineStr">
        <is>
          <t>1997-02-21</t>
        </is>
      </c>
      <c r="X1248" t="inlineStr">
        <is>
          <t>1997-02-21</t>
        </is>
      </c>
      <c r="Y1248" t="n">
        <v>702</v>
      </c>
      <c r="Z1248" t="n">
        <v>686</v>
      </c>
      <c r="AA1248" t="n">
        <v>985</v>
      </c>
      <c r="AB1248" t="n">
        <v>6</v>
      </c>
      <c r="AC1248" t="n">
        <v>9</v>
      </c>
      <c r="AD1248" t="n">
        <v>34</v>
      </c>
      <c r="AE1248" t="n">
        <v>41</v>
      </c>
      <c r="AF1248" t="n">
        <v>12</v>
      </c>
      <c r="AG1248" t="n">
        <v>15</v>
      </c>
      <c r="AH1248" t="n">
        <v>6</v>
      </c>
      <c r="AI1248" t="n">
        <v>8</v>
      </c>
      <c r="AJ1248" t="n">
        <v>18</v>
      </c>
      <c r="AK1248" t="n">
        <v>22</v>
      </c>
      <c r="AL1248" t="n">
        <v>4</v>
      </c>
      <c r="AM1248" t="n">
        <v>5</v>
      </c>
      <c r="AN1248" t="n">
        <v>0</v>
      </c>
      <c r="AO1248" t="n">
        <v>0</v>
      </c>
      <c r="AP1248" t="inlineStr">
        <is>
          <t>No</t>
        </is>
      </c>
      <c r="AQ1248" t="inlineStr">
        <is>
          <t>Yes</t>
        </is>
      </c>
      <c r="AR1248">
        <f>HYPERLINK("http://catalog.hathitrust.org/Record/001240754","HathiTrust Record")</f>
        <v/>
      </c>
      <c r="AS1248">
        <f>HYPERLINK("https://creighton-primo.hosted.exlibrisgroup.com/primo-explore/search?tab=default_tab&amp;search_scope=EVERYTHING&amp;vid=01CRU&amp;lang=en_US&amp;offset=0&amp;query=any,contains,991002681759702656","Catalog Record")</f>
        <v/>
      </c>
      <c r="AT1248">
        <f>HYPERLINK("http://www.worldcat.org/oclc/398621","WorldCat Record")</f>
        <v/>
      </c>
      <c r="AU1248" t="inlineStr">
        <is>
          <t>159495223:eng</t>
        </is>
      </c>
      <c r="AV1248" t="inlineStr">
        <is>
          <t>398621</t>
        </is>
      </c>
      <c r="AW1248" t="inlineStr">
        <is>
          <t>991002681759702656</t>
        </is>
      </c>
      <c r="AX1248" t="inlineStr">
        <is>
          <t>991002681759702656</t>
        </is>
      </c>
      <c r="AY1248" t="inlineStr">
        <is>
          <t>2259546300002656</t>
        </is>
      </c>
      <c r="AZ1248" t="inlineStr">
        <is>
          <t>BOOK</t>
        </is>
      </c>
      <c r="BC1248" t="inlineStr">
        <is>
          <t>32285002468725</t>
        </is>
      </c>
      <c r="BD1248" t="inlineStr">
        <is>
          <t>893323231</t>
        </is>
      </c>
    </row>
    <row r="1249">
      <c r="A1249" t="inlineStr">
        <is>
          <t>No</t>
        </is>
      </c>
      <c r="B1249" t="inlineStr">
        <is>
          <t>DS49.7 .H67 1991</t>
        </is>
      </c>
      <c r="C1249" t="inlineStr">
        <is>
          <t>0                      DS 0049700H  67          1991</t>
        </is>
      </c>
      <c r="D1249" t="inlineStr">
        <is>
          <t>Baghdad without a map, and other misadventures in Arabia / Tony Horwitz.</t>
        </is>
      </c>
      <c r="F1249" t="inlineStr">
        <is>
          <t>No</t>
        </is>
      </c>
      <c r="G1249" t="inlineStr">
        <is>
          <t>1</t>
        </is>
      </c>
      <c r="H1249" t="inlineStr">
        <is>
          <t>No</t>
        </is>
      </c>
      <c r="I1249" t="inlineStr">
        <is>
          <t>No</t>
        </is>
      </c>
      <c r="J1249" t="inlineStr">
        <is>
          <t>0</t>
        </is>
      </c>
      <c r="K1249" t="inlineStr">
        <is>
          <t>Horwitz, Tony, 1958-2019.</t>
        </is>
      </c>
      <c r="L1249" t="inlineStr">
        <is>
          <t>New York, N.Y., U.S.A. : Dutton, c1991.</t>
        </is>
      </c>
      <c r="M1249" t="inlineStr">
        <is>
          <t>1991</t>
        </is>
      </c>
      <c r="O1249" t="inlineStr">
        <is>
          <t>eng</t>
        </is>
      </c>
      <c r="P1249" t="inlineStr">
        <is>
          <t>nyu</t>
        </is>
      </c>
      <c r="R1249" t="inlineStr">
        <is>
          <t xml:space="preserve">DS </t>
        </is>
      </c>
      <c r="S1249" t="n">
        <v>5</v>
      </c>
      <c r="T1249" t="n">
        <v>5</v>
      </c>
      <c r="U1249" t="inlineStr">
        <is>
          <t>2008-06-30</t>
        </is>
      </c>
      <c r="V1249" t="inlineStr">
        <is>
          <t>2008-06-30</t>
        </is>
      </c>
      <c r="W1249" t="inlineStr">
        <is>
          <t>1991-06-11</t>
        </is>
      </c>
      <c r="X1249" t="inlineStr">
        <is>
          <t>1991-06-11</t>
        </is>
      </c>
      <c r="Y1249" t="n">
        <v>1000</v>
      </c>
      <c r="Z1249" t="n">
        <v>953</v>
      </c>
      <c r="AA1249" t="n">
        <v>1175</v>
      </c>
      <c r="AB1249" t="n">
        <v>3</v>
      </c>
      <c r="AC1249" t="n">
        <v>5</v>
      </c>
      <c r="AD1249" t="n">
        <v>11</v>
      </c>
      <c r="AE1249" t="n">
        <v>22</v>
      </c>
      <c r="AF1249" t="n">
        <v>2</v>
      </c>
      <c r="AG1249" t="n">
        <v>7</v>
      </c>
      <c r="AH1249" t="n">
        <v>3</v>
      </c>
      <c r="AI1249" t="n">
        <v>4</v>
      </c>
      <c r="AJ1249" t="n">
        <v>7</v>
      </c>
      <c r="AK1249" t="n">
        <v>11</v>
      </c>
      <c r="AL1249" t="n">
        <v>1</v>
      </c>
      <c r="AM1249" t="n">
        <v>3</v>
      </c>
      <c r="AN1249" t="n">
        <v>0</v>
      </c>
      <c r="AO1249" t="n">
        <v>0</v>
      </c>
      <c r="AP1249" t="inlineStr">
        <is>
          <t>No</t>
        </is>
      </c>
      <c r="AQ1249" t="inlineStr">
        <is>
          <t>Yes</t>
        </is>
      </c>
      <c r="AR1249">
        <f>HYPERLINK("http://catalog.hathitrust.org/Record/002431188","HathiTrust Record")</f>
        <v/>
      </c>
      <c r="AS1249">
        <f>HYPERLINK("https://creighton-primo.hosted.exlibrisgroup.com/primo-explore/search?tab=default_tab&amp;search_scope=EVERYTHING&amp;vid=01CRU&amp;lang=en_US&amp;offset=0&amp;query=any,contains,991001772869702656","Catalog Record")</f>
        <v/>
      </c>
      <c r="AT1249">
        <f>HYPERLINK("http://www.worldcat.org/oclc/22386662","WorldCat Record")</f>
        <v/>
      </c>
      <c r="AU1249" t="inlineStr">
        <is>
          <t>1975128:eng</t>
        </is>
      </c>
      <c r="AV1249" t="inlineStr">
        <is>
          <t>22386662</t>
        </is>
      </c>
      <c r="AW1249" t="inlineStr">
        <is>
          <t>991001772869702656</t>
        </is>
      </c>
      <c r="AX1249" t="inlineStr">
        <is>
          <t>991001772869702656</t>
        </is>
      </c>
      <c r="AY1249" t="inlineStr">
        <is>
          <t>2265757130002656</t>
        </is>
      </c>
      <c r="AZ1249" t="inlineStr">
        <is>
          <t>BOOK</t>
        </is>
      </c>
      <c r="BC1249" t="inlineStr">
        <is>
          <t>32285000594100</t>
        </is>
      </c>
      <c r="BD1249" t="inlineStr">
        <is>
          <t>893352007</t>
        </is>
      </c>
    </row>
    <row r="1250">
      <c r="A1250" t="inlineStr">
        <is>
          <t>No</t>
        </is>
      </c>
      <c r="B1250" t="inlineStr">
        <is>
          <t>DS49.7 .V56 1994</t>
        </is>
      </c>
      <c r="C1250" t="inlineStr">
        <is>
          <t>0                      DS 0049700V  56          1994</t>
        </is>
      </c>
      <c r="D1250" t="inlineStr">
        <is>
          <t>Sandcastles : the Arabs in search of the modern world / Milton Viorst.</t>
        </is>
      </c>
      <c r="F1250" t="inlineStr">
        <is>
          <t>No</t>
        </is>
      </c>
      <c r="G1250" t="inlineStr">
        <is>
          <t>1</t>
        </is>
      </c>
      <c r="H1250" t="inlineStr">
        <is>
          <t>No</t>
        </is>
      </c>
      <c r="I1250" t="inlineStr">
        <is>
          <t>No</t>
        </is>
      </c>
      <c r="J1250" t="inlineStr">
        <is>
          <t>0</t>
        </is>
      </c>
      <c r="K1250" t="inlineStr">
        <is>
          <t>Viorst, Milton.</t>
        </is>
      </c>
      <c r="L1250" t="inlineStr">
        <is>
          <t>New York : Alfred Knopf : Distributed by Random House, 1994.</t>
        </is>
      </c>
      <c r="M1250" t="inlineStr">
        <is>
          <t>1994</t>
        </is>
      </c>
      <c r="N1250" t="inlineStr">
        <is>
          <t>1st ed.</t>
        </is>
      </c>
      <c r="O1250" t="inlineStr">
        <is>
          <t>eng</t>
        </is>
      </c>
      <c r="P1250" t="inlineStr">
        <is>
          <t>nyu</t>
        </is>
      </c>
      <c r="R1250" t="inlineStr">
        <is>
          <t xml:space="preserve">DS </t>
        </is>
      </c>
      <c r="S1250" t="n">
        <v>3</v>
      </c>
      <c r="T1250" t="n">
        <v>3</v>
      </c>
      <c r="U1250" t="inlineStr">
        <is>
          <t>1994-11-29</t>
        </is>
      </c>
      <c r="V1250" t="inlineStr">
        <is>
          <t>1994-11-29</t>
        </is>
      </c>
      <c r="W1250" t="inlineStr">
        <is>
          <t>1994-05-09</t>
        </is>
      </c>
      <c r="X1250" t="inlineStr">
        <is>
          <t>1994-05-09</t>
        </is>
      </c>
      <c r="Y1250" t="n">
        <v>817</v>
      </c>
      <c r="Z1250" t="n">
        <v>752</v>
      </c>
      <c r="AA1250" t="n">
        <v>790</v>
      </c>
      <c r="AB1250" t="n">
        <v>6</v>
      </c>
      <c r="AC1250" t="n">
        <v>6</v>
      </c>
      <c r="AD1250" t="n">
        <v>28</v>
      </c>
      <c r="AE1250" t="n">
        <v>30</v>
      </c>
      <c r="AF1250" t="n">
        <v>10</v>
      </c>
      <c r="AG1250" t="n">
        <v>11</v>
      </c>
      <c r="AH1250" t="n">
        <v>5</v>
      </c>
      <c r="AI1250" t="n">
        <v>6</v>
      </c>
      <c r="AJ1250" t="n">
        <v>17</v>
      </c>
      <c r="AK1250" t="n">
        <v>17</v>
      </c>
      <c r="AL1250" t="n">
        <v>4</v>
      </c>
      <c r="AM1250" t="n">
        <v>4</v>
      </c>
      <c r="AN1250" t="n">
        <v>0</v>
      </c>
      <c r="AO1250" t="n">
        <v>0</v>
      </c>
      <c r="AP1250" t="inlineStr">
        <is>
          <t>No</t>
        </is>
      </c>
      <c r="AQ1250" t="inlineStr">
        <is>
          <t>Yes</t>
        </is>
      </c>
      <c r="AR1250">
        <f>HYPERLINK("http://catalog.hathitrust.org/Record/002792052","HathiTrust Record")</f>
        <v/>
      </c>
      <c r="AS1250">
        <f>HYPERLINK("https://creighton-primo.hosted.exlibrisgroup.com/primo-explore/search?tab=default_tab&amp;search_scope=EVERYTHING&amp;vid=01CRU&amp;lang=en_US&amp;offset=0&amp;query=any,contains,991002199549702656","Catalog Record")</f>
        <v/>
      </c>
      <c r="AT1250">
        <f>HYPERLINK("http://www.worldcat.org/oclc/28292653","WorldCat Record")</f>
        <v/>
      </c>
      <c r="AU1250" t="inlineStr">
        <is>
          <t>30954629:eng</t>
        </is>
      </c>
      <c r="AV1250" t="inlineStr">
        <is>
          <t>28292653</t>
        </is>
      </c>
      <c r="AW1250" t="inlineStr">
        <is>
          <t>991002199549702656</t>
        </is>
      </c>
      <c r="AX1250" t="inlineStr">
        <is>
          <t>991002199549702656</t>
        </is>
      </c>
      <c r="AY1250" t="inlineStr">
        <is>
          <t>2257402900002656</t>
        </is>
      </c>
      <c r="AZ1250" t="inlineStr">
        <is>
          <t>BOOK</t>
        </is>
      </c>
      <c r="BB1250" t="inlineStr">
        <is>
          <t>9780679405993</t>
        </is>
      </c>
      <c r="BC1250" t="inlineStr">
        <is>
          <t>32285001879559</t>
        </is>
      </c>
      <c r="BD1250" t="inlineStr">
        <is>
          <t>893792144</t>
        </is>
      </c>
    </row>
    <row r="1251">
      <c r="A1251" t="inlineStr">
        <is>
          <t>No</t>
        </is>
      </c>
      <c r="B1251" t="inlineStr">
        <is>
          <t>DS49.7.H89 F7</t>
        </is>
      </c>
      <c r="C1251" t="inlineStr">
        <is>
          <t>0                      DS 0049700H  89                 F  7</t>
        </is>
      </c>
      <c r="D1251" t="inlineStr">
        <is>
          <t>From an antique land; ancient and modern in the Middle East [by] Julian Huxley.</t>
        </is>
      </c>
      <c r="F1251" t="inlineStr">
        <is>
          <t>No</t>
        </is>
      </c>
      <c r="G1251" t="inlineStr">
        <is>
          <t>1</t>
        </is>
      </c>
      <c r="H1251" t="inlineStr">
        <is>
          <t>No</t>
        </is>
      </c>
      <c r="I1251" t="inlineStr">
        <is>
          <t>No</t>
        </is>
      </c>
      <c r="J1251" t="inlineStr">
        <is>
          <t>0</t>
        </is>
      </c>
      <c r="K1251" t="inlineStr">
        <is>
          <t>Huxley, Julian, 1887-1975.</t>
        </is>
      </c>
      <c r="L1251" t="inlineStr">
        <is>
          <t>Boston, Beacon Press [1968, c1966]</t>
        </is>
      </c>
      <c r="M1251" t="inlineStr">
        <is>
          <t>1968</t>
        </is>
      </c>
      <c r="O1251" t="inlineStr">
        <is>
          <t>eng</t>
        </is>
      </c>
      <c r="P1251" t="inlineStr">
        <is>
          <t>mau</t>
        </is>
      </c>
      <c r="Q1251" t="inlineStr">
        <is>
          <t>Beacon paperback, BP283</t>
        </is>
      </c>
      <c r="R1251" t="inlineStr">
        <is>
          <t xml:space="preserve">DS </t>
        </is>
      </c>
      <c r="S1251" t="n">
        <v>1</v>
      </c>
      <c r="T1251" t="n">
        <v>1</v>
      </c>
      <c r="U1251" t="inlineStr">
        <is>
          <t>2007-07-02</t>
        </is>
      </c>
      <c r="V1251" t="inlineStr">
        <is>
          <t>2007-07-02</t>
        </is>
      </c>
      <c r="W1251" t="inlineStr">
        <is>
          <t>1997-02-21</t>
        </is>
      </c>
      <c r="X1251" t="inlineStr">
        <is>
          <t>1997-02-21</t>
        </is>
      </c>
      <c r="Y1251" t="n">
        <v>78</v>
      </c>
      <c r="Z1251" t="n">
        <v>69</v>
      </c>
      <c r="AA1251" t="n">
        <v>718</v>
      </c>
      <c r="AB1251" t="n">
        <v>2</v>
      </c>
      <c r="AC1251" t="n">
        <v>4</v>
      </c>
      <c r="AD1251" t="n">
        <v>3</v>
      </c>
      <c r="AE1251" t="n">
        <v>26</v>
      </c>
      <c r="AF1251" t="n">
        <v>1</v>
      </c>
      <c r="AG1251" t="n">
        <v>9</v>
      </c>
      <c r="AH1251" t="n">
        <v>2</v>
      </c>
      <c r="AI1251" t="n">
        <v>9</v>
      </c>
      <c r="AJ1251" t="n">
        <v>0</v>
      </c>
      <c r="AK1251" t="n">
        <v>13</v>
      </c>
      <c r="AL1251" t="n">
        <v>1</v>
      </c>
      <c r="AM1251" t="n">
        <v>2</v>
      </c>
      <c r="AN1251" t="n">
        <v>0</v>
      </c>
      <c r="AO1251" t="n">
        <v>0</v>
      </c>
      <c r="AP1251" t="inlineStr">
        <is>
          <t>No</t>
        </is>
      </c>
      <c r="AQ1251" t="inlineStr">
        <is>
          <t>No</t>
        </is>
      </c>
      <c r="AS1251">
        <f>HYPERLINK("https://creighton-primo.hosted.exlibrisgroup.com/primo-explore/search?tab=default_tab&amp;search_scope=EVERYTHING&amp;vid=01CRU&amp;lang=en_US&amp;offset=0&amp;query=any,contains,991004069139702656","Catalog Record")</f>
        <v/>
      </c>
      <c r="AT1251">
        <f>HYPERLINK("http://www.worldcat.org/oclc/2293887","WorldCat Record")</f>
        <v/>
      </c>
      <c r="AU1251" t="inlineStr">
        <is>
          <t>1376620:eng</t>
        </is>
      </c>
      <c r="AV1251" t="inlineStr">
        <is>
          <t>2293887</t>
        </is>
      </c>
      <c r="AW1251" t="inlineStr">
        <is>
          <t>991004069139702656</t>
        </is>
      </c>
      <c r="AX1251" t="inlineStr">
        <is>
          <t>991004069139702656</t>
        </is>
      </c>
      <c r="AY1251" t="inlineStr">
        <is>
          <t>2267897840002656</t>
        </is>
      </c>
      <c r="AZ1251" t="inlineStr">
        <is>
          <t>BOOK</t>
        </is>
      </c>
      <c r="BC1251" t="inlineStr">
        <is>
          <t>32285002468816</t>
        </is>
      </c>
      <c r="BD1251" t="inlineStr">
        <is>
          <t>893506382</t>
        </is>
      </c>
    </row>
    <row r="1252">
      <c r="A1252" t="inlineStr">
        <is>
          <t>No</t>
        </is>
      </c>
      <c r="B1252" t="inlineStr">
        <is>
          <t>DS493.4 .R67</t>
        </is>
      </c>
      <c r="C1252" t="inlineStr">
        <is>
          <t>0                      DS 0493400R  67</t>
        </is>
      </c>
      <c r="D1252" t="inlineStr">
        <is>
          <t>Nepal : profile of a Himalayan kingdom / Leo E. Rose &amp; John T. Scholz.</t>
        </is>
      </c>
      <c r="F1252" t="inlineStr">
        <is>
          <t>No</t>
        </is>
      </c>
      <c r="G1252" t="inlineStr">
        <is>
          <t>1</t>
        </is>
      </c>
      <c r="H1252" t="inlineStr">
        <is>
          <t>No</t>
        </is>
      </c>
      <c r="I1252" t="inlineStr">
        <is>
          <t>No</t>
        </is>
      </c>
      <c r="J1252" t="inlineStr">
        <is>
          <t>0</t>
        </is>
      </c>
      <c r="K1252" t="inlineStr">
        <is>
          <t>Rose, Leo E.</t>
        </is>
      </c>
      <c r="L1252" t="inlineStr">
        <is>
          <t>Boulder, Colo. : Westview Press, 1980.</t>
        </is>
      </c>
      <c r="M1252" t="inlineStr">
        <is>
          <t>1980</t>
        </is>
      </c>
      <c r="O1252" t="inlineStr">
        <is>
          <t>eng</t>
        </is>
      </c>
      <c r="P1252" t="inlineStr">
        <is>
          <t>cou</t>
        </is>
      </c>
      <c r="Q1252" t="inlineStr">
        <is>
          <t>Nations of contemporary Asia</t>
        </is>
      </c>
      <c r="R1252" t="inlineStr">
        <is>
          <t xml:space="preserve">DS </t>
        </is>
      </c>
      <c r="S1252" t="n">
        <v>14</v>
      </c>
      <c r="T1252" t="n">
        <v>14</v>
      </c>
      <c r="U1252" t="inlineStr">
        <is>
          <t>2000-06-09</t>
        </is>
      </c>
      <c r="V1252" t="inlineStr">
        <is>
          <t>2000-06-09</t>
        </is>
      </c>
      <c r="W1252" t="inlineStr">
        <is>
          <t>1990-10-09</t>
        </is>
      </c>
      <c r="X1252" t="inlineStr">
        <is>
          <t>1990-10-09</t>
        </is>
      </c>
      <c r="Y1252" t="n">
        <v>502</v>
      </c>
      <c r="Z1252" t="n">
        <v>418</v>
      </c>
      <c r="AA1252" t="n">
        <v>425</v>
      </c>
      <c r="AB1252" t="n">
        <v>4</v>
      </c>
      <c r="AC1252" t="n">
        <v>4</v>
      </c>
      <c r="AD1252" t="n">
        <v>11</v>
      </c>
      <c r="AE1252" t="n">
        <v>11</v>
      </c>
      <c r="AF1252" t="n">
        <v>1</v>
      </c>
      <c r="AG1252" t="n">
        <v>1</v>
      </c>
      <c r="AH1252" t="n">
        <v>2</v>
      </c>
      <c r="AI1252" t="n">
        <v>2</v>
      </c>
      <c r="AJ1252" t="n">
        <v>7</v>
      </c>
      <c r="AK1252" t="n">
        <v>7</v>
      </c>
      <c r="AL1252" t="n">
        <v>3</v>
      </c>
      <c r="AM1252" t="n">
        <v>3</v>
      </c>
      <c r="AN1252" t="n">
        <v>0</v>
      </c>
      <c r="AO1252" t="n">
        <v>0</v>
      </c>
      <c r="AP1252" t="inlineStr">
        <is>
          <t>No</t>
        </is>
      </c>
      <c r="AQ1252" t="inlineStr">
        <is>
          <t>Yes</t>
        </is>
      </c>
      <c r="AR1252">
        <f>HYPERLINK("http://catalog.hathitrust.org/Record/000724811","HathiTrust Record")</f>
        <v/>
      </c>
      <c r="AS1252">
        <f>HYPERLINK("https://creighton-primo.hosted.exlibrisgroup.com/primo-explore/search?tab=default_tab&amp;search_scope=EVERYTHING&amp;vid=01CRU&amp;lang=en_US&amp;offset=0&amp;query=any,contains,991004804959702656","Catalog Record")</f>
        <v/>
      </c>
      <c r="AT1252">
        <f>HYPERLINK("http://www.worldcat.org/oclc/5239762","WorldCat Record")</f>
        <v/>
      </c>
      <c r="AU1252" t="inlineStr">
        <is>
          <t>890053841:eng</t>
        </is>
      </c>
      <c r="AV1252" t="inlineStr">
        <is>
          <t>5239762</t>
        </is>
      </c>
      <c r="AW1252" t="inlineStr">
        <is>
          <t>991004804959702656</t>
        </is>
      </c>
      <c r="AX1252" t="inlineStr">
        <is>
          <t>991004804959702656</t>
        </is>
      </c>
      <c r="AY1252" t="inlineStr">
        <is>
          <t>2264354230002656</t>
        </is>
      </c>
      <c r="AZ1252" t="inlineStr">
        <is>
          <t>BOOK</t>
        </is>
      </c>
      <c r="BB1252" t="inlineStr">
        <is>
          <t>9780891586517</t>
        </is>
      </c>
      <c r="BC1252" t="inlineStr">
        <is>
          <t>32285000336916</t>
        </is>
      </c>
      <c r="BD1252" t="inlineStr">
        <is>
          <t>893500984</t>
        </is>
      </c>
    </row>
    <row r="1253">
      <c r="A1253" t="inlineStr">
        <is>
          <t>No</t>
        </is>
      </c>
      <c r="B1253" t="inlineStr">
        <is>
          <t>DS493.9.S5 S54 1994</t>
        </is>
      </c>
      <c r="C1253" t="inlineStr">
        <is>
          <t>0                      DS 0493900S  5                  S  54          1994</t>
        </is>
      </c>
      <c r="D1253" t="inlineStr">
        <is>
          <t>Living in the middle : Sherpas of the mid-range Himalayas / Donna M. Sherpa.</t>
        </is>
      </c>
      <c r="F1253" t="inlineStr">
        <is>
          <t>No</t>
        </is>
      </c>
      <c r="G1253" t="inlineStr">
        <is>
          <t>1</t>
        </is>
      </c>
      <c r="H1253" t="inlineStr">
        <is>
          <t>No</t>
        </is>
      </c>
      <c r="I1253" t="inlineStr">
        <is>
          <t>No</t>
        </is>
      </c>
      <c r="J1253" t="inlineStr">
        <is>
          <t>0</t>
        </is>
      </c>
      <c r="K1253" t="inlineStr">
        <is>
          <t>Sherpa, Donna M.</t>
        </is>
      </c>
      <c r="L1253" t="inlineStr">
        <is>
          <t>Prospect Heights, Ill. : Waveland Press, c1994.</t>
        </is>
      </c>
      <c r="M1253" t="inlineStr">
        <is>
          <t>1994</t>
        </is>
      </c>
      <c r="O1253" t="inlineStr">
        <is>
          <t>eng</t>
        </is>
      </c>
      <c r="P1253" t="inlineStr">
        <is>
          <t>ilu</t>
        </is>
      </c>
      <c r="R1253" t="inlineStr">
        <is>
          <t xml:space="preserve">DS </t>
        </is>
      </c>
      <c r="S1253" t="n">
        <v>1</v>
      </c>
      <c r="T1253" t="n">
        <v>1</v>
      </c>
      <c r="U1253" t="inlineStr">
        <is>
          <t>2004-04-21</t>
        </is>
      </c>
      <c r="V1253" t="inlineStr">
        <is>
          <t>2004-04-21</t>
        </is>
      </c>
      <c r="W1253" t="inlineStr">
        <is>
          <t>1994-08-03</t>
        </is>
      </c>
      <c r="X1253" t="inlineStr">
        <is>
          <t>1994-08-03</t>
        </is>
      </c>
      <c r="Y1253" t="n">
        <v>129</v>
      </c>
      <c r="Z1253" t="n">
        <v>113</v>
      </c>
      <c r="AA1253" t="n">
        <v>115</v>
      </c>
      <c r="AB1253" t="n">
        <v>1</v>
      </c>
      <c r="AC1253" t="n">
        <v>1</v>
      </c>
      <c r="AD1253" t="n">
        <v>3</v>
      </c>
      <c r="AE1253" t="n">
        <v>3</v>
      </c>
      <c r="AF1253" t="n">
        <v>3</v>
      </c>
      <c r="AG1253" t="n">
        <v>3</v>
      </c>
      <c r="AH1253" t="n">
        <v>1</v>
      </c>
      <c r="AI1253" t="n">
        <v>1</v>
      </c>
      <c r="AJ1253" t="n">
        <v>0</v>
      </c>
      <c r="AK1253" t="n">
        <v>0</v>
      </c>
      <c r="AL1253" t="n">
        <v>0</v>
      </c>
      <c r="AM1253" t="n">
        <v>0</v>
      </c>
      <c r="AN1253" t="n">
        <v>0</v>
      </c>
      <c r="AO1253" t="n">
        <v>0</v>
      </c>
      <c r="AP1253" t="inlineStr">
        <is>
          <t>No</t>
        </is>
      </c>
      <c r="AQ1253" t="inlineStr">
        <is>
          <t>Yes</t>
        </is>
      </c>
      <c r="AR1253">
        <f>HYPERLINK("http://catalog.hathitrust.org/Record/009922810","HathiTrust Record")</f>
        <v/>
      </c>
      <c r="AS1253">
        <f>HYPERLINK("https://creighton-primo.hosted.exlibrisgroup.com/primo-explore/search?tab=default_tab&amp;search_scope=EVERYTHING&amp;vid=01CRU&amp;lang=en_US&amp;offset=0&amp;query=any,contains,991002326699702656","Catalog Record")</f>
        <v/>
      </c>
      <c r="AT1253">
        <f>HYPERLINK("http://www.worldcat.org/oclc/30305044","WorldCat Record")</f>
        <v/>
      </c>
      <c r="AU1253" t="inlineStr">
        <is>
          <t>32000178:eng</t>
        </is>
      </c>
      <c r="AV1253" t="inlineStr">
        <is>
          <t>30305044</t>
        </is>
      </c>
      <c r="AW1253" t="inlineStr">
        <is>
          <t>991002326699702656</t>
        </is>
      </c>
      <c r="AX1253" t="inlineStr">
        <is>
          <t>991002326699702656</t>
        </is>
      </c>
      <c r="AY1253" t="inlineStr">
        <is>
          <t>2261081300002656</t>
        </is>
      </c>
      <c r="AZ1253" t="inlineStr">
        <is>
          <t>BOOK</t>
        </is>
      </c>
      <c r="BB1253" t="inlineStr">
        <is>
          <t>9780881337457</t>
        </is>
      </c>
      <c r="BC1253" t="inlineStr">
        <is>
          <t>32285001941110</t>
        </is>
      </c>
      <c r="BD1253" t="inlineStr">
        <is>
          <t>893609725</t>
        </is>
      </c>
    </row>
    <row r="1254">
      <c r="A1254" t="inlineStr">
        <is>
          <t>No</t>
        </is>
      </c>
      <c r="B1254" t="inlineStr">
        <is>
          <t>DS495.5 .S52</t>
        </is>
      </c>
      <c r="C1254" t="inlineStr">
        <is>
          <t>0                      DS 0495500S  52</t>
        </is>
      </c>
      <c r="D1254" t="inlineStr">
        <is>
          <t>Nepali politics : retrospect and prospect / Rishikesh Shaha.</t>
        </is>
      </c>
      <c r="F1254" t="inlineStr">
        <is>
          <t>No</t>
        </is>
      </c>
      <c r="G1254" t="inlineStr">
        <is>
          <t>1</t>
        </is>
      </c>
      <c r="H1254" t="inlineStr">
        <is>
          <t>No</t>
        </is>
      </c>
      <c r="I1254" t="inlineStr">
        <is>
          <t>No</t>
        </is>
      </c>
      <c r="J1254" t="inlineStr">
        <is>
          <t>0</t>
        </is>
      </c>
      <c r="K1254" t="inlineStr">
        <is>
          <t>Shaha, Rishikesh.</t>
        </is>
      </c>
      <c r="L1254" t="inlineStr">
        <is>
          <t>Delhi ; New York : Oxford University Press, 1975.</t>
        </is>
      </c>
      <c r="M1254" t="inlineStr">
        <is>
          <t>1975</t>
        </is>
      </c>
      <c r="O1254" t="inlineStr">
        <is>
          <t>eng</t>
        </is>
      </c>
      <c r="P1254" t="inlineStr">
        <is>
          <t xml:space="preserve">ii </t>
        </is>
      </c>
      <c r="R1254" t="inlineStr">
        <is>
          <t xml:space="preserve">DS </t>
        </is>
      </c>
      <c r="S1254" t="n">
        <v>4</v>
      </c>
      <c r="T1254" t="n">
        <v>4</v>
      </c>
      <c r="U1254" t="inlineStr">
        <is>
          <t>2000-06-09</t>
        </is>
      </c>
      <c r="V1254" t="inlineStr">
        <is>
          <t>2000-06-09</t>
        </is>
      </c>
      <c r="W1254" t="inlineStr">
        <is>
          <t>1992-12-11</t>
        </is>
      </c>
      <c r="X1254" t="inlineStr">
        <is>
          <t>1992-12-11</t>
        </is>
      </c>
      <c r="Y1254" t="n">
        <v>92</v>
      </c>
      <c r="Z1254" t="n">
        <v>80</v>
      </c>
      <c r="AA1254" t="n">
        <v>306</v>
      </c>
      <c r="AB1254" t="n">
        <v>2</v>
      </c>
      <c r="AC1254" t="n">
        <v>2</v>
      </c>
      <c r="AD1254" t="n">
        <v>2</v>
      </c>
      <c r="AE1254" t="n">
        <v>9</v>
      </c>
      <c r="AF1254" t="n">
        <v>0</v>
      </c>
      <c r="AG1254" t="n">
        <v>1</v>
      </c>
      <c r="AH1254" t="n">
        <v>0</v>
      </c>
      <c r="AI1254" t="n">
        <v>3</v>
      </c>
      <c r="AJ1254" t="n">
        <v>1</v>
      </c>
      <c r="AK1254" t="n">
        <v>5</v>
      </c>
      <c r="AL1254" t="n">
        <v>1</v>
      </c>
      <c r="AM1254" t="n">
        <v>1</v>
      </c>
      <c r="AN1254" t="n">
        <v>0</v>
      </c>
      <c r="AO1254" t="n">
        <v>0</v>
      </c>
      <c r="AP1254" t="inlineStr">
        <is>
          <t>No</t>
        </is>
      </c>
      <c r="AQ1254" t="inlineStr">
        <is>
          <t>Yes</t>
        </is>
      </c>
      <c r="AR1254">
        <f>HYPERLINK("http://catalog.hathitrust.org/Record/000687367","HathiTrust Record")</f>
        <v/>
      </c>
      <c r="AS1254">
        <f>HYPERLINK("https://creighton-primo.hosted.exlibrisgroup.com/primo-explore/search?tab=default_tab&amp;search_scope=EVERYTHING&amp;vid=01CRU&amp;lang=en_US&amp;offset=0&amp;query=any,contains,991003964169702656","Catalog Record")</f>
        <v/>
      </c>
      <c r="AT1254">
        <f>HYPERLINK("http://www.worldcat.org/oclc/1977013","WorldCat Record")</f>
        <v/>
      </c>
      <c r="AU1254" t="inlineStr">
        <is>
          <t>2730580:eng</t>
        </is>
      </c>
      <c r="AV1254" t="inlineStr">
        <is>
          <t>1977013</t>
        </is>
      </c>
      <c r="AW1254" t="inlineStr">
        <is>
          <t>991003964169702656</t>
        </is>
      </c>
      <c r="AX1254" t="inlineStr">
        <is>
          <t>991003964169702656</t>
        </is>
      </c>
      <c r="AY1254" t="inlineStr">
        <is>
          <t>2268499630002656</t>
        </is>
      </c>
      <c r="AZ1254" t="inlineStr">
        <is>
          <t>BOOK</t>
        </is>
      </c>
      <c r="BB1254" t="inlineStr">
        <is>
          <t>9780195606430</t>
        </is>
      </c>
      <c r="BC1254" t="inlineStr">
        <is>
          <t>32285001441038</t>
        </is>
      </c>
      <c r="BD1254" t="inlineStr">
        <is>
          <t>893593113</t>
        </is>
      </c>
    </row>
    <row r="1255">
      <c r="A1255" t="inlineStr">
        <is>
          <t>No</t>
        </is>
      </c>
      <c r="B1255" t="inlineStr">
        <is>
          <t>DS495.8.T37 G34</t>
        </is>
      </c>
      <c r="C1255" t="inlineStr">
        <is>
          <t>0                      DS 0495800T  37                 G  34</t>
        </is>
      </c>
      <c r="D1255" t="inlineStr">
        <is>
          <t>Regionalism and national unity in Nepal / Frederick H. Gaige.</t>
        </is>
      </c>
      <c r="F1255" t="inlineStr">
        <is>
          <t>No</t>
        </is>
      </c>
      <c r="G1255" t="inlineStr">
        <is>
          <t>1</t>
        </is>
      </c>
      <c r="H1255" t="inlineStr">
        <is>
          <t>No</t>
        </is>
      </c>
      <c r="I1255" t="inlineStr">
        <is>
          <t>No</t>
        </is>
      </c>
      <c r="J1255" t="inlineStr">
        <is>
          <t>0</t>
        </is>
      </c>
      <c r="K1255" t="inlineStr">
        <is>
          <t>Gaige, Frederick H.</t>
        </is>
      </c>
      <c r="L1255" t="inlineStr">
        <is>
          <t>Berkeley : University of California Press, c1975.</t>
        </is>
      </c>
      <c r="M1255" t="inlineStr">
        <is>
          <t>1975</t>
        </is>
      </c>
      <c r="O1255" t="inlineStr">
        <is>
          <t>eng</t>
        </is>
      </c>
      <c r="P1255" t="inlineStr">
        <is>
          <t>cau</t>
        </is>
      </c>
      <c r="R1255" t="inlineStr">
        <is>
          <t xml:space="preserve">DS </t>
        </is>
      </c>
      <c r="S1255" t="n">
        <v>7</v>
      </c>
      <c r="T1255" t="n">
        <v>7</v>
      </c>
      <c r="U1255" t="inlineStr">
        <is>
          <t>2000-02-20</t>
        </is>
      </c>
      <c r="V1255" t="inlineStr">
        <is>
          <t>2000-02-20</t>
        </is>
      </c>
      <c r="W1255" t="inlineStr">
        <is>
          <t>1993-01-06</t>
        </is>
      </c>
      <c r="X1255" t="inlineStr">
        <is>
          <t>1993-01-06</t>
        </is>
      </c>
      <c r="Y1255" t="n">
        <v>397</v>
      </c>
      <c r="Z1255" t="n">
        <v>315</v>
      </c>
      <c r="AA1255" t="n">
        <v>318</v>
      </c>
      <c r="AB1255" t="n">
        <v>3</v>
      </c>
      <c r="AC1255" t="n">
        <v>3</v>
      </c>
      <c r="AD1255" t="n">
        <v>14</v>
      </c>
      <c r="AE1255" t="n">
        <v>14</v>
      </c>
      <c r="AF1255" t="n">
        <v>4</v>
      </c>
      <c r="AG1255" t="n">
        <v>4</v>
      </c>
      <c r="AH1255" t="n">
        <v>2</v>
      </c>
      <c r="AI1255" t="n">
        <v>2</v>
      </c>
      <c r="AJ1255" t="n">
        <v>9</v>
      </c>
      <c r="AK1255" t="n">
        <v>9</v>
      </c>
      <c r="AL1255" t="n">
        <v>2</v>
      </c>
      <c r="AM1255" t="n">
        <v>2</v>
      </c>
      <c r="AN1255" t="n">
        <v>0</v>
      </c>
      <c r="AO1255" t="n">
        <v>0</v>
      </c>
      <c r="AP1255" t="inlineStr">
        <is>
          <t>No</t>
        </is>
      </c>
      <c r="AQ1255" t="inlineStr">
        <is>
          <t>Yes</t>
        </is>
      </c>
      <c r="AR1255">
        <f>HYPERLINK("http://catalog.hathitrust.org/Record/000691047","HathiTrust Record")</f>
        <v/>
      </c>
      <c r="AS1255">
        <f>HYPERLINK("https://creighton-primo.hosted.exlibrisgroup.com/primo-explore/search?tab=default_tab&amp;search_scope=EVERYTHING&amp;vid=01CRU&amp;lang=en_US&amp;offset=0&amp;query=any,contains,991003912529702656","Catalog Record")</f>
        <v/>
      </c>
      <c r="AT1255">
        <f>HYPERLINK("http://www.worldcat.org/oclc/1854481","WorldCat Record")</f>
        <v/>
      </c>
      <c r="AU1255" t="inlineStr">
        <is>
          <t>2595628:eng</t>
        </is>
      </c>
      <c r="AV1255" t="inlineStr">
        <is>
          <t>1854481</t>
        </is>
      </c>
      <c r="AW1255" t="inlineStr">
        <is>
          <t>991003912529702656</t>
        </is>
      </c>
      <c r="AX1255" t="inlineStr">
        <is>
          <t>991003912529702656</t>
        </is>
      </c>
      <c r="AY1255" t="inlineStr">
        <is>
          <t>2266300480002656</t>
        </is>
      </c>
      <c r="AZ1255" t="inlineStr">
        <is>
          <t>BOOK</t>
        </is>
      </c>
      <c r="BB1255" t="inlineStr">
        <is>
          <t>9780520027282</t>
        </is>
      </c>
      <c r="BC1255" t="inlineStr">
        <is>
          <t>32285001485407</t>
        </is>
      </c>
      <c r="BD1255" t="inlineStr">
        <is>
          <t>893410890</t>
        </is>
      </c>
    </row>
    <row r="1256">
      <c r="A1256" t="inlineStr">
        <is>
          <t>No</t>
        </is>
      </c>
      <c r="B1256" t="inlineStr">
        <is>
          <t>DS498 .D19 1966</t>
        </is>
      </c>
      <c r="C1256" t="inlineStr">
        <is>
          <t>0                      DS 0498000D  19          1966</t>
        </is>
      </c>
      <c r="D1256" t="inlineStr">
        <is>
          <t>The Portuguese in India; being a history of the rise and decline of their Eastern empire.</t>
        </is>
      </c>
      <c r="E1256" t="inlineStr">
        <is>
          <t>V.2</t>
        </is>
      </c>
      <c r="F1256" t="inlineStr">
        <is>
          <t>Yes</t>
        </is>
      </c>
      <c r="G1256" t="inlineStr">
        <is>
          <t>1</t>
        </is>
      </c>
      <c r="H1256" t="inlineStr">
        <is>
          <t>No</t>
        </is>
      </c>
      <c r="I1256" t="inlineStr">
        <is>
          <t>No</t>
        </is>
      </c>
      <c r="J1256" t="inlineStr">
        <is>
          <t>0</t>
        </is>
      </c>
      <c r="K1256" t="inlineStr">
        <is>
          <t>Danvers, Frederick Charles, 1833-1906.</t>
        </is>
      </c>
      <c r="L1256" t="inlineStr">
        <is>
          <t>New York, Octagon Books, 1966.</t>
        </is>
      </c>
      <c r="M1256" t="inlineStr">
        <is>
          <t>1966</t>
        </is>
      </c>
      <c r="O1256" t="inlineStr">
        <is>
          <t>eng</t>
        </is>
      </c>
      <c r="P1256" t="inlineStr">
        <is>
          <t>nyu</t>
        </is>
      </c>
      <c r="R1256" t="inlineStr">
        <is>
          <t xml:space="preserve">DS </t>
        </is>
      </c>
      <c r="S1256" t="n">
        <v>2</v>
      </c>
      <c r="T1256" t="n">
        <v>3</v>
      </c>
      <c r="U1256" t="inlineStr">
        <is>
          <t>2007-06-21</t>
        </is>
      </c>
      <c r="V1256" t="inlineStr">
        <is>
          <t>2007-06-21</t>
        </is>
      </c>
      <c r="W1256" t="inlineStr">
        <is>
          <t>1997-03-10</t>
        </is>
      </c>
      <c r="X1256" t="inlineStr">
        <is>
          <t>1997-03-10</t>
        </is>
      </c>
      <c r="Y1256" t="n">
        <v>247</v>
      </c>
      <c r="Z1256" t="n">
        <v>227</v>
      </c>
      <c r="AA1256" t="n">
        <v>230</v>
      </c>
      <c r="AB1256" t="n">
        <v>3</v>
      </c>
      <c r="AC1256" t="n">
        <v>3</v>
      </c>
      <c r="AD1256" t="n">
        <v>13</v>
      </c>
      <c r="AE1256" t="n">
        <v>13</v>
      </c>
      <c r="AF1256" t="n">
        <v>5</v>
      </c>
      <c r="AG1256" t="n">
        <v>5</v>
      </c>
      <c r="AH1256" t="n">
        <v>4</v>
      </c>
      <c r="AI1256" t="n">
        <v>4</v>
      </c>
      <c r="AJ1256" t="n">
        <v>6</v>
      </c>
      <c r="AK1256" t="n">
        <v>6</v>
      </c>
      <c r="AL1256" t="n">
        <v>2</v>
      </c>
      <c r="AM1256" t="n">
        <v>2</v>
      </c>
      <c r="AN1256" t="n">
        <v>0</v>
      </c>
      <c r="AO1256" t="n">
        <v>0</v>
      </c>
      <c r="AP1256" t="inlineStr">
        <is>
          <t>No</t>
        </is>
      </c>
      <c r="AQ1256" t="inlineStr">
        <is>
          <t>No</t>
        </is>
      </c>
      <c r="AS1256">
        <f>HYPERLINK("https://creighton-primo.hosted.exlibrisgroup.com/primo-explore/search?tab=default_tab&amp;search_scope=EVERYTHING&amp;vid=01CRU&amp;lang=en_US&amp;offset=0&amp;query=any,contains,991002711609702656","Catalog Record")</f>
        <v/>
      </c>
      <c r="AT1256">
        <f>HYPERLINK("http://www.worldcat.org/oclc/409438","WorldCat Record")</f>
        <v/>
      </c>
      <c r="AU1256" t="inlineStr">
        <is>
          <t>10596235339:eng</t>
        </is>
      </c>
      <c r="AV1256" t="inlineStr">
        <is>
          <t>409438</t>
        </is>
      </c>
      <c r="AW1256" t="inlineStr">
        <is>
          <t>991002711609702656</t>
        </is>
      </c>
      <c r="AX1256" t="inlineStr">
        <is>
          <t>991002711609702656</t>
        </is>
      </c>
      <c r="AY1256" t="inlineStr">
        <is>
          <t>2262375460002656</t>
        </is>
      </c>
      <c r="AZ1256" t="inlineStr">
        <is>
          <t>BOOK</t>
        </is>
      </c>
      <c r="BC1256" t="inlineStr">
        <is>
          <t>32285002458106</t>
        </is>
      </c>
      <c r="BD1256" t="inlineStr">
        <is>
          <t>893886610</t>
        </is>
      </c>
    </row>
    <row r="1257">
      <c r="A1257" t="inlineStr">
        <is>
          <t>No</t>
        </is>
      </c>
      <c r="B1257" t="inlineStr">
        <is>
          <t>DS498 .D19 1966</t>
        </is>
      </c>
      <c r="C1257" t="inlineStr">
        <is>
          <t>0                      DS 0498000D  19          1966</t>
        </is>
      </c>
      <c r="D1257" t="inlineStr">
        <is>
          <t>The Portuguese in India; being a history of the rise and decline of their Eastern empire.</t>
        </is>
      </c>
      <c r="E1257" t="inlineStr">
        <is>
          <t>V.1</t>
        </is>
      </c>
      <c r="F1257" t="inlineStr">
        <is>
          <t>Yes</t>
        </is>
      </c>
      <c r="G1257" t="inlineStr">
        <is>
          <t>1</t>
        </is>
      </c>
      <c r="H1257" t="inlineStr">
        <is>
          <t>No</t>
        </is>
      </c>
      <c r="I1257" t="inlineStr">
        <is>
          <t>No</t>
        </is>
      </c>
      <c r="J1257" t="inlineStr">
        <is>
          <t>0</t>
        </is>
      </c>
      <c r="K1257" t="inlineStr">
        <is>
          <t>Danvers, Frederick Charles, 1833-1906.</t>
        </is>
      </c>
      <c r="L1257" t="inlineStr">
        <is>
          <t>New York, Octagon Books, 1966.</t>
        </is>
      </c>
      <c r="M1257" t="inlineStr">
        <is>
          <t>1966</t>
        </is>
      </c>
      <c r="O1257" t="inlineStr">
        <is>
          <t>eng</t>
        </is>
      </c>
      <c r="P1257" t="inlineStr">
        <is>
          <t>nyu</t>
        </is>
      </c>
      <c r="R1257" t="inlineStr">
        <is>
          <t xml:space="preserve">DS </t>
        </is>
      </c>
      <c r="S1257" t="n">
        <v>1</v>
      </c>
      <c r="T1257" t="n">
        <v>3</v>
      </c>
      <c r="U1257" t="inlineStr">
        <is>
          <t>2007-06-21</t>
        </is>
      </c>
      <c r="V1257" t="inlineStr">
        <is>
          <t>2007-06-21</t>
        </is>
      </c>
      <c r="W1257" t="inlineStr">
        <is>
          <t>1997-03-10</t>
        </is>
      </c>
      <c r="X1257" t="inlineStr">
        <is>
          <t>1997-03-10</t>
        </is>
      </c>
      <c r="Y1257" t="n">
        <v>247</v>
      </c>
      <c r="Z1257" t="n">
        <v>227</v>
      </c>
      <c r="AA1257" t="n">
        <v>230</v>
      </c>
      <c r="AB1257" t="n">
        <v>3</v>
      </c>
      <c r="AC1257" t="n">
        <v>3</v>
      </c>
      <c r="AD1257" t="n">
        <v>13</v>
      </c>
      <c r="AE1257" t="n">
        <v>13</v>
      </c>
      <c r="AF1257" t="n">
        <v>5</v>
      </c>
      <c r="AG1257" t="n">
        <v>5</v>
      </c>
      <c r="AH1257" t="n">
        <v>4</v>
      </c>
      <c r="AI1257" t="n">
        <v>4</v>
      </c>
      <c r="AJ1257" t="n">
        <v>6</v>
      </c>
      <c r="AK1257" t="n">
        <v>6</v>
      </c>
      <c r="AL1257" t="n">
        <v>2</v>
      </c>
      <c r="AM1257" t="n">
        <v>2</v>
      </c>
      <c r="AN1257" t="n">
        <v>0</v>
      </c>
      <c r="AO1257" t="n">
        <v>0</v>
      </c>
      <c r="AP1257" t="inlineStr">
        <is>
          <t>No</t>
        </is>
      </c>
      <c r="AQ1257" t="inlineStr">
        <is>
          <t>No</t>
        </is>
      </c>
      <c r="AS1257">
        <f>HYPERLINK("https://creighton-primo.hosted.exlibrisgroup.com/primo-explore/search?tab=default_tab&amp;search_scope=EVERYTHING&amp;vid=01CRU&amp;lang=en_US&amp;offset=0&amp;query=any,contains,991002711609702656","Catalog Record")</f>
        <v/>
      </c>
      <c r="AT1257">
        <f>HYPERLINK("http://www.worldcat.org/oclc/409438","WorldCat Record")</f>
        <v/>
      </c>
      <c r="AU1257" t="inlineStr">
        <is>
          <t>10596235339:eng</t>
        </is>
      </c>
      <c r="AV1257" t="inlineStr">
        <is>
          <t>409438</t>
        </is>
      </c>
      <c r="AW1257" t="inlineStr">
        <is>
          <t>991002711609702656</t>
        </is>
      </c>
      <c r="AX1257" t="inlineStr">
        <is>
          <t>991002711609702656</t>
        </is>
      </c>
      <c r="AY1257" t="inlineStr">
        <is>
          <t>2262375460002656</t>
        </is>
      </c>
      <c r="AZ1257" t="inlineStr">
        <is>
          <t>BOOK</t>
        </is>
      </c>
      <c r="BC1257" t="inlineStr">
        <is>
          <t>32285002458098</t>
        </is>
      </c>
      <c r="BD1257" t="inlineStr">
        <is>
          <t>893880301</t>
        </is>
      </c>
    </row>
    <row r="1258">
      <c r="A1258" t="inlineStr">
        <is>
          <t>No</t>
        </is>
      </c>
      <c r="B1258" t="inlineStr">
        <is>
          <t>DS498 .R433</t>
        </is>
      </c>
      <c r="C1258" t="inlineStr">
        <is>
          <t>0                      DS 0498000R  433</t>
        </is>
      </c>
      <c r="D1258" t="inlineStr">
        <is>
          <t>Goa, Rome of the Orient, by Rémy [pseud.] Translated from the French by Lancelot C. Sheppard.</t>
        </is>
      </c>
      <c r="F1258" t="inlineStr">
        <is>
          <t>No</t>
        </is>
      </c>
      <c r="G1258" t="inlineStr">
        <is>
          <t>1</t>
        </is>
      </c>
      <c r="H1258" t="inlineStr">
        <is>
          <t>No</t>
        </is>
      </c>
      <c r="I1258" t="inlineStr">
        <is>
          <t>No</t>
        </is>
      </c>
      <c r="J1258" t="inlineStr">
        <is>
          <t>0</t>
        </is>
      </c>
      <c r="K1258" t="inlineStr">
        <is>
          <t>Rémy, 1904-1984.</t>
        </is>
      </c>
      <c r="L1258" t="inlineStr">
        <is>
          <t>London, A. Baker, [1957].</t>
        </is>
      </c>
      <c r="M1258" t="inlineStr">
        <is>
          <t>1957</t>
        </is>
      </c>
      <c r="O1258" t="inlineStr">
        <is>
          <t>eng</t>
        </is>
      </c>
      <c r="P1258" t="inlineStr">
        <is>
          <t>enk</t>
        </is>
      </c>
      <c r="R1258" t="inlineStr">
        <is>
          <t xml:space="preserve">DS </t>
        </is>
      </c>
      <c r="S1258" t="n">
        <v>1</v>
      </c>
      <c r="T1258" t="n">
        <v>1</v>
      </c>
      <c r="U1258" t="inlineStr">
        <is>
          <t>2007-08-20</t>
        </is>
      </c>
      <c r="V1258" t="inlineStr">
        <is>
          <t>2007-08-20</t>
        </is>
      </c>
      <c r="W1258" t="inlineStr">
        <is>
          <t>1996-08-09</t>
        </is>
      </c>
      <c r="X1258" t="inlineStr">
        <is>
          <t>1996-08-09</t>
        </is>
      </c>
      <c r="Y1258" t="n">
        <v>198</v>
      </c>
      <c r="Z1258" t="n">
        <v>169</v>
      </c>
      <c r="AA1258" t="n">
        <v>175</v>
      </c>
      <c r="AB1258" t="n">
        <v>2</v>
      </c>
      <c r="AC1258" t="n">
        <v>2</v>
      </c>
      <c r="AD1258" t="n">
        <v>11</v>
      </c>
      <c r="AE1258" t="n">
        <v>11</v>
      </c>
      <c r="AF1258" t="n">
        <v>3</v>
      </c>
      <c r="AG1258" t="n">
        <v>3</v>
      </c>
      <c r="AH1258" t="n">
        <v>4</v>
      </c>
      <c r="AI1258" t="n">
        <v>4</v>
      </c>
      <c r="AJ1258" t="n">
        <v>7</v>
      </c>
      <c r="AK1258" t="n">
        <v>7</v>
      </c>
      <c r="AL1258" t="n">
        <v>1</v>
      </c>
      <c r="AM1258" t="n">
        <v>1</v>
      </c>
      <c r="AN1258" t="n">
        <v>0</v>
      </c>
      <c r="AO1258" t="n">
        <v>0</v>
      </c>
      <c r="AP1258" t="inlineStr">
        <is>
          <t>No</t>
        </is>
      </c>
      <c r="AQ1258" t="inlineStr">
        <is>
          <t>Yes</t>
        </is>
      </c>
      <c r="AR1258">
        <f>HYPERLINK("http://catalog.hathitrust.org/Record/001266956","HathiTrust Record")</f>
        <v/>
      </c>
      <c r="AS1258">
        <f>HYPERLINK("https://creighton-primo.hosted.exlibrisgroup.com/primo-explore/search?tab=default_tab&amp;search_scope=EVERYTHING&amp;vid=01CRU&amp;lang=en_US&amp;offset=0&amp;query=any,contains,991003369559702656","Catalog Record")</f>
        <v/>
      </c>
      <c r="AT1258">
        <f>HYPERLINK("http://www.worldcat.org/oclc/905189","WorldCat Record")</f>
        <v/>
      </c>
      <c r="AU1258" t="inlineStr">
        <is>
          <t>146294423:eng</t>
        </is>
      </c>
      <c r="AV1258" t="inlineStr">
        <is>
          <t>905189</t>
        </is>
      </c>
      <c r="AW1258" t="inlineStr">
        <is>
          <t>991003369559702656</t>
        </is>
      </c>
      <c r="AX1258" t="inlineStr">
        <is>
          <t>991003369559702656</t>
        </is>
      </c>
      <c r="AY1258" t="inlineStr">
        <is>
          <t>2264057580002656</t>
        </is>
      </c>
      <c r="AZ1258" t="inlineStr">
        <is>
          <t>BOOK</t>
        </is>
      </c>
      <c r="BC1258" t="inlineStr">
        <is>
          <t>32285002273067</t>
        </is>
      </c>
      <c r="BD1258" t="inlineStr">
        <is>
          <t>893592468</t>
        </is>
      </c>
    </row>
    <row r="1259">
      <c r="A1259" t="inlineStr">
        <is>
          <t>No</t>
        </is>
      </c>
      <c r="B1259" t="inlineStr">
        <is>
          <t>DS5 .A817 1993</t>
        </is>
      </c>
      <c r="C1259" t="inlineStr">
        <is>
          <t>0                      DS 0005000A  817         1993</t>
        </is>
      </c>
      <c r="D1259" t="inlineStr">
        <is>
          <t>Asian and Asian American studies / compiled by the Choice editorial staff ; editor &amp; publisher, Patricia E. Sabosik.</t>
        </is>
      </c>
      <c r="F1259" t="inlineStr">
        <is>
          <t>No</t>
        </is>
      </c>
      <c r="G1259" t="inlineStr">
        <is>
          <t>1</t>
        </is>
      </c>
      <c r="H1259" t="inlineStr">
        <is>
          <t>No</t>
        </is>
      </c>
      <c r="I1259" t="inlineStr">
        <is>
          <t>No</t>
        </is>
      </c>
      <c r="J1259" t="inlineStr">
        <is>
          <t>0</t>
        </is>
      </c>
      <c r="L1259" t="inlineStr">
        <is>
          <t>Middletown, CT : Choice, c1993.</t>
        </is>
      </c>
      <c r="M1259" t="inlineStr">
        <is>
          <t>1993</t>
        </is>
      </c>
      <c r="O1259" t="inlineStr">
        <is>
          <t>eng</t>
        </is>
      </c>
      <c r="P1259" t="inlineStr">
        <is>
          <t>ctu</t>
        </is>
      </c>
      <c r="Q1259" t="inlineStr">
        <is>
          <t>Choice ethnic studies reviews</t>
        </is>
      </c>
      <c r="R1259" t="inlineStr">
        <is>
          <t xml:space="preserve">DS </t>
        </is>
      </c>
      <c r="S1259" t="n">
        <v>5</v>
      </c>
      <c r="T1259" t="n">
        <v>5</v>
      </c>
      <c r="U1259" t="inlineStr">
        <is>
          <t>2000-03-27</t>
        </is>
      </c>
      <c r="V1259" t="inlineStr">
        <is>
          <t>2000-03-27</t>
        </is>
      </c>
      <c r="W1259" t="inlineStr">
        <is>
          <t>1994-03-22</t>
        </is>
      </c>
      <c r="X1259" t="inlineStr">
        <is>
          <t>1994-03-22</t>
        </is>
      </c>
      <c r="Y1259" t="n">
        <v>75</v>
      </c>
      <c r="Z1259" t="n">
        <v>74</v>
      </c>
      <c r="AA1259" t="n">
        <v>77</v>
      </c>
      <c r="AB1259" t="n">
        <v>1</v>
      </c>
      <c r="AC1259" t="n">
        <v>1</v>
      </c>
      <c r="AD1259" t="n">
        <v>4</v>
      </c>
      <c r="AE1259" t="n">
        <v>4</v>
      </c>
      <c r="AF1259" t="n">
        <v>1</v>
      </c>
      <c r="AG1259" t="n">
        <v>1</v>
      </c>
      <c r="AH1259" t="n">
        <v>2</v>
      </c>
      <c r="AI1259" t="n">
        <v>2</v>
      </c>
      <c r="AJ1259" t="n">
        <v>2</v>
      </c>
      <c r="AK1259" t="n">
        <v>2</v>
      </c>
      <c r="AL1259" t="n">
        <v>0</v>
      </c>
      <c r="AM1259" t="n">
        <v>0</v>
      </c>
      <c r="AN1259" t="n">
        <v>0</v>
      </c>
      <c r="AO1259" t="n">
        <v>0</v>
      </c>
      <c r="AP1259" t="inlineStr">
        <is>
          <t>No</t>
        </is>
      </c>
      <c r="AQ1259" t="inlineStr">
        <is>
          <t>Yes</t>
        </is>
      </c>
      <c r="AR1259">
        <f>HYPERLINK("http://catalog.hathitrust.org/Record/002866768","HathiTrust Record")</f>
        <v/>
      </c>
      <c r="AS1259">
        <f>HYPERLINK("https://creighton-primo.hosted.exlibrisgroup.com/primo-explore/search?tab=default_tab&amp;search_scope=EVERYTHING&amp;vid=01CRU&amp;lang=en_US&amp;offset=0&amp;query=any,contains,991002221399702656","Catalog Record")</f>
        <v/>
      </c>
      <c r="AT1259">
        <f>HYPERLINK("http://www.worldcat.org/oclc/28617312","WorldCat Record")</f>
        <v/>
      </c>
      <c r="AU1259" t="inlineStr">
        <is>
          <t>30575169:eng</t>
        </is>
      </c>
      <c r="AV1259" t="inlineStr">
        <is>
          <t>28617312</t>
        </is>
      </c>
      <c r="AW1259" t="inlineStr">
        <is>
          <t>991002221399702656</t>
        </is>
      </c>
      <c r="AX1259" t="inlineStr">
        <is>
          <t>991002221399702656</t>
        </is>
      </c>
      <c r="AY1259" t="inlineStr">
        <is>
          <t>2266717220002656</t>
        </is>
      </c>
      <c r="AZ1259" t="inlineStr">
        <is>
          <t>BOOK</t>
        </is>
      </c>
      <c r="BC1259" t="inlineStr">
        <is>
          <t>32285001857076</t>
        </is>
      </c>
      <c r="BD1259" t="inlineStr">
        <is>
          <t>893232701</t>
        </is>
      </c>
    </row>
    <row r="1260">
      <c r="A1260" t="inlineStr">
        <is>
          <t>No</t>
        </is>
      </c>
      <c r="B1260" t="inlineStr">
        <is>
          <t>DS504.5 .K59 2004</t>
        </is>
      </c>
      <c r="C1260" t="inlineStr">
        <is>
          <t>0                      DS 0504500K  59          2004</t>
        </is>
      </c>
      <c r="D1260" t="inlineStr">
        <is>
          <t>Understanding Australia's neighbours : an introduction to East and Southeast Asia / Nick Knight.</t>
        </is>
      </c>
      <c r="F1260" t="inlineStr">
        <is>
          <t>No</t>
        </is>
      </c>
      <c r="G1260" t="inlineStr">
        <is>
          <t>1</t>
        </is>
      </c>
      <c r="H1260" t="inlineStr">
        <is>
          <t>No</t>
        </is>
      </c>
      <c r="I1260" t="inlineStr">
        <is>
          <t>No</t>
        </is>
      </c>
      <c r="J1260" t="inlineStr">
        <is>
          <t>0</t>
        </is>
      </c>
      <c r="K1260" t="inlineStr">
        <is>
          <t>Knight, Nick, 1947-</t>
        </is>
      </c>
      <c r="L1260" t="inlineStr">
        <is>
          <t>Cambridge, U.K. ; New York : Cambridge University Press, 2004.</t>
        </is>
      </c>
      <c r="M1260" t="inlineStr">
        <is>
          <t>2004</t>
        </is>
      </c>
      <c r="N1260" t="inlineStr">
        <is>
          <t>2nd ed.</t>
        </is>
      </c>
      <c r="O1260" t="inlineStr">
        <is>
          <t>eng</t>
        </is>
      </c>
      <c r="P1260" t="inlineStr">
        <is>
          <t>nyu</t>
        </is>
      </c>
      <c r="R1260" t="inlineStr">
        <is>
          <t xml:space="preserve">DS </t>
        </is>
      </c>
      <c r="S1260" t="n">
        <v>1</v>
      </c>
      <c r="T1260" t="n">
        <v>1</v>
      </c>
      <c r="U1260" t="inlineStr">
        <is>
          <t>2005-01-19</t>
        </is>
      </c>
      <c r="V1260" t="inlineStr">
        <is>
          <t>2005-01-19</t>
        </is>
      </c>
      <c r="W1260" t="inlineStr">
        <is>
          <t>2005-01-19</t>
        </is>
      </c>
      <c r="X1260" t="inlineStr">
        <is>
          <t>2005-01-19</t>
        </is>
      </c>
      <c r="Y1260" t="n">
        <v>195</v>
      </c>
      <c r="Z1260" t="n">
        <v>84</v>
      </c>
      <c r="AA1260" t="n">
        <v>124</v>
      </c>
      <c r="AB1260" t="n">
        <v>1</v>
      </c>
      <c r="AC1260" t="n">
        <v>1</v>
      </c>
      <c r="AD1260" t="n">
        <v>4</v>
      </c>
      <c r="AE1260" t="n">
        <v>6</v>
      </c>
      <c r="AF1260" t="n">
        <v>2</v>
      </c>
      <c r="AG1260" t="n">
        <v>3</v>
      </c>
      <c r="AH1260" t="n">
        <v>1</v>
      </c>
      <c r="AI1260" t="n">
        <v>2</v>
      </c>
      <c r="AJ1260" t="n">
        <v>2</v>
      </c>
      <c r="AK1260" t="n">
        <v>4</v>
      </c>
      <c r="AL1260" t="n">
        <v>0</v>
      </c>
      <c r="AM1260" t="n">
        <v>0</v>
      </c>
      <c r="AN1260" t="n">
        <v>0</v>
      </c>
      <c r="AO1260" t="n">
        <v>0</v>
      </c>
      <c r="AP1260" t="inlineStr">
        <is>
          <t>No</t>
        </is>
      </c>
      <c r="AQ1260" t="inlineStr">
        <is>
          <t>No</t>
        </is>
      </c>
      <c r="AS1260">
        <f>HYPERLINK("https://creighton-primo.hosted.exlibrisgroup.com/primo-explore/search?tab=default_tab&amp;search_scope=EVERYTHING&amp;vid=01CRU&amp;lang=en_US&amp;offset=0&amp;query=any,contains,991004429219702656","Catalog Record")</f>
        <v/>
      </c>
      <c r="AT1260">
        <f>HYPERLINK("http://www.worldcat.org/oclc/55016403","WorldCat Record")</f>
        <v/>
      </c>
      <c r="AU1260" t="inlineStr">
        <is>
          <t>685123025:eng</t>
        </is>
      </c>
      <c r="AV1260" t="inlineStr">
        <is>
          <t>55016403</t>
        </is>
      </c>
      <c r="AW1260" t="inlineStr">
        <is>
          <t>991004429219702656</t>
        </is>
      </c>
      <c r="AX1260" t="inlineStr">
        <is>
          <t>991004429219702656</t>
        </is>
      </c>
      <c r="AY1260" t="inlineStr">
        <is>
          <t>2260481530002656</t>
        </is>
      </c>
      <c r="AZ1260" t="inlineStr">
        <is>
          <t>BOOK</t>
        </is>
      </c>
      <c r="BB1260" t="inlineStr">
        <is>
          <t>9780521549417</t>
        </is>
      </c>
      <c r="BC1260" t="inlineStr">
        <is>
          <t>32285005021893</t>
        </is>
      </c>
      <c r="BD1260" t="inlineStr">
        <is>
          <t>893599826</t>
        </is>
      </c>
    </row>
    <row r="1261">
      <c r="A1261" t="inlineStr">
        <is>
          <t>No</t>
        </is>
      </c>
      <c r="B1261" t="inlineStr">
        <is>
          <t>DS504.5 .U4 2007</t>
        </is>
      </c>
      <c r="C1261" t="inlineStr">
        <is>
          <t>0                      DS 0504500U  4           2007</t>
        </is>
      </c>
      <c r="D1261" t="inlineStr">
        <is>
          <t>Understanding contemporary Asia Pacific / edited by Katherine Palmer Kaup.</t>
        </is>
      </c>
      <c r="F1261" t="inlineStr">
        <is>
          <t>No</t>
        </is>
      </c>
      <c r="G1261" t="inlineStr">
        <is>
          <t>1</t>
        </is>
      </c>
      <c r="H1261" t="inlineStr">
        <is>
          <t>No</t>
        </is>
      </c>
      <c r="I1261" t="inlineStr">
        <is>
          <t>No</t>
        </is>
      </c>
      <c r="J1261" t="inlineStr">
        <is>
          <t>0</t>
        </is>
      </c>
      <c r="L1261" t="inlineStr">
        <is>
          <t>Boulder, Colo. : Lynne Rienner Publishers, 2007.</t>
        </is>
      </c>
      <c r="M1261" t="inlineStr">
        <is>
          <t>2007</t>
        </is>
      </c>
      <c r="O1261" t="inlineStr">
        <is>
          <t>eng</t>
        </is>
      </c>
      <c r="P1261" t="inlineStr">
        <is>
          <t>cou</t>
        </is>
      </c>
      <c r="Q1261" t="inlineStr">
        <is>
          <t>Understanding</t>
        </is>
      </c>
      <c r="R1261" t="inlineStr">
        <is>
          <t xml:space="preserve">DS </t>
        </is>
      </c>
      <c r="S1261" t="n">
        <v>1</v>
      </c>
      <c r="T1261" t="n">
        <v>1</v>
      </c>
      <c r="U1261" t="inlineStr">
        <is>
          <t>2009-06-11</t>
        </is>
      </c>
      <c r="V1261" t="inlineStr">
        <is>
          <t>2009-06-11</t>
        </is>
      </c>
      <c r="W1261" t="inlineStr">
        <is>
          <t>2009-06-11</t>
        </is>
      </c>
      <c r="X1261" t="inlineStr">
        <is>
          <t>2009-06-11</t>
        </is>
      </c>
      <c r="Y1261" t="n">
        <v>284</v>
      </c>
      <c r="Z1261" t="n">
        <v>184</v>
      </c>
      <c r="AA1261" t="n">
        <v>195</v>
      </c>
      <c r="AB1261" t="n">
        <v>2</v>
      </c>
      <c r="AC1261" t="n">
        <v>2</v>
      </c>
      <c r="AD1261" t="n">
        <v>8</v>
      </c>
      <c r="AE1261" t="n">
        <v>8</v>
      </c>
      <c r="AF1261" t="n">
        <v>1</v>
      </c>
      <c r="AG1261" t="n">
        <v>1</v>
      </c>
      <c r="AH1261" t="n">
        <v>4</v>
      </c>
      <c r="AI1261" t="n">
        <v>4</v>
      </c>
      <c r="AJ1261" t="n">
        <v>4</v>
      </c>
      <c r="AK1261" t="n">
        <v>4</v>
      </c>
      <c r="AL1261" t="n">
        <v>1</v>
      </c>
      <c r="AM1261" t="n">
        <v>1</v>
      </c>
      <c r="AN1261" t="n">
        <v>0</v>
      </c>
      <c r="AO1261" t="n">
        <v>0</v>
      </c>
      <c r="AP1261" t="inlineStr">
        <is>
          <t>No</t>
        </is>
      </c>
      <c r="AQ1261" t="inlineStr">
        <is>
          <t>Yes</t>
        </is>
      </c>
      <c r="AR1261">
        <f>HYPERLINK("http://catalog.hathitrust.org/Record/005587390","HathiTrust Record")</f>
        <v/>
      </c>
      <c r="AS1261">
        <f>HYPERLINK("https://creighton-primo.hosted.exlibrisgroup.com/primo-explore/search?tab=default_tab&amp;search_scope=EVERYTHING&amp;vid=01CRU&amp;lang=en_US&amp;offset=0&amp;query=any,contains,991005321039702656","Catalog Record")</f>
        <v/>
      </c>
      <c r="AT1261">
        <f>HYPERLINK("http://www.worldcat.org/oclc/77048218","WorldCat Record")</f>
        <v/>
      </c>
      <c r="AU1261" t="inlineStr">
        <is>
          <t>62777824:eng</t>
        </is>
      </c>
      <c r="AV1261" t="inlineStr">
        <is>
          <t>77048218</t>
        </is>
      </c>
      <c r="AW1261" t="inlineStr">
        <is>
          <t>991005321039702656</t>
        </is>
      </c>
      <c r="AX1261" t="inlineStr">
        <is>
          <t>991005321039702656</t>
        </is>
      </c>
      <c r="AY1261" t="inlineStr">
        <is>
          <t>2268806000002656</t>
        </is>
      </c>
      <c r="AZ1261" t="inlineStr">
        <is>
          <t>BOOK</t>
        </is>
      </c>
      <c r="BB1261" t="inlineStr">
        <is>
          <t>9781588260611</t>
        </is>
      </c>
      <c r="BC1261" t="inlineStr">
        <is>
          <t>32285005534150</t>
        </is>
      </c>
      <c r="BD1261" t="inlineStr">
        <is>
          <t>893802117</t>
        </is>
      </c>
    </row>
    <row r="1262">
      <c r="A1262" t="inlineStr">
        <is>
          <t>No</t>
        </is>
      </c>
      <c r="B1262" t="inlineStr">
        <is>
          <t>DS507 .B88</t>
        </is>
      </c>
      <c r="C1262" t="inlineStr">
        <is>
          <t>0                      DS 0507000B  88</t>
        </is>
      </c>
      <c r="D1262" t="inlineStr">
        <is>
          <t>The Far East and the New America : a picturesque and historic account of these lands and peoples / by G. Waldo Browne.</t>
        </is>
      </c>
      <c r="E1262" t="inlineStr">
        <is>
          <t>V.5</t>
        </is>
      </c>
      <c r="F1262" t="inlineStr">
        <is>
          <t>Yes</t>
        </is>
      </c>
      <c r="G1262" t="inlineStr">
        <is>
          <t>1</t>
        </is>
      </c>
      <c r="H1262" t="inlineStr">
        <is>
          <t>No</t>
        </is>
      </c>
      <c r="I1262" t="inlineStr">
        <is>
          <t>No</t>
        </is>
      </c>
      <c r="J1262" t="inlineStr">
        <is>
          <t>0</t>
        </is>
      </c>
      <c r="K1262" t="inlineStr">
        <is>
          <t>Browne, George Waldo, 1851-1930.</t>
        </is>
      </c>
      <c r="L1262" t="inlineStr">
        <is>
          <t>New York, Los Angeles : R.H. Whitten Company, 1901.</t>
        </is>
      </c>
      <c r="M1262" t="inlineStr">
        <is>
          <t>1901</t>
        </is>
      </c>
      <c r="O1262" t="inlineStr">
        <is>
          <t>eng</t>
        </is>
      </c>
      <c r="P1262" t="inlineStr">
        <is>
          <t>nyu</t>
        </is>
      </c>
      <c r="R1262" t="inlineStr">
        <is>
          <t xml:space="preserve">DS </t>
        </is>
      </c>
      <c r="S1262" t="n">
        <v>0</v>
      </c>
      <c r="T1262" t="n">
        <v>0</v>
      </c>
      <c r="U1262" t="inlineStr">
        <is>
          <t>2002-05-29</t>
        </is>
      </c>
      <c r="V1262" t="inlineStr">
        <is>
          <t>2002-05-29</t>
        </is>
      </c>
      <c r="W1262" t="inlineStr">
        <is>
          <t>1996-08-26</t>
        </is>
      </c>
      <c r="X1262" t="inlineStr">
        <is>
          <t>1996-08-26</t>
        </is>
      </c>
      <c r="Y1262" t="n">
        <v>27</v>
      </c>
      <c r="Z1262" t="n">
        <v>22</v>
      </c>
      <c r="AA1262" t="n">
        <v>50</v>
      </c>
      <c r="AB1262" t="n">
        <v>1</v>
      </c>
      <c r="AC1262" t="n">
        <v>2</v>
      </c>
      <c r="AD1262" t="n">
        <v>0</v>
      </c>
      <c r="AE1262" t="n">
        <v>3</v>
      </c>
      <c r="AF1262" t="n">
        <v>0</v>
      </c>
      <c r="AG1262" t="n">
        <v>1</v>
      </c>
      <c r="AH1262" t="n">
        <v>0</v>
      </c>
      <c r="AI1262" t="n">
        <v>1</v>
      </c>
      <c r="AJ1262" t="n">
        <v>0</v>
      </c>
      <c r="AK1262" t="n">
        <v>1</v>
      </c>
      <c r="AL1262" t="n">
        <v>0</v>
      </c>
      <c r="AM1262" t="n">
        <v>1</v>
      </c>
      <c r="AN1262" t="n">
        <v>0</v>
      </c>
      <c r="AO1262" t="n">
        <v>0</v>
      </c>
      <c r="AP1262" t="inlineStr">
        <is>
          <t>Yes</t>
        </is>
      </c>
      <c r="AQ1262" t="inlineStr">
        <is>
          <t>No</t>
        </is>
      </c>
      <c r="AR1262">
        <f>HYPERLINK("http://catalog.hathitrust.org/Record/007697074","HathiTrust Record")</f>
        <v/>
      </c>
      <c r="AS1262">
        <f>HYPERLINK("https://creighton-primo.hosted.exlibrisgroup.com/primo-explore/search?tab=default_tab&amp;search_scope=EVERYTHING&amp;vid=01CRU&amp;lang=en_US&amp;offset=0&amp;query=any,contains,991004558769702656","Catalog Record")</f>
        <v/>
      </c>
      <c r="AT1262">
        <f>HYPERLINK("http://www.worldcat.org/oclc/3982866","WorldCat Record")</f>
        <v/>
      </c>
      <c r="AU1262" t="inlineStr">
        <is>
          <t>13713995:eng</t>
        </is>
      </c>
      <c r="AV1262" t="inlineStr">
        <is>
          <t>3982866</t>
        </is>
      </c>
      <c r="AW1262" t="inlineStr">
        <is>
          <t>991004558769702656</t>
        </is>
      </c>
      <c r="AX1262" t="inlineStr">
        <is>
          <t>991004558769702656</t>
        </is>
      </c>
      <c r="AY1262" t="inlineStr">
        <is>
          <t>2271119640002656</t>
        </is>
      </c>
      <c r="AZ1262" t="inlineStr">
        <is>
          <t>BOOK</t>
        </is>
      </c>
      <c r="BC1262" t="inlineStr">
        <is>
          <t>32285002289089</t>
        </is>
      </c>
      <c r="BD1262" t="inlineStr">
        <is>
          <t>893593852</t>
        </is>
      </c>
    </row>
    <row r="1263">
      <c r="A1263" t="inlineStr">
        <is>
          <t>No</t>
        </is>
      </c>
      <c r="B1263" t="inlineStr">
        <is>
          <t>DS507 .B88</t>
        </is>
      </c>
      <c r="C1263" t="inlineStr">
        <is>
          <t>0                      DS 0507000B  88</t>
        </is>
      </c>
      <c r="D1263" t="inlineStr">
        <is>
          <t>The Far East and the New America : a picturesque and historic account of these lands and peoples / by G. Waldo Browne.</t>
        </is>
      </c>
      <c r="E1263" t="inlineStr">
        <is>
          <t>V.4</t>
        </is>
      </c>
      <c r="F1263" t="inlineStr">
        <is>
          <t>Yes</t>
        </is>
      </c>
      <c r="G1263" t="inlineStr">
        <is>
          <t>1</t>
        </is>
      </c>
      <c r="H1263" t="inlineStr">
        <is>
          <t>No</t>
        </is>
      </c>
      <c r="I1263" t="inlineStr">
        <is>
          <t>No</t>
        </is>
      </c>
      <c r="J1263" t="inlineStr">
        <is>
          <t>0</t>
        </is>
      </c>
      <c r="K1263" t="inlineStr">
        <is>
          <t>Browne, George Waldo, 1851-1930.</t>
        </is>
      </c>
      <c r="L1263" t="inlineStr">
        <is>
          <t>New York, Los Angeles : R.H. Whitten Company, 1901.</t>
        </is>
      </c>
      <c r="M1263" t="inlineStr">
        <is>
          <t>1901</t>
        </is>
      </c>
      <c r="O1263" t="inlineStr">
        <is>
          <t>eng</t>
        </is>
      </c>
      <c r="P1263" t="inlineStr">
        <is>
          <t>nyu</t>
        </is>
      </c>
      <c r="R1263" t="inlineStr">
        <is>
          <t xml:space="preserve">DS </t>
        </is>
      </c>
      <c r="S1263" t="n">
        <v>0</v>
      </c>
      <c r="T1263" t="n">
        <v>0</v>
      </c>
      <c r="U1263" t="inlineStr">
        <is>
          <t>2002-05-29</t>
        </is>
      </c>
      <c r="V1263" t="inlineStr">
        <is>
          <t>2002-05-29</t>
        </is>
      </c>
      <c r="W1263" t="inlineStr">
        <is>
          <t>1996-08-26</t>
        </is>
      </c>
      <c r="X1263" t="inlineStr">
        <is>
          <t>1996-08-26</t>
        </is>
      </c>
      <c r="Y1263" t="n">
        <v>27</v>
      </c>
      <c r="Z1263" t="n">
        <v>22</v>
      </c>
      <c r="AA1263" t="n">
        <v>50</v>
      </c>
      <c r="AB1263" t="n">
        <v>1</v>
      </c>
      <c r="AC1263" t="n">
        <v>2</v>
      </c>
      <c r="AD1263" t="n">
        <v>0</v>
      </c>
      <c r="AE1263" t="n">
        <v>3</v>
      </c>
      <c r="AF1263" t="n">
        <v>0</v>
      </c>
      <c r="AG1263" t="n">
        <v>1</v>
      </c>
      <c r="AH1263" t="n">
        <v>0</v>
      </c>
      <c r="AI1263" t="n">
        <v>1</v>
      </c>
      <c r="AJ1263" t="n">
        <v>0</v>
      </c>
      <c r="AK1263" t="n">
        <v>1</v>
      </c>
      <c r="AL1263" t="n">
        <v>0</v>
      </c>
      <c r="AM1263" t="n">
        <v>1</v>
      </c>
      <c r="AN1263" t="n">
        <v>0</v>
      </c>
      <c r="AO1263" t="n">
        <v>0</v>
      </c>
      <c r="AP1263" t="inlineStr">
        <is>
          <t>Yes</t>
        </is>
      </c>
      <c r="AQ1263" t="inlineStr">
        <is>
          <t>No</t>
        </is>
      </c>
      <c r="AR1263">
        <f>HYPERLINK("http://catalog.hathitrust.org/Record/007697074","HathiTrust Record")</f>
        <v/>
      </c>
      <c r="AS1263">
        <f>HYPERLINK("https://creighton-primo.hosted.exlibrisgroup.com/primo-explore/search?tab=default_tab&amp;search_scope=EVERYTHING&amp;vid=01CRU&amp;lang=en_US&amp;offset=0&amp;query=any,contains,991004558769702656","Catalog Record")</f>
        <v/>
      </c>
      <c r="AT1263">
        <f>HYPERLINK("http://www.worldcat.org/oclc/3982866","WorldCat Record")</f>
        <v/>
      </c>
      <c r="AU1263" t="inlineStr">
        <is>
          <t>13713995:eng</t>
        </is>
      </c>
      <c r="AV1263" t="inlineStr">
        <is>
          <t>3982866</t>
        </is>
      </c>
      <c r="AW1263" t="inlineStr">
        <is>
          <t>991004558769702656</t>
        </is>
      </c>
      <c r="AX1263" t="inlineStr">
        <is>
          <t>991004558769702656</t>
        </is>
      </c>
      <c r="AY1263" t="inlineStr">
        <is>
          <t>2271119640002656</t>
        </is>
      </c>
      <c r="AZ1263" t="inlineStr">
        <is>
          <t>BOOK</t>
        </is>
      </c>
      <c r="BC1263" t="inlineStr">
        <is>
          <t>32285002289071</t>
        </is>
      </c>
      <c r="BD1263" t="inlineStr">
        <is>
          <t>893628226</t>
        </is>
      </c>
    </row>
    <row r="1264">
      <c r="A1264" t="inlineStr">
        <is>
          <t>No</t>
        </is>
      </c>
      <c r="B1264" t="inlineStr">
        <is>
          <t>DS507 .B88</t>
        </is>
      </c>
      <c r="C1264" t="inlineStr">
        <is>
          <t>0                      DS 0507000B  88</t>
        </is>
      </c>
      <c r="D1264" t="inlineStr">
        <is>
          <t>The Far East and the New America : a picturesque and historic account of these lands and peoples / by G. Waldo Browne.</t>
        </is>
      </c>
      <c r="E1264" t="inlineStr">
        <is>
          <t>V.1</t>
        </is>
      </c>
      <c r="F1264" t="inlineStr">
        <is>
          <t>Yes</t>
        </is>
      </c>
      <c r="G1264" t="inlineStr">
        <is>
          <t>1</t>
        </is>
      </c>
      <c r="H1264" t="inlineStr">
        <is>
          <t>No</t>
        </is>
      </c>
      <c r="I1264" t="inlineStr">
        <is>
          <t>No</t>
        </is>
      </c>
      <c r="J1264" t="inlineStr">
        <is>
          <t>0</t>
        </is>
      </c>
      <c r="K1264" t="inlineStr">
        <is>
          <t>Browne, George Waldo, 1851-1930.</t>
        </is>
      </c>
      <c r="L1264" t="inlineStr">
        <is>
          <t>New York, Los Angeles : R.H. Whitten Company, 1901.</t>
        </is>
      </c>
      <c r="M1264" t="inlineStr">
        <is>
          <t>1901</t>
        </is>
      </c>
      <c r="O1264" t="inlineStr">
        <is>
          <t>eng</t>
        </is>
      </c>
      <c r="P1264" t="inlineStr">
        <is>
          <t>nyu</t>
        </is>
      </c>
      <c r="R1264" t="inlineStr">
        <is>
          <t xml:space="preserve">DS </t>
        </is>
      </c>
      <c r="S1264" t="n">
        <v>0</v>
      </c>
      <c r="T1264" t="n">
        <v>0</v>
      </c>
      <c r="U1264" t="inlineStr">
        <is>
          <t>2002-05-29</t>
        </is>
      </c>
      <c r="V1264" t="inlineStr">
        <is>
          <t>2002-05-29</t>
        </is>
      </c>
      <c r="W1264" t="inlineStr">
        <is>
          <t>1996-08-26</t>
        </is>
      </c>
      <c r="X1264" t="inlineStr">
        <is>
          <t>1996-08-26</t>
        </is>
      </c>
      <c r="Y1264" t="n">
        <v>27</v>
      </c>
      <c r="Z1264" t="n">
        <v>22</v>
      </c>
      <c r="AA1264" t="n">
        <v>50</v>
      </c>
      <c r="AB1264" t="n">
        <v>1</v>
      </c>
      <c r="AC1264" t="n">
        <v>2</v>
      </c>
      <c r="AD1264" t="n">
        <v>0</v>
      </c>
      <c r="AE1264" t="n">
        <v>3</v>
      </c>
      <c r="AF1264" t="n">
        <v>0</v>
      </c>
      <c r="AG1264" t="n">
        <v>1</v>
      </c>
      <c r="AH1264" t="n">
        <v>0</v>
      </c>
      <c r="AI1264" t="n">
        <v>1</v>
      </c>
      <c r="AJ1264" t="n">
        <v>0</v>
      </c>
      <c r="AK1264" t="n">
        <v>1</v>
      </c>
      <c r="AL1264" t="n">
        <v>0</v>
      </c>
      <c r="AM1264" t="n">
        <v>1</v>
      </c>
      <c r="AN1264" t="n">
        <v>0</v>
      </c>
      <c r="AO1264" t="n">
        <v>0</v>
      </c>
      <c r="AP1264" t="inlineStr">
        <is>
          <t>Yes</t>
        </is>
      </c>
      <c r="AQ1264" t="inlineStr">
        <is>
          <t>No</t>
        </is>
      </c>
      <c r="AR1264">
        <f>HYPERLINK("http://catalog.hathitrust.org/Record/007697074","HathiTrust Record")</f>
        <v/>
      </c>
      <c r="AS1264">
        <f>HYPERLINK("https://creighton-primo.hosted.exlibrisgroup.com/primo-explore/search?tab=default_tab&amp;search_scope=EVERYTHING&amp;vid=01CRU&amp;lang=en_US&amp;offset=0&amp;query=any,contains,991004558769702656","Catalog Record")</f>
        <v/>
      </c>
      <c r="AT1264">
        <f>HYPERLINK("http://www.worldcat.org/oclc/3982866","WorldCat Record")</f>
        <v/>
      </c>
      <c r="AU1264" t="inlineStr">
        <is>
          <t>13713995:eng</t>
        </is>
      </c>
      <c r="AV1264" t="inlineStr">
        <is>
          <t>3982866</t>
        </is>
      </c>
      <c r="AW1264" t="inlineStr">
        <is>
          <t>991004558769702656</t>
        </is>
      </c>
      <c r="AX1264" t="inlineStr">
        <is>
          <t>991004558769702656</t>
        </is>
      </c>
      <c r="AY1264" t="inlineStr">
        <is>
          <t>2271119640002656</t>
        </is>
      </c>
      <c r="AZ1264" t="inlineStr">
        <is>
          <t>BOOK</t>
        </is>
      </c>
      <c r="BC1264" t="inlineStr">
        <is>
          <t>32285002289048</t>
        </is>
      </c>
      <c r="BD1264" t="inlineStr">
        <is>
          <t>893624859</t>
        </is>
      </c>
    </row>
    <row r="1265">
      <c r="A1265" t="inlineStr">
        <is>
          <t>No</t>
        </is>
      </c>
      <c r="B1265" t="inlineStr">
        <is>
          <t>DS507 .B88</t>
        </is>
      </c>
      <c r="C1265" t="inlineStr">
        <is>
          <t>0                      DS 0507000B  88</t>
        </is>
      </c>
      <c r="D1265" t="inlineStr">
        <is>
          <t>The Far East and the New America : a picturesque and historic account of these lands and peoples / by G. Waldo Browne.</t>
        </is>
      </c>
      <c r="E1265" t="inlineStr">
        <is>
          <t>V.6</t>
        </is>
      </c>
      <c r="F1265" t="inlineStr">
        <is>
          <t>Yes</t>
        </is>
      </c>
      <c r="G1265" t="inlineStr">
        <is>
          <t>1</t>
        </is>
      </c>
      <c r="H1265" t="inlineStr">
        <is>
          <t>No</t>
        </is>
      </c>
      <c r="I1265" t="inlineStr">
        <is>
          <t>No</t>
        </is>
      </c>
      <c r="J1265" t="inlineStr">
        <is>
          <t>0</t>
        </is>
      </c>
      <c r="K1265" t="inlineStr">
        <is>
          <t>Browne, George Waldo, 1851-1930.</t>
        </is>
      </c>
      <c r="L1265" t="inlineStr">
        <is>
          <t>New York, Los Angeles : R.H. Whitten Company, 1901.</t>
        </is>
      </c>
      <c r="M1265" t="inlineStr">
        <is>
          <t>1901</t>
        </is>
      </c>
      <c r="O1265" t="inlineStr">
        <is>
          <t>eng</t>
        </is>
      </c>
      <c r="P1265" t="inlineStr">
        <is>
          <t>nyu</t>
        </is>
      </c>
      <c r="R1265" t="inlineStr">
        <is>
          <t xml:space="preserve">DS </t>
        </is>
      </c>
      <c r="S1265" t="n">
        <v>0</v>
      </c>
      <c r="T1265" t="n">
        <v>0</v>
      </c>
      <c r="U1265" t="inlineStr">
        <is>
          <t>2002-05-29</t>
        </is>
      </c>
      <c r="V1265" t="inlineStr">
        <is>
          <t>2002-05-29</t>
        </is>
      </c>
      <c r="W1265" t="inlineStr">
        <is>
          <t>1996-08-26</t>
        </is>
      </c>
      <c r="X1265" t="inlineStr">
        <is>
          <t>1996-08-26</t>
        </is>
      </c>
      <c r="Y1265" t="n">
        <v>27</v>
      </c>
      <c r="Z1265" t="n">
        <v>22</v>
      </c>
      <c r="AA1265" t="n">
        <v>50</v>
      </c>
      <c r="AB1265" t="n">
        <v>1</v>
      </c>
      <c r="AC1265" t="n">
        <v>2</v>
      </c>
      <c r="AD1265" t="n">
        <v>0</v>
      </c>
      <c r="AE1265" t="n">
        <v>3</v>
      </c>
      <c r="AF1265" t="n">
        <v>0</v>
      </c>
      <c r="AG1265" t="n">
        <v>1</v>
      </c>
      <c r="AH1265" t="n">
        <v>0</v>
      </c>
      <c r="AI1265" t="n">
        <v>1</v>
      </c>
      <c r="AJ1265" t="n">
        <v>0</v>
      </c>
      <c r="AK1265" t="n">
        <v>1</v>
      </c>
      <c r="AL1265" t="n">
        <v>0</v>
      </c>
      <c r="AM1265" t="n">
        <v>1</v>
      </c>
      <c r="AN1265" t="n">
        <v>0</v>
      </c>
      <c r="AO1265" t="n">
        <v>0</v>
      </c>
      <c r="AP1265" t="inlineStr">
        <is>
          <t>Yes</t>
        </is>
      </c>
      <c r="AQ1265" t="inlineStr">
        <is>
          <t>No</t>
        </is>
      </c>
      <c r="AR1265">
        <f>HYPERLINK("http://catalog.hathitrust.org/Record/007697074","HathiTrust Record")</f>
        <v/>
      </c>
      <c r="AS1265">
        <f>HYPERLINK("https://creighton-primo.hosted.exlibrisgroup.com/primo-explore/search?tab=default_tab&amp;search_scope=EVERYTHING&amp;vid=01CRU&amp;lang=en_US&amp;offset=0&amp;query=any,contains,991004558769702656","Catalog Record")</f>
        <v/>
      </c>
      <c r="AT1265">
        <f>HYPERLINK("http://www.worldcat.org/oclc/3982866","WorldCat Record")</f>
        <v/>
      </c>
      <c r="AU1265" t="inlineStr">
        <is>
          <t>13713995:eng</t>
        </is>
      </c>
      <c r="AV1265" t="inlineStr">
        <is>
          <t>3982866</t>
        </is>
      </c>
      <c r="AW1265" t="inlineStr">
        <is>
          <t>991004558769702656</t>
        </is>
      </c>
      <c r="AX1265" t="inlineStr">
        <is>
          <t>991004558769702656</t>
        </is>
      </c>
      <c r="AY1265" t="inlineStr">
        <is>
          <t>2271119640002656</t>
        </is>
      </c>
      <c r="AZ1265" t="inlineStr">
        <is>
          <t>BOOK</t>
        </is>
      </c>
      <c r="BC1265" t="inlineStr">
        <is>
          <t>32285002289097</t>
        </is>
      </c>
      <c r="BD1265" t="inlineStr">
        <is>
          <t>893612503</t>
        </is>
      </c>
    </row>
    <row r="1266">
      <c r="A1266" t="inlineStr">
        <is>
          <t>No</t>
        </is>
      </c>
      <c r="B1266" t="inlineStr">
        <is>
          <t>DS507 .B88</t>
        </is>
      </c>
      <c r="C1266" t="inlineStr">
        <is>
          <t>0                      DS 0507000B  88</t>
        </is>
      </c>
      <c r="D1266" t="inlineStr">
        <is>
          <t>The Far East and the New America : a picturesque and historic account of these lands and peoples / by G. Waldo Browne.</t>
        </is>
      </c>
      <c r="E1266" t="inlineStr">
        <is>
          <t>V.2</t>
        </is>
      </c>
      <c r="F1266" t="inlineStr">
        <is>
          <t>Yes</t>
        </is>
      </c>
      <c r="G1266" t="inlineStr">
        <is>
          <t>1</t>
        </is>
      </c>
      <c r="H1266" t="inlineStr">
        <is>
          <t>No</t>
        </is>
      </c>
      <c r="I1266" t="inlineStr">
        <is>
          <t>No</t>
        </is>
      </c>
      <c r="J1266" t="inlineStr">
        <is>
          <t>0</t>
        </is>
      </c>
      <c r="K1266" t="inlineStr">
        <is>
          <t>Browne, George Waldo, 1851-1930.</t>
        </is>
      </c>
      <c r="L1266" t="inlineStr">
        <is>
          <t>New York, Los Angeles : R.H. Whitten Company, 1901.</t>
        </is>
      </c>
      <c r="M1266" t="inlineStr">
        <is>
          <t>1901</t>
        </is>
      </c>
      <c r="O1266" t="inlineStr">
        <is>
          <t>eng</t>
        </is>
      </c>
      <c r="P1266" t="inlineStr">
        <is>
          <t>nyu</t>
        </is>
      </c>
      <c r="R1266" t="inlineStr">
        <is>
          <t xml:space="preserve">DS </t>
        </is>
      </c>
      <c r="S1266" t="n">
        <v>0</v>
      </c>
      <c r="T1266" t="n">
        <v>0</v>
      </c>
      <c r="U1266" t="inlineStr">
        <is>
          <t>2002-05-29</t>
        </is>
      </c>
      <c r="V1266" t="inlineStr">
        <is>
          <t>2002-05-29</t>
        </is>
      </c>
      <c r="W1266" t="inlineStr">
        <is>
          <t>1996-08-26</t>
        </is>
      </c>
      <c r="X1266" t="inlineStr">
        <is>
          <t>1996-08-26</t>
        </is>
      </c>
      <c r="Y1266" t="n">
        <v>27</v>
      </c>
      <c r="Z1266" t="n">
        <v>22</v>
      </c>
      <c r="AA1266" t="n">
        <v>50</v>
      </c>
      <c r="AB1266" t="n">
        <v>1</v>
      </c>
      <c r="AC1266" t="n">
        <v>2</v>
      </c>
      <c r="AD1266" t="n">
        <v>0</v>
      </c>
      <c r="AE1266" t="n">
        <v>3</v>
      </c>
      <c r="AF1266" t="n">
        <v>0</v>
      </c>
      <c r="AG1266" t="n">
        <v>1</v>
      </c>
      <c r="AH1266" t="n">
        <v>0</v>
      </c>
      <c r="AI1266" t="n">
        <v>1</v>
      </c>
      <c r="AJ1266" t="n">
        <v>0</v>
      </c>
      <c r="AK1266" t="n">
        <v>1</v>
      </c>
      <c r="AL1266" t="n">
        <v>0</v>
      </c>
      <c r="AM1266" t="n">
        <v>1</v>
      </c>
      <c r="AN1266" t="n">
        <v>0</v>
      </c>
      <c r="AO1266" t="n">
        <v>0</v>
      </c>
      <c r="AP1266" t="inlineStr">
        <is>
          <t>Yes</t>
        </is>
      </c>
      <c r="AQ1266" t="inlineStr">
        <is>
          <t>No</t>
        </is>
      </c>
      <c r="AR1266">
        <f>HYPERLINK("http://catalog.hathitrust.org/Record/007697074","HathiTrust Record")</f>
        <v/>
      </c>
      <c r="AS1266">
        <f>HYPERLINK("https://creighton-primo.hosted.exlibrisgroup.com/primo-explore/search?tab=default_tab&amp;search_scope=EVERYTHING&amp;vid=01CRU&amp;lang=en_US&amp;offset=0&amp;query=any,contains,991004558769702656","Catalog Record")</f>
        <v/>
      </c>
      <c r="AT1266">
        <f>HYPERLINK("http://www.worldcat.org/oclc/3982866","WorldCat Record")</f>
        <v/>
      </c>
      <c r="AU1266" t="inlineStr">
        <is>
          <t>13713995:eng</t>
        </is>
      </c>
      <c r="AV1266" t="inlineStr">
        <is>
          <t>3982866</t>
        </is>
      </c>
      <c r="AW1266" t="inlineStr">
        <is>
          <t>991004558769702656</t>
        </is>
      </c>
      <c r="AX1266" t="inlineStr">
        <is>
          <t>991004558769702656</t>
        </is>
      </c>
      <c r="AY1266" t="inlineStr">
        <is>
          <t>2271119640002656</t>
        </is>
      </c>
      <c r="AZ1266" t="inlineStr">
        <is>
          <t>BOOK</t>
        </is>
      </c>
      <c r="BC1266" t="inlineStr">
        <is>
          <t>32285002289055</t>
        </is>
      </c>
      <c r="BD1266" t="inlineStr">
        <is>
          <t>893624858</t>
        </is>
      </c>
    </row>
    <row r="1267">
      <c r="A1267" t="inlineStr">
        <is>
          <t>No</t>
        </is>
      </c>
      <c r="B1267" t="inlineStr">
        <is>
          <t>DS507 .B88</t>
        </is>
      </c>
      <c r="C1267" t="inlineStr">
        <is>
          <t>0                      DS 0507000B  88</t>
        </is>
      </c>
      <c r="D1267" t="inlineStr">
        <is>
          <t>The Far East and the New America : a picturesque and historic account of these lands and peoples / by G. Waldo Browne.</t>
        </is>
      </c>
      <c r="E1267" t="inlineStr">
        <is>
          <t>V.3</t>
        </is>
      </c>
      <c r="F1267" t="inlineStr">
        <is>
          <t>Yes</t>
        </is>
      </c>
      <c r="G1267" t="inlineStr">
        <is>
          <t>1</t>
        </is>
      </c>
      <c r="H1267" t="inlineStr">
        <is>
          <t>No</t>
        </is>
      </c>
      <c r="I1267" t="inlineStr">
        <is>
          <t>No</t>
        </is>
      </c>
      <c r="J1267" t="inlineStr">
        <is>
          <t>0</t>
        </is>
      </c>
      <c r="K1267" t="inlineStr">
        <is>
          <t>Browne, George Waldo, 1851-1930.</t>
        </is>
      </c>
      <c r="L1267" t="inlineStr">
        <is>
          <t>New York, Los Angeles : R.H. Whitten Company, 1901.</t>
        </is>
      </c>
      <c r="M1267" t="inlineStr">
        <is>
          <t>1901</t>
        </is>
      </c>
      <c r="O1267" t="inlineStr">
        <is>
          <t>eng</t>
        </is>
      </c>
      <c r="P1267" t="inlineStr">
        <is>
          <t>nyu</t>
        </is>
      </c>
      <c r="R1267" t="inlineStr">
        <is>
          <t xml:space="preserve">DS </t>
        </is>
      </c>
      <c r="S1267" t="n">
        <v>0</v>
      </c>
      <c r="T1267" t="n">
        <v>0</v>
      </c>
      <c r="U1267" t="inlineStr">
        <is>
          <t>2002-05-29</t>
        </is>
      </c>
      <c r="V1267" t="inlineStr">
        <is>
          <t>2002-05-29</t>
        </is>
      </c>
      <c r="W1267" t="inlineStr">
        <is>
          <t>1996-08-26</t>
        </is>
      </c>
      <c r="X1267" t="inlineStr">
        <is>
          <t>1996-08-26</t>
        </is>
      </c>
      <c r="Y1267" t="n">
        <v>27</v>
      </c>
      <c r="Z1267" t="n">
        <v>22</v>
      </c>
      <c r="AA1267" t="n">
        <v>50</v>
      </c>
      <c r="AB1267" t="n">
        <v>1</v>
      </c>
      <c r="AC1267" t="n">
        <v>2</v>
      </c>
      <c r="AD1267" t="n">
        <v>0</v>
      </c>
      <c r="AE1267" t="n">
        <v>3</v>
      </c>
      <c r="AF1267" t="n">
        <v>0</v>
      </c>
      <c r="AG1267" t="n">
        <v>1</v>
      </c>
      <c r="AH1267" t="n">
        <v>0</v>
      </c>
      <c r="AI1267" t="n">
        <v>1</v>
      </c>
      <c r="AJ1267" t="n">
        <v>0</v>
      </c>
      <c r="AK1267" t="n">
        <v>1</v>
      </c>
      <c r="AL1267" t="n">
        <v>0</v>
      </c>
      <c r="AM1267" t="n">
        <v>1</v>
      </c>
      <c r="AN1267" t="n">
        <v>0</v>
      </c>
      <c r="AO1267" t="n">
        <v>0</v>
      </c>
      <c r="AP1267" t="inlineStr">
        <is>
          <t>Yes</t>
        </is>
      </c>
      <c r="AQ1267" t="inlineStr">
        <is>
          <t>No</t>
        </is>
      </c>
      <c r="AR1267">
        <f>HYPERLINK("http://catalog.hathitrust.org/Record/007697074","HathiTrust Record")</f>
        <v/>
      </c>
      <c r="AS1267">
        <f>HYPERLINK("https://creighton-primo.hosted.exlibrisgroup.com/primo-explore/search?tab=default_tab&amp;search_scope=EVERYTHING&amp;vid=01CRU&amp;lang=en_US&amp;offset=0&amp;query=any,contains,991004558769702656","Catalog Record")</f>
        <v/>
      </c>
      <c r="AT1267">
        <f>HYPERLINK("http://www.worldcat.org/oclc/3982866","WorldCat Record")</f>
        <v/>
      </c>
      <c r="AU1267" t="inlineStr">
        <is>
          <t>13713995:eng</t>
        </is>
      </c>
      <c r="AV1267" t="inlineStr">
        <is>
          <t>3982866</t>
        </is>
      </c>
      <c r="AW1267" t="inlineStr">
        <is>
          <t>991004558769702656</t>
        </is>
      </c>
      <c r="AX1267" t="inlineStr">
        <is>
          <t>991004558769702656</t>
        </is>
      </c>
      <c r="AY1267" t="inlineStr">
        <is>
          <t>2271119640002656</t>
        </is>
      </c>
      <c r="AZ1267" t="inlineStr">
        <is>
          <t>BOOK</t>
        </is>
      </c>
      <c r="BC1267" t="inlineStr">
        <is>
          <t>32285002289063</t>
        </is>
      </c>
      <c r="BD1267" t="inlineStr">
        <is>
          <t>893599985</t>
        </is>
      </c>
    </row>
    <row r="1268">
      <c r="A1268" t="inlineStr">
        <is>
          <t>No</t>
        </is>
      </c>
      <c r="B1268" t="inlineStr">
        <is>
          <t>DS508 .L26</t>
        </is>
      </c>
      <c r="C1268" t="inlineStr">
        <is>
          <t>0                      DS 0508000L  26</t>
        </is>
      </c>
      <c r="D1268" t="inlineStr">
        <is>
          <t>Peoples of southeast Asia, by Bruno Lasker; prepared under the auspices of the American Council of the Institute of Pacific Relations.</t>
        </is>
      </c>
      <c r="F1268" t="inlineStr">
        <is>
          <t>No</t>
        </is>
      </c>
      <c r="G1268" t="inlineStr">
        <is>
          <t>1</t>
        </is>
      </c>
      <c r="H1268" t="inlineStr">
        <is>
          <t>No</t>
        </is>
      </c>
      <c r="I1268" t="inlineStr">
        <is>
          <t>No</t>
        </is>
      </c>
      <c r="J1268" t="inlineStr">
        <is>
          <t>0</t>
        </is>
      </c>
      <c r="K1268" t="inlineStr">
        <is>
          <t>Lasker, Bruno, 1880-1965.</t>
        </is>
      </c>
      <c r="L1268" t="inlineStr">
        <is>
          <t>New York, A.A. Knopf, 1944.</t>
        </is>
      </c>
      <c r="M1268" t="inlineStr">
        <is>
          <t>1944</t>
        </is>
      </c>
      <c r="O1268" t="inlineStr">
        <is>
          <t>eng</t>
        </is>
      </c>
      <c r="P1268" t="inlineStr">
        <is>
          <t>nyu</t>
        </is>
      </c>
      <c r="R1268" t="inlineStr">
        <is>
          <t xml:space="preserve">DS </t>
        </is>
      </c>
      <c r="S1268" t="n">
        <v>5</v>
      </c>
      <c r="T1268" t="n">
        <v>5</v>
      </c>
      <c r="U1268" t="inlineStr">
        <is>
          <t>1997-11-04</t>
        </is>
      </c>
      <c r="V1268" t="inlineStr">
        <is>
          <t>1997-11-04</t>
        </is>
      </c>
      <c r="W1268" t="inlineStr">
        <is>
          <t>1997-03-10</t>
        </is>
      </c>
      <c r="X1268" t="inlineStr">
        <is>
          <t>1997-03-10</t>
        </is>
      </c>
      <c r="Y1268" t="n">
        <v>669</v>
      </c>
      <c r="Z1268" t="n">
        <v>597</v>
      </c>
      <c r="AA1268" t="n">
        <v>664</v>
      </c>
      <c r="AB1268" t="n">
        <v>6</v>
      </c>
      <c r="AC1268" t="n">
        <v>7</v>
      </c>
      <c r="AD1268" t="n">
        <v>25</v>
      </c>
      <c r="AE1268" t="n">
        <v>30</v>
      </c>
      <c r="AF1268" t="n">
        <v>7</v>
      </c>
      <c r="AG1268" t="n">
        <v>9</v>
      </c>
      <c r="AH1268" t="n">
        <v>5</v>
      </c>
      <c r="AI1268" t="n">
        <v>8</v>
      </c>
      <c r="AJ1268" t="n">
        <v>12</v>
      </c>
      <c r="AK1268" t="n">
        <v>13</v>
      </c>
      <c r="AL1268" t="n">
        <v>5</v>
      </c>
      <c r="AM1268" t="n">
        <v>6</v>
      </c>
      <c r="AN1268" t="n">
        <v>0</v>
      </c>
      <c r="AO1268" t="n">
        <v>0</v>
      </c>
      <c r="AP1268" t="inlineStr">
        <is>
          <t>No</t>
        </is>
      </c>
      <c r="AQ1268" t="inlineStr">
        <is>
          <t>Yes</t>
        </is>
      </c>
      <c r="AR1268">
        <f>HYPERLINK("http://catalog.hathitrust.org/Record/001254814","HathiTrust Record")</f>
        <v/>
      </c>
      <c r="AS1268">
        <f>HYPERLINK("https://creighton-primo.hosted.exlibrisgroup.com/primo-explore/search?tab=default_tab&amp;search_scope=EVERYTHING&amp;vid=01CRU&amp;lang=en_US&amp;offset=0&amp;query=any,contains,991003637859702656","Catalog Record")</f>
        <v/>
      </c>
      <c r="AT1268">
        <f>HYPERLINK("http://www.worldcat.org/oclc/1232161","WorldCat Record")</f>
        <v/>
      </c>
      <c r="AU1268" t="inlineStr">
        <is>
          <t>1664750:eng</t>
        </is>
      </c>
      <c r="AV1268" t="inlineStr">
        <is>
          <t>1232161</t>
        </is>
      </c>
      <c r="AW1268" t="inlineStr">
        <is>
          <t>991003637859702656</t>
        </is>
      </c>
      <c r="AX1268" t="inlineStr">
        <is>
          <t>991003637859702656</t>
        </is>
      </c>
      <c r="AY1268" t="inlineStr">
        <is>
          <t>2264068390002656</t>
        </is>
      </c>
      <c r="AZ1268" t="inlineStr">
        <is>
          <t>BOOK</t>
        </is>
      </c>
      <c r="BC1268" t="inlineStr">
        <is>
          <t>32285002458221</t>
        </is>
      </c>
      <c r="BD1268" t="inlineStr">
        <is>
          <t>893893941</t>
        </is>
      </c>
    </row>
    <row r="1269">
      <c r="A1269" t="inlineStr">
        <is>
          <t>No</t>
        </is>
      </c>
      <c r="B1269" t="inlineStr">
        <is>
          <t>DS509.3 .C3</t>
        </is>
      </c>
      <c r="C1269" t="inlineStr">
        <is>
          <t>0                      DS 0509300C  3</t>
        </is>
      </c>
      <c r="D1269" t="inlineStr">
        <is>
          <t>Thailand, Burma, Laos &amp; Cambodia [by] John F. Cady.</t>
        </is>
      </c>
      <c r="F1269" t="inlineStr">
        <is>
          <t>No</t>
        </is>
      </c>
      <c r="G1269" t="inlineStr">
        <is>
          <t>1</t>
        </is>
      </c>
      <c r="H1269" t="inlineStr">
        <is>
          <t>No</t>
        </is>
      </c>
      <c r="I1269" t="inlineStr">
        <is>
          <t>No</t>
        </is>
      </c>
      <c r="J1269" t="inlineStr">
        <is>
          <t>0</t>
        </is>
      </c>
      <c r="K1269" t="inlineStr">
        <is>
          <t>Cady, John F. (John Frank), 1901-1996.</t>
        </is>
      </c>
      <c r="L1269" t="inlineStr">
        <is>
          <t>Englewood Cliffs, N.J., Prentice-Hall [1966]</t>
        </is>
      </c>
      <c r="M1269" t="inlineStr">
        <is>
          <t>1966</t>
        </is>
      </c>
      <c r="O1269" t="inlineStr">
        <is>
          <t>eng</t>
        </is>
      </c>
      <c r="P1269" t="inlineStr">
        <is>
          <t>nju</t>
        </is>
      </c>
      <c r="Q1269" t="inlineStr">
        <is>
          <t>A Spectrum book.</t>
        </is>
      </c>
      <c r="R1269" t="inlineStr">
        <is>
          <t xml:space="preserve">DS </t>
        </is>
      </c>
      <c r="S1269" t="n">
        <v>3</v>
      </c>
      <c r="T1269" t="n">
        <v>3</v>
      </c>
      <c r="U1269" t="inlineStr">
        <is>
          <t>1998-04-19</t>
        </is>
      </c>
      <c r="V1269" t="inlineStr">
        <is>
          <t>1998-04-19</t>
        </is>
      </c>
      <c r="W1269" t="inlineStr">
        <is>
          <t>1997-03-10</t>
        </is>
      </c>
      <c r="X1269" t="inlineStr">
        <is>
          <t>1997-03-10</t>
        </is>
      </c>
      <c r="Y1269" t="n">
        <v>1217</v>
      </c>
      <c r="Z1269" t="n">
        <v>1098</v>
      </c>
      <c r="AA1269" t="n">
        <v>1143</v>
      </c>
      <c r="AB1269" t="n">
        <v>7</v>
      </c>
      <c r="AC1269" t="n">
        <v>7</v>
      </c>
      <c r="AD1269" t="n">
        <v>40</v>
      </c>
      <c r="AE1269" t="n">
        <v>41</v>
      </c>
      <c r="AF1269" t="n">
        <v>18</v>
      </c>
      <c r="AG1269" t="n">
        <v>19</v>
      </c>
      <c r="AH1269" t="n">
        <v>8</v>
      </c>
      <c r="AI1269" t="n">
        <v>8</v>
      </c>
      <c r="AJ1269" t="n">
        <v>18</v>
      </c>
      <c r="AK1269" t="n">
        <v>19</v>
      </c>
      <c r="AL1269" t="n">
        <v>6</v>
      </c>
      <c r="AM1269" t="n">
        <v>6</v>
      </c>
      <c r="AN1269" t="n">
        <v>0</v>
      </c>
      <c r="AO1269" t="n">
        <v>0</v>
      </c>
      <c r="AP1269" t="inlineStr">
        <is>
          <t>No</t>
        </is>
      </c>
      <c r="AQ1269" t="inlineStr">
        <is>
          <t>Yes</t>
        </is>
      </c>
      <c r="AR1269">
        <f>HYPERLINK("http://catalog.hathitrust.org/Record/001254849","HathiTrust Record")</f>
        <v/>
      </c>
      <c r="AS1269">
        <f>HYPERLINK("https://creighton-primo.hosted.exlibrisgroup.com/primo-explore/search?tab=default_tab&amp;search_scope=EVERYTHING&amp;vid=01CRU&amp;lang=en_US&amp;offset=0&amp;query=any,contains,991002716199702656","Catalog Record")</f>
        <v/>
      </c>
      <c r="AT1269">
        <f>HYPERLINK("http://www.worldcat.org/oclc/411358","WorldCat Record")</f>
        <v/>
      </c>
      <c r="AU1269" t="inlineStr">
        <is>
          <t>770195777:eng</t>
        </is>
      </c>
      <c r="AV1269" t="inlineStr">
        <is>
          <t>411358</t>
        </is>
      </c>
      <c r="AW1269" t="inlineStr">
        <is>
          <t>991002716199702656</t>
        </is>
      </c>
      <c r="AX1269" t="inlineStr">
        <is>
          <t>991002716199702656</t>
        </is>
      </c>
      <c r="AY1269" t="inlineStr">
        <is>
          <t>2265075640002656</t>
        </is>
      </c>
      <c r="AZ1269" t="inlineStr">
        <is>
          <t>BOOK</t>
        </is>
      </c>
      <c r="BC1269" t="inlineStr">
        <is>
          <t>32285002458262</t>
        </is>
      </c>
      <c r="BD1269" t="inlineStr">
        <is>
          <t>893591678</t>
        </is>
      </c>
    </row>
    <row r="1270">
      <c r="A1270" t="inlineStr">
        <is>
          <t>No</t>
        </is>
      </c>
      <c r="B1270" t="inlineStr">
        <is>
          <t>DS51.A66 .C67 2001</t>
        </is>
      </c>
      <c r="C1270" t="inlineStr">
        <is>
          <t>0                      DS 0051000A  66                 C  67          2001</t>
        </is>
      </c>
      <c r="D1270" t="inlineStr">
        <is>
          <t>In search of the lost mountains of Noah : the discovery of the real Mts. of Ararat / Robert Cornuke and David Halbrook.</t>
        </is>
      </c>
      <c r="F1270" t="inlineStr">
        <is>
          <t>No</t>
        </is>
      </c>
      <c r="G1270" t="inlineStr">
        <is>
          <t>1</t>
        </is>
      </c>
      <c r="H1270" t="inlineStr">
        <is>
          <t>No</t>
        </is>
      </c>
      <c r="I1270" t="inlineStr">
        <is>
          <t>No</t>
        </is>
      </c>
      <c r="J1270" t="inlineStr">
        <is>
          <t>0</t>
        </is>
      </c>
      <c r="K1270" t="inlineStr">
        <is>
          <t>Cornuke, Robert, 1951-</t>
        </is>
      </c>
      <c r="L1270" t="inlineStr">
        <is>
          <t>Nashville, TN : Broadman &amp; Holman, c2001.</t>
        </is>
      </c>
      <c r="M1270" t="inlineStr">
        <is>
          <t>2001</t>
        </is>
      </c>
      <c r="O1270" t="inlineStr">
        <is>
          <t>eng</t>
        </is>
      </c>
      <c r="P1270" t="inlineStr">
        <is>
          <t>tnu</t>
        </is>
      </c>
      <c r="R1270" t="inlineStr">
        <is>
          <t xml:space="preserve">DS </t>
        </is>
      </c>
      <c r="S1270" t="n">
        <v>2</v>
      </c>
      <c r="T1270" t="n">
        <v>2</v>
      </c>
      <c r="U1270" t="inlineStr">
        <is>
          <t>2004-09-28</t>
        </is>
      </c>
      <c r="V1270" t="inlineStr">
        <is>
          <t>2004-09-28</t>
        </is>
      </c>
      <c r="W1270" t="inlineStr">
        <is>
          <t>2001-11-27</t>
        </is>
      </c>
      <c r="X1270" t="inlineStr">
        <is>
          <t>2001-11-27</t>
        </is>
      </c>
      <c r="Y1270" t="n">
        <v>208</v>
      </c>
      <c r="Z1270" t="n">
        <v>205</v>
      </c>
      <c r="AA1270" t="n">
        <v>213</v>
      </c>
      <c r="AB1270" t="n">
        <v>1</v>
      </c>
      <c r="AC1270" t="n">
        <v>1</v>
      </c>
      <c r="AD1270" t="n">
        <v>3</v>
      </c>
      <c r="AE1270" t="n">
        <v>3</v>
      </c>
      <c r="AF1270" t="n">
        <v>2</v>
      </c>
      <c r="AG1270" t="n">
        <v>2</v>
      </c>
      <c r="AH1270" t="n">
        <v>0</v>
      </c>
      <c r="AI1270" t="n">
        <v>0</v>
      </c>
      <c r="AJ1270" t="n">
        <v>1</v>
      </c>
      <c r="AK1270" t="n">
        <v>1</v>
      </c>
      <c r="AL1270" t="n">
        <v>0</v>
      </c>
      <c r="AM1270" t="n">
        <v>0</v>
      </c>
      <c r="AN1270" t="n">
        <v>0</v>
      </c>
      <c r="AO1270" t="n">
        <v>0</v>
      </c>
      <c r="AP1270" t="inlineStr">
        <is>
          <t>No</t>
        </is>
      </c>
      <c r="AQ1270" t="inlineStr">
        <is>
          <t>No</t>
        </is>
      </c>
      <c r="AS1270">
        <f>HYPERLINK("https://creighton-primo.hosted.exlibrisgroup.com/primo-explore/search?tab=default_tab&amp;search_scope=EVERYTHING&amp;vid=01CRU&amp;lang=en_US&amp;offset=0&amp;query=any,contains,991003628659702656","Catalog Record")</f>
        <v/>
      </c>
      <c r="AT1270">
        <f>HYPERLINK("http://www.worldcat.org/oclc/46951449","WorldCat Record")</f>
        <v/>
      </c>
      <c r="AU1270" t="inlineStr">
        <is>
          <t>1081061177:eng</t>
        </is>
      </c>
      <c r="AV1270" t="inlineStr">
        <is>
          <t>46951449</t>
        </is>
      </c>
      <c r="AW1270" t="inlineStr">
        <is>
          <t>991003628659702656</t>
        </is>
      </c>
      <c r="AX1270" t="inlineStr">
        <is>
          <t>991003628659702656</t>
        </is>
      </c>
      <c r="AY1270" t="inlineStr">
        <is>
          <t>2257656970002656</t>
        </is>
      </c>
      <c r="AZ1270" t="inlineStr">
        <is>
          <t>BOOK</t>
        </is>
      </c>
      <c r="BB1270" t="inlineStr">
        <is>
          <t>9780805420548</t>
        </is>
      </c>
      <c r="BC1270" t="inlineStr">
        <is>
          <t>32285004413935</t>
        </is>
      </c>
      <c r="BD1270" t="inlineStr">
        <is>
          <t>893900192</t>
        </is>
      </c>
    </row>
    <row r="1271">
      <c r="A1271" t="inlineStr">
        <is>
          <t>No</t>
        </is>
      </c>
      <c r="B1271" t="inlineStr">
        <is>
          <t>DS51.B3 M5</t>
        </is>
      </c>
      <c r="C1271" t="inlineStr">
        <is>
          <t>0                      DS 0051000B  3                  M  5</t>
        </is>
      </c>
      <c r="D1271" t="inlineStr">
        <is>
          <t>Camel-bells of Baghdad; an adventurous journey to the city of the Arabian nights, the tower of Babel, the garden of Eden, the palace of Darius, the bazaars of Teheran, and the mountains and deserts of Persia, by Janet Miller...</t>
        </is>
      </c>
      <c r="F1271" t="inlineStr">
        <is>
          <t>No</t>
        </is>
      </c>
      <c r="G1271" t="inlineStr">
        <is>
          <t>1</t>
        </is>
      </c>
      <c r="H1271" t="inlineStr">
        <is>
          <t>No</t>
        </is>
      </c>
      <c r="I1271" t="inlineStr">
        <is>
          <t>No</t>
        </is>
      </c>
      <c r="J1271" t="inlineStr">
        <is>
          <t>0</t>
        </is>
      </c>
      <c r="K1271" t="inlineStr">
        <is>
          <t>Miller, Janet.</t>
        </is>
      </c>
      <c r="L1271" t="inlineStr">
        <is>
          <t>Boston and New York, Houghton Mifflin company, 1934.</t>
        </is>
      </c>
      <c r="M1271" t="inlineStr">
        <is>
          <t>1934</t>
        </is>
      </c>
      <c r="O1271" t="inlineStr">
        <is>
          <t>eng</t>
        </is>
      </c>
      <c r="P1271" t="inlineStr">
        <is>
          <t>mau</t>
        </is>
      </c>
      <c r="R1271" t="inlineStr">
        <is>
          <t xml:space="preserve">DS </t>
        </is>
      </c>
      <c r="S1271" t="n">
        <v>2</v>
      </c>
      <c r="T1271" t="n">
        <v>2</v>
      </c>
      <c r="U1271" t="inlineStr">
        <is>
          <t>2003-09-30</t>
        </is>
      </c>
      <c r="V1271" t="inlineStr">
        <is>
          <t>2003-09-30</t>
        </is>
      </c>
      <c r="W1271" t="inlineStr">
        <is>
          <t>1997-02-21</t>
        </is>
      </c>
      <c r="X1271" t="inlineStr">
        <is>
          <t>1997-02-21</t>
        </is>
      </c>
      <c r="Y1271" t="n">
        <v>154</v>
      </c>
      <c r="Z1271" t="n">
        <v>144</v>
      </c>
      <c r="AA1271" t="n">
        <v>155</v>
      </c>
      <c r="AB1271" t="n">
        <v>1</v>
      </c>
      <c r="AC1271" t="n">
        <v>1</v>
      </c>
      <c r="AD1271" t="n">
        <v>2</v>
      </c>
      <c r="AE1271" t="n">
        <v>2</v>
      </c>
      <c r="AF1271" t="n">
        <v>1</v>
      </c>
      <c r="AG1271" t="n">
        <v>1</v>
      </c>
      <c r="AH1271" t="n">
        <v>1</v>
      </c>
      <c r="AI1271" t="n">
        <v>1</v>
      </c>
      <c r="AJ1271" t="n">
        <v>1</v>
      </c>
      <c r="AK1271" t="n">
        <v>1</v>
      </c>
      <c r="AL1271" t="n">
        <v>0</v>
      </c>
      <c r="AM1271" t="n">
        <v>0</v>
      </c>
      <c r="AN1271" t="n">
        <v>0</v>
      </c>
      <c r="AO1271" t="n">
        <v>0</v>
      </c>
      <c r="AP1271" t="inlineStr">
        <is>
          <t>Yes</t>
        </is>
      </c>
      <c r="AQ1271" t="inlineStr">
        <is>
          <t>No</t>
        </is>
      </c>
      <c r="AR1271">
        <f>HYPERLINK("http://catalog.hathitrust.org/Record/006800071","HathiTrust Record")</f>
        <v/>
      </c>
      <c r="AS1271">
        <f>HYPERLINK("https://creighton-primo.hosted.exlibrisgroup.com/primo-explore/search?tab=default_tab&amp;search_scope=EVERYTHING&amp;vid=01CRU&amp;lang=en_US&amp;offset=0&amp;query=any,contains,991003792929702656","Catalog Record")</f>
        <v/>
      </c>
      <c r="AT1271">
        <f>HYPERLINK("http://www.worldcat.org/oclc/1512380","WorldCat Record")</f>
        <v/>
      </c>
      <c r="AU1271" t="inlineStr">
        <is>
          <t>903020530:eng</t>
        </is>
      </c>
      <c r="AV1271" t="inlineStr">
        <is>
          <t>1512380</t>
        </is>
      </c>
      <c r="AW1271" t="inlineStr">
        <is>
          <t>991003792929702656</t>
        </is>
      </c>
      <c r="AX1271" t="inlineStr">
        <is>
          <t>991003792929702656</t>
        </is>
      </c>
      <c r="AY1271" t="inlineStr">
        <is>
          <t>2260275690002656</t>
        </is>
      </c>
      <c r="AZ1271" t="inlineStr">
        <is>
          <t>BOOK</t>
        </is>
      </c>
      <c r="BC1271" t="inlineStr">
        <is>
          <t>32285002468824</t>
        </is>
      </c>
      <c r="BD1271" t="inlineStr">
        <is>
          <t>893611460</t>
        </is>
      </c>
    </row>
    <row r="1272">
      <c r="A1272" t="inlineStr">
        <is>
          <t>No</t>
        </is>
      </c>
      <c r="B1272" t="inlineStr">
        <is>
          <t>DS51.K7 K86313 1993</t>
        </is>
      </c>
      <c r="C1272" t="inlineStr">
        <is>
          <t>0                      DS 0051000K  7                  K  86313       1993</t>
        </is>
      </c>
      <c r="D1272" t="inlineStr">
        <is>
          <t>A people without a country : the Kurds and Kurdistan / edited by Gerard Chaliand ; translated by Michael Pallis ; foreword by David McDowall.</t>
        </is>
      </c>
      <c r="F1272" t="inlineStr">
        <is>
          <t>No</t>
        </is>
      </c>
      <c r="G1272" t="inlineStr">
        <is>
          <t>1</t>
        </is>
      </c>
      <c r="H1272" t="inlineStr">
        <is>
          <t>No</t>
        </is>
      </c>
      <c r="I1272" t="inlineStr">
        <is>
          <t>No</t>
        </is>
      </c>
      <c r="J1272" t="inlineStr">
        <is>
          <t>0</t>
        </is>
      </c>
      <c r="K1272" t="inlineStr">
        <is>
          <t>Kurdes et le Kurdistan. English.</t>
        </is>
      </c>
      <c r="L1272" t="inlineStr">
        <is>
          <t>New York : Olive Branch Press, 1992.</t>
        </is>
      </c>
      <c r="M1272" t="inlineStr">
        <is>
          <t>1993</t>
        </is>
      </c>
      <c r="N1272" t="inlineStr">
        <is>
          <t>1st American ed.</t>
        </is>
      </c>
      <c r="O1272" t="inlineStr">
        <is>
          <t>eng</t>
        </is>
      </c>
      <c r="P1272" t="inlineStr">
        <is>
          <t>nyu</t>
        </is>
      </c>
      <c r="R1272" t="inlineStr">
        <is>
          <t xml:space="preserve">DS </t>
        </is>
      </c>
      <c r="S1272" t="n">
        <v>7</v>
      </c>
      <c r="T1272" t="n">
        <v>7</v>
      </c>
      <c r="U1272" t="inlineStr">
        <is>
          <t>2002-05-24</t>
        </is>
      </c>
      <c r="V1272" t="inlineStr">
        <is>
          <t>2002-05-24</t>
        </is>
      </c>
      <c r="W1272" t="inlineStr">
        <is>
          <t>1993-07-20</t>
        </is>
      </c>
      <c r="X1272" t="inlineStr">
        <is>
          <t>1993-07-20</t>
        </is>
      </c>
      <c r="Y1272" t="n">
        <v>746</v>
      </c>
      <c r="Z1272" t="n">
        <v>690</v>
      </c>
      <c r="AA1272" t="n">
        <v>1042</v>
      </c>
      <c r="AB1272" t="n">
        <v>4</v>
      </c>
      <c r="AC1272" t="n">
        <v>7</v>
      </c>
      <c r="AD1272" t="n">
        <v>20</v>
      </c>
      <c r="AE1272" t="n">
        <v>30</v>
      </c>
      <c r="AF1272" t="n">
        <v>7</v>
      </c>
      <c r="AG1272" t="n">
        <v>10</v>
      </c>
      <c r="AH1272" t="n">
        <v>6</v>
      </c>
      <c r="AI1272" t="n">
        <v>8</v>
      </c>
      <c r="AJ1272" t="n">
        <v>10</v>
      </c>
      <c r="AK1272" t="n">
        <v>14</v>
      </c>
      <c r="AL1272" t="n">
        <v>0</v>
      </c>
      <c r="AM1272" t="n">
        <v>3</v>
      </c>
      <c r="AN1272" t="n">
        <v>1</v>
      </c>
      <c r="AO1272" t="n">
        <v>1</v>
      </c>
      <c r="AP1272" t="inlineStr">
        <is>
          <t>No</t>
        </is>
      </c>
      <c r="AQ1272" t="inlineStr">
        <is>
          <t>No</t>
        </is>
      </c>
      <c r="AS1272">
        <f>HYPERLINK("https://creighton-primo.hosted.exlibrisgroup.com/primo-explore/search?tab=default_tab&amp;search_scope=EVERYTHING&amp;vid=01CRU&amp;lang=en_US&amp;offset=0&amp;query=any,contains,991002026519702656","Catalog Record")</f>
        <v/>
      </c>
      <c r="AT1272">
        <f>HYPERLINK("http://www.worldcat.org/oclc/25787810","WorldCat Record")</f>
        <v/>
      </c>
      <c r="AU1272" t="inlineStr">
        <is>
          <t>54496114:eng</t>
        </is>
      </c>
      <c r="AV1272" t="inlineStr">
        <is>
          <t>25787810</t>
        </is>
      </c>
      <c r="AW1272" t="inlineStr">
        <is>
          <t>991002026519702656</t>
        </is>
      </c>
      <c r="AX1272" t="inlineStr">
        <is>
          <t>991002026519702656</t>
        </is>
      </c>
      <c r="AY1272" t="inlineStr">
        <is>
          <t>2256005640002656</t>
        </is>
      </c>
      <c r="AZ1272" t="inlineStr">
        <is>
          <t>BOOK</t>
        </is>
      </c>
      <c r="BB1272" t="inlineStr">
        <is>
          <t>9780940793927</t>
        </is>
      </c>
      <c r="BC1272" t="inlineStr">
        <is>
          <t>32285001703015</t>
        </is>
      </c>
      <c r="BD1272" t="inlineStr">
        <is>
          <t>893621826</t>
        </is>
      </c>
    </row>
    <row r="1273">
      <c r="A1273" t="inlineStr">
        <is>
          <t>No</t>
        </is>
      </c>
      <c r="B1273" t="inlineStr">
        <is>
          <t>DS51.K7 O22 1973</t>
        </is>
      </c>
      <c r="C1273" t="inlineStr">
        <is>
          <t>0                      DS 0051000K  7                  O  22          1973</t>
        </is>
      </c>
      <c r="D1273" t="inlineStr">
        <is>
          <t>The Kurdish revolt: 1961-1970.</t>
        </is>
      </c>
      <c r="F1273" t="inlineStr">
        <is>
          <t>No</t>
        </is>
      </c>
      <c r="G1273" t="inlineStr">
        <is>
          <t>1</t>
        </is>
      </c>
      <c r="H1273" t="inlineStr">
        <is>
          <t>No</t>
        </is>
      </c>
      <c r="I1273" t="inlineStr">
        <is>
          <t>No</t>
        </is>
      </c>
      <c r="J1273" t="inlineStr">
        <is>
          <t>0</t>
        </is>
      </c>
      <c r="K1273" t="inlineStr">
        <is>
          <t>O'Ballance, Edgar.</t>
        </is>
      </c>
      <c r="L1273" t="inlineStr">
        <is>
          <t>[Hamden, Conn.] Archon Books, 1973.</t>
        </is>
      </c>
      <c r="M1273" t="inlineStr">
        <is>
          <t>1973</t>
        </is>
      </c>
      <c r="O1273" t="inlineStr">
        <is>
          <t>eng</t>
        </is>
      </c>
      <c r="P1273" t="inlineStr">
        <is>
          <t>ctu</t>
        </is>
      </c>
      <c r="R1273" t="inlineStr">
        <is>
          <t xml:space="preserve">DS </t>
        </is>
      </c>
      <c r="S1273" t="n">
        <v>1</v>
      </c>
      <c r="T1273" t="n">
        <v>1</v>
      </c>
      <c r="U1273" t="inlineStr">
        <is>
          <t>2002-05-24</t>
        </is>
      </c>
      <c r="V1273" t="inlineStr">
        <is>
          <t>2002-05-24</t>
        </is>
      </c>
      <c r="W1273" t="inlineStr">
        <is>
          <t>1997-02-21</t>
        </is>
      </c>
      <c r="X1273" t="inlineStr">
        <is>
          <t>1997-02-21</t>
        </is>
      </c>
      <c r="Y1273" t="n">
        <v>358</v>
      </c>
      <c r="Z1273" t="n">
        <v>337</v>
      </c>
      <c r="AA1273" t="n">
        <v>387</v>
      </c>
      <c r="AB1273" t="n">
        <v>2</v>
      </c>
      <c r="AC1273" t="n">
        <v>3</v>
      </c>
      <c r="AD1273" t="n">
        <v>12</v>
      </c>
      <c r="AE1273" t="n">
        <v>15</v>
      </c>
      <c r="AF1273" t="n">
        <v>4</v>
      </c>
      <c r="AG1273" t="n">
        <v>5</v>
      </c>
      <c r="AH1273" t="n">
        <v>5</v>
      </c>
      <c r="AI1273" t="n">
        <v>6</v>
      </c>
      <c r="AJ1273" t="n">
        <v>5</v>
      </c>
      <c r="AK1273" t="n">
        <v>6</v>
      </c>
      <c r="AL1273" t="n">
        <v>1</v>
      </c>
      <c r="AM1273" t="n">
        <v>2</v>
      </c>
      <c r="AN1273" t="n">
        <v>0</v>
      </c>
      <c r="AO1273" t="n">
        <v>0</v>
      </c>
      <c r="AP1273" t="inlineStr">
        <is>
          <t>No</t>
        </is>
      </c>
      <c r="AQ1273" t="inlineStr">
        <is>
          <t>No</t>
        </is>
      </c>
      <c r="AS1273">
        <f>HYPERLINK("https://creighton-primo.hosted.exlibrisgroup.com/primo-explore/search?tab=default_tab&amp;search_scope=EVERYTHING&amp;vid=01CRU&amp;lang=en_US&amp;offset=0&amp;query=any,contains,991003055839702656","Catalog Record")</f>
        <v/>
      </c>
      <c r="AT1273">
        <f>HYPERLINK("http://www.worldcat.org/oclc/614217","WorldCat Record")</f>
        <v/>
      </c>
      <c r="AU1273" t="inlineStr">
        <is>
          <t>1621815:eng</t>
        </is>
      </c>
      <c r="AV1273" t="inlineStr">
        <is>
          <t>614217</t>
        </is>
      </c>
      <c r="AW1273" t="inlineStr">
        <is>
          <t>991003055839702656</t>
        </is>
      </c>
      <c r="AX1273" t="inlineStr">
        <is>
          <t>991003055839702656</t>
        </is>
      </c>
      <c r="AY1273" t="inlineStr">
        <is>
          <t>2270270760002656</t>
        </is>
      </c>
      <c r="AZ1273" t="inlineStr">
        <is>
          <t>BOOK</t>
        </is>
      </c>
      <c r="BB1273" t="inlineStr">
        <is>
          <t>9780208013958</t>
        </is>
      </c>
      <c r="BC1273" t="inlineStr">
        <is>
          <t>32285002468840</t>
        </is>
      </c>
      <c r="BD1273" t="inlineStr">
        <is>
          <t>893409878</t>
        </is>
      </c>
    </row>
    <row r="1274">
      <c r="A1274" t="inlineStr">
        <is>
          <t>No</t>
        </is>
      </c>
      <c r="B1274" t="inlineStr">
        <is>
          <t>DS511 .A45 1970</t>
        </is>
      </c>
      <c r="C1274" t="inlineStr">
        <is>
          <t>0                      DS 0511000A  45          1970</t>
        </is>
      </c>
      <c r="D1274" t="inlineStr">
        <is>
          <t>A short introduction to the history and politics of Southeast Asia [by] Richard Allen.</t>
        </is>
      </c>
      <c r="F1274" t="inlineStr">
        <is>
          <t>No</t>
        </is>
      </c>
      <c r="G1274" t="inlineStr">
        <is>
          <t>1</t>
        </is>
      </c>
      <c r="H1274" t="inlineStr">
        <is>
          <t>No</t>
        </is>
      </c>
      <c r="I1274" t="inlineStr">
        <is>
          <t>No</t>
        </is>
      </c>
      <c r="J1274" t="inlineStr">
        <is>
          <t>0</t>
        </is>
      </c>
      <c r="K1274" t="inlineStr">
        <is>
          <t>Allen, Richard, 1903-1996.</t>
        </is>
      </c>
      <c r="L1274" t="inlineStr">
        <is>
          <t>New York, Oxford University Press, 1970.</t>
        </is>
      </c>
      <c r="M1274" t="inlineStr">
        <is>
          <t>1970</t>
        </is>
      </c>
      <c r="O1274" t="inlineStr">
        <is>
          <t>eng</t>
        </is>
      </c>
      <c r="P1274" t="inlineStr">
        <is>
          <t>nyu</t>
        </is>
      </c>
      <c r="R1274" t="inlineStr">
        <is>
          <t xml:space="preserve">DS </t>
        </is>
      </c>
      <c r="S1274" t="n">
        <v>3</v>
      </c>
      <c r="T1274" t="n">
        <v>3</v>
      </c>
      <c r="U1274" t="inlineStr">
        <is>
          <t>1998-04-19</t>
        </is>
      </c>
      <c r="V1274" t="inlineStr">
        <is>
          <t>1998-04-19</t>
        </is>
      </c>
      <c r="W1274" t="inlineStr">
        <is>
          <t>1997-03-10</t>
        </is>
      </c>
      <c r="X1274" t="inlineStr">
        <is>
          <t>1997-03-10</t>
        </is>
      </c>
      <c r="Y1274" t="n">
        <v>850</v>
      </c>
      <c r="Z1274" t="n">
        <v>657</v>
      </c>
      <c r="AA1274" t="n">
        <v>691</v>
      </c>
      <c r="AB1274" t="n">
        <v>5</v>
      </c>
      <c r="AC1274" t="n">
        <v>5</v>
      </c>
      <c r="AD1274" t="n">
        <v>33</v>
      </c>
      <c r="AE1274" t="n">
        <v>35</v>
      </c>
      <c r="AF1274" t="n">
        <v>13</v>
      </c>
      <c r="AG1274" t="n">
        <v>15</v>
      </c>
      <c r="AH1274" t="n">
        <v>10</v>
      </c>
      <c r="AI1274" t="n">
        <v>10</v>
      </c>
      <c r="AJ1274" t="n">
        <v>16</v>
      </c>
      <c r="AK1274" t="n">
        <v>17</v>
      </c>
      <c r="AL1274" t="n">
        <v>4</v>
      </c>
      <c r="AM1274" t="n">
        <v>4</v>
      </c>
      <c r="AN1274" t="n">
        <v>0</v>
      </c>
      <c r="AO1274" t="n">
        <v>0</v>
      </c>
      <c r="AP1274" t="inlineStr">
        <is>
          <t>No</t>
        </is>
      </c>
      <c r="AQ1274" t="inlineStr">
        <is>
          <t>Yes</t>
        </is>
      </c>
      <c r="AR1274">
        <f>HYPERLINK("http://catalog.hathitrust.org/Record/001254882","HathiTrust Record")</f>
        <v/>
      </c>
      <c r="AS1274">
        <f>HYPERLINK("https://creighton-primo.hosted.exlibrisgroup.com/primo-explore/search?tab=default_tab&amp;search_scope=EVERYTHING&amp;vid=01CRU&amp;lang=en_US&amp;offset=0&amp;query=any,contains,991000189999702656","Catalog Record")</f>
        <v/>
      </c>
      <c r="AT1274">
        <f>HYPERLINK("http://www.worldcat.org/oclc/63888","WorldCat Record")</f>
        <v/>
      </c>
      <c r="AU1274" t="inlineStr">
        <is>
          <t>1227530:eng</t>
        </is>
      </c>
      <c r="AV1274" t="inlineStr">
        <is>
          <t>63888</t>
        </is>
      </c>
      <c r="AW1274" t="inlineStr">
        <is>
          <t>991000189999702656</t>
        </is>
      </c>
      <c r="AX1274" t="inlineStr">
        <is>
          <t>991000189999702656</t>
        </is>
      </c>
      <c r="AY1274" t="inlineStr">
        <is>
          <t>2255637590002656</t>
        </is>
      </c>
      <c r="AZ1274" t="inlineStr">
        <is>
          <t>BOOK</t>
        </is>
      </c>
      <c r="BC1274" t="inlineStr">
        <is>
          <t>32285002458288</t>
        </is>
      </c>
      <c r="BD1274" t="inlineStr">
        <is>
          <t>893314758</t>
        </is>
      </c>
    </row>
    <row r="1275">
      <c r="A1275" t="inlineStr">
        <is>
          <t>No</t>
        </is>
      </c>
      <c r="B1275" t="inlineStr">
        <is>
          <t>DS511 .C67 1991</t>
        </is>
      </c>
      <c r="C1275" t="inlineStr">
        <is>
          <t>0                      DS 0511000C  67          1991</t>
        </is>
      </c>
      <c r="D1275" t="inlineStr">
        <is>
          <t>The Far East : a history of Western impacts and Eastern responses, 1830-1975 / Paul H. Clyde, Burton F. Beers.</t>
        </is>
      </c>
      <c r="F1275" t="inlineStr">
        <is>
          <t>No</t>
        </is>
      </c>
      <c r="G1275" t="inlineStr">
        <is>
          <t>1</t>
        </is>
      </c>
      <c r="H1275" t="inlineStr">
        <is>
          <t>No</t>
        </is>
      </c>
      <c r="I1275" t="inlineStr">
        <is>
          <t>No</t>
        </is>
      </c>
      <c r="J1275" t="inlineStr">
        <is>
          <t>0</t>
        </is>
      </c>
      <c r="K1275" t="inlineStr">
        <is>
          <t>Clyde, Paul Hibbert, 1896-1998.</t>
        </is>
      </c>
      <c r="L1275" t="inlineStr">
        <is>
          <t>Prospect Heights, Ill. : Waveland Press, 1991.</t>
        </is>
      </c>
      <c r="M1275" t="inlineStr">
        <is>
          <t>1991</t>
        </is>
      </c>
      <c r="N1275" t="inlineStr">
        <is>
          <t>6th ed.</t>
        </is>
      </c>
      <c r="O1275" t="inlineStr">
        <is>
          <t>eng</t>
        </is>
      </c>
      <c r="P1275" t="inlineStr">
        <is>
          <t>ilu</t>
        </is>
      </c>
      <c r="R1275" t="inlineStr">
        <is>
          <t xml:space="preserve">DS </t>
        </is>
      </c>
      <c r="S1275" t="n">
        <v>4</v>
      </c>
      <c r="T1275" t="n">
        <v>4</v>
      </c>
      <c r="U1275" t="inlineStr">
        <is>
          <t>2004-04-26</t>
        </is>
      </c>
      <c r="V1275" t="inlineStr">
        <is>
          <t>2004-04-26</t>
        </is>
      </c>
      <c r="W1275" t="inlineStr">
        <is>
          <t>1996-04-08</t>
        </is>
      </c>
      <c r="X1275" t="inlineStr">
        <is>
          <t>1996-04-08</t>
        </is>
      </c>
      <c r="Y1275" t="n">
        <v>30</v>
      </c>
      <c r="Z1275" t="n">
        <v>21</v>
      </c>
      <c r="AA1275" t="n">
        <v>331</v>
      </c>
      <c r="AB1275" t="n">
        <v>1</v>
      </c>
      <c r="AC1275" t="n">
        <v>3</v>
      </c>
      <c r="AD1275" t="n">
        <v>1</v>
      </c>
      <c r="AE1275" t="n">
        <v>20</v>
      </c>
      <c r="AF1275" t="n">
        <v>0</v>
      </c>
      <c r="AG1275" t="n">
        <v>11</v>
      </c>
      <c r="AH1275" t="n">
        <v>1</v>
      </c>
      <c r="AI1275" t="n">
        <v>6</v>
      </c>
      <c r="AJ1275" t="n">
        <v>0</v>
      </c>
      <c r="AK1275" t="n">
        <v>9</v>
      </c>
      <c r="AL1275" t="n">
        <v>0</v>
      </c>
      <c r="AM1275" t="n">
        <v>2</v>
      </c>
      <c r="AN1275" t="n">
        <v>0</v>
      </c>
      <c r="AO1275" t="n">
        <v>0</v>
      </c>
      <c r="AP1275" t="inlineStr">
        <is>
          <t>No</t>
        </is>
      </c>
      <c r="AQ1275" t="inlineStr">
        <is>
          <t>No</t>
        </is>
      </c>
      <c r="AS1275">
        <f>HYPERLINK("https://creighton-primo.hosted.exlibrisgroup.com/primo-explore/search?tab=default_tab&amp;search_scope=EVERYTHING&amp;vid=01CRU&amp;lang=en_US&amp;offset=0&amp;query=any,contains,991002048339702656","Catalog Record")</f>
        <v/>
      </c>
      <c r="AT1275">
        <f>HYPERLINK("http://www.worldcat.org/oclc/26151871","WorldCat Record")</f>
        <v/>
      </c>
      <c r="AU1275" t="inlineStr">
        <is>
          <t>3855430396:eng</t>
        </is>
      </c>
      <c r="AV1275" t="inlineStr">
        <is>
          <t>26151871</t>
        </is>
      </c>
      <c r="AW1275" t="inlineStr">
        <is>
          <t>991002048339702656</t>
        </is>
      </c>
      <c r="AX1275" t="inlineStr">
        <is>
          <t>991002048339702656</t>
        </is>
      </c>
      <c r="AY1275" t="inlineStr">
        <is>
          <t>2272473830002656</t>
        </is>
      </c>
      <c r="AZ1275" t="inlineStr">
        <is>
          <t>BOOK</t>
        </is>
      </c>
      <c r="BB1275" t="inlineStr">
        <is>
          <t>9780881336122</t>
        </is>
      </c>
      <c r="BC1275" t="inlineStr">
        <is>
          <t>32285002150562</t>
        </is>
      </c>
      <c r="BD1275" t="inlineStr">
        <is>
          <t>893408629</t>
        </is>
      </c>
    </row>
    <row r="1276">
      <c r="A1276" t="inlineStr">
        <is>
          <t>No</t>
        </is>
      </c>
      <c r="B1276" t="inlineStr">
        <is>
          <t>DS511 .E13 1995</t>
        </is>
      </c>
      <c r="C1276" t="inlineStr">
        <is>
          <t>0                      DS 0511000E  13          1995</t>
        </is>
      </c>
      <c r="D1276" t="inlineStr">
        <is>
          <t>East and Southeast Asia : a multidisciplinary survey / Colin Mackerras (editor).</t>
        </is>
      </c>
      <c r="F1276" t="inlineStr">
        <is>
          <t>No</t>
        </is>
      </c>
      <c r="G1276" t="inlineStr">
        <is>
          <t>1</t>
        </is>
      </c>
      <c r="H1276" t="inlineStr">
        <is>
          <t>No</t>
        </is>
      </c>
      <c r="I1276" t="inlineStr">
        <is>
          <t>No</t>
        </is>
      </c>
      <c r="J1276" t="inlineStr">
        <is>
          <t>0</t>
        </is>
      </c>
      <c r="L1276" t="inlineStr">
        <is>
          <t>Boulder, Colo. : Lynne Rienner Publishers, c1995.</t>
        </is>
      </c>
      <c r="M1276" t="inlineStr">
        <is>
          <t>1995</t>
        </is>
      </c>
      <c r="O1276" t="inlineStr">
        <is>
          <t>eng</t>
        </is>
      </c>
      <c r="P1276" t="inlineStr">
        <is>
          <t>cou</t>
        </is>
      </c>
      <c r="R1276" t="inlineStr">
        <is>
          <t xml:space="preserve">DS </t>
        </is>
      </c>
      <c r="S1276" t="n">
        <v>2</v>
      </c>
      <c r="T1276" t="n">
        <v>2</v>
      </c>
      <c r="U1276" t="inlineStr">
        <is>
          <t>2006-02-07</t>
        </is>
      </c>
      <c r="V1276" t="inlineStr">
        <is>
          <t>2006-02-07</t>
        </is>
      </c>
      <c r="W1276" t="inlineStr">
        <is>
          <t>1996-06-17</t>
        </is>
      </c>
      <c r="X1276" t="inlineStr">
        <is>
          <t>1996-06-17</t>
        </is>
      </c>
      <c r="Y1276" t="n">
        <v>243</v>
      </c>
      <c r="Z1276" t="n">
        <v>182</v>
      </c>
      <c r="AA1276" t="n">
        <v>183</v>
      </c>
      <c r="AB1276" t="n">
        <v>1</v>
      </c>
      <c r="AC1276" t="n">
        <v>1</v>
      </c>
      <c r="AD1276" t="n">
        <v>6</v>
      </c>
      <c r="AE1276" t="n">
        <v>6</v>
      </c>
      <c r="AF1276" t="n">
        <v>3</v>
      </c>
      <c r="AG1276" t="n">
        <v>3</v>
      </c>
      <c r="AH1276" t="n">
        <v>1</v>
      </c>
      <c r="AI1276" t="n">
        <v>1</v>
      </c>
      <c r="AJ1276" t="n">
        <v>5</v>
      </c>
      <c r="AK1276" t="n">
        <v>5</v>
      </c>
      <c r="AL1276" t="n">
        <v>0</v>
      </c>
      <c r="AM1276" t="n">
        <v>0</v>
      </c>
      <c r="AN1276" t="n">
        <v>0</v>
      </c>
      <c r="AO1276" t="n">
        <v>0</v>
      </c>
      <c r="AP1276" t="inlineStr">
        <is>
          <t>No</t>
        </is>
      </c>
      <c r="AQ1276" t="inlineStr">
        <is>
          <t>No</t>
        </is>
      </c>
      <c r="AS1276">
        <f>HYPERLINK("https://creighton-primo.hosted.exlibrisgroup.com/primo-explore/search?tab=default_tab&amp;search_scope=EVERYTHING&amp;vid=01CRU&amp;lang=en_US&amp;offset=0&amp;query=any,contains,991002491469702656","Catalog Record")</f>
        <v/>
      </c>
      <c r="AT1276">
        <f>HYPERLINK("http://www.worldcat.org/oclc/32429097","WorldCat Record")</f>
        <v/>
      </c>
      <c r="AU1276" t="inlineStr">
        <is>
          <t>36626248:eng</t>
        </is>
      </c>
      <c r="AV1276" t="inlineStr">
        <is>
          <t>32429097</t>
        </is>
      </c>
      <c r="AW1276" t="inlineStr">
        <is>
          <t>991002491469702656</t>
        </is>
      </c>
      <c r="AX1276" t="inlineStr">
        <is>
          <t>991002491469702656</t>
        </is>
      </c>
      <c r="AY1276" t="inlineStr">
        <is>
          <t>2260575370002656</t>
        </is>
      </c>
      <c r="AZ1276" t="inlineStr">
        <is>
          <t>BOOK</t>
        </is>
      </c>
      <c r="BB1276" t="inlineStr">
        <is>
          <t>9781555876128</t>
        </is>
      </c>
      <c r="BC1276" t="inlineStr">
        <is>
          <t>32285002193745</t>
        </is>
      </c>
      <c r="BD1276" t="inlineStr">
        <is>
          <t>893510810</t>
        </is>
      </c>
    </row>
    <row r="1277">
      <c r="A1277" t="inlineStr">
        <is>
          <t>No</t>
        </is>
      </c>
      <c r="B1277" t="inlineStr">
        <is>
          <t>DS511 .I5 1971b</t>
        </is>
      </c>
      <c r="C1277" t="inlineStr">
        <is>
          <t>0                      DS 0511000I  5           1971b</t>
        </is>
      </c>
      <c r="D1277" t="inlineStr">
        <is>
          <t>In search of Southeast Asia; a modern history [by] David Joel Steinberg [and others] Edited by David Joel Steinberg.</t>
        </is>
      </c>
      <c r="F1277" t="inlineStr">
        <is>
          <t>No</t>
        </is>
      </c>
      <c r="G1277" t="inlineStr">
        <is>
          <t>1</t>
        </is>
      </c>
      <c r="H1277" t="inlineStr">
        <is>
          <t>No</t>
        </is>
      </c>
      <c r="I1277" t="inlineStr">
        <is>
          <t>No</t>
        </is>
      </c>
      <c r="J1277" t="inlineStr">
        <is>
          <t>0</t>
        </is>
      </c>
      <c r="L1277" t="inlineStr">
        <is>
          <t>New York, Praeger [1971]</t>
        </is>
      </c>
      <c r="M1277" t="inlineStr">
        <is>
          <t>1971</t>
        </is>
      </c>
      <c r="O1277" t="inlineStr">
        <is>
          <t>eng</t>
        </is>
      </c>
      <c r="P1277" t="inlineStr">
        <is>
          <t>nyu</t>
        </is>
      </c>
      <c r="R1277" t="inlineStr">
        <is>
          <t xml:space="preserve">DS </t>
        </is>
      </c>
      <c r="S1277" t="n">
        <v>3</v>
      </c>
      <c r="T1277" t="n">
        <v>3</v>
      </c>
      <c r="U1277" t="inlineStr">
        <is>
          <t>2007-04-23</t>
        </is>
      </c>
      <c r="V1277" t="inlineStr">
        <is>
          <t>2007-04-23</t>
        </is>
      </c>
      <c r="W1277" t="inlineStr">
        <is>
          <t>1997-03-10</t>
        </is>
      </c>
      <c r="X1277" t="inlineStr">
        <is>
          <t>1997-03-10</t>
        </is>
      </c>
      <c r="Y1277" t="n">
        <v>182</v>
      </c>
      <c r="Z1277" t="n">
        <v>160</v>
      </c>
      <c r="AA1277" t="n">
        <v>1471</v>
      </c>
      <c r="AB1277" t="n">
        <v>1</v>
      </c>
      <c r="AC1277" t="n">
        <v>10</v>
      </c>
      <c r="AD1277" t="n">
        <v>5</v>
      </c>
      <c r="AE1277" t="n">
        <v>49</v>
      </c>
      <c r="AF1277" t="n">
        <v>3</v>
      </c>
      <c r="AG1277" t="n">
        <v>22</v>
      </c>
      <c r="AH1277" t="n">
        <v>1</v>
      </c>
      <c r="AI1277" t="n">
        <v>9</v>
      </c>
      <c r="AJ1277" t="n">
        <v>2</v>
      </c>
      <c r="AK1277" t="n">
        <v>22</v>
      </c>
      <c r="AL1277" t="n">
        <v>0</v>
      </c>
      <c r="AM1277" t="n">
        <v>9</v>
      </c>
      <c r="AN1277" t="n">
        <v>0</v>
      </c>
      <c r="AO1277" t="n">
        <v>0</v>
      </c>
      <c r="AP1277" t="inlineStr">
        <is>
          <t>No</t>
        </is>
      </c>
      <c r="AQ1277" t="inlineStr">
        <is>
          <t>No</t>
        </is>
      </c>
      <c r="AS1277">
        <f>HYPERLINK("https://creighton-primo.hosted.exlibrisgroup.com/primo-explore/search?tab=default_tab&amp;search_scope=EVERYTHING&amp;vid=01CRU&amp;lang=en_US&amp;offset=0&amp;query=any,contains,991000681189702656","Catalog Record")</f>
        <v/>
      </c>
      <c r="AT1277">
        <f>HYPERLINK("http://www.worldcat.org/oclc/122001","WorldCat Record")</f>
        <v/>
      </c>
      <c r="AU1277" t="inlineStr">
        <is>
          <t>796589612:eng</t>
        </is>
      </c>
      <c r="AV1277" t="inlineStr">
        <is>
          <t>122001</t>
        </is>
      </c>
      <c r="AW1277" t="inlineStr">
        <is>
          <t>991000681189702656</t>
        </is>
      </c>
      <c r="AX1277" t="inlineStr">
        <is>
          <t>991000681189702656</t>
        </is>
      </c>
      <c r="AY1277" t="inlineStr">
        <is>
          <t>2263030670002656</t>
        </is>
      </c>
      <c r="AZ1277" t="inlineStr">
        <is>
          <t>BOOK</t>
        </is>
      </c>
      <c r="BC1277" t="inlineStr">
        <is>
          <t>32285002458361</t>
        </is>
      </c>
      <c r="BD1277" t="inlineStr">
        <is>
          <t>893683657</t>
        </is>
      </c>
    </row>
    <row r="1278">
      <c r="A1278" t="inlineStr">
        <is>
          <t>No</t>
        </is>
      </c>
      <c r="B1278" t="inlineStr">
        <is>
          <t>DS511 .L3 1964</t>
        </is>
      </c>
      <c r="C1278" t="inlineStr">
        <is>
          <t>0                      DS 0511000L  3           1964</t>
        </is>
      </c>
      <c r="D1278" t="inlineStr">
        <is>
          <t>A short history of the Far East / Kenneth Scott Latourette.</t>
        </is>
      </c>
      <c r="F1278" t="inlineStr">
        <is>
          <t>No</t>
        </is>
      </c>
      <c r="G1278" t="inlineStr">
        <is>
          <t>1</t>
        </is>
      </c>
      <c r="H1278" t="inlineStr">
        <is>
          <t>No</t>
        </is>
      </c>
      <c r="I1278" t="inlineStr">
        <is>
          <t>No</t>
        </is>
      </c>
      <c r="J1278" t="inlineStr">
        <is>
          <t>0</t>
        </is>
      </c>
      <c r="K1278" t="inlineStr">
        <is>
          <t>Latourette, Kenneth Scott, 1884-1968.</t>
        </is>
      </c>
      <c r="L1278" t="inlineStr">
        <is>
          <t>New York : Macmillan, [1964]</t>
        </is>
      </c>
      <c r="M1278" t="inlineStr">
        <is>
          <t>1964</t>
        </is>
      </c>
      <c r="N1278" t="inlineStr">
        <is>
          <t>4th ed.</t>
        </is>
      </c>
      <c r="O1278" t="inlineStr">
        <is>
          <t>eng</t>
        </is>
      </c>
      <c r="P1278" t="inlineStr">
        <is>
          <t>nyu</t>
        </is>
      </c>
      <c r="R1278" t="inlineStr">
        <is>
          <t xml:space="preserve">DS </t>
        </is>
      </c>
      <c r="S1278" t="n">
        <v>1</v>
      </c>
      <c r="T1278" t="n">
        <v>1</v>
      </c>
      <c r="U1278" t="inlineStr">
        <is>
          <t>2005-02-09</t>
        </is>
      </c>
      <c r="V1278" t="inlineStr">
        <is>
          <t>2005-02-09</t>
        </is>
      </c>
      <c r="W1278" t="inlineStr">
        <is>
          <t>1990-10-09</t>
        </is>
      </c>
      <c r="X1278" t="inlineStr">
        <is>
          <t>1990-10-09</t>
        </is>
      </c>
      <c r="Y1278" t="n">
        <v>1084</v>
      </c>
      <c r="Z1278" t="n">
        <v>960</v>
      </c>
      <c r="AA1278" t="n">
        <v>1574</v>
      </c>
      <c r="AB1278" t="n">
        <v>8</v>
      </c>
      <c r="AC1278" t="n">
        <v>16</v>
      </c>
      <c r="AD1278" t="n">
        <v>29</v>
      </c>
      <c r="AE1278" t="n">
        <v>47</v>
      </c>
      <c r="AF1278" t="n">
        <v>11</v>
      </c>
      <c r="AG1278" t="n">
        <v>18</v>
      </c>
      <c r="AH1278" t="n">
        <v>7</v>
      </c>
      <c r="AI1278" t="n">
        <v>8</v>
      </c>
      <c r="AJ1278" t="n">
        <v>12</v>
      </c>
      <c r="AK1278" t="n">
        <v>19</v>
      </c>
      <c r="AL1278" t="n">
        <v>6</v>
      </c>
      <c r="AM1278" t="n">
        <v>11</v>
      </c>
      <c r="AN1278" t="n">
        <v>0</v>
      </c>
      <c r="AO1278" t="n">
        <v>1</v>
      </c>
      <c r="AP1278" t="inlineStr">
        <is>
          <t>No</t>
        </is>
      </c>
      <c r="AQ1278" t="inlineStr">
        <is>
          <t>No</t>
        </is>
      </c>
      <c r="AS1278">
        <f>HYPERLINK("https://creighton-primo.hosted.exlibrisgroup.com/primo-explore/search?tab=default_tab&amp;search_scope=EVERYTHING&amp;vid=01CRU&amp;lang=en_US&amp;offset=0&amp;query=any,contains,991002715539702656","Catalog Record")</f>
        <v/>
      </c>
      <c r="AT1278">
        <f>HYPERLINK("http://www.worldcat.org/oclc/411179","WorldCat Record")</f>
        <v/>
      </c>
      <c r="AU1278" t="inlineStr">
        <is>
          <t>1456990:eng</t>
        </is>
      </c>
      <c r="AV1278" t="inlineStr">
        <is>
          <t>411179</t>
        </is>
      </c>
      <c r="AW1278" t="inlineStr">
        <is>
          <t>991002715539702656</t>
        </is>
      </c>
      <c r="AX1278" t="inlineStr">
        <is>
          <t>991002715539702656</t>
        </is>
      </c>
      <c r="AY1278" t="inlineStr">
        <is>
          <t>2265121270002656</t>
        </is>
      </c>
      <c r="AZ1278" t="inlineStr">
        <is>
          <t>BOOK</t>
        </is>
      </c>
      <c r="BC1278" t="inlineStr">
        <is>
          <t>32285000336940</t>
        </is>
      </c>
      <c r="BD1278" t="inlineStr">
        <is>
          <t>893698163</t>
        </is>
      </c>
    </row>
    <row r="1279">
      <c r="A1279" t="inlineStr">
        <is>
          <t>No</t>
        </is>
      </c>
      <c r="B1279" t="inlineStr">
        <is>
          <t>DS511 .O73 1971</t>
        </is>
      </c>
      <c r="C1279" t="inlineStr">
        <is>
          <t>0                      DS 0511000O  73          1971</t>
        </is>
      </c>
      <c r="D1279" t="inlineStr">
        <is>
          <t>Region of revolt; focus on Southeast Asia [by] Milton Osborne.</t>
        </is>
      </c>
      <c r="F1279" t="inlineStr">
        <is>
          <t>No</t>
        </is>
      </c>
      <c r="G1279" t="inlineStr">
        <is>
          <t>1</t>
        </is>
      </c>
      <c r="H1279" t="inlineStr">
        <is>
          <t>No</t>
        </is>
      </c>
      <c r="I1279" t="inlineStr">
        <is>
          <t>No</t>
        </is>
      </c>
      <c r="J1279" t="inlineStr">
        <is>
          <t>0</t>
        </is>
      </c>
      <c r="K1279" t="inlineStr">
        <is>
          <t>Osborne, Milton E.</t>
        </is>
      </c>
      <c r="L1279" t="inlineStr">
        <is>
          <t>[Harmondsworth, Eng.] Penguin Books [1971, c1970]</t>
        </is>
      </c>
      <c r="M1279" t="inlineStr">
        <is>
          <t>1971</t>
        </is>
      </c>
      <c r="O1279" t="inlineStr">
        <is>
          <t>eng</t>
        </is>
      </c>
      <c r="P1279" t="inlineStr">
        <is>
          <t>enk</t>
        </is>
      </c>
      <c r="Q1279" t="inlineStr">
        <is>
          <t>Pelican books</t>
        </is>
      </c>
      <c r="R1279" t="inlineStr">
        <is>
          <t xml:space="preserve">DS </t>
        </is>
      </c>
      <c r="S1279" t="n">
        <v>4</v>
      </c>
      <c r="T1279" t="n">
        <v>4</v>
      </c>
      <c r="U1279" t="inlineStr">
        <is>
          <t>2005-03-28</t>
        </is>
      </c>
      <c r="V1279" t="inlineStr">
        <is>
          <t>2005-03-28</t>
        </is>
      </c>
      <c r="W1279" t="inlineStr">
        <is>
          <t>1991-12-17</t>
        </is>
      </c>
      <c r="X1279" t="inlineStr">
        <is>
          <t>1991-12-17</t>
        </is>
      </c>
      <c r="Y1279" t="n">
        <v>194</v>
      </c>
      <c r="Z1279" t="n">
        <v>137</v>
      </c>
      <c r="AA1279" t="n">
        <v>296</v>
      </c>
      <c r="AB1279" t="n">
        <v>1</v>
      </c>
      <c r="AC1279" t="n">
        <v>2</v>
      </c>
      <c r="AD1279" t="n">
        <v>6</v>
      </c>
      <c r="AE1279" t="n">
        <v>14</v>
      </c>
      <c r="AF1279" t="n">
        <v>1</v>
      </c>
      <c r="AG1279" t="n">
        <v>5</v>
      </c>
      <c r="AH1279" t="n">
        <v>2</v>
      </c>
      <c r="AI1279" t="n">
        <v>4</v>
      </c>
      <c r="AJ1279" t="n">
        <v>4</v>
      </c>
      <c r="AK1279" t="n">
        <v>6</v>
      </c>
      <c r="AL1279" t="n">
        <v>0</v>
      </c>
      <c r="AM1279" t="n">
        <v>1</v>
      </c>
      <c r="AN1279" t="n">
        <v>0</v>
      </c>
      <c r="AO1279" t="n">
        <v>0</v>
      </c>
      <c r="AP1279" t="inlineStr">
        <is>
          <t>No</t>
        </is>
      </c>
      <c r="AQ1279" t="inlineStr">
        <is>
          <t>Yes</t>
        </is>
      </c>
      <c r="AR1279">
        <f>HYPERLINK("http://catalog.hathitrust.org/Record/000003577","HathiTrust Record")</f>
        <v/>
      </c>
      <c r="AS1279">
        <f>HYPERLINK("https://creighton-primo.hosted.exlibrisgroup.com/primo-explore/search?tab=default_tab&amp;search_scope=EVERYTHING&amp;vid=01CRU&amp;lang=en_US&amp;offset=0&amp;query=any,contains,991001927389702656","Catalog Record")</f>
        <v/>
      </c>
      <c r="AT1279">
        <f>HYPERLINK("http://www.worldcat.org/oclc/247346","WorldCat Record")</f>
        <v/>
      </c>
      <c r="AU1279" t="inlineStr">
        <is>
          <t>1256877:eng</t>
        </is>
      </c>
      <c r="AV1279" t="inlineStr">
        <is>
          <t>247346</t>
        </is>
      </c>
      <c r="AW1279" t="inlineStr">
        <is>
          <t>991001927389702656</t>
        </is>
      </c>
      <c r="AX1279" t="inlineStr">
        <is>
          <t>991001927389702656</t>
        </is>
      </c>
      <c r="AY1279" t="inlineStr">
        <is>
          <t>2257860600002656</t>
        </is>
      </c>
      <c r="AZ1279" t="inlineStr">
        <is>
          <t>BOOK</t>
        </is>
      </c>
      <c r="BB1279" t="inlineStr">
        <is>
          <t>9780140213607</t>
        </is>
      </c>
      <c r="BC1279" t="inlineStr">
        <is>
          <t>32285000901974</t>
        </is>
      </c>
      <c r="BD1279" t="inlineStr">
        <is>
          <t>893232388</t>
        </is>
      </c>
    </row>
    <row r="1280">
      <c r="A1280" t="inlineStr">
        <is>
          <t>No</t>
        </is>
      </c>
      <c r="B1280" t="inlineStr">
        <is>
          <t>DS511 .T37 1966a</t>
        </is>
      </c>
      <c r="C1280" t="inlineStr">
        <is>
          <t>0                      DS 0511000T  37          1966a</t>
        </is>
      </c>
      <c r="D1280" t="inlineStr">
        <is>
          <t>A concise history of Southeast Asia.</t>
        </is>
      </c>
      <c r="F1280" t="inlineStr">
        <is>
          <t>No</t>
        </is>
      </c>
      <c r="G1280" t="inlineStr">
        <is>
          <t>1</t>
        </is>
      </c>
      <c r="H1280" t="inlineStr">
        <is>
          <t>No</t>
        </is>
      </c>
      <c r="I1280" t="inlineStr">
        <is>
          <t>No</t>
        </is>
      </c>
      <c r="J1280" t="inlineStr">
        <is>
          <t>0</t>
        </is>
      </c>
      <c r="K1280" t="inlineStr">
        <is>
          <t>Tarling, Nicholas.</t>
        </is>
      </c>
      <c r="L1280" t="inlineStr">
        <is>
          <t>New York, Praeger [1966]</t>
        </is>
      </c>
      <c r="M1280" t="inlineStr">
        <is>
          <t>1966</t>
        </is>
      </c>
      <c r="O1280" t="inlineStr">
        <is>
          <t>eng</t>
        </is>
      </c>
      <c r="P1280" t="inlineStr">
        <is>
          <t>nyu</t>
        </is>
      </c>
      <c r="Q1280" t="inlineStr">
        <is>
          <t>Praeger university series, 617</t>
        </is>
      </c>
      <c r="R1280" t="inlineStr">
        <is>
          <t xml:space="preserve">DS </t>
        </is>
      </c>
      <c r="S1280" t="n">
        <v>3</v>
      </c>
      <c r="T1280" t="n">
        <v>3</v>
      </c>
      <c r="U1280" t="inlineStr">
        <is>
          <t>2007-04-23</t>
        </is>
      </c>
      <c r="V1280" t="inlineStr">
        <is>
          <t>2007-04-23</t>
        </is>
      </c>
      <c r="W1280" t="inlineStr">
        <is>
          <t>1997-03-10</t>
        </is>
      </c>
      <c r="X1280" t="inlineStr">
        <is>
          <t>1997-03-10</t>
        </is>
      </c>
      <c r="Y1280" t="n">
        <v>665</v>
      </c>
      <c r="Z1280" t="n">
        <v>540</v>
      </c>
      <c r="AA1280" t="n">
        <v>548</v>
      </c>
      <c r="AB1280" t="n">
        <v>4</v>
      </c>
      <c r="AC1280" t="n">
        <v>4</v>
      </c>
      <c r="AD1280" t="n">
        <v>18</v>
      </c>
      <c r="AE1280" t="n">
        <v>18</v>
      </c>
      <c r="AF1280" t="n">
        <v>7</v>
      </c>
      <c r="AG1280" t="n">
        <v>7</v>
      </c>
      <c r="AH1280" t="n">
        <v>3</v>
      </c>
      <c r="AI1280" t="n">
        <v>3</v>
      </c>
      <c r="AJ1280" t="n">
        <v>7</v>
      </c>
      <c r="AK1280" t="n">
        <v>7</v>
      </c>
      <c r="AL1280" t="n">
        <v>3</v>
      </c>
      <c r="AM1280" t="n">
        <v>3</v>
      </c>
      <c r="AN1280" t="n">
        <v>0</v>
      </c>
      <c r="AO1280" t="n">
        <v>0</v>
      </c>
      <c r="AP1280" t="inlineStr">
        <is>
          <t>No</t>
        </is>
      </c>
      <c r="AQ1280" t="inlineStr">
        <is>
          <t>Yes</t>
        </is>
      </c>
      <c r="AR1280">
        <f>HYPERLINK("http://catalog.hathitrust.org/Record/001254926","HathiTrust Record")</f>
        <v/>
      </c>
      <c r="AS1280">
        <f>HYPERLINK("https://creighton-primo.hosted.exlibrisgroup.com/primo-explore/search?tab=default_tab&amp;search_scope=EVERYTHING&amp;vid=01CRU&amp;lang=en_US&amp;offset=0&amp;query=any,contains,991002716239702656","Catalog Record")</f>
        <v/>
      </c>
      <c r="AT1280">
        <f>HYPERLINK("http://www.worldcat.org/oclc/411363","WorldCat Record")</f>
        <v/>
      </c>
      <c r="AU1280" t="inlineStr">
        <is>
          <t>18286903:eng</t>
        </is>
      </c>
      <c r="AV1280" t="inlineStr">
        <is>
          <t>411363</t>
        </is>
      </c>
      <c r="AW1280" t="inlineStr">
        <is>
          <t>991002716239702656</t>
        </is>
      </c>
      <c r="AX1280" t="inlineStr">
        <is>
          <t>991002716239702656</t>
        </is>
      </c>
      <c r="AY1280" t="inlineStr">
        <is>
          <t>2265053160002656</t>
        </is>
      </c>
      <c r="AZ1280" t="inlineStr">
        <is>
          <t>BOOK</t>
        </is>
      </c>
      <c r="BC1280" t="inlineStr">
        <is>
          <t>32285002458445</t>
        </is>
      </c>
      <c r="BD1280" t="inlineStr">
        <is>
          <t>893517650</t>
        </is>
      </c>
    </row>
    <row r="1281">
      <c r="A1281" t="inlineStr">
        <is>
          <t>No</t>
        </is>
      </c>
      <c r="B1281" t="inlineStr">
        <is>
          <t>DS511 .T39</t>
        </is>
      </c>
      <c r="C1281" t="inlineStr">
        <is>
          <t>0                      DS 0511000T  39</t>
        </is>
      </c>
      <c r="D1281" t="inlineStr">
        <is>
          <t>The making of modern South-East Asia, by D. J. M. Tate.</t>
        </is>
      </c>
      <c r="E1281" t="inlineStr">
        <is>
          <t>V.1</t>
        </is>
      </c>
      <c r="F1281" t="inlineStr">
        <is>
          <t>Yes</t>
        </is>
      </c>
      <c r="G1281" t="inlineStr">
        <is>
          <t>1</t>
        </is>
      </c>
      <c r="H1281" t="inlineStr">
        <is>
          <t>No</t>
        </is>
      </c>
      <c r="I1281" t="inlineStr">
        <is>
          <t>No</t>
        </is>
      </c>
      <c r="J1281" t="inlineStr">
        <is>
          <t>0</t>
        </is>
      </c>
      <c r="K1281" t="inlineStr">
        <is>
          <t>Tate, D. J. M.</t>
        </is>
      </c>
      <c r="L1281" t="inlineStr">
        <is>
          <t>Kuala Lumpur, New York, Oxford University Press, 1971-</t>
        </is>
      </c>
      <c r="M1281" t="inlineStr">
        <is>
          <t>1971</t>
        </is>
      </c>
      <c r="O1281" t="inlineStr">
        <is>
          <t>eng</t>
        </is>
      </c>
      <c r="P1281" t="inlineStr">
        <is>
          <t xml:space="preserve">my </t>
        </is>
      </c>
      <c r="R1281" t="inlineStr">
        <is>
          <t xml:space="preserve">DS </t>
        </is>
      </c>
      <c r="S1281" t="n">
        <v>1</v>
      </c>
      <c r="T1281" t="n">
        <v>1</v>
      </c>
      <c r="U1281" t="inlineStr">
        <is>
          <t>2005-02-03</t>
        </is>
      </c>
      <c r="V1281" t="inlineStr">
        <is>
          <t>2005-02-03</t>
        </is>
      </c>
      <c r="W1281" t="inlineStr">
        <is>
          <t>1990-10-09</t>
        </is>
      </c>
      <c r="X1281" t="inlineStr">
        <is>
          <t>1990-10-09</t>
        </is>
      </c>
      <c r="Y1281" t="n">
        <v>569</v>
      </c>
      <c r="Z1281" t="n">
        <v>434</v>
      </c>
      <c r="AA1281" t="n">
        <v>440</v>
      </c>
      <c r="AB1281" t="n">
        <v>3</v>
      </c>
      <c r="AC1281" t="n">
        <v>3</v>
      </c>
      <c r="AD1281" t="n">
        <v>17</v>
      </c>
      <c r="AE1281" t="n">
        <v>17</v>
      </c>
      <c r="AF1281" t="n">
        <v>3</v>
      </c>
      <c r="AG1281" t="n">
        <v>3</v>
      </c>
      <c r="AH1281" t="n">
        <v>4</v>
      </c>
      <c r="AI1281" t="n">
        <v>4</v>
      </c>
      <c r="AJ1281" t="n">
        <v>13</v>
      </c>
      <c r="AK1281" t="n">
        <v>13</v>
      </c>
      <c r="AL1281" t="n">
        <v>2</v>
      </c>
      <c r="AM1281" t="n">
        <v>2</v>
      </c>
      <c r="AN1281" t="n">
        <v>0</v>
      </c>
      <c r="AO1281" t="n">
        <v>0</v>
      </c>
      <c r="AP1281" t="inlineStr">
        <is>
          <t>No</t>
        </is>
      </c>
      <c r="AQ1281" t="inlineStr">
        <is>
          <t>Yes</t>
        </is>
      </c>
      <c r="AR1281">
        <f>HYPERLINK("http://catalog.hathitrust.org/Record/000191295","HathiTrust Record")</f>
        <v/>
      </c>
      <c r="AS1281">
        <f>HYPERLINK("https://creighton-primo.hosted.exlibrisgroup.com/primo-explore/search?tab=default_tab&amp;search_scope=EVERYTHING&amp;vid=01CRU&amp;lang=en_US&amp;offset=0&amp;query=any,contains,991001343489702656","Catalog Record")</f>
        <v/>
      </c>
      <c r="AT1281">
        <f>HYPERLINK("http://www.worldcat.org/oclc/221348","WorldCat Record")</f>
        <v/>
      </c>
      <c r="AU1281" t="inlineStr">
        <is>
          <t>415602:eng</t>
        </is>
      </c>
      <c r="AV1281" t="inlineStr">
        <is>
          <t>221348</t>
        </is>
      </c>
      <c r="AW1281" t="inlineStr">
        <is>
          <t>991001343489702656</t>
        </is>
      </c>
      <c r="AX1281" t="inlineStr">
        <is>
          <t>991001343489702656</t>
        </is>
      </c>
      <c r="AY1281" t="inlineStr">
        <is>
          <t>2258194050002656</t>
        </is>
      </c>
      <c r="AZ1281" t="inlineStr">
        <is>
          <t>BOOK</t>
        </is>
      </c>
      <c r="BC1281" t="inlineStr">
        <is>
          <t>32285000336957</t>
        </is>
      </c>
      <c r="BD1281" t="inlineStr">
        <is>
          <t>893715378</t>
        </is>
      </c>
    </row>
    <row r="1282">
      <c r="A1282" t="inlineStr">
        <is>
          <t>No</t>
        </is>
      </c>
      <c r="B1282" t="inlineStr">
        <is>
          <t>DS511 .T39</t>
        </is>
      </c>
      <c r="C1282" t="inlineStr">
        <is>
          <t>0                      DS 0511000T  39</t>
        </is>
      </c>
      <c r="D1282" t="inlineStr">
        <is>
          <t>The making of modern South-East Asia, by D. J. M. Tate.</t>
        </is>
      </c>
      <c r="E1282" t="inlineStr">
        <is>
          <t>V.2</t>
        </is>
      </c>
      <c r="F1282" t="inlineStr">
        <is>
          <t>Yes</t>
        </is>
      </c>
      <c r="G1282" t="inlineStr">
        <is>
          <t>1</t>
        </is>
      </c>
      <c r="H1282" t="inlineStr">
        <is>
          <t>No</t>
        </is>
      </c>
      <c r="I1282" t="inlineStr">
        <is>
          <t>No</t>
        </is>
      </c>
      <c r="J1282" t="inlineStr">
        <is>
          <t>0</t>
        </is>
      </c>
      <c r="K1282" t="inlineStr">
        <is>
          <t>Tate, D. J. M.</t>
        </is>
      </c>
      <c r="L1282" t="inlineStr">
        <is>
          <t>Kuala Lumpur, New York, Oxford University Press, 1971-</t>
        </is>
      </c>
      <c r="M1282" t="inlineStr">
        <is>
          <t>1971</t>
        </is>
      </c>
      <c r="O1282" t="inlineStr">
        <is>
          <t>eng</t>
        </is>
      </c>
      <c r="P1282" t="inlineStr">
        <is>
          <t xml:space="preserve">my </t>
        </is>
      </c>
      <c r="R1282" t="inlineStr">
        <is>
          <t xml:space="preserve">DS </t>
        </is>
      </c>
      <c r="S1282" t="n">
        <v>0</v>
      </c>
      <c r="T1282" t="n">
        <v>1</v>
      </c>
      <c r="V1282" t="inlineStr">
        <is>
          <t>2005-02-03</t>
        </is>
      </c>
      <c r="W1282" t="inlineStr">
        <is>
          <t>1990-10-09</t>
        </is>
      </c>
      <c r="X1282" t="inlineStr">
        <is>
          <t>1990-10-09</t>
        </is>
      </c>
      <c r="Y1282" t="n">
        <v>569</v>
      </c>
      <c r="Z1282" t="n">
        <v>434</v>
      </c>
      <c r="AA1282" t="n">
        <v>440</v>
      </c>
      <c r="AB1282" t="n">
        <v>3</v>
      </c>
      <c r="AC1282" t="n">
        <v>3</v>
      </c>
      <c r="AD1282" t="n">
        <v>17</v>
      </c>
      <c r="AE1282" t="n">
        <v>17</v>
      </c>
      <c r="AF1282" t="n">
        <v>3</v>
      </c>
      <c r="AG1282" t="n">
        <v>3</v>
      </c>
      <c r="AH1282" t="n">
        <v>4</v>
      </c>
      <c r="AI1282" t="n">
        <v>4</v>
      </c>
      <c r="AJ1282" t="n">
        <v>13</v>
      </c>
      <c r="AK1282" t="n">
        <v>13</v>
      </c>
      <c r="AL1282" t="n">
        <v>2</v>
      </c>
      <c r="AM1282" t="n">
        <v>2</v>
      </c>
      <c r="AN1282" t="n">
        <v>0</v>
      </c>
      <c r="AO1282" t="n">
        <v>0</v>
      </c>
      <c r="AP1282" t="inlineStr">
        <is>
          <t>No</t>
        </is>
      </c>
      <c r="AQ1282" t="inlineStr">
        <is>
          <t>Yes</t>
        </is>
      </c>
      <c r="AR1282">
        <f>HYPERLINK("http://catalog.hathitrust.org/Record/000191295","HathiTrust Record")</f>
        <v/>
      </c>
      <c r="AS1282">
        <f>HYPERLINK("https://creighton-primo.hosted.exlibrisgroup.com/primo-explore/search?tab=default_tab&amp;search_scope=EVERYTHING&amp;vid=01CRU&amp;lang=en_US&amp;offset=0&amp;query=any,contains,991001343489702656","Catalog Record")</f>
        <v/>
      </c>
      <c r="AT1282">
        <f>HYPERLINK("http://www.worldcat.org/oclc/221348","WorldCat Record")</f>
        <v/>
      </c>
      <c r="AU1282" t="inlineStr">
        <is>
          <t>415602:eng</t>
        </is>
      </c>
      <c r="AV1282" t="inlineStr">
        <is>
          <t>221348</t>
        </is>
      </c>
      <c r="AW1282" t="inlineStr">
        <is>
          <t>991001343489702656</t>
        </is>
      </c>
      <c r="AX1282" t="inlineStr">
        <is>
          <t>991001343489702656</t>
        </is>
      </c>
      <c r="AY1282" t="inlineStr">
        <is>
          <t>2258194050002656</t>
        </is>
      </c>
      <c r="AZ1282" t="inlineStr">
        <is>
          <t>BOOK</t>
        </is>
      </c>
      <c r="BC1282" t="inlineStr">
        <is>
          <t>32285000336965</t>
        </is>
      </c>
      <c r="BD1282" t="inlineStr">
        <is>
          <t>893690546</t>
        </is>
      </c>
    </row>
    <row r="1283">
      <c r="A1283" t="inlineStr">
        <is>
          <t>No</t>
        </is>
      </c>
      <c r="B1283" t="inlineStr">
        <is>
          <t>DS515 .H57 2000</t>
        </is>
      </c>
      <c r="C1283" t="inlineStr">
        <is>
          <t>0                      DS 0515000H  57          2000</t>
        </is>
      </c>
      <c r="D1283" t="inlineStr">
        <is>
          <t>Historical perspectives on contemporary East Asia / edited by Merle Goldman, Andrew Gordon.</t>
        </is>
      </c>
      <c r="F1283" t="inlineStr">
        <is>
          <t>No</t>
        </is>
      </c>
      <c r="G1283" t="inlineStr">
        <is>
          <t>1</t>
        </is>
      </c>
      <c r="H1283" t="inlineStr">
        <is>
          <t>No</t>
        </is>
      </c>
      <c r="I1283" t="inlineStr">
        <is>
          <t>No</t>
        </is>
      </c>
      <c r="J1283" t="inlineStr">
        <is>
          <t>0</t>
        </is>
      </c>
      <c r="L1283" t="inlineStr">
        <is>
          <t>Cambridge, Mass. : Harvard University Press, 2000.</t>
        </is>
      </c>
      <c r="M1283" t="inlineStr">
        <is>
          <t>2000</t>
        </is>
      </c>
      <c r="O1283" t="inlineStr">
        <is>
          <t>eng</t>
        </is>
      </c>
      <c r="P1283" t="inlineStr">
        <is>
          <t>mau</t>
        </is>
      </c>
      <c r="R1283" t="inlineStr">
        <is>
          <t xml:space="preserve">DS </t>
        </is>
      </c>
      <c r="S1283" t="n">
        <v>3</v>
      </c>
      <c r="T1283" t="n">
        <v>3</v>
      </c>
      <c r="U1283" t="inlineStr">
        <is>
          <t>2003-10-06</t>
        </is>
      </c>
      <c r="V1283" t="inlineStr">
        <is>
          <t>2003-10-06</t>
        </is>
      </c>
      <c r="W1283" t="inlineStr">
        <is>
          <t>2003-03-25</t>
        </is>
      </c>
      <c r="X1283" t="inlineStr">
        <is>
          <t>2003-03-25</t>
        </is>
      </c>
      <c r="Y1283" t="n">
        <v>478</v>
      </c>
      <c r="Z1283" t="n">
        <v>353</v>
      </c>
      <c r="AA1283" t="n">
        <v>358</v>
      </c>
      <c r="AB1283" t="n">
        <v>3</v>
      </c>
      <c r="AC1283" t="n">
        <v>3</v>
      </c>
      <c r="AD1283" t="n">
        <v>22</v>
      </c>
      <c r="AE1283" t="n">
        <v>22</v>
      </c>
      <c r="AF1283" t="n">
        <v>6</v>
      </c>
      <c r="AG1283" t="n">
        <v>6</v>
      </c>
      <c r="AH1283" t="n">
        <v>8</v>
      </c>
      <c r="AI1283" t="n">
        <v>8</v>
      </c>
      <c r="AJ1283" t="n">
        <v>11</v>
      </c>
      <c r="AK1283" t="n">
        <v>11</v>
      </c>
      <c r="AL1283" t="n">
        <v>2</v>
      </c>
      <c r="AM1283" t="n">
        <v>2</v>
      </c>
      <c r="AN1283" t="n">
        <v>0</v>
      </c>
      <c r="AO1283" t="n">
        <v>0</v>
      </c>
      <c r="AP1283" t="inlineStr">
        <is>
          <t>No</t>
        </is>
      </c>
      <c r="AQ1283" t="inlineStr">
        <is>
          <t>Yes</t>
        </is>
      </c>
      <c r="AR1283">
        <f>HYPERLINK("http://catalog.hathitrust.org/Record/004115731","HathiTrust Record")</f>
        <v/>
      </c>
      <c r="AS1283">
        <f>HYPERLINK("https://creighton-primo.hosted.exlibrisgroup.com/primo-explore/search?tab=default_tab&amp;search_scope=EVERYTHING&amp;vid=01CRU&amp;lang=en_US&amp;offset=0&amp;query=any,contains,991003998469702656","Catalog Record")</f>
        <v/>
      </c>
      <c r="AT1283">
        <f>HYPERLINK("http://www.worldcat.org/oclc/43474735","WorldCat Record")</f>
        <v/>
      </c>
      <c r="AU1283" t="inlineStr">
        <is>
          <t>346353789:eng</t>
        </is>
      </c>
      <c r="AV1283" t="inlineStr">
        <is>
          <t>43474735</t>
        </is>
      </c>
      <c r="AW1283" t="inlineStr">
        <is>
          <t>991003998469702656</t>
        </is>
      </c>
      <c r="AX1283" t="inlineStr">
        <is>
          <t>991003998469702656</t>
        </is>
      </c>
      <c r="AY1283" t="inlineStr">
        <is>
          <t>2263013460002656</t>
        </is>
      </c>
      <c r="AZ1283" t="inlineStr">
        <is>
          <t>BOOK</t>
        </is>
      </c>
      <c r="BB1283" t="inlineStr">
        <is>
          <t>9780674000971</t>
        </is>
      </c>
      <c r="BC1283" t="inlineStr">
        <is>
          <t>32285004686449</t>
        </is>
      </c>
      <c r="BD1283" t="inlineStr">
        <is>
          <t>893353150</t>
        </is>
      </c>
    </row>
    <row r="1284">
      <c r="A1284" t="inlineStr">
        <is>
          <t>No</t>
        </is>
      </c>
      <c r="B1284" t="inlineStr">
        <is>
          <t>DS515 .M28 1977</t>
        </is>
      </c>
      <c r="C1284" t="inlineStr">
        <is>
          <t>0                      DS 0515000M  28          1977</t>
        </is>
      </c>
      <c r="D1284" t="inlineStr">
        <is>
          <t>Russian Far Eastern policy, 1881-1904 : with special emphasis on the causes of the Russo-Japanese War / Andrew Malozemoff.</t>
        </is>
      </c>
      <c r="F1284" t="inlineStr">
        <is>
          <t>No</t>
        </is>
      </c>
      <c r="G1284" t="inlineStr">
        <is>
          <t>1</t>
        </is>
      </c>
      <c r="H1284" t="inlineStr">
        <is>
          <t>No</t>
        </is>
      </c>
      <c r="I1284" t="inlineStr">
        <is>
          <t>No</t>
        </is>
      </c>
      <c r="J1284" t="inlineStr">
        <is>
          <t>0</t>
        </is>
      </c>
      <c r="K1284" t="inlineStr">
        <is>
          <t>Malozemoff, Andrew, 1910-1952.</t>
        </is>
      </c>
      <c r="L1284" t="inlineStr">
        <is>
          <t>New York : Octagon Books, 1977, c1958.</t>
        </is>
      </c>
      <c r="M1284" t="inlineStr">
        <is>
          <t>1977</t>
        </is>
      </c>
      <c r="O1284" t="inlineStr">
        <is>
          <t>eng</t>
        </is>
      </c>
      <c r="P1284" t="inlineStr">
        <is>
          <t>nyu</t>
        </is>
      </c>
      <c r="R1284" t="inlineStr">
        <is>
          <t xml:space="preserve">DS </t>
        </is>
      </c>
      <c r="S1284" t="n">
        <v>4</v>
      </c>
      <c r="T1284" t="n">
        <v>4</v>
      </c>
      <c r="U1284" t="inlineStr">
        <is>
          <t>1995-12-05</t>
        </is>
      </c>
      <c r="V1284" t="inlineStr">
        <is>
          <t>1995-12-05</t>
        </is>
      </c>
      <c r="W1284" t="inlineStr">
        <is>
          <t>1992-02-14</t>
        </is>
      </c>
      <c r="X1284" t="inlineStr">
        <is>
          <t>1992-02-14</t>
        </is>
      </c>
      <c r="Y1284" t="n">
        <v>95</v>
      </c>
      <c r="Z1284" t="n">
        <v>67</v>
      </c>
      <c r="AA1284" t="n">
        <v>434</v>
      </c>
      <c r="AB1284" t="n">
        <v>1</v>
      </c>
      <c r="AC1284" t="n">
        <v>3</v>
      </c>
      <c r="AD1284" t="n">
        <v>4</v>
      </c>
      <c r="AE1284" t="n">
        <v>23</v>
      </c>
      <c r="AF1284" t="n">
        <v>1</v>
      </c>
      <c r="AG1284" t="n">
        <v>8</v>
      </c>
      <c r="AH1284" t="n">
        <v>3</v>
      </c>
      <c r="AI1284" t="n">
        <v>6</v>
      </c>
      <c r="AJ1284" t="n">
        <v>2</v>
      </c>
      <c r="AK1284" t="n">
        <v>13</v>
      </c>
      <c r="AL1284" t="n">
        <v>0</v>
      </c>
      <c r="AM1284" t="n">
        <v>2</v>
      </c>
      <c r="AN1284" t="n">
        <v>0</v>
      </c>
      <c r="AO1284" t="n">
        <v>0</v>
      </c>
      <c r="AP1284" t="inlineStr">
        <is>
          <t>No</t>
        </is>
      </c>
      <c r="AQ1284" t="inlineStr">
        <is>
          <t>No</t>
        </is>
      </c>
      <c r="AS1284">
        <f>HYPERLINK("https://creighton-primo.hosted.exlibrisgroup.com/primo-explore/search?tab=default_tab&amp;search_scope=EVERYTHING&amp;vid=01CRU&amp;lang=en_US&amp;offset=0&amp;query=any,contains,991004185339702656","Catalog Record")</f>
        <v/>
      </c>
      <c r="AT1284">
        <f>HYPERLINK("http://www.worldcat.org/oclc/2614611","WorldCat Record")</f>
        <v/>
      </c>
      <c r="AU1284" t="inlineStr">
        <is>
          <t>5555319:eng</t>
        </is>
      </c>
      <c r="AV1284" t="inlineStr">
        <is>
          <t>2614611</t>
        </is>
      </c>
      <c r="AW1284" t="inlineStr">
        <is>
          <t>991004185339702656</t>
        </is>
      </c>
      <c r="AX1284" t="inlineStr">
        <is>
          <t>991004185339702656</t>
        </is>
      </c>
      <c r="AY1284" t="inlineStr">
        <is>
          <t>2265589420002656</t>
        </is>
      </c>
      <c r="AZ1284" t="inlineStr">
        <is>
          <t>BOOK</t>
        </is>
      </c>
      <c r="BB1284" t="inlineStr">
        <is>
          <t>9780374952624</t>
        </is>
      </c>
      <c r="BC1284" t="inlineStr">
        <is>
          <t>32285000959378</t>
        </is>
      </c>
      <c r="BD1284" t="inlineStr">
        <is>
          <t>893712252</t>
        </is>
      </c>
    </row>
    <row r="1285">
      <c r="A1285" t="inlineStr">
        <is>
          <t>No</t>
        </is>
      </c>
      <c r="B1285" t="inlineStr">
        <is>
          <t>DS515 .S6</t>
        </is>
      </c>
      <c r="C1285" t="inlineStr">
        <is>
          <t>0                      DS 0515000S  6</t>
        </is>
      </c>
      <c r="D1285" t="inlineStr">
        <is>
          <t>Manchu and Muscovite, by B.L. Putnam Weale [pseud.]</t>
        </is>
      </c>
      <c r="F1285" t="inlineStr">
        <is>
          <t>No</t>
        </is>
      </c>
      <c r="G1285" t="inlineStr">
        <is>
          <t>1</t>
        </is>
      </c>
      <c r="H1285" t="inlineStr">
        <is>
          <t>No</t>
        </is>
      </c>
      <c r="I1285" t="inlineStr">
        <is>
          <t>No</t>
        </is>
      </c>
      <c r="J1285" t="inlineStr">
        <is>
          <t>0</t>
        </is>
      </c>
      <c r="K1285" t="inlineStr">
        <is>
          <t>Putnam Weale, B. L. (Bertram Lenox), 1877-1930.</t>
        </is>
      </c>
      <c r="L1285" t="inlineStr">
        <is>
          <t>London, Macmillan; New York, Macmillan, 1904.</t>
        </is>
      </c>
      <c r="M1285" t="inlineStr">
        <is>
          <t>1904</t>
        </is>
      </c>
      <c r="O1285" t="inlineStr">
        <is>
          <t>eng</t>
        </is>
      </c>
      <c r="P1285" t="inlineStr">
        <is>
          <t>enk</t>
        </is>
      </c>
      <c r="R1285" t="inlineStr">
        <is>
          <t xml:space="preserve">DS </t>
        </is>
      </c>
      <c r="S1285" t="n">
        <v>2</v>
      </c>
      <c r="T1285" t="n">
        <v>2</v>
      </c>
      <c r="U1285" t="inlineStr">
        <is>
          <t>1999-04-13</t>
        </is>
      </c>
      <c r="V1285" t="inlineStr">
        <is>
          <t>1999-04-13</t>
        </is>
      </c>
      <c r="W1285" t="inlineStr">
        <is>
          <t>1997-03-10</t>
        </is>
      </c>
      <c r="X1285" t="inlineStr">
        <is>
          <t>1997-03-10</t>
        </is>
      </c>
      <c r="Y1285" t="n">
        <v>204</v>
      </c>
      <c r="Z1285" t="n">
        <v>173</v>
      </c>
      <c r="AA1285" t="n">
        <v>222</v>
      </c>
      <c r="AB1285" t="n">
        <v>1</v>
      </c>
      <c r="AC1285" t="n">
        <v>2</v>
      </c>
      <c r="AD1285" t="n">
        <v>9</v>
      </c>
      <c r="AE1285" t="n">
        <v>12</v>
      </c>
      <c r="AF1285" t="n">
        <v>2</v>
      </c>
      <c r="AG1285" t="n">
        <v>2</v>
      </c>
      <c r="AH1285" t="n">
        <v>3</v>
      </c>
      <c r="AI1285" t="n">
        <v>5</v>
      </c>
      <c r="AJ1285" t="n">
        <v>8</v>
      </c>
      <c r="AK1285" t="n">
        <v>8</v>
      </c>
      <c r="AL1285" t="n">
        <v>0</v>
      </c>
      <c r="AM1285" t="n">
        <v>1</v>
      </c>
      <c r="AN1285" t="n">
        <v>0</v>
      </c>
      <c r="AO1285" t="n">
        <v>0</v>
      </c>
      <c r="AP1285" t="inlineStr">
        <is>
          <t>Yes</t>
        </is>
      </c>
      <c r="AQ1285" t="inlineStr">
        <is>
          <t>No</t>
        </is>
      </c>
      <c r="AR1285">
        <f>HYPERLINK("http://catalog.hathitrust.org/Record/001869910","HathiTrust Record")</f>
        <v/>
      </c>
      <c r="AS1285">
        <f>HYPERLINK("https://creighton-primo.hosted.exlibrisgroup.com/primo-explore/search?tab=default_tab&amp;search_scope=EVERYTHING&amp;vid=01CRU&amp;lang=en_US&amp;offset=0&amp;query=any,contains,991003573129702656","Catalog Record")</f>
        <v/>
      </c>
      <c r="AT1285">
        <f>HYPERLINK("http://www.worldcat.org/oclc/1148948","WorldCat Record")</f>
        <v/>
      </c>
      <c r="AU1285" t="inlineStr">
        <is>
          <t>4095478209:eng</t>
        </is>
      </c>
      <c r="AV1285" t="inlineStr">
        <is>
          <t>1148948</t>
        </is>
      </c>
      <c r="AW1285" t="inlineStr">
        <is>
          <t>991003573129702656</t>
        </is>
      </c>
      <c r="AX1285" t="inlineStr">
        <is>
          <t>991003573129702656</t>
        </is>
      </c>
      <c r="AY1285" t="inlineStr">
        <is>
          <t>2261067810002656</t>
        </is>
      </c>
      <c r="AZ1285" t="inlineStr">
        <is>
          <t>BOOK</t>
        </is>
      </c>
      <c r="BC1285" t="inlineStr">
        <is>
          <t>32285002458502</t>
        </is>
      </c>
      <c r="BD1285" t="inlineStr">
        <is>
          <t>893428939</t>
        </is>
      </c>
    </row>
    <row r="1286">
      <c r="A1286" t="inlineStr">
        <is>
          <t>No</t>
        </is>
      </c>
      <c r="B1286" t="inlineStr">
        <is>
          <t>DS515 .Z45 1997</t>
        </is>
      </c>
      <c r="C1286" t="inlineStr">
        <is>
          <t>0                      DS 0515000Z  45          1997</t>
        </is>
      </c>
      <c r="D1286" t="inlineStr">
        <is>
          <t>Power competition in East Asia : from the old Chinese world order to post-cold war regional multipolarity / Suisheng Zhao.</t>
        </is>
      </c>
      <c r="F1286" t="inlineStr">
        <is>
          <t>No</t>
        </is>
      </c>
      <c r="G1286" t="inlineStr">
        <is>
          <t>1</t>
        </is>
      </c>
      <c r="H1286" t="inlineStr">
        <is>
          <t>No</t>
        </is>
      </c>
      <c r="I1286" t="inlineStr">
        <is>
          <t>No</t>
        </is>
      </c>
      <c r="J1286" t="inlineStr">
        <is>
          <t>0</t>
        </is>
      </c>
      <c r="K1286" t="inlineStr">
        <is>
          <t>Zhao, Suisheng, 1954-</t>
        </is>
      </c>
      <c r="L1286" t="inlineStr">
        <is>
          <t>New York : St. Martin's Press, 1997.</t>
        </is>
      </c>
      <c r="M1286" t="inlineStr">
        <is>
          <t>1997</t>
        </is>
      </c>
      <c r="N1286" t="inlineStr">
        <is>
          <t>1st ed.</t>
        </is>
      </c>
      <c r="O1286" t="inlineStr">
        <is>
          <t>eng</t>
        </is>
      </c>
      <c r="P1286" t="inlineStr">
        <is>
          <t>nyu</t>
        </is>
      </c>
      <c r="R1286" t="inlineStr">
        <is>
          <t xml:space="preserve">DS </t>
        </is>
      </c>
      <c r="S1286" t="n">
        <v>1</v>
      </c>
      <c r="T1286" t="n">
        <v>1</v>
      </c>
      <c r="U1286" t="inlineStr">
        <is>
          <t>1998-09-22</t>
        </is>
      </c>
      <c r="V1286" t="inlineStr">
        <is>
          <t>1998-09-22</t>
        </is>
      </c>
      <c r="W1286" t="inlineStr">
        <is>
          <t>1998-04-06</t>
        </is>
      </c>
      <c r="X1286" t="inlineStr">
        <is>
          <t>1998-04-06</t>
        </is>
      </c>
      <c r="Y1286" t="n">
        <v>401</v>
      </c>
      <c r="Z1286" t="n">
        <v>334</v>
      </c>
      <c r="AA1286" t="n">
        <v>368</v>
      </c>
      <c r="AB1286" t="n">
        <v>3</v>
      </c>
      <c r="AC1286" t="n">
        <v>3</v>
      </c>
      <c r="AD1286" t="n">
        <v>20</v>
      </c>
      <c r="AE1286" t="n">
        <v>21</v>
      </c>
      <c r="AF1286" t="n">
        <v>8</v>
      </c>
      <c r="AG1286" t="n">
        <v>8</v>
      </c>
      <c r="AH1286" t="n">
        <v>6</v>
      </c>
      <c r="AI1286" t="n">
        <v>7</v>
      </c>
      <c r="AJ1286" t="n">
        <v>11</v>
      </c>
      <c r="AK1286" t="n">
        <v>11</v>
      </c>
      <c r="AL1286" t="n">
        <v>2</v>
      </c>
      <c r="AM1286" t="n">
        <v>2</v>
      </c>
      <c r="AN1286" t="n">
        <v>0</v>
      </c>
      <c r="AO1286" t="n">
        <v>0</v>
      </c>
      <c r="AP1286" t="inlineStr">
        <is>
          <t>No</t>
        </is>
      </c>
      <c r="AQ1286" t="inlineStr">
        <is>
          <t>No</t>
        </is>
      </c>
      <c r="AS1286">
        <f>HYPERLINK("https://creighton-primo.hosted.exlibrisgroup.com/primo-explore/search?tab=default_tab&amp;search_scope=EVERYTHING&amp;vid=01CRU&amp;lang=en_US&amp;offset=0&amp;query=any,contains,991002676999702656","Catalog Record")</f>
        <v/>
      </c>
      <c r="AT1286">
        <f>HYPERLINK("http://www.worldcat.org/oclc/34996174","WorldCat Record")</f>
        <v/>
      </c>
      <c r="AU1286" t="inlineStr">
        <is>
          <t>610049:eng</t>
        </is>
      </c>
      <c r="AV1286" t="inlineStr">
        <is>
          <t>34996174</t>
        </is>
      </c>
      <c r="AW1286" t="inlineStr">
        <is>
          <t>991002676999702656</t>
        </is>
      </c>
      <c r="AX1286" t="inlineStr">
        <is>
          <t>991002676999702656</t>
        </is>
      </c>
      <c r="AY1286" t="inlineStr">
        <is>
          <t>2267663160002656</t>
        </is>
      </c>
      <c r="AZ1286" t="inlineStr">
        <is>
          <t>BOOK</t>
        </is>
      </c>
      <c r="BB1286" t="inlineStr">
        <is>
          <t>9780312162580</t>
        </is>
      </c>
      <c r="BC1286" t="inlineStr">
        <is>
          <t>32285003383394</t>
        </is>
      </c>
      <c r="BD1286" t="inlineStr">
        <is>
          <t>893792773</t>
        </is>
      </c>
    </row>
    <row r="1287">
      <c r="A1287" t="inlineStr">
        <is>
          <t>No</t>
        </is>
      </c>
      <c r="B1287" t="inlineStr">
        <is>
          <t>DS517 .B7</t>
        </is>
      </c>
      <c r="C1287" t="inlineStr">
        <is>
          <t>0                      DS 0517000B  7</t>
        </is>
      </c>
      <c r="D1287" t="inlineStr">
        <is>
          <t>An eye-witness in Manchuria, by Lord Brooke.</t>
        </is>
      </c>
      <c r="F1287" t="inlineStr">
        <is>
          <t>No</t>
        </is>
      </c>
      <c r="G1287" t="inlineStr">
        <is>
          <t>1</t>
        </is>
      </c>
      <c r="H1287" t="inlineStr">
        <is>
          <t>No</t>
        </is>
      </c>
      <c r="I1287" t="inlineStr">
        <is>
          <t>No</t>
        </is>
      </c>
      <c r="J1287" t="inlineStr">
        <is>
          <t>0</t>
        </is>
      </c>
      <c r="K1287" t="inlineStr">
        <is>
          <t>Brooke, Leopold Guy Francis Maynard Greville, Earl, 1882-1928.</t>
        </is>
      </c>
      <c r="L1287" t="inlineStr">
        <is>
          <t>London, E. Nash, 1905.</t>
        </is>
      </c>
      <c r="M1287" t="inlineStr">
        <is>
          <t>1905</t>
        </is>
      </c>
      <c r="O1287" t="inlineStr">
        <is>
          <t>eng</t>
        </is>
      </c>
      <c r="P1287" t="inlineStr">
        <is>
          <t xml:space="preserve">xx </t>
        </is>
      </c>
      <c r="R1287" t="inlineStr">
        <is>
          <t xml:space="preserve">DS </t>
        </is>
      </c>
      <c r="S1287" t="n">
        <v>2</v>
      </c>
      <c r="T1287" t="n">
        <v>2</v>
      </c>
      <c r="U1287" t="inlineStr">
        <is>
          <t>1999-04-12</t>
        </is>
      </c>
      <c r="V1287" t="inlineStr">
        <is>
          <t>1999-04-12</t>
        </is>
      </c>
      <c r="W1287" t="inlineStr">
        <is>
          <t>1997-03-10</t>
        </is>
      </c>
      <c r="X1287" t="inlineStr">
        <is>
          <t>1997-03-10</t>
        </is>
      </c>
      <c r="Y1287" t="n">
        <v>100</v>
      </c>
      <c r="Z1287" t="n">
        <v>72</v>
      </c>
      <c r="AA1287" t="n">
        <v>99</v>
      </c>
      <c r="AB1287" t="n">
        <v>1</v>
      </c>
      <c r="AC1287" t="n">
        <v>2</v>
      </c>
      <c r="AD1287" t="n">
        <v>1</v>
      </c>
      <c r="AE1287" t="n">
        <v>3</v>
      </c>
      <c r="AF1287" t="n">
        <v>0</v>
      </c>
      <c r="AG1287" t="n">
        <v>0</v>
      </c>
      <c r="AH1287" t="n">
        <v>1</v>
      </c>
      <c r="AI1287" t="n">
        <v>2</v>
      </c>
      <c r="AJ1287" t="n">
        <v>1</v>
      </c>
      <c r="AK1287" t="n">
        <v>1</v>
      </c>
      <c r="AL1287" t="n">
        <v>0</v>
      </c>
      <c r="AM1287" t="n">
        <v>1</v>
      </c>
      <c r="AN1287" t="n">
        <v>0</v>
      </c>
      <c r="AO1287" t="n">
        <v>0</v>
      </c>
      <c r="AP1287" t="inlineStr">
        <is>
          <t>Yes</t>
        </is>
      </c>
      <c r="AQ1287" t="inlineStr">
        <is>
          <t>No</t>
        </is>
      </c>
      <c r="AR1287">
        <f>HYPERLINK("http://catalog.hathitrust.org/Record/000707033","HathiTrust Record")</f>
        <v/>
      </c>
      <c r="AS1287">
        <f>HYPERLINK("https://creighton-primo.hosted.exlibrisgroup.com/primo-explore/search?tab=default_tab&amp;search_scope=EVERYTHING&amp;vid=01CRU&amp;lang=en_US&amp;offset=0&amp;query=any,contains,991003979079702656","Catalog Record")</f>
        <v/>
      </c>
      <c r="AT1287">
        <f>HYPERLINK("http://www.worldcat.org/oclc/2015938","WorldCat Record")</f>
        <v/>
      </c>
      <c r="AU1287" t="inlineStr">
        <is>
          <t>2673753:eng</t>
        </is>
      </c>
      <c r="AV1287" t="inlineStr">
        <is>
          <t>2015938</t>
        </is>
      </c>
      <c r="AW1287" t="inlineStr">
        <is>
          <t>991003979079702656</t>
        </is>
      </c>
      <c r="AX1287" t="inlineStr">
        <is>
          <t>991003979079702656</t>
        </is>
      </c>
      <c r="AY1287" t="inlineStr">
        <is>
          <t>2261503050002656</t>
        </is>
      </c>
      <c r="AZ1287" t="inlineStr">
        <is>
          <t>BOOK</t>
        </is>
      </c>
      <c r="BC1287" t="inlineStr">
        <is>
          <t>32285002458510</t>
        </is>
      </c>
      <c r="BD1287" t="inlineStr">
        <is>
          <t>893253095</t>
        </is>
      </c>
    </row>
    <row r="1288">
      <c r="A1288" t="inlineStr">
        <is>
          <t>No</t>
        </is>
      </c>
      <c r="B1288" t="inlineStr">
        <is>
          <t>DS517 .K8 1909</t>
        </is>
      </c>
      <c r="C1288" t="inlineStr">
        <is>
          <t>0                      DS 0517000K  8           1909</t>
        </is>
      </c>
      <c r="D1288" t="inlineStr">
        <is>
          <t>The Russian army and the Japanese war : being historical and critical comments on the military policy and power of Russia and on the campaign in the Far East / by General Kuropatkin. Translated by Captain A. B. Lindsay. Edited by Major E.D. Swinton.</t>
        </is>
      </c>
      <c r="E1288" t="inlineStr">
        <is>
          <t>V.1</t>
        </is>
      </c>
      <c r="F1288" t="inlineStr">
        <is>
          <t>Yes</t>
        </is>
      </c>
      <c r="G1288" t="inlineStr">
        <is>
          <t>1</t>
        </is>
      </c>
      <c r="H1288" t="inlineStr">
        <is>
          <t>No</t>
        </is>
      </c>
      <c r="I1288" t="inlineStr">
        <is>
          <t>No</t>
        </is>
      </c>
      <c r="J1288" t="inlineStr">
        <is>
          <t>0</t>
        </is>
      </c>
      <c r="K1288" t="inlineStr">
        <is>
          <t>Kuropatkin, A. N. (Alekseĭ Nikolaevich), 1848-1925.</t>
        </is>
      </c>
      <c r="L1288" t="inlineStr">
        <is>
          <t>New York : E.P. Dutton, 1909.</t>
        </is>
      </c>
      <c r="M1288" t="inlineStr">
        <is>
          <t>1909</t>
        </is>
      </c>
      <c r="O1288" t="inlineStr">
        <is>
          <t>eng</t>
        </is>
      </c>
      <c r="P1288" t="inlineStr">
        <is>
          <t xml:space="preserve">xx </t>
        </is>
      </c>
      <c r="R1288" t="inlineStr">
        <is>
          <t xml:space="preserve">DS </t>
        </is>
      </c>
      <c r="S1288" t="n">
        <v>4</v>
      </c>
      <c r="T1288" t="n">
        <v>10</v>
      </c>
      <c r="U1288" t="inlineStr">
        <is>
          <t>1999-04-12</t>
        </is>
      </c>
      <c r="V1288" t="inlineStr">
        <is>
          <t>1999-04-12</t>
        </is>
      </c>
      <c r="W1288" t="inlineStr">
        <is>
          <t>1994-04-20</t>
        </is>
      </c>
      <c r="X1288" t="inlineStr">
        <is>
          <t>1994-04-21</t>
        </is>
      </c>
      <c r="Y1288" t="n">
        <v>130</v>
      </c>
      <c r="Z1288" t="n">
        <v>117</v>
      </c>
      <c r="AA1288" t="n">
        <v>291</v>
      </c>
      <c r="AB1288" t="n">
        <v>2</v>
      </c>
      <c r="AC1288" t="n">
        <v>4</v>
      </c>
      <c r="AD1288" t="n">
        <v>3</v>
      </c>
      <c r="AE1288" t="n">
        <v>11</v>
      </c>
      <c r="AF1288" t="n">
        <v>0</v>
      </c>
      <c r="AG1288" t="n">
        <v>1</v>
      </c>
      <c r="AH1288" t="n">
        <v>1</v>
      </c>
      <c r="AI1288" t="n">
        <v>4</v>
      </c>
      <c r="AJ1288" t="n">
        <v>1</v>
      </c>
      <c r="AK1288" t="n">
        <v>4</v>
      </c>
      <c r="AL1288" t="n">
        <v>1</v>
      </c>
      <c r="AM1288" t="n">
        <v>3</v>
      </c>
      <c r="AN1288" t="n">
        <v>0</v>
      </c>
      <c r="AO1288" t="n">
        <v>0</v>
      </c>
      <c r="AP1288" t="inlineStr">
        <is>
          <t>Yes</t>
        </is>
      </c>
      <c r="AQ1288" t="inlineStr">
        <is>
          <t>No</t>
        </is>
      </c>
      <c r="AR1288">
        <f>HYPERLINK("http://catalog.hathitrust.org/Record/006574692","HathiTrust Record")</f>
        <v/>
      </c>
      <c r="AS1288">
        <f>HYPERLINK("https://creighton-primo.hosted.exlibrisgroup.com/primo-explore/search?tab=default_tab&amp;search_scope=EVERYTHING&amp;vid=01CRU&amp;lang=en_US&amp;offset=0&amp;query=any,contains,991003524739702656","Catalog Record")</f>
        <v/>
      </c>
      <c r="AT1288">
        <f>HYPERLINK("http://www.worldcat.org/oclc/1086635","WorldCat Record")</f>
        <v/>
      </c>
      <c r="AU1288" t="inlineStr">
        <is>
          <t>543605:eng</t>
        </is>
      </c>
      <c r="AV1288" t="inlineStr">
        <is>
          <t>1086635</t>
        </is>
      </c>
      <c r="AW1288" t="inlineStr">
        <is>
          <t>991003524739702656</t>
        </is>
      </c>
      <c r="AX1288" t="inlineStr">
        <is>
          <t>991003524739702656</t>
        </is>
      </c>
      <c r="AY1288" t="inlineStr">
        <is>
          <t>2267537670002656</t>
        </is>
      </c>
      <c r="AZ1288" t="inlineStr">
        <is>
          <t>BOOK</t>
        </is>
      </c>
      <c r="BC1288" t="inlineStr">
        <is>
          <t>32285001890465</t>
        </is>
      </c>
      <c r="BD1288" t="inlineStr">
        <is>
          <t>893617428</t>
        </is>
      </c>
    </row>
    <row r="1289">
      <c r="A1289" t="inlineStr">
        <is>
          <t>No</t>
        </is>
      </c>
      <c r="B1289" t="inlineStr">
        <is>
          <t>DS517 .K8 1909</t>
        </is>
      </c>
      <c r="C1289" t="inlineStr">
        <is>
          <t>0                      DS 0517000K  8           1909</t>
        </is>
      </c>
      <c r="D1289" t="inlineStr">
        <is>
          <t>The Russian army and the Japanese war : being historical and critical comments on the military policy and power of Russia and on the campaign in the Far East / by General Kuropatkin. Translated by Captain A. B. Lindsay. Edited by Major E.D. Swinton.</t>
        </is>
      </c>
      <c r="E1289" t="inlineStr">
        <is>
          <t>V.2</t>
        </is>
      </c>
      <c r="F1289" t="inlineStr">
        <is>
          <t>Yes</t>
        </is>
      </c>
      <c r="G1289" t="inlineStr">
        <is>
          <t>1</t>
        </is>
      </c>
      <c r="H1289" t="inlineStr">
        <is>
          <t>No</t>
        </is>
      </c>
      <c r="I1289" t="inlineStr">
        <is>
          <t>No</t>
        </is>
      </c>
      <c r="J1289" t="inlineStr">
        <is>
          <t>0</t>
        </is>
      </c>
      <c r="K1289" t="inlineStr">
        <is>
          <t>Kuropatkin, A. N. (Alekseĭ Nikolaevich), 1848-1925.</t>
        </is>
      </c>
      <c r="L1289" t="inlineStr">
        <is>
          <t>New York : E.P. Dutton, 1909.</t>
        </is>
      </c>
      <c r="M1289" t="inlineStr">
        <is>
          <t>1909</t>
        </is>
      </c>
      <c r="O1289" t="inlineStr">
        <is>
          <t>eng</t>
        </is>
      </c>
      <c r="P1289" t="inlineStr">
        <is>
          <t xml:space="preserve">xx </t>
        </is>
      </c>
      <c r="R1289" t="inlineStr">
        <is>
          <t xml:space="preserve">DS </t>
        </is>
      </c>
      <c r="S1289" t="n">
        <v>6</v>
      </c>
      <c r="T1289" t="n">
        <v>10</v>
      </c>
      <c r="U1289" t="inlineStr">
        <is>
          <t>1999-04-12</t>
        </is>
      </c>
      <c r="V1289" t="inlineStr">
        <is>
          <t>1999-04-12</t>
        </is>
      </c>
      <c r="W1289" t="inlineStr">
        <is>
          <t>1994-04-21</t>
        </is>
      </c>
      <c r="X1289" t="inlineStr">
        <is>
          <t>1994-04-21</t>
        </is>
      </c>
      <c r="Y1289" t="n">
        <v>130</v>
      </c>
      <c r="Z1289" t="n">
        <v>117</v>
      </c>
      <c r="AA1289" t="n">
        <v>291</v>
      </c>
      <c r="AB1289" t="n">
        <v>2</v>
      </c>
      <c r="AC1289" t="n">
        <v>4</v>
      </c>
      <c r="AD1289" t="n">
        <v>3</v>
      </c>
      <c r="AE1289" t="n">
        <v>11</v>
      </c>
      <c r="AF1289" t="n">
        <v>0</v>
      </c>
      <c r="AG1289" t="n">
        <v>1</v>
      </c>
      <c r="AH1289" t="n">
        <v>1</v>
      </c>
      <c r="AI1289" t="n">
        <v>4</v>
      </c>
      <c r="AJ1289" t="n">
        <v>1</v>
      </c>
      <c r="AK1289" t="n">
        <v>4</v>
      </c>
      <c r="AL1289" t="n">
        <v>1</v>
      </c>
      <c r="AM1289" t="n">
        <v>3</v>
      </c>
      <c r="AN1289" t="n">
        <v>0</v>
      </c>
      <c r="AO1289" t="n">
        <v>0</v>
      </c>
      <c r="AP1289" t="inlineStr">
        <is>
          <t>Yes</t>
        </is>
      </c>
      <c r="AQ1289" t="inlineStr">
        <is>
          <t>No</t>
        </is>
      </c>
      <c r="AR1289">
        <f>HYPERLINK("http://catalog.hathitrust.org/Record/006574692","HathiTrust Record")</f>
        <v/>
      </c>
      <c r="AS1289">
        <f>HYPERLINK("https://creighton-primo.hosted.exlibrisgroup.com/primo-explore/search?tab=default_tab&amp;search_scope=EVERYTHING&amp;vid=01CRU&amp;lang=en_US&amp;offset=0&amp;query=any,contains,991003524739702656","Catalog Record")</f>
        <v/>
      </c>
      <c r="AT1289">
        <f>HYPERLINK("http://www.worldcat.org/oclc/1086635","WorldCat Record")</f>
        <v/>
      </c>
      <c r="AU1289" t="inlineStr">
        <is>
          <t>543605:eng</t>
        </is>
      </c>
      <c r="AV1289" t="inlineStr">
        <is>
          <t>1086635</t>
        </is>
      </c>
      <c r="AW1289" t="inlineStr">
        <is>
          <t>991003524739702656</t>
        </is>
      </c>
      <c r="AX1289" t="inlineStr">
        <is>
          <t>991003524739702656</t>
        </is>
      </c>
      <c r="AY1289" t="inlineStr">
        <is>
          <t>2267537670002656</t>
        </is>
      </c>
      <c r="AZ1289" t="inlineStr">
        <is>
          <t>BOOK</t>
        </is>
      </c>
      <c r="BC1289" t="inlineStr">
        <is>
          <t>32285001890796</t>
        </is>
      </c>
      <c r="BD1289" t="inlineStr">
        <is>
          <t>893623581</t>
        </is>
      </c>
    </row>
    <row r="1290">
      <c r="A1290" t="inlineStr">
        <is>
          <t>No</t>
        </is>
      </c>
      <c r="B1290" t="inlineStr">
        <is>
          <t>DS517 .M64 1905</t>
        </is>
      </c>
      <c r="C1290" t="inlineStr">
        <is>
          <t>0                      DS 0517000M  64          1905</t>
        </is>
      </c>
      <c r="D1290" t="inlineStr">
        <is>
          <t>Thrilling stories of the Russian-Japanese War; a vivid panorama of land and naval battles ... also a complete history of Japan, Russia, China, Korea and Manchuria / by J. Martin Miller; with an introd. by Nelson A. Miles.</t>
        </is>
      </c>
      <c r="F1290" t="inlineStr">
        <is>
          <t>No</t>
        </is>
      </c>
      <c r="G1290" t="inlineStr">
        <is>
          <t>1</t>
        </is>
      </c>
      <c r="H1290" t="inlineStr">
        <is>
          <t>No</t>
        </is>
      </c>
      <c r="I1290" t="inlineStr">
        <is>
          <t>No</t>
        </is>
      </c>
      <c r="J1290" t="inlineStr">
        <is>
          <t>0</t>
        </is>
      </c>
      <c r="K1290" t="inlineStr">
        <is>
          <t>Miller, J. Martin (James Martin), 1859-1939.</t>
        </is>
      </c>
      <c r="L1290" t="inlineStr">
        <is>
          <t>[s.l.] : [J. Martin Miller], [c1905]</t>
        </is>
      </c>
      <c r="M1290" t="inlineStr">
        <is>
          <t>1905</t>
        </is>
      </c>
      <c r="O1290" t="inlineStr">
        <is>
          <t>eng</t>
        </is>
      </c>
      <c r="P1290" t="inlineStr">
        <is>
          <t xml:space="preserve">xx </t>
        </is>
      </c>
      <c r="R1290" t="inlineStr">
        <is>
          <t xml:space="preserve">DS </t>
        </is>
      </c>
      <c r="S1290" t="n">
        <v>5</v>
      </c>
      <c r="T1290" t="n">
        <v>5</v>
      </c>
      <c r="U1290" t="inlineStr">
        <is>
          <t>1995-12-05</t>
        </is>
      </c>
      <c r="V1290" t="inlineStr">
        <is>
          <t>1995-12-05</t>
        </is>
      </c>
      <c r="W1290" t="inlineStr">
        <is>
          <t>1990-10-09</t>
        </is>
      </c>
      <c r="X1290" t="inlineStr">
        <is>
          <t>1990-10-09</t>
        </is>
      </c>
      <c r="Y1290" t="n">
        <v>48</v>
      </c>
      <c r="Z1290" t="n">
        <v>45</v>
      </c>
      <c r="AA1290" t="n">
        <v>117</v>
      </c>
      <c r="AB1290" t="n">
        <v>1</v>
      </c>
      <c r="AC1290" t="n">
        <v>2</v>
      </c>
      <c r="AD1290" t="n">
        <v>0</v>
      </c>
      <c r="AE1290" t="n">
        <v>2</v>
      </c>
      <c r="AF1290" t="n">
        <v>0</v>
      </c>
      <c r="AG1290" t="n">
        <v>0</v>
      </c>
      <c r="AH1290" t="n">
        <v>0</v>
      </c>
      <c r="AI1290" t="n">
        <v>1</v>
      </c>
      <c r="AJ1290" t="n">
        <v>0</v>
      </c>
      <c r="AK1290" t="n">
        <v>0</v>
      </c>
      <c r="AL1290" t="n">
        <v>0</v>
      </c>
      <c r="AM1290" t="n">
        <v>1</v>
      </c>
      <c r="AN1290" t="n">
        <v>0</v>
      </c>
      <c r="AO1290" t="n">
        <v>0</v>
      </c>
      <c r="AP1290" t="inlineStr">
        <is>
          <t>Yes</t>
        </is>
      </c>
      <c r="AQ1290" t="inlineStr">
        <is>
          <t>No</t>
        </is>
      </c>
      <c r="AR1290">
        <f>HYPERLINK("http://catalog.hathitrust.org/Record/007121462","HathiTrust Record")</f>
        <v/>
      </c>
      <c r="AS1290">
        <f>HYPERLINK("https://creighton-primo.hosted.exlibrisgroup.com/primo-explore/search?tab=default_tab&amp;search_scope=EVERYTHING&amp;vid=01CRU&amp;lang=en_US&amp;offset=0&amp;query=any,contains,991004221329702656","Catalog Record")</f>
        <v/>
      </c>
      <c r="AT1290">
        <f>HYPERLINK("http://www.worldcat.org/oclc/2713304","WorldCat Record")</f>
        <v/>
      </c>
      <c r="AU1290" t="inlineStr">
        <is>
          <t>7888802:eng</t>
        </is>
      </c>
      <c r="AV1290" t="inlineStr">
        <is>
          <t>2713304</t>
        </is>
      </c>
      <c r="AW1290" t="inlineStr">
        <is>
          <t>991004221329702656</t>
        </is>
      </c>
      <c r="AX1290" t="inlineStr">
        <is>
          <t>991004221329702656</t>
        </is>
      </c>
      <c r="AY1290" t="inlineStr">
        <is>
          <t>2269489560002656</t>
        </is>
      </c>
      <c r="AZ1290" t="inlineStr">
        <is>
          <t>BOOK</t>
        </is>
      </c>
      <c r="BC1290" t="inlineStr">
        <is>
          <t>32285000336999</t>
        </is>
      </c>
      <c r="BD1290" t="inlineStr">
        <is>
          <t>893411261</t>
        </is>
      </c>
    </row>
    <row r="1291">
      <c r="A1291" t="inlineStr">
        <is>
          <t>No</t>
        </is>
      </c>
      <c r="B1291" t="inlineStr">
        <is>
          <t>DS517 .U57 1973</t>
        </is>
      </c>
      <c r="C1291" t="inlineStr">
        <is>
          <t>0                      DS 0517000U  57          1973</t>
        </is>
      </c>
      <c r="D1291" t="inlineStr">
        <is>
          <t>The authentic history of the war between Russia and Japan / by Frederic William Unger. Assisted by Charles Morris. Philadelphia, World Bible House.</t>
        </is>
      </c>
      <c r="F1291" t="inlineStr">
        <is>
          <t>No</t>
        </is>
      </c>
      <c r="G1291" t="inlineStr">
        <is>
          <t>1</t>
        </is>
      </c>
      <c r="H1291" t="inlineStr">
        <is>
          <t>No</t>
        </is>
      </c>
      <c r="I1291" t="inlineStr">
        <is>
          <t>No</t>
        </is>
      </c>
      <c r="J1291" t="inlineStr">
        <is>
          <t>0</t>
        </is>
      </c>
      <c r="K1291" t="inlineStr">
        <is>
          <t>Unger, Frederic William, 1875-</t>
        </is>
      </c>
      <c r="L1291" t="inlineStr">
        <is>
          <t>[Wilmington, Del. : Scholarly Resources, 1973, c1905]</t>
        </is>
      </c>
      <c r="M1291" t="inlineStr">
        <is>
          <t>1973</t>
        </is>
      </c>
      <c r="O1291" t="inlineStr">
        <is>
          <t>eng</t>
        </is>
      </c>
      <c r="P1291" t="inlineStr">
        <is>
          <t>deu</t>
        </is>
      </c>
      <c r="R1291" t="inlineStr">
        <is>
          <t xml:space="preserve">DS </t>
        </is>
      </c>
      <c r="S1291" t="n">
        <v>10</v>
      </c>
      <c r="T1291" t="n">
        <v>10</v>
      </c>
      <c r="U1291" t="inlineStr">
        <is>
          <t>2010-04-07</t>
        </is>
      </c>
      <c r="V1291" t="inlineStr">
        <is>
          <t>2010-04-07</t>
        </is>
      </c>
      <c r="W1291" t="inlineStr">
        <is>
          <t>1992-02-14</t>
        </is>
      </c>
      <c r="X1291" t="inlineStr">
        <is>
          <t>1992-02-14</t>
        </is>
      </c>
      <c r="Y1291" t="n">
        <v>127</v>
      </c>
      <c r="Z1291" t="n">
        <v>105</v>
      </c>
      <c r="AA1291" t="n">
        <v>114</v>
      </c>
      <c r="AB1291" t="n">
        <v>1</v>
      </c>
      <c r="AC1291" t="n">
        <v>1</v>
      </c>
      <c r="AD1291" t="n">
        <v>3</v>
      </c>
      <c r="AE1291" t="n">
        <v>3</v>
      </c>
      <c r="AF1291" t="n">
        <v>0</v>
      </c>
      <c r="AG1291" t="n">
        <v>0</v>
      </c>
      <c r="AH1291" t="n">
        <v>3</v>
      </c>
      <c r="AI1291" t="n">
        <v>3</v>
      </c>
      <c r="AJ1291" t="n">
        <v>3</v>
      </c>
      <c r="AK1291" t="n">
        <v>3</v>
      </c>
      <c r="AL1291" t="n">
        <v>0</v>
      </c>
      <c r="AM1291" t="n">
        <v>0</v>
      </c>
      <c r="AN1291" t="n">
        <v>0</v>
      </c>
      <c r="AO1291" t="n">
        <v>0</v>
      </c>
      <c r="AP1291" t="inlineStr">
        <is>
          <t>No</t>
        </is>
      </c>
      <c r="AQ1291" t="inlineStr">
        <is>
          <t>Yes</t>
        </is>
      </c>
      <c r="AR1291">
        <f>HYPERLINK("http://catalog.hathitrust.org/Record/009913411","HathiTrust Record")</f>
        <v/>
      </c>
      <c r="AS1291">
        <f>HYPERLINK("https://creighton-primo.hosted.exlibrisgroup.com/primo-explore/search?tab=default_tab&amp;search_scope=EVERYTHING&amp;vid=01CRU&amp;lang=en_US&amp;offset=0&amp;query=any,contains,991003194759702656","Catalog Record")</f>
        <v/>
      </c>
      <c r="AT1291">
        <f>HYPERLINK("http://www.worldcat.org/oclc/720296","WorldCat Record")</f>
        <v/>
      </c>
      <c r="AU1291" t="inlineStr">
        <is>
          <t>1700720:eng</t>
        </is>
      </c>
      <c r="AV1291" t="inlineStr">
        <is>
          <t>720296</t>
        </is>
      </c>
      <c r="AW1291" t="inlineStr">
        <is>
          <t>991003194759702656</t>
        </is>
      </c>
      <c r="AX1291" t="inlineStr">
        <is>
          <t>991003194759702656</t>
        </is>
      </c>
      <c r="AY1291" t="inlineStr">
        <is>
          <t>2256246820002656</t>
        </is>
      </c>
      <c r="AZ1291" t="inlineStr">
        <is>
          <t>BOOK</t>
        </is>
      </c>
      <c r="BB1291" t="inlineStr">
        <is>
          <t>9780842014076</t>
        </is>
      </c>
      <c r="BC1291" t="inlineStr">
        <is>
          <t>32285000959360</t>
        </is>
      </c>
      <c r="BD1291" t="inlineStr">
        <is>
          <t>893434725</t>
        </is>
      </c>
    </row>
    <row r="1292">
      <c r="A1292" t="inlineStr">
        <is>
          <t>No</t>
        </is>
      </c>
      <c r="B1292" t="inlineStr">
        <is>
          <t>DS517 .W37</t>
        </is>
      </c>
      <c r="C1292" t="inlineStr">
        <is>
          <t>0                      DS 0517000W  37</t>
        </is>
      </c>
      <c r="D1292" t="inlineStr">
        <is>
          <t>The tide at sunrise : a history of the Russo-Japanese War, 1904-1905 / by Denis and Peggy Warner. [Maps by Don Coutts.</t>
        </is>
      </c>
      <c r="F1292" t="inlineStr">
        <is>
          <t>No</t>
        </is>
      </c>
      <c r="G1292" t="inlineStr">
        <is>
          <t>1</t>
        </is>
      </c>
      <c r="H1292" t="inlineStr">
        <is>
          <t>No</t>
        </is>
      </c>
      <c r="I1292" t="inlineStr">
        <is>
          <t>No</t>
        </is>
      </c>
      <c r="J1292" t="inlineStr">
        <is>
          <t>0</t>
        </is>
      </c>
      <c r="K1292" t="inlineStr">
        <is>
          <t>Warner, Denis, 1917-2012.</t>
        </is>
      </c>
      <c r="L1292" t="inlineStr">
        <is>
          <t>New York : Charterhouse, [1974]</t>
        </is>
      </c>
      <c r="M1292" t="inlineStr">
        <is>
          <t>1974</t>
        </is>
      </c>
      <c r="N1292" t="inlineStr">
        <is>
          <t>Book Club ed.]</t>
        </is>
      </c>
      <c r="O1292" t="inlineStr">
        <is>
          <t>eng</t>
        </is>
      </c>
      <c r="P1292" t="inlineStr">
        <is>
          <t>nyu</t>
        </is>
      </c>
      <c r="R1292" t="inlineStr">
        <is>
          <t xml:space="preserve">DS </t>
        </is>
      </c>
      <c r="S1292" t="n">
        <v>7</v>
      </c>
      <c r="T1292" t="n">
        <v>7</v>
      </c>
      <c r="U1292" t="inlineStr">
        <is>
          <t>2006-04-17</t>
        </is>
      </c>
      <c r="V1292" t="inlineStr">
        <is>
          <t>2006-04-17</t>
        </is>
      </c>
      <c r="W1292" t="inlineStr">
        <is>
          <t>1990-02-12</t>
        </is>
      </c>
      <c r="X1292" t="inlineStr">
        <is>
          <t>1990-02-12</t>
        </is>
      </c>
      <c r="Y1292" t="n">
        <v>497</v>
      </c>
      <c r="Z1292" t="n">
        <v>469</v>
      </c>
      <c r="AA1292" t="n">
        <v>843</v>
      </c>
      <c r="AB1292" t="n">
        <v>4</v>
      </c>
      <c r="AC1292" t="n">
        <v>5</v>
      </c>
      <c r="AD1292" t="n">
        <v>19</v>
      </c>
      <c r="AE1292" t="n">
        <v>31</v>
      </c>
      <c r="AF1292" t="n">
        <v>7</v>
      </c>
      <c r="AG1292" t="n">
        <v>13</v>
      </c>
      <c r="AH1292" t="n">
        <v>5</v>
      </c>
      <c r="AI1292" t="n">
        <v>9</v>
      </c>
      <c r="AJ1292" t="n">
        <v>11</v>
      </c>
      <c r="AK1292" t="n">
        <v>18</v>
      </c>
      <c r="AL1292" t="n">
        <v>2</v>
      </c>
      <c r="AM1292" t="n">
        <v>3</v>
      </c>
      <c r="AN1292" t="n">
        <v>0</v>
      </c>
      <c r="AO1292" t="n">
        <v>0</v>
      </c>
      <c r="AP1292" t="inlineStr">
        <is>
          <t>No</t>
        </is>
      </c>
      <c r="AQ1292" t="inlineStr">
        <is>
          <t>No</t>
        </is>
      </c>
      <c r="AS1292">
        <f>HYPERLINK("https://creighton-primo.hosted.exlibrisgroup.com/primo-explore/search?tab=default_tab&amp;search_scope=EVERYTHING&amp;vid=01CRU&amp;lang=en_US&amp;offset=0&amp;query=any,contains,991003561979702656","Catalog Record")</f>
        <v/>
      </c>
      <c r="AT1292">
        <f>HYPERLINK("http://www.worldcat.org/oclc/1132982","WorldCat Record")</f>
        <v/>
      </c>
      <c r="AU1292" t="inlineStr">
        <is>
          <t>1972411:eng</t>
        </is>
      </c>
      <c r="AV1292" t="inlineStr">
        <is>
          <t>1132982</t>
        </is>
      </c>
      <c r="AW1292" t="inlineStr">
        <is>
          <t>991003561979702656</t>
        </is>
      </c>
      <c r="AX1292" t="inlineStr">
        <is>
          <t>991003561979702656</t>
        </is>
      </c>
      <c r="AY1292" t="inlineStr">
        <is>
          <t>2264457440002656</t>
        </is>
      </c>
      <c r="AZ1292" t="inlineStr">
        <is>
          <t>BOOK</t>
        </is>
      </c>
      <c r="BC1292" t="inlineStr">
        <is>
          <t>32285000041581</t>
        </is>
      </c>
      <c r="BD1292" t="inlineStr">
        <is>
          <t>893717794</t>
        </is>
      </c>
    </row>
    <row r="1293">
      <c r="A1293" t="inlineStr">
        <is>
          <t>No</t>
        </is>
      </c>
      <c r="B1293" t="inlineStr">
        <is>
          <t>DS517 .W47 1974</t>
        </is>
      </c>
      <c r="C1293" t="inlineStr">
        <is>
          <t>0                      DS 0517000W  47          1974</t>
        </is>
      </c>
      <c r="D1293" t="inlineStr">
        <is>
          <t>The illustrated history of the Russo-Japanese War / [by] J. N. Westwood.</t>
        </is>
      </c>
      <c r="F1293" t="inlineStr">
        <is>
          <t>No</t>
        </is>
      </c>
      <c r="G1293" t="inlineStr">
        <is>
          <t>1</t>
        </is>
      </c>
      <c r="H1293" t="inlineStr">
        <is>
          <t>No</t>
        </is>
      </c>
      <c r="I1293" t="inlineStr">
        <is>
          <t>No</t>
        </is>
      </c>
      <c r="J1293" t="inlineStr">
        <is>
          <t>0</t>
        </is>
      </c>
      <c r="K1293" t="inlineStr">
        <is>
          <t>Westwood, J. N.</t>
        </is>
      </c>
      <c r="L1293" t="inlineStr">
        <is>
          <t>Chicago : Regnery, [1974, c1973]</t>
        </is>
      </c>
      <c r="M1293" t="inlineStr">
        <is>
          <t>1974</t>
        </is>
      </c>
      <c r="O1293" t="inlineStr">
        <is>
          <t>eng</t>
        </is>
      </c>
      <c r="P1293" t="inlineStr">
        <is>
          <t>ilu</t>
        </is>
      </c>
      <c r="R1293" t="inlineStr">
        <is>
          <t xml:space="preserve">DS </t>
        </is>
      </c>
      <c r="S1293" t="n">
        <v>6</v>
      </c>
      <c r="T1293" t="n">
        <v>6</v>
      </c>
      <c r="U1293" t="inlineStr">
        <is>
          <t>2003-03-01</t>
        </is>
      </c>
      <c r="V1293" t="inlineStr">
        <is>
          <t>2003-03-01</t>
        </is>
      </c>
      <c r="W1293" t="inlineStr">
        <is>
          <t>1990-02-12</t>
        </is>
      </c>
      <c r="X1293" t="inlineStr">
        <is>
          <t>1990-02-12</t>
        </is>
      </c>
      <c r="Y1293" t="n">
        <v>262</v>
      </c>
      <c r="Z1293" t="n">
        <v>247</v>
      </c>
      <c r="AA1293" t="n">
        <v>316</v>
      </c>
      <c r="AB1293" t="n">
        <v>3</v>
      </c>
      <c r="AC1293" t="n">
        <v>3</v>
      </c>
      <c r="AD1293" t="n">
        <v>8</v>
      </c>
      <c r="AE1293" t="n">
        <v>10</v>
      </c>
      <c r="AF1293" t="n">
        <v>2</v>
      </c>
      <c r="AG1293" t="n">
        <v>4</v>
      </c>
      <c r="AH1293" t="n">
        <v>3</v>
      </c>
      <c r="AI1293" t="n">
        <v>4</v>
      </c>
      <c r="AJ1293" t="n">
        <v>4</v>
      </c>
      <c r="AK1293" t="n">
        <v>4</v>
      </c>
      <c r="AL1293" t="n">
        <v>2</v>
      </c>
      <c r="AM1293" t="n">
        <v>2</v>
      </c>
      <c r="AN1293" t="n">
        <v>0</v>
      </c>
      <c r="AO1293" t="n">
        <v>0</v>
      </c>
      <c r="AP1293" t="inlineStr">
        <is>
          <t>No</t>
        </is>
      </c>
      <c r="AQ1293" t="inlineStr">
        <is>
          <t>No</t>
        </is>
      </c>
      <c r="AS1293">
        <f>HYPERLINK("https://creighton-primo.hosted.exlibrisgroup.com/primo-explore/search?tab=default_tab&amp;search_scope=EVERYTHING&amp;vid=01CRU&amp;lang=en_US&amp;offset=0&amp;query=any,contains,991003442709702656","Catalog Record")</f>
        <v/>
      </c>
      <c r="AT1293">
        <f>HYPERLINK("http://www.worldcat.org/oclc/978985","WorldCat Record")</f>
        <v/>
      </c>
      <c r="AU1293" t="inlineStr">
        <is>
          <t>1655298:eng</t>
        </is>
      </c>
      <c r="AV1293" t="inlineStr">
        <is>
          <t>978985</t>
        </is>
      </c>
      <c r="AW1293" t="inlineStr">
        <is>
          <t>991003442709702656</t>
        </is>
      </c>
      <c r="AX1293" t="inlineStr">
        <is>
          <t>991003442709702656</t>
        </is>
      </c>
      <c r="AY1293" t="inlineStr">
        <is>
          <t>2260664940002656</t>
        </is>
      </c>
      <c r="AZ1293" t="inlineStr">
        <is>
          <t>BOOK</t>
        </is>
      </c>
      <c r="BB1293" t="inlineStr">
        <is>
          <t>9780809211500</t>
        </is>
      </c>
      <c r="BC1293" t="inlineStr">
        <is>
          <t>32285000041599</t>
        </is>
      </c>
      <c r="BD1293" t="inlineStr">
        <is>
          <t>893699006</t>
        </is>
      </c>
    </row>
    <row r="1294">
      <c r="A1294" t="inlineStr">
        <is>
          <t>No</t>
        </is>
      </c>
      <c r="B1294" t="inlineStr">
        <is>
          <t>DS517.13 .O37</t>
        </is>
      </c>
      <c r="C1294" t="inlineStr">
        <is>
          <t>0                      DS 0517130O  37</t>
        </is>
      </c>
      <c r="D1294" t="inlineStr">
        <is>
          <t>The Japanese oligarchy and the Russo-Japanese War / Shumpei Okamoto.</t>
        </is>
      </c>
      <c r="F1294" t="inlineStr">
        <is>
          <t>No</t>
        </is>
      </c>
      <c r="G1294" t="inlineStr">
        <is>
          <t>1</t>
        </is>
      </c>
      <c r="H1294" t="inlineStr">
        <is>
          <t>No</t>
        </is>
      </c>
      <c r="I1294" t="inlineStr">
        <is>
          <t>No</t>
        </is>
      </c>
      <c r="J1294" t="inlineStr">
        <is>
          <t>0</t>
        </is>
      </c>
      <c r="K1294" t="inlineStr">
        <is>
          <t>Okamoto, Shumpei.</t>
        </is>
      </c>
      <c r="L1294" t="inlineStr">
        <is>
          <t>New York : Columbia University Press, 1970.</t>
        </is>
      </c>
      <c r="M1294" t="inlineStr">
        <is>
          <t>1970</t>
        </is>
      </c>
      <c r="O1294" t="inlineStr">
        <is>
          <t>eng</t>
        </is>
      </c>
      <c r="P1294" t="inlineStr">
        <is>
          <t>nyu</t>
        </is>
      </c>
      <c r="R1294" t="inlineStr">
        <is>
          <t xml:space="preserve">DS </t>
        </is>
      </c>
      <c r="S1294" t="n">
        <v>9</v>
      </c>
      <c r="T1294" t="n">
        <v>9</v>
      </c>
      <c r="U1294" t="inlineStr">
        <is>
          <t>2010-04-07</t>
        </is>
      </c>
      <c r="V1294" t="inlineStr">
        <is>
          <t>2010-04-07</t>
        </is>
      </c>
      <c r="W1294" t="inlineStr">
        <is>
          <t>1990-10-09</t>
        </is>
      </c>
      <c r="X1294" t="inlineStr">
        <is>
          <t>1990-10-09</t>
        </is>
      </c>
      <c r="Y1294" t="n">
        <v>843</v>
      </c>
      <c r="Z1294" t="n">
        <v>693</v>
      </c>
      <c r="AA1294" t="n">
        <v>693</v>
      </c>
      <c r="AB1294" t="n">
        <v>4</v>
      </c>
      <c r="AC1294" t="n">
        <v>4</v>
      </c>
      <c r="AD1294" t="n">
        <v>34</v>
      </c>
      <c r="AE1294" t="n">
        <v>34</v>
      </c>
      <c r="AF1294" t="n">
        <v>13</v>
      </c>
      <c r="AG1294" t="n">
        <v>13</v>
      </c>
      <c r="AH1294" t="n">
        <v>9</v>
      </c>
      <c r="AI1294" t="n">
        <v>9</v>
      </c>
      <c r="AJ1294" t="n">
        <v>18</v>
      </c>
      <c r="AK1294" t="n">
        <v>18</v>
      </c>
      <c r="AL1294" t="n">
        <v>3</v>
      </c>
      <c r="AM1294" t="n">
        <v>3</v>
      </c>
      <c r="AN1294" t="n">
        <v>0</v>
      </c>
      <c r="AO1294" t="n">
        <v>0</v>
      </c>
      <c r="AP1294" t="inlineStr">
        <is>
          <t>No</t>
        </is>
      </c>
      <c r="AQ1294" t="inlineStr">
        <is>
          <t>No</t>
        </is>
      </c>
      <c r="AS1294">
        <f>HYPERLINK("https://creighton-primo.hosted.exlibrisgroup.com/primo-explore/search?tab=default_tab&amp;search_scope=EVERYTHING&amp;vid=01CRU&amp;lang=en_US&amp;offset=0&amp;query=any,contains,991000632709702656","Catalog Record")</f>
        <v/>
      </c>
      <c r="AT1294">
        <f>HYPERLINK("http://www.worldcat.org/oclc/106346","WorldCat Record")</f>
        <v/>
      </c>
      <c r="AU1294" t="inlineStr">
        <is>
          <t>419743:eng</t>
        </is>
      </c>
      <c r="AV1294" t="inlineStr">
        <is>
          <t>106346</t>
        </is>
      </c>
      <c r="AW1294" t="inlineStr">
        <is>
          <t>991000632709702656</t>
        </is>
      </c>
      <c r="AX1294" t="inlineStr">
        <is>
          <t>991000632709702656</t>
        </is>
      </c>
      <c r="AY1294" t="inlineStr">
        <is>
          <t>2263901120002656</t>
        </is>
      </c>
      <c r="AZ1294" t="inlineStr">
        <is>
          <t>BOOK</t>
        </is>
      </c>
      <c r="BB1294" t="inlineStr">
        <is>
          <t>9780231034043</t>
        </is>
      </c>
      <c r="BC1294" t="inlineStr">
        <is>
          <t>32285000337021</t>
        </is>
      </c>
      <c r="BD1294" t="inlineStr">
        <is>
          <t>893884592</t>
        </is>
      </c>
    </row>
    <row r="1295">
      <c r="A1295" t="inlineStr">
        <is>
          <t>No</t>
        </is>
      </c>
      <c r="B1295" t="inlineStr">
        <is>
          <t>DS517.13 .W5</t>
        </is>
      </c>
      <c r="C1295" t="inlineStr">
        <is>
          <t>0                      DS 0517130W  5</t>
        </is>
      </c>
      <c r="D1295" t="inlineStr">
        <is>
          <t>The diplomacy of the Russo-Japanese War.</t>
        </is>
      </c>
      <c r="F1295" t="inlineStr">
        <is>
          <t>No</t>
        </is>
      </c>
      <c r="G1295" t="inlineStr">
        <is>
          <t>1</t>
        </is>
      </c>
      <c r="H1295" t="inlineStr">
        <is>
          <t>No</t>
        </is>
      </c>
      <c r="I1295" t="inlineStr">
        <is>
          <t>No</t>
        </is>
      </c>
      <c r="J1295" t="inlineStr">
        <is>
          <t>0</t>
        </is>
      </c>
      <c r="K1295" t="inlineStr">
        <is>
          <t>White, John Albert.</t>
        </is>
      </c>
      <c r="L1295" t="inlineStr">
        <is>
          <t>Princeton, N.J. : Princeton University Press, 1964.</t>
        </is>
      </c>
      <c r="M1295" t="inlineStr">
        <is>
          <t>1964</t>
        </is>
      </c>
      <c r="O1295" t="inlineStr">
        <is>
          <t>eng</t>
        </is>
      </c>
      <c r="P1295" t="inlineStr">
        <is>
          <t>nju</t>
        </is>
      </c>
      <c r="R1295" t="inlineStr">
        <is>
          <t xml:space="preserve">DS </t>
        </is>
      </c>
      <c r="S1295" t="n">
        <v>7</v>
      </c>
      <c r="T1295" t="n">
        <v>7</v>
      </c>
      <c r="U1295" t="inlineStr">
        <is>
          <t>2003-03-03</t>
        </is>
      </c>
      <c r="V1295" t="inlineStr">
        <is>
          <t>2003-03-03</t>
        </is>
      </c>
      <c r="W1295" t="inlineStr">
        <is>
          <t>1992-02-14</t>
        </is>
      </c>
      <c r="X1295" t="inlineStr">
        <is>
          <t>1992-02-14</t>
        </is>
      </c>
      <c r="Y1295" t="n">
        <v>819</v>
      </c>
      <c r="Z1295" t="n">
        <v>692</v>
      </c>
      <c r="AA1295" t="n">
        <v>841</v>
      </c>
      <c r="AB1295" t="n">
        <v>7</v>
      </c>
      <c r="AC1295" t="n">
        <v>7</v>
      </c>
      <c r="AD1295" t="n">
        <v>39</v>
      </c>
      <c r="AE1295" t="n">
        <v>42</v>
      </c>
      <c r="AF1295" t="n">
        <v>16</v>
      </c>
      <c r="AG1295" t="n">
        <v>18</v>
      </c>
      <c r="AH1295" t="n">
        <v>8</v>
      </c>
      <c r="AI1295" t="n">
        <v>10</v>
      </c>
      <c r="AJ1295" t="n">
        <v>21</v>
      </c>
      <c r="AK1295" t="n">
        <v>21</v>
      </c>
      <c r="AL1295" t="n">
        <v>6</v>
      </c>
      <c r="AM1295" t="n">
        <v>6</v>
      </c>
      <c r="AN1295" t="n">
        <v>0</v>
      </c>
      <c r="AO1295" t="n">
        <v>0</v>
      </c>
      <c r="AP1295" t="inlineStr">
        <is>
          <t>No</t>
        </is>
      </c>
      <c r="AQ1295" t="inlineStr">
        <is>
          <t>No</t>
        </is>
      </c>
      <c r="AS1295">
        <f>HYPERLINK("https://creighton-primo.hosted.exlibrisgroup.com/primo-explore/search?tab=default_tab&amp;search_scope=EVERYTHING&amp;vid=01CRU&amp;lang=en_US&amp;offset=0&amp;query=any,contains,991002715799702656","Catalog Record")</f>
        <v/>
      </c>
      <c r="AT1295">
        <f>HYPERLINK("http://www.worldcat.org/oclc/411247","WorldCat Record")</f>
        <v/>
      </c>
      <c r="AU1295" t="inlineStr">
        <is>
          <t>1457276:eng</t>
        </is>
      </c>
      <c r="AV1295" t="inlineStr">
        <is>
          <t>411247</t>
        </is>
      </c>
      <c r="AW1295" t="inlineStr">
        <is>
          <t>991002715799702656</t>
        </is>
      </c>
      <c r="AX1295" t="inlineStr">
        <is>
          <t>991002715799702656</t>
        </is>
      </c>
      <c r="AY1295" t="inlineStr">
        <is>
          <t>2265114010002656</t>
        </is>
      </c>
      <c r="AZ1295" t="inlineStr">
        <is>
          <t>BOOK</t>
        </is>
      </c>
      <c r="BC1295" t="inlineStr">
        <is>
          <t>32285000959352</t>
        </is>
      </c>
      <c r="BD1295" t="inlineStr">
        <is>
          <t>893616481</t>
        </is>
      </c>
    </row>
    <row r="1296">
      <c r="A1296" t="inlineStr">
        <is>
          <t>No</t>
        </is>
      </c>
      <c r="B1296" t="inlineStr">
        <is>
          <t>DS517.3 .S24 1999</t>
        </is>
      </c>
      <c r="C1296" t="inlineStr">
        <is>
          <t>0                      DS 0517300S  24          1999</t>
        </is>
      </c>
      <c r="D1296" t="inlineStr">
        <is>
          <t>Human bullets : a soldier's story of Port Arthur / by Tadayoshi Sakurai ; with an introduction by Count Okuma ; translated by Masujiro Honda ; edited by Alice Mabel Bacon ; introduction to the Bison books edition by Roger Spiller.</t>
        </is>
      </c>
      <c r="F1296" t="inlineStr">
        <is>
          <t>No</t>
        </is>
      </c>
      <c r="G1296" t="inlineStr">
        <is>
          <t>1</t>
        </is>
      </c>
      <c r="H1296" t="inlineStr">
        <is>
          <t>No</t>
        </is>
      </c>
      <c r="I1296" t="inlineStr">
        <is>
          <t>No</t>
        </is>
      </c>
      <c r="J1296" t="inlineStr">
        <is>
          <t>0</t>
        </is>
      </c>
      <c r="K1296" t="inlineStr">
        <is>
          <t>Sakurai, Tadayoshi, 1879-1965.</t>
        </is>
      </c>
      <c r="L1296" t="inlineStr">
        <is>
          <t>Lincoln : University of Nebraska Press, 1999.</t>
        </is>
      </c>
      <c r="M1296" t="inlineStr">
        <is>
          <t>1999</t>
        </is>
      </c>
      <c r="O1296" t="inlineStr">
        <is>
          <t>eng</t>
        </is>
      </c>
      <c r="P1296" t="inlineStr">
        <is>
          <t>nbu</t>
        </is>
      </c>
      <c r="R1296" t="inlineStr">
        <is>
          <t xml:space="preserve">DS </t>
        </is>
      </c>
      <c r="S1296" t="n">
        <v>3</v>
      </c>
      <c r="T1296" t="n">
        <v>3</v>
      </c>
      <c r="U1296" t="inlineStr">
        <is>
          <t>2003-03-01</t>
        </is>
      </c>
      <c r="V1296" t="inlineStr">
        <is>
          <t>2003-03-01</t>
        </is>
      </c>
      <c r="W1296" t="inlineStr">
        <is>
          <t>2002-01-07</t>
        </is>
      </c>
      <c r="X1296" t="inlineStr">
        <is>
          <t>2002-01-07</t>
        </is>
      </c>
      <c r="Y1296" t="n">
        <v>98</v>
      </c>
      <c r="Z1296" t="n">
        <v>82</v>
      </c>
      <c r="AA1296" t="n">
        <v>1449</v>
      </c>
      <c r="AB1296" t="n">
        <v>3</v>
      </c>
      <c r="AC1296" t="n">
        <v>16</v>
      </c>
      <c r="AD1296" t="n">
        <v>4</v>
      </c>
      <c r="AE1296" t="n">
        <v>37</v>
      </c>
      <c r="AF1296" t="n">
        <v>0</v>
      </c>
      <c r="AG1296" t="n">
        <v>11</v>
      </c>
      <c r="AH1296" t="n">
        <v>1</v>
      </c>
      <c r="AI1296" t="n">
        <v>6</v>
      </c>
      <c r="AJ1296" t="n">
        <v>1</v>
      </c>
      <c r="AK1296" t="n">
        <v>10</v>
      </c>
      <c r="AL1296" t="n">
        <v>2</v>
      </c>
      <c r="AM1296" t="n">
        <v>14</v>
      </c>
      <c r="AN1296" t="n">
        <v>0</v>
      </c>
      <c r="AO1296" t="n">
        <v>1</v>
      </c>
      <c r="AP1296" t="inlineStr">
        <is>
          <t>No</t>
        </is>
      </c>
      <c r="AQ1296" t="inlineStr">
        <is>
          <t>No</t>
        </is>
      </c>
      <c r="AS1296">
        <f>HYPERLINK("https://creighton-primo.hosted.exlibrisgroup.com/primo-explore/search?tab=default_tab&amp;search_scope=EVERYTHING&amp;vid=01CRU&amp;lang=en_US&amp;offset=0&amp;query=any,contains,991003687389702656","Catalog Record")</f>
        <v/>
      </c>
      <c r="AT1296">
        <f>HYPERLINK("http://www.worldcat.org/oclc/40609155","WorldCat Record")</f>
        <v/>
      </c>
      <c r="AU1296" t="inlineStr">
        <is>
          <t>275318:eng</t>
        </is>
      </c>
      <c r="AV1296" t="inlineStr">
        <is>
          <t>40609155</t>
        </is>
      </c>
      <c r="AW1296" t="inlineStr">
        <is>
          <t>991003687389702656</t>
        </is>
      </c>
      <c r="AX1296" t="inlineStr">
        <is>
          <t>991003687389702656</t>
        </is>
      </c>
      <c r="AY1296" t="inlineStr">
        <is>
          <t>2269728010002656</t>
        </is>
      </c>
      <c r="AZ1296" t="inlineStr">
        <is>
          <t>BOOK</t>
        </is>
      </c>
      <c r="BB1296" t="inlineStr">
        <is>
          <t>9780803292666</t>
        </is>
      </c>
      <c r="BC1296" t="inlineStr">
        <is>
          <t>32285004446117</t>
        </is>
      </c>
      <c r="BD1296" t="inlineStr">
        <is>
          <t>893881435</t>
        </is>
      </c>
    </row>
    <row r="1297">
      <c r="A1297" t="inlineStr">
        <is>
          <t>No</t>
        </is>
      </c>
      <c r="B1297" t="inlineStr">
        <is>
          <t>DS517.5 .P58 2002</t>
        </is>
      </c>
      <c r="C1297" t="inlineStr">
        <is>
          <t>0                      DS 0517500P  58          2002</t>
        </is>
      </c>
      <c r="D1297" t="inlineStr">
        <is>
          <t>The Tsar's last armada : the epic journey to the Battle of Tsushima / Constantine Pleshakov.</t>
        </is>
      </c>
      <c r="F1297" t="inlineStr">
        <is>
          <t>No</t>
        </is>
      </c>
      <c r="G1297" t="inlineStr">
        <is>
          <t>1</t>
        </is>
      </c>
      <c r="H1297" t="inlineStr">
        <is>
          <t>No</t>
        </is>
      </c>
      <c r="I1297" t="inlineStr">
        <is>
          <t>No</t>
        </is>
      </c>
      <c r="J1297" t="inlineStr">
        <is>
          <t>0</t>
        </is>
      </c>
      <c r="K1297" t="inlineStr">
        <is>
          <t>Pleshakov, Konstantin.</t>
        </is>
      </c>
      <c r="L1297" t="inlineStr">
        <is>
          <t>New York : Basic Books, c2002.</t>
        </is>
      </c>
      <c r="M1297" t="inlineStr">
        <is>
          <t>2002</t>
        </is>
      </c>
      <c r="N1297" t="inlineStr">
        <is>
          <t>1st ed.</t>
        </is>
      </c>
      <c r="O1297" t="inlineStr">
        <is>
          <t>eng</t>
        </is>
      </c>
      <c r="P1297" t="inlineStr">
        <is>
          <t>nyu</t>
        </is>
      </c>
      <c r="R1297" t="inlineStr">
        <is>
          <t xml:space="preserve">DS </t>
        </is>
      </c>
      <c r="S1297" t="n">
        <v>2</v>
      </c>
      <c r="T1297" t="n">
        <v>2</v>
      </c>
      <c r="U1297" t="inlineStr">
        <is>
          <t>2002-04-26</t>
        </is>
      </c>
      <c r="V1297" t="inlineStr">
        <is>
          <t>2002-04-26</t>
        </is>
      </c>
      <c r="W1297" t="inlineStr">
        <is>
          <t>2002-04-08</t>
        </is>
      </c>
      <c r="X1297" t="inlineStr">
        <is>
          <t>2002-04-08</t>
        </is>
      </c>
      <c r="Y1297" t="n">
        <v>689</v>
      </c>
      <c r="Z1297" t="n">
        <v>653</v>
      </c>
      <c r="AA1297" t="n">
        <v>745</v>
      </c>
      <c r="AB1297" t="n">
        <v>9</v>
      </c>
      <c r="AC1297" t="n">
        <v>10</v>
      </c>
      <c r="AD1297" t="n">
        <v>19</v>
      </c>
      <c r="AE1297" t="n">
        <v>20</v>
      </c>
      <c r="AF1297" t="n">
        <v>5</v>
      </c>
      <c r="AG1297" t="n">
        <v>5</v>
      </c>
      <c r="AH1297" t="n">
        <v>6</v>
      </c>
      <c r="AI1297" t="n">
        <v>6</v>
      </c>
      <c r="AJ1297" t="n">
        <v>8</v>
      </c>
      <c r="AK1297" t="n">
        <v>8</v>
      </c>
      <c r="AL1297" t="n">
        <v>5</v>
      </c>
      <c r="AM1297" t="n">
        <v>6</v>
      </c>
      <c r="AN1297" t="n">
        <v>0</v>
      </c>
      <c r="AO1297" t="n">
        <v>0</v>
      </c>
      <c r="AP1297" t="inlineStr">
        <is>
          <t>No</t>
        </is>
      </c>
      <c r="AQ1297" t="inlineStr">
        <is>
          <t>Yes</t>
        </is>
      </c>
      <c r="AR1297">
        <f>HYPERLINK("http://catalog.hathitrust.org/Record/004239259","HathiTrust Record")</f>
        <v/>
      </c>
      <c r="AS1297">
        <f>HYPERLINK("https://creighton-primo.hosted.exlibrisgroup.com/primo-explore/search?tab=default_tab&amp;search_scope=EVERYTHING&amp;vid=01CRU&amp;lang=en_US&amp;offset=0&amp;query=any,contains,991003769369702656","Catalog Record")</f>
        <v/>
      </c>
      <c r="AT1297">
        <f>HYPERLINK("http://www.worldcat.org/oclc/48162972","WorldCat Record")</f>
        <v/>
      </c>
      <c r="AU1297" t="inlineStr">
        <is>
          <t>2656030:eng</t>
        </is>
      </c>
      <c r="AV1297" t="inlineStr">
        <is>
          <t>48162972</t>
        </is>
      </c>
      <c r="AW1297" t="inlineStr">
        <is>
          <t>991003769369702656</t>
        </is>
      </c>
      <c r="AX1297" t="inlineStr">
        <is>
          <t>991003769369702656</t>
        </is>
      </c>
      <c r="AY1297" t="inlineStr">
        <is>
          <t>2272492610002656</t>
        </is>
      </c>
      <c r="AZ1297" t="inlineStr">
        <is>
          <t>BOOK</t>
        </is>
      </c>
      <c r="BB1297" t="inlineStr">
        <is>
          <t>9780465057917</t>
        </is>
      </c>
      <c r="BC1297" t="inlineStr">
        <is>
          <t>32285004477690</t>
        </is>
      </c>
      <c r="BD1297" t="inlineStr">
        <is>
          <t>893868831</t>
        </is>
      </c>
    </row>
    <row r="1298">
      <c r="A1298" t="inlineStr">
        <is>
          <t>No</t>
        </is>
      </c>
      <c r="B1298" t="inlineStr">
        <is>
          <t>DS517.7 .T7</t>
        </is>
      </c>
      <c r="C1298" t="inlineStr">
        <is>
          <t>0                      DS 0517700T  7</t>
        </is>
      </c>
      <c r="D1298" t="inlineStr">
        <is>
          <t>The treaty of Portsmouth : an adventure in American diplomacy / by Eugene P. Trani.</t>
        </is>
      </c>
      <c r="F1298" t="inlineStr">
        <is>
          <t>No</t>
        </is>
      </c>
      <c r="G1298" t="inlineStr">
        <is>
          <t>1</t>
        </is>
      </c>
      <c r="H1298" t="inlineStr">
        <is>
          <t>No</t>
        </is>
      </c>
      <c r="I1298" t="inlineStr">
        <is>
          <t>No</t>
        </is>
      </c>
      <c r="J1298" t="inlineStr">
        <is>
          <t>0</t>
        </is>
      </c>
      <c r="K1298" t="inlineStr">
        <is>
          <t>Trani, Eugene P.</t>
        </is>
      </c>
      <c r="L1298" t="inlineStr">
        <is>
          <t>[Lexington] : University of Kentucky Press, [1969]</t>
        </is>
      </c>
      <c r="M1298" t="inlineStr">
        <is>
          <t>1969</t>
        </is>
      </c>
      <c r="O1298" t="inlineStr">
        <is>
          <t>eng</t>
        </is>
      </c>
      <c r="P1298" t="inlineStr">
        <is>
          <t>kyu</t>
        </is>
      </c>
      <c r="R1298" t="inlineStr">
        <is>
          <t xml:space="preserve">DS </t>
        </is>
      </c>
      <c r="S1298" t="n">
        <v>6</v>
      </c>
      <c r="T1298" t="n">
        <v>6</v>
      </c>
      <c r="U1298" t="inlineStr">
        <is>
          <t>2003-03-03</t>
        </is>
      </c>
      <c r="V1298" t="inlineStr">
        <is>
          <t>2003-03-03</t>
        </is>
      </c>
      <c r="W1298" t="inlineStr">
        <is>
          <t>1992-02-14</t>
        </is>
      </c>
      <c r="X1298" t="inlineStr">
        <is>
          <t>1992-02-14</t>
        </is>
      </c>
      <c r="Y1298" t="n">
        <v>662</v>
      </c>
      <c r="Z1298" t="n">
        <v>593</v>
      </c>
      <c r="AA1298" t="n">
        <v>847</v>
      </c>
      <c r="AB1298" t="n">
        <v>6</v>
      </c>
      <c r="AC1298" t="n">
        <v>8</v>
      </c>
      <c r="AD1298" t="n">
        <v>43</v>
      </c>
      <c r="AE1298" t="n">
        <v>49</v>
      </c>
      <c r="AF1298" t="n">
        <v>15</v>
      </c>
      <c r="AG1298" t="n">
        <v>20</v>
      </c>
      <c r="AH1298" t="n">
        <v>10</v>
      </c>
      <c r="AI1298" t="n">
        <v>10</v>
      </c>
      <c r="AJ1298" t="n">
        <v>21</v>
      </c>
      <c r="AK1298" t="n">
        <v>22</v>
      </c>
      <c r="AL1298" t="n">
        <v>5</v>
      </c>
      <c r="AM1298" t="n">
        <v>6</v>
      </c>
      <c r="AN1298" t="n">
        <v>4</v>
      </c>
      <c r="AO1298" t="n">
        <v>4</v>
      </c>
      <c r="AP1298" t="inlineStr">
        <is>
          <t>No</t>
        </is>
      </c>
      <c r="AQ1298" t="inlineStr">
        <is>
          <t>Yes</t>
        </is>
      </c>
      <c r="AR1298">
        <f>HYPERLINK("http://catalog.hathitrust.org/Record/001254976","HathiTrust Record")</f>
        <v/>
      </c>
      <c r="AS1298">
        <f>HYPERLINK("https://creighton-primo.hosted.exlibrisgroup.com/primo-explore/search?tab=default_tab&amp;search_scope=EVERYTHING&amp;vid=01CRU&amp;lang=en_US&amp;offset=0&amp;query=any,contains,991005439179702656","Catalog Record")</f>
        <v/>
      </c>
      <c r="AT1298">
        <f>HYPERLINK("http://www.worldcat.org/oclc/6383","WorldCat Record")</f>
        <v/>
      </c>
      <c r="AU1298" t="inlineStr">
        <is>
          <t>1129614:eng</t>
        </is>
      </c>
      <c r="AV1298" t="inlineStr">
        <is>
          <t>6383</t>
        </is>
      </c>
      <c r="AW1298" t="inlineStr">
        <is>
          <t>991005439179702656</t>
        </is>
      </c>
      <c r="AX1298" t="inlineStr">
        <is>
          <t>991005439179702656</t>
        </is>
      </c>
      <c r="AY1298" t="inlineStr">
        <is>
          <t>2265071690002656</t>
        </is>
      </c>
      <c r="AZ1298" t="inlineStr">
        <is>
          <t>BOOK</t>
        </is>
      </c>
      <c r="BC1298" t="inlineStr">
        <is>
          <t>32285000959345</t>
        </is>
      </c>
      <c r="BD1298" t="inlineStr">
        <is>
          <t>893890247</t>
        </is>
      </c>
    </row>
    <row r="1299">
      <c r="A1299" t="inlineStr">
        <is>
          <t>No</t>
        </is>
      </c>
      <c r="B1299" t="inlineStr">
        <is>
          <t>DS518 .I75</t>
        </is>
      </c>
      <c r="C1299" t="inlineStr">
        <is>
          <t>0                      DS 0518000I  75</t>
        </is>
      </c>
      <c r="D1299" t="inlineStr">
        <is>
          <t>After imperialism; the search for a new order in the Far East, 1921-1931.</t>
        </is>
      </c>
      <c r="F1299" t="inlineStr">
        <is>
          <t>No</t>
        </is>
      </c>
      <c r="G1299" t="inlineStr">
        <is>
          <t>1</t>
        </is>
      </c>
      <c r="H1299" t="inlineStr">
        <is>
          <t>No</t>
        </is>
      </c>
      <c r="I1299" t="inlineStr">
        <is>
          <t>No</t>
        </is>
      </c>
      <c r="J1299" t="inlineStr">
        <is>
          <t>0</t>
        </is>
      </c>
      <c r="K1299" t="inlineStr">
        <is>
          <t>Iriye, Akira.</t>
        </is>
      </c>
      <c r="L1299" t="inlineStr">
        <is>
          <t>Cambridge, Mass., Harvard University Press, 1965.</t>
        </is>
      </c>
      <c r="M1299" t="inlineStr">
        <is>
          <t>1965</t>
        </is>
      </c>
      <c r="O1299" t="inlineStr">
        <is>
          <t>eng</t>
        </is>
      </c>
      <c r="P1299" t="inlineStr">
        <is>
          <t>mau</t>
        </is>
      </c>
      <c r="Q1299" t="inlineStr">
        <is>
          <t>Harvard East Asian series ; 22</t>
        </is>
      </c>
      <c r="R1299" t="inlineStr">
        <is>
          <t xml:space="preserve">DS </t>
        </is>
      </c>
      <c r="S1299" t="n">
        <v>1</v>
      </c>
      <c r="T1299" t="n">
        <v>1</v>
      </c>
      <c r="U1299" t="inlineStr">
        <is>
          <t>2008-10-29</t>
        </is>
      </c>
      <c r="V1299" t="inlineStr">
        <is>
          <t>2008-10-29</t>
        </is>
      </c>
      <c r="W1299" t="inlineStr">
        <is>
          <t>1996-08-09</t>
        </is>
      </c>
      <c r="X1299" t="inlineStr">
        <is>
          <t>1996-08-09</t>
        </is>
      </c>
      <c r="Y1299" t="n">
        <v>880</v>
      </c>
      <c r="Z1299" t="n">
        <v>758</v>
      </c>
      <c r="AA1299" t="n">
        <v>886</v>
      </c>
      <c r="AB1299" t="n">
        <v>7</v>
      </c>
      <c r="AC1299" t="n">
        <v>7</v>
      </c>
      <c r="AD1299" t="n">
        <v>36</v>
      </c>
      <c r="AE1299" t="n">
        <v>41</v>
      </c>
      <c r="AF1299" t="n">
        <v>15</v>
      </c>
      <c r="AG1299" t="n">
        <v>16</v>
      </c>
      <c r="AH1299" t="n">
        <v>9</v>
      </c>
      <c r="AI1299" t="n">
        <v>9</v>
      </c>
      <c r="AJ1299" t="n">
        <v>14</v>
      </c>
      <c r="AK1299" t="n">
        <v>19</v>
      </c>
      <c r="AL1299" t="n">
        <v>6</v>
      </c>
      <c r="AM1299" t="n">
        <v>6</v>
      </c>
      <c r="AN1299" t="n">
        <v>0</v>
      </c>
      <c r="AO1299" t="n">
        <v>0</v>
      </c>
      <c r="AP1299" t="inlineStr">
        <is>
          <t>No</t>
        </is>
      </c>
      <c r="AQ1299" t="inlineStr">
        <is>
          <t>Yes</t>
        </is>
      </c>
      <c r="AR1299">
        <f>HYPERLINK("http://catalog.hathitrust.org/Record/001255001","HathiTrust Record")</f>
        <v/>
      </c>
      <c r="AS1299">
        <f>HYPERLINK("https://creighton-primo.hosted.exlibrisgroup.com/primo-explore/search?tab=default_tab&amp;search_scope=EVERYTHING&amp;vid=01CRU&amp;lang=en_US&amp;offset=0&amp;query=any,contains,991002183899702656","Catalog Record")</f>
        <v/>
      </c>
      <c r="AT1299">
        <f>HYPERLINK("http://www.worldcat.org/oclc/279619","WorldCat Record")</f>
        <v/>
      </c>
      <c r="AU1299" t="inlineStr">
        <is>
          <t>1424091:eng</t>
        </is>
      </c>
      <c r="AV1299" t="inlineStr">
        <is>
          <t>279619</t>
        </is>
      </c>
      <c r="AW1299" t="inlineStr">
        <is>
          <t>991002183899702656</t>
        </is>
      </c>
      <c r="AX1299" t="inlineStr">
        <is>
          <t>991002183899702656</t>
        </is>
      </c>
      <c r="AY1299" t="inlineStr">
        <is>
          <t>2261702400002656</t>
        </is>
      </c>
      <c r="AZ1299" t="inlineStr">
        <is>
          <t>BOOK</t>
        </is>
      </c>
      <c r="BC1299" t="inlineStr">
        <is>
          <t>32285002273117</t>
        </is>
      </c>
      <c r="BD1299" t="inlineStr">
        <is>
          <t>893256982</t>
        </is>
      </c>
    </row>
    <row r="1300">
      <c r="A1300" t="inlineStr">
        <is>
          <t>No</t>
        </is>
      </c>
      <c r="B1300" t="inlineStr">
        <is>
          <t>DS518 .J38</t>
        </is>
      </c>
      <c r="C1300" t="inlineStr">
        <is>
          <t>0                      DS 0518000J  38</t>
        </is>
      </c>
      <c r="D1300" t="inlineStr">
        <is>
          <t>Japan's Greater East Asia Co-prosperity Sphere in World War II : selected readings and documents / edited and introduced by Joyce C. Lebra.</t>
        </is>
      </c>
      <c r="F1300" t="inlineStr">
        <is>
          <t>No</t>
        </is>
      </c>
      <c r="G1300" t="inlineStr">
        <is>
          <t>1</t>
        </is>
      </c>
      <c r="H1300" t="inlineStr">
        <is>
          <t>No</t>
        </is>
      </c>
      <c r="I1300" t="inlineStr">
        <is>
          <t>No</t>
        </is>
      </c>
      <c r="J1300" t="inlineStr">
        <is>
          <t>0</t>
        </is>
      </c>
      <c r="L1300" t="inlineStr">
        <is>
          <t>Kuala Lumpur ; New York : Oxford University Press, 1975.</t>
        </is>
      </c>
      <c r="M1300" t="inlineStr">
        <is>
          <t>1975</t>
        </is>
      </c>
      <c r="O1300" t="inlineStr">
        <is>
          <t>eng</t>
        </is>
      </c>
      <c r="P1300" t="inlineStr">
        <is>
          <t xml:space="preserve">my </t>
        </is>
      </c>
      <c r="R1300" t="inlineStr">
        <is>
          <t xml:space="preserve">DS </t>
        </is>
      </c>
      <c r="S1300" t="n">
        <v>1</v>
      </c>
      <c r="T1300" t="n">
        <v>1</v>
      </c>
      <c r="U1300" t="inlineStr">
        <is>
          <t>2004-10-23</t>
        </is>
      </c>
      <c r="V1300" t="inlineStr">
        <is>
          <t>2004-10-23</t>
        </is>
      </c>
      <c r="W1300" t="inlineStr">
        <is>
          <t>1997-03-10</t>
        </is>
      </c>
      <c r="X1300" t="inlineStr">
        <is>
          <t>1997-03-10</t>
        </is>
      </c>
      <c r="Y1300" t="n">
        <v>453</v>
      </c>
      <c r="Z1300" t="n">
        <v>328</v>
      </c>
      <c r="AA1300" t="n">
        <v>330</v>
      </c>
      <c r="AB1300" t="n">
        <v>3</v>
      </c>
      <c r="AC1300" t="n">
        <v>3</v>
      </c>
      <c r="AD1300" t="n">
        <v>16</v>
      </c>
      <c r="AE1300" t="n">
        <v>16</v>
      </c>
      <c r="AF1300" t="n">
        <v>4</v>
      </c>
      <c r="AG1300" t="n">
        <v>4</v>
      </c>
      <c r="AH1300" t="n">
        <v>7</v>
      </c>
      <c r="AI1300" t="n">
        <v>7</v>
      </c>
      <c r="AJ1300" t="n">
        <v>7</v>
      </c>
      <c r="AK1300" t="n">
        <v>7</v>
      </c>
      <c r="AL1300" t="n">
        <v>2</v>
      </c>
      <c r="AM1300" t="n">
        <v>2</v>
      </c>
      <c r="AN1300" t="n">
        <v>0</v>
      </c>
      <c r="AO1300" t="n">
        <v>0</v>
      </c>
      <c r="AP1300" t="inlineStr">
        <is>
          <t>No</t>
        </is>
      </c>
      <c r="AQ1300" t="inlineStr">
        <is>
          <t>Yes</t>
        </is>
      </c>
      <c r="AR1300">
        <f>HYPERLINK("http://catalog.hathitrust.org/Record/000026224","HathiTrust Record")</f>
        <v/>
      </c>
      <c r="AS1300">
        <f>HYPERLINK("https://creighton-primo.hosted.exlibrisgroup.com/primo-explore/search?tab=default_tab&amp;search_scope=EVERYTHING&amp;vid=01CRU&amp;lang=en_US&amp;offset=0&amp;query=any,contains,991003818649702656","Catalog Record")</f>
        <v/>
      </c>
      <c r="AT1300">
        <f>HYPERLINK("http://www.worldcat.org/oclc/1551953","WorldCat Record")</f>
        <v/>
      </c>
      <c r="AU1300" t="inlineStr">
        <is>
          <t>867372317:eng</t>
        </is>
      </c>
      <c r="AV1300" t="inlineStr">
        <is>
          <t>1551953</t>
        </is>
      </c>
      <c r="AW1300" t="inlineStr">
        <is>
          <t>991003818649702656</t>
        </is>
      </c>
      <c r="AX1300" t="inlineStr">
        <is>
          <t>991003818649702656</t>
        </is>
      </c>
      <c r="AY1300" t="inlineStr">
        <is>
          <t>2265843270002656</t>
        </is>
      </c>
      <c r="AZ1300" t="inlineStr">
        <is>
          <t>BOOK</t>
        </is>
      </c>
      <c r="BB1300" t="inlineStr">
        <is>
          <t>9780196382654</t>
        </is>
      </c>
      <c r="BC1300" t="inlineStr">
        <is>
          <t>32285002458593</t>
        </is>
      </c>
      <c r="BD1300" t="inlineStr">
        <is>
          <t>893324525</t>
        </is>
      </c>
    </row>
    <row r="1301">
      <c r="A1301" t="inlineStr">
        <is>
          <t>No</t>
        </is>
      </c>
      <c r="B1301" t="inlineStr">
        <is>
          <t>DS518 .P55</t>
        </is>
      </c>
      <c r="C1301" t="inlineStr">
        <is>
          <t>0                      DS 0518000P  55</t>
        </is>
      </c>
      <c r="D1301" t="inlineStr">
        <is>
          <t>South-East Asia from colonialism to independence / Jan Pluvier.</t>
        </is>
      </c>
      <c r="F1301" t="inlineStr">
        <is>
          <t>No</t>
        </is>
      </c>
      <c r="G1301" t="inlineStr">
        <is>
          <t>1</t>
        </is>
      </c>
      <c r="H1301" t="inlineStr">
        <is>
          <t>No</t>
        </is>
      </c>
      <c r="I1301" t="inlineStr">
        <is>
          <t>No</t>
        </is>
      </c>
      <c r="J1301" t="inlineStr">
        <is>
          <t>0</t>
        </is>
      </c>
      <c r="K1301" t="inlineStr">
        <is>
          <t>Pluvier, Jan M.</t>
        </is>
      </c>
      <c r="L1301" t="inlineStr">
        <is>
          <t>Kuala Lumpur ; New York : Oxford University Press, 1974.</t>
        </is>
      </c>
      <c r="M1301" t="inlineStr">
        <is>
          <t>1974</t>
        </is>
      </c>
      <c r="O1301" t="inlineStr">
        <is>
          <t>eng</t>
        </is>
      </c>
      <c r="P1301" t="inlineStr">
        <is>
          <t xml:space="preserve">my </t>
        </is>
      </c>
      <c r="R1301" t="inlineStr">
        <is>
          <t xml:space="preserve">DS </t>
        </is>
      </c>
      <c r="S1301" t="n">
        <v>6</v>
      </c>
      <c r="T1301" t="n">
        <v>6</v>
      </c>
      <c r="U1301" t="inlineStr">
        <is>
          <t>2005-03-31</t>
        </is>
      </c>
      <c r="V1301" t="inlineStr">
        <is>
          <t>2005-03-31</t>
        </is>
      </c>
      <c r="W1301" t="inlineStr">
        <is>
          <t>1997-03-10</t>
        </is>
      </c>
      <c r="X1301" t="inlineStr">
        <is>
          <t>1997-03-10</t>
        </is>
      </c>
      <c r="Y1301" t="n">
        <v>563</v>
      </c>
      <c r="Z1301" t="n">
        <v>391</v>
      </c>
      <c r="AA1301" t="n">
        <v>393</v>
      </c>
      <c r="AB1301" t="n">
        <v>3</v>
      </c>
      <c r="AC1301" t="n">
        <v>3</v>
      </c>
      <c r="AD1301" t="n">
        <v>19</v>
      </c>
      <c r="AE1301" t="n">
        <v>19</v>
      </c>
      <c r="AF1301" t="n">
        <v>5</v>
      </c>
      <c r="AG1301" t="n">
        <v>5</v>
      </c>
      <c r="AH1301" t="n">
        <v>9</v>
      </c>
      <c r="AI1301" t="n">
        <v>9</v>
      </c>
      <c r="AJ1301" t="n">
        <v>10</v>
      </c>
      <c r="AK1301" t="n">
        <v>10</v>
      </c>
      <c r="AL1301" t="n">
        <v>2</v>
      </c>
      <c r="AM1301" t="n">
        <v>2</v>
      </c>
      <c r="AN1301" t="n">
        <v>0</v>
      </c>
      <c r="AO1301" t="n">
        <v>0</v>
      </c>
      <c r="AP1301" t="inlineStr">
        <is>
          <t>No</t>
        </is>
      </c>
      <c r="AQ1301" t="inlineStr">
        <is>
          <t>Yes</t>
        </is>
      </c>
      <c r="AR1301">
        <f>HYPERLINK("http://catalog.hathitrust.org/Record/000017566","HathiTrust Record")</f>
        <v/>
      </c>
      <c r="AS1301">
        <f>HYPERLINK("https://creighton-primo.hosted.exlibrisgroup.com/primo-explore/search?tab=default_tab&amp;search_scope=EVERYTHING&amp;vid=01CRU&amp;lang=en_US&amp;offset=0&amp;query=any,contains,991003617299702656","Catalog Record")</f>
        <v/>
      </c>
      <c r="AT1301">
        <f>HYPERLINK("http://www.worldcat.org/oclc/1202638","WorldCat Record")</f>
        <v/>
      </c>
      <c r="AU1301" t="inlineStr">
        <is>
          <t>2085850:eng</t>
        </is>
      </c>
      <c r="AV1301" t="inlineStr">
        <is>
          <t>1202638</t>
        </is>
      </c>
      <c r="AW1301" t="inlineStr">
        <is>
          <t>991003617299702656</t>
        </is>
      </c>
      <c r="AX1301" t="inlineStr">
        <is>
          <t>991003617299702656</t>
        </is>
      </c>
      <c r="AY1301" t="inlineStr">
        <is>
          <t>2271278690002656</t>
        </is>
      </c>
      <c r="AZ1301" t="inlineStr">
        <is>
          <t>BOOK</t>
        </is>
      </c>
      <c r="BB1301" t="inlineStr">
        <is>
          <t>9780196382630</t>
        </is>
      </c>
      <c r="BC1301" t="inlineStr">
        <is>
          <t>32285002458635</t>
        </is>
      </c>
      <c r="BD1301" t="inlineStr">
        <is>
          <t>893611237</t>
        </is>
      </c>
    </row>
    <row r="1302">
      <c r="A1302" t="inlineStr">
        <is>
          <t>No</t>
        </is>
      </c>
      <c r="B1302" t="inlineStr">
        <is>
          <t>DS518 .S53</t>
        </is>
      </c>
      <c r="C1302" t="inlineStr">
        <is>
          <t>0                      DS 0518000S  53</t>
        </is>
      </c>
      <c r="D1302" t="inlineStr">
        <is>
          <t>The coming struggle in eastern Asia, by B. L. Putnam Weale [pseud.]... With illustrations &amp; a map.</t>
        </is>
      </c>
      <c r="F1302" t="inlineStr">
        <is>
          <t>No</t>
        </is>
      </c>
      <c r="G1302" t="inlineStr">
        <is>
          <t>1</t>
        </is>
      </c>
      <c r="H1302" t="inlineStr">
        <is>
          <t>No</t>
        </is>
      </c>
      <c r="I1302" t="inlineStr">
        <is>
          <t>No</t>
        </is>
      </c>
      <c r="J1302" t="inlineStr">
        <is>
          <t>0</t>
        </is>
      </c>
      <c r="K1302" t="inlineStr">
        <is>
          <t>Putnam Weale, B. L. (Bertram Lenox), 1877-1930.</t>
        </is>
      </c>
      <c r="L1302" t="inlineStr">
        <is>
          <t>London, Macmillan and co., limited, 1908.</t>
        </is>
      </c>
      <c r="M1302" t="inlineStr">
        <is>
          <t>1908</t>
        </is>
      </c>
      <c r="O1302" t="inlineStr">
        <is>
          <t>eng</t>
        </is>
      </c>
      <c r="P1302" t="inlineStr">
        <is>
          <t>enk</t>
        </is>
      </c>
      <c r="R1302" t="inlineStr">
        <is>
          <t xml:space="preserve">DS </t>
        </is>
      </c>
      <c r="S1302" t="n">
        <v>2</v>
      </c>
      <c r="T1302" t="n">
        <v>2</v>
      </c>
      <c r="U1302" t="inlineStr">
        <is>
          <t>1999-04-13</t>
        </is>
      </c>
      <c r="V1302" t="inlineStr">
        <is>
          <t>1999-04-13</t>
        </is>
      </c>
      <c r="W1302" t="inlineStr">
        <is>
          <t>1997-03-10</t>
        </is>
      </c>
      <c r="X1302" t="inlineStr">
        <is>
          <t>1997-03-10</t>
        </is>
      </c>
      <c r="Y1302" t="n">
        <v>168</v>
      </c>
      <c r="Z1302" t="n">
        <v>121</v>
      </c>
      <c r="AA1302" t="n">
        <v>178</v>
      </c>
      <c r="AB1302" t="n">
        <v>3</v>
      </c>
      <c r="AC1302" t="n">
        <v>4</v>
      </c>
      <c r="AD1302" t="n">
        <v>6</v>
      </c>
      <c r="AE1302" t="n">
        <v>9</v>
      </c>
      <c r="AF1302" t="n">
        <v>1</v>
      </c>
      <c r="AG1302" t="n">
        <v>2</v>
      </c>
      <c r="AH1302" t="n">
        <v>1</v>
      </c>
      <c r="AI1302" t="n">
        <v>2</v>
      </c>
      <c r="AJ1302" t="n">
        <v>3</v>
      </c>
      <c r="AK1302" t="n">
        <v>4</v>
      </c>
      <c r="AL1302" t="n">
        <v>2</v>
      </c>
      <c r="AM1302" t="n">
        <v>3</v>
      </c>
      <c r="AN1302" t="n">
        <v>0</v>
      </c>
      <c r="AO1302" t="n">
        <v>0</v>
      </c>
      <c r="AP1302" t="inlineStr">
        <is>
          <t>Yes</t>
        </is>
      </c>
      <c r="AQ1302" t="inlineStr">
        <is>
          <t>No</t>
        </is>
      </c>
      <c r="AR1302">
        <f>HYPERLINK("http://catalog.hathitrust.org/Record/001255021","HathiTrust Record")</f>
        <v/>
      </c>
      <c r="AS1302">
        <f>HYPERLINK("https://creighton-primo.hosted.exlibrisgroup.com/primo-explore/search?tab=default_tab&amp;search_scope=EVERYTHING&amp;vid=01CRU&amp;lang=en_US&amp;offset=0&amp;query=any,contains,991004136509702656","Catalog Record")</f>
        <v/>
      </c>
      <c r="AT1302">
        <f>HYPERLINK("http://www.worldcat.org/oclc/2488136","WorldCat Record")</f>
        <v/>
      </c>
      <c r="AU1302" t="inlineStr">
        <is>
          <t>5305596:eng</t>
        </is>
      </c>
      <c r="AV1302" t="inlineStr">
        <is>
          <t>2488136</t>
        </is>
      </c>
      <c r="AW1302" t="inlineStr">
        <is>
          <t>991004136509702656</t>
        </is>
      </c>
      <c r="AX1302" t="inlineStr">
        <is>
          <t>991004136509702656</t>
        </is>
      </c>
      <c r="AY1302" t="inlineStr">
        <is>
          <t>2260397730002656</t>
        </is>
      </c>
      <c r="AZ1302" t="inlineStr">
        <is>
          <t>BOOK</t>
        </is>
      </c>
      <c r="BC1302" t="inlineStr">
        <is>
          <t>32285002458643</t>
        </is>
      </c>
      <c r="BD1302" t="inlineStr">
        <is>
          <t>893888332</t>
        </is>
      </c>
    </row>
    <row r="1303">
      <c r="A1303" t="inlineStr">
        <is>
          <t>No</t>
        </is>
      </c>
      <c r="B1303" t="inlineStr">
        <is>
          <t>DS518 .S56</t>
        </is>
      </c>
      <c r="C1303" t="inlineStr">
        <is>
          <t>0                      DS 0518000S  56</t>
        </is>
      </c>
      <c r="D1303" t="inlineStr">
        <is>
          <t>The re-shaping of the Far East, by B. L. Putnam Weale [pseud] ...with numerous illustrations from photographs.</t>
        </is>
      </c>
      <c r="E1303" t="inlineStr">
        <is>
          <t>V.2</t>
        </is>
      </c>
      <c r="F1303" t="inlineStr">
        <is>
          <t>Yes</t>
        </is>
      </c>
      <c r="G1303" t="inlineStr">
        <is>
          <t>1</t>
        </is>
      </c>
      <c r="H1303" t="inlineStr">
        <is>
          <t>No</t>
        </is>
      </c>
      <c r="I1303" t="inlineStr">
        <is>
          <t>No</t>
        </is>
      </c>
      <c r="J1303" t="inlineStr">
        <is>
          <t>0</t>
        </is>
      </c>
      <c r="K1303" t="inlineStr">
        <is>
          <t>Putnam Weale, B. L. (Bertram Lenox), 1877-1930.</t>
        </is>
      </c>
      <c r="L1303" t="inlineStr">
        <is>
          <t>New York, London, The Macmillan company: Macmillan &amp; co.,ltd. 1905.</t>
        </is>
      </c>
      <c r="M1303" t="inlineStr">
        <is>
          <t>1905</t>
        </is>
      </c>
      <c r="O1303" t="inlineStr">
        <is>
          <t>eng</t>
        </is>
      </c>
      <c r="P1303" t="inlineStr">
        <is>
          <t>nyu</t>
        </is>
      </c>
      <c r="R1303" t="inlineStr">
        <is>
          <t xml:space="preserve">DS </t>
        </is>
      </c>
      <c r="S1303" t="n">
        <v>2</v>
      </c>
      <c r="T1303" t="n">
        <v>4</v>
      </c>
      <c r="U1303" t="inlineStr">
        <is>
          <t>1999-04-13</t>
        </is>
      </c>
      <c r="V1303" t="inlineStr">
        <is>
          <t>1999-04-13</t>
        </is>
      </c>
      <c r="W1303" t="inlineStr">
        <is>
          <t>1996-08-09</t>
        </is>
      </c>
      <c r="X1303" t="inlineStr">
        <is>
          <t>1996-08-09</t>
        </is>
      </c>
      <c r="Y1303" t="n">
        <v>268</v>
      </c>
      <c r="Z1303" t="n">
        <v>219</v>
      </c>
      <c r="AA1303" t="n">
        <v>323</v>
      </c>
      <c r="AB1303" t="n">
        <v>2</v>
      </c>
      <c r="AC1303" t="n">
        <v>5</v>
      </c>
      <c r="AD1303" t="n">
        <v>7</v>
      </c>
      <c r="AE1303" t="n">
        <v>16</v>
      </c>
      <c r="AF1303" t="n">
        <v>3</v>
      </c>
      <c r="AG1303" t="n">
        <v>4</v>
      </c>
      <c r="AH1303" t="n">
        <v>2</v>
      </c>
      <c r="AI1303" t="n">
        <v>4</v>
      </c>
      <c r="AJ1303" t="n">
        <v>3</v>
      </c>
      <c r="AK1303" t="n">
        <v>7</v>
      </c>
      <c r="AL1303" t="n">
        <v>1</v>
      </c>
      <c r="AM1303" t="n">
        <v>3</v>
      </c>
      <c r="AN1303" t="n">
        <v>0</v>
      </c>
      <c r="AO1303" t="n">
        <v>2</v>
      </c>
      <c r="AP1303" t="inlineStr">
        <is>
          <t>Yes</t>
        </is>
      </c>
      <c r="AQ1303" t="inlineStr">
        <is>
          <t>No</t>
        </is>
      </c>
      <c r="AR1303">
        <f>HYPERLINK("http://catalog.hathitrust.org/Record/000448816","HathiTrust Record")</f>
        <v/>
      </c>
      <c r="AS1303">
        <f>HYPERLINK("https://creighton-primo.hosted.exlibrisgroup.com/primo-explore/search?tab=default_tab&amp;search_scope=EVERYTHING&amp;vid=01CRU&amp;lang=en_US&amp;offset=0&amp;query=any,contains,991003695859702656","Catalog Record")</f>
        <v/>
      </c>
      <c r="AT1303">
        <f>HYPERLINK("http://www.worldcat.org/oclc/1328182","WorldCat Record")</f>
        <v/>
      </c>
      <c r="AU1303" t="inlineStr">
        <is>
          <t>2212196:eng</t>
        </is>
      </c>
      <c r="AV1303" t="inlineStr">
        <is>
          <t>1328182</t>
        </is>
      </c>
      <c r="AW1303" t="inlineStr">
        <is>
          <t>991003695859702656</t>
        </is>
      </c>
      <c r="AX1303" t="inlineStr">
        <is>
          <t>991003695859702656</t>
        </is>
      </c>
      <c r="AY1303" t="inlineStr">
        <is>
          <t>2259296590002656</t>
        </is>
      </c>
      <c r="AZ1303" t="inlineStr">
        <is>
          <t>BOOK</t>
        </is>
      </c>
      <c r="BC1303" t="inlineStr">
        <is>
          <t>32285002273141</t>
        </is>
      </c>
      <c r="BD1303" t="inlineStr">
        <is>
          <t>893262876</t>
        </is>
      </c>
    </row>
    <row r="1304">
      <c r="A1304" t="inlineStr">
        <is>
          <t>No</t>
        </is>
      </c>
      <c r="B1304" t="inlineStr">
        <is>
          <t>DS518 .S56</t>
        </is>
      </c>
      <c r="C1304" t="inlineStr">
        <is>
          <t>0                      DS 0518000S  56</t>
        </is>
      </c>
      <c r="D1304" t="inlineStr">
        <is>
          <t>The re-shaping of the Far East, by B. L. Putnam Weale [pseud] ...with numerous illustrations from photographs.</t>
        </is>
      </c>
      <c r="E1304" t="inlineStr">
        <is>
          <t>V.1</t>
        </is>
      </c>
      <c r="F1304" t="inlineStr">
        <is>
          <t>Yes</t>
        </is>
      </c>
      <c r="G1304" t="inlineStr">
        <is>
          <t>1</t>
        </is>
      </c>
      <c r="H1304" t="inlineStr">
        <is>
          <t>No</t>
        </is>
      </c>
      <c r="I1304" t="inlineStr">
        <is>
          <t>No</t>
        </is>
      </c>
      <c r="J1304" t="inlineStr">
        <is>
          <t>0</t>
        </is>
      </c>
      <c r="K1304" t="inlineStr">
        <is>
          <t>Putnam Weale, B. L. (Bertram Lenox), 1877-1930.</t>
        </is>
      </c>
      <c r="L1304" t="inlineStr">
        <is>
          <t>New York, London, The Macmillan company: Macmillan &amp; co.,ltd. 1905.</t>
        </is>
      </c>
      <c r="M1304" t="inlineStr">
        <is>
          <t>1905</t>
        </is>
      </c>
      <c r="O1304" t="inlineStr">
        <is>
          <t>eng</t>
        </is>
      </c>
      <c r="P1304" t="inlineStr">
        <is>
          <t>nyu</t>
        </is>
      </c>
      <c r="R1304" t="inlineStr">
        <is>
          <t xml:space="preserve">DS </t>
        </is>
      </c>
      <c r="S1304" t="n">
        <v>2</v>
      </c>
      <c r="T1304" t="n">
        <v>4</v>
      </c>
      <c r="U1304" t="inlineStr">
        <is>
          <t>1999-04-13</t>
        </is>
      </c>
      <c r="V1304" t="inlineStr">
        <is>
          <t>1999-04-13</t>
        </is>
      </c>
      <c r="W1304" t="inlineStr">
        <is>
          <t>1996-08-09</t>
        </is>
      </c>
      <c r="X1304" t="inlineStr">
        <is>
          <t>1996-08-09</t>
        </is>
      </c>
      <c r="Y1304" t="n">
        <v>268</v>
      </c>
      <c r="Z1304" t="n">
        <v>219</v>
      </c>
      <c r="AA1304" t="n">
        <v>323</v>
      </c>
      <c r="AB1304" t="n">
        <v>2</v>
      </c>
      <c r="AC1304" t="n">
        <v>5</v>
      </c>
      <c r="AD1304" t="n">
        <v>7</v>
      </c>
      <c r="AE1304" t="n">
        <v>16</v>
      </c>
      <c r="AF1304" t="n">
        <v>3</v>
      </c>
      <c r="AG1304" t="n">
        <v>4</v>
      </c>
      <c r="AH1304" t="n">
        <v>2</v>
      </c>
      <c r="AI1304" t="n">
        <v>4</v>
      </c>
      <c r="AJ1304" t="n">
        <v>3</v>
      </c>
      <c r="AK1304" t="n">
        <v>7</v>
      </c>
      <c r="AL1304" t="n">
        <v>1</v>
      </c>
      <c r="AM1304" t="n">
        <v>3</v>
      </c>
      <c r="AN1304" t="n">
        <v>0</v>
      </c>
      <c r="AO1304" t="n">
        <v>2</v>
      </c>
      <c r="AP1304" t="inlineStr">
        <is>
          <t>Yes</t>
        </is>
      </c>
      <c r="AQ1304" t="inlineStr">
        <is>
          <t>No</t>
        </is>
      </c>
      <c r="AR1304">
        <f>HYPERLINK("http://catalog.hathitrust.org/Record/000448816","HathiTrust Record")</f>
        <v/>
      </c>
      <c r="AS1304">
        <f>HYPERLINK("https://creighton-primo.hosted.exlibrisgroup.com/primo-explore/search?tab=default_tab&amp;search_scope=EVERYTHING&amp;vid=01CRU&amp;lang=en_US&amp;offset=0&amp;query=any,contains,991003695859702656","Catalog Record")</f>
        <v/>
      </c>
      <c r="AT1304">
        <f>HYPERLINK("http://www.worldcat.org/oclc/1328182","WorldCat Record")</f>
        <v/>
      </c>
      <c r="AU1304" t="inlineStr">
        <is>
          <t>2212196:eng</t>
        </is>
      </c>
      <c r="AV1304" t="inlineStr">
        <is>
          <t>1328182</t>
        </is>
      </c>
      <c r="AW1304" t="inlineStr">
        <is>
          <t>991003695859702656</t>
        </is>
      </c>
      <c r="AX1304" t="inlineStr">
        <is>
          <t>991003695859702656</t>
        </is>
      </c>
      <c r="AY1304" t="inlineStr">
        <is>
          <t>2259296590002656</t>
        </is>
      </c>
      <c r="AZ1304" t="inlineStr">
        <is>
          <t>BOOK</t>
        </is>
      </c>
      <c r="BC1304" t="inlineStr">
        <is>
          <t>32285002273133</t>
        </is>
      </c>
      <c r="BD1304" t="inlineStr">
        <is>
          <t>893246637</t>
        </is>
      </c>
    </row>
    <row r="1305">
      <c r="A1305" t="inlineStr">
        <is>
          <t>No</t>
        </is>
      </c>
      <c r="B1305" t="inlineStr">
        <is>
          <t>DS518 .S6</t>
        </is>
      </c>
      <c r="C1305" t="inlineStr">
        <is>
          <t>0                      DS 0518000S  6</t>
        </is>
      </c>
      <c r="D1305" t="inlineStr">
        <is>
          <t>The truce in the East and its aftermath; being the sequel to 'The re-shaping of the Far East,' by B. L. Putnam Weale [pseud.]</t>
        </is>
      </c>
      <c r="F1305" t="inlineStr">
        <is>
          <t>No</t>
        </is>
      </c>
      <c r="G1305" t="inlineStr">
        <is>
          <t>1</t>
        </is>
      </c>
      <c r="H1305" t="inlineStr">
        <is>
          <t>No</t>
        </is>
      </c>
      <c r="I1305" t="inlineStr">
        <is>
          <t>No</t>
        </is>
      </c>
      <c r="J1305" t="inlineStr">
        <is>
          <t>0</t>
        </is>
      </c>
      <c r="K1305" t="inlineStr">
        <is>
          <t>Putnam Weale, B. L. (Bertram Lenox), 1877-1930.</t>
        </is>
      </c>
      <c r="L1305" t="inlineStr">
        <is>
          <t>New York, The Macmillan company; London, Macmillan &amp; co., ltd., 1907.</t>
        </is>
      </c>
      <c r="M1305" t="inlineStr">
        <is>
          <t>1907</t>
        </is>
      </c>
      <c r="O1305" t="inlineStr">
        <is>
          <t>eng</t>
        </is>
      </c>
      <c r="P1305" t="inlineStr">
        <is>
          <t xml:space="preserve">xx </t>
        </is>
      </c>
      <c r="R1305" t="inlineStr">
        <is>
          <t xml:space="preserve">DS </t>
        </is>
      </c>
      <c r="S1305" t="n">
        <v>4</v>
      </c>
      <c r="T1305" t="n">
        <v>4</v>
      </c>
      <c r="U1305" t="inlineStr">
        <is>
          <t>1999-04-13</t>
        </is>
      </c>
      <c r="V1305" t="inlineStr">
        <is>
          <t>1999-04-13</t>
        </is>
      </c>
      <c r="W1305" t="inlineStr">
        <is>
          <t>1996-08-09</t>
        </is>
      </c>
      <c r="X1305" t="inlineStr">
        <is>
          <t>1996-08-09</t>
        </is>
      </c>
      <c r="Y1305" t="n">
        <v>220</v>
      </c>
      <c r="Z1305" t="n">
        <v>177</v>
      </c>
      <c r="AA1305" t="n">
        <v>184</v>
      </c>
      <c r="AB1305" t="n">
        <v>2</v>
      </c>
      <c r="AC1305" t="n">
        <v>2</v>
      </c>
      <c r="AD1305" t="n">
        <v>6</v>
      </c>
      <c r="AE1305" t="n">
        <v>6</v>
      </c>
      <c r="AF1305" t="n">
        <v>3</v>
      </c>
      <c r="AG1305" t="n">
        <v>3</v>
      </c>
      <c r="AH1305" t="n">
        <v>1</v>
      </c>
      <c r="AI1305" t="n">
        <v>1</v>
      </c>
      <c r="AJ1305" t="n">
        <v>3</v>
      </c>
      <c r="AK1305" t="n">
        <v>3</v>
      </c>
      <c r="AL1305" t="n">
        <v>1</v>
      </c>
      <c r="AM1305" t="n">
        <v>1</v>
      </c>
      <c r="AN1305" t="n">
        <v>0</v>
      </c>
      <c r="AO1305" t="n">
        <v>0</v>
      </c>
      <c r="AP1305" t="inlineStr">
        <is>
          <t>Yes</t>
        </is>
      </c>
      <c r="AQ1305" t="inlineStr">
        <is>
          <t>No</t>
        </is>
      </c>
      <c r="AR1305">
        <f>HYPERLINK("http://catalog.hathitrust.org/Record/000321090","HathiTrust Record")</f>
        <v/>
      </c>
      <c r="AS1305">
        <f>HYPERLINK("https://creighton-primo.hosted.exlibrisgroup.com/primo-explore/search?tab=default_tab&amp;search_scope=EVERYTHING&amp;vid=01CRU&amp;lang=en_US&amp;offset=0&amp;query=any,contains,991003847119702656","Catalog Record")</f>
        <v/>
      </c>
      <c r="AT1305">
        <f>HYPERLINK("http://www.worldcat.org/oclc/1633041","WorldCat Record")</f>
        <v/>
      </c>
      <c r="AU1305" t="inlineStr">
        <is>
          <t>2484603:eng</t>
        </is>
      </c>
      <c r="AV1305" t="inlineStr">
        <is>
          <t>1633041</t>
        </is>
      </c>
      <c r="AW1305" t="inlineStr">
        <is>
          <t>991003847119702656</t>
        </is>
      </c>
      <c r="AX1305" t="inlineStr">
        <is>
          <t>991003847119702656</t>
        </is>
      </c>
      <c r="AY1305" t="inlineStr">
        <is>
          <t>2255018710002656</t>
        </is>
      </c>
      <c r="AZ1305" t="inlineStr">
        <is>
          <t>BOOK</t>
        </is>
      </c>
      <c r="BC1305" t="inlineStr">
        <is>
          <t>32285002273711</t>
        </is>
      </c>
      <c r="BD1305" t="inlineStr">
        <is>
          <t>893535656</t>
        </is>
      </c>
    </row>
    <row r="1306">
      <c r="A1306" t="inlineStr">
        <is>
          <t>No</t>
        </is>
      </c>
      <c r="B1306" t="inlineStr">
        <is>
          <t>DS518 .S65</t>
        </is>
      </c>
      <c r="C1306" t="inlineStr">
        <is>
          <t>0                      DS 0518000S  65</t>
        </is>
      </c>
      <c r="D1306" t="inlineStr">
        <is>
          <t>The truth about China and Japan, by B. L. Putnam Weale [pseud.]</t>
        </is>
      </c>
      <c r="F1306" t="inlineStr">
        <is>
          <t>No</t>
        </is>
      </c>
      <c r="G1306" t="inlineStr">
        <is>
          <t>1</t>
        </is>
      </c>
      <c r="H1306" t="inlineStr">
        <is>
          <t>No</t>
        </is>
      </c>
      <c r="I1306" t="inlineStr">
        <is>
          <t>No</t>
        </is>
      </c>
      <c r="J1306" t="inlineStr">
        <is>
          <t>0</t>
        </is>
      </c>
      <c r="K1306" t="inlineStr">
        <is>
          <t>Putnam Weale, B. L. (Bertram Lenox), 1877-1930.</t>
        </is>
      </c>
      <c r="L1306" t="inlineStr">
        <is>
          <t>New York, Dodd, Mead and company, 1919.</t>
        </is>
      </c>
      <c r="M1306" t="inlineStr">
        <is>
          <t>1919</t>
        </is>
      </c>
      <c r="O1306" t="inlineStr">
        <is>
          <t>eng</t>
        </is>
      </c>
      <c r="P1306" t="inlineStr">
        <is>
          <t>___</t>
        </is>
      </c>
      <c r="R1306" t="inlineStr">
        <is>
          <t xml:space="preserve">DS </t>
        </is>
      </c>
      <c r="S1306" t="n">
        <v>3</v>
      </c>
      <c r="T1306" t="n">
        <v>3</v>
      </c>
      <c r="U1306" t="inlineStr">
        <is>
          <t>2001-02-20</t>
        </is>
      </c>
      <c r="V1306" t="inlineStr">
        <is>
          <t>2001-02-20</t>
        </is>
      </c>
      <c r="W1306" t="inlineStr">
        <is>
          <t>1990-10-09</t>
        </is>
      </c>
      <c r="X1306" t="inlineStr">
        <is>
          <t>1990-10-09</t>
        </is>
      </c>
      <c r="Y1306" t="n">
        <v>219</v>
      </c>
      <c r="Z1306" t="n">
        <v>196</v>
      </c>
      <c r="AA1306" t="n">
        <v>319</v>
      </c>
      <c r="AB1306" t="n">
        <v>3</v>
      </c>
      <c r="AC1306" t="n">
        <v>5</v>
      </c>
      <c r="AD1306" t="n">
        <v>10</v>
      </c>
      <c r="AE1306" t="n">
        <v>14</v>
      </c>
      <c r="AF1306" t="n">
        <v>1</v>
      </c>
      <c r="AG1306" t="n">
        <v>1</v>
      </c>
      <c r="AH1306" t="n">
        <v>3</v>
      </c>
      <c r="AI1306" t="n">
        <v>4</v>
      </c>
      <c r="AJ1306" t="n">
        <v>6</v>
      </c>
      <c r="AK1306" t="n">
        <v>6</v>
      </c>
      <c r="AL1306" t="n">
        <v>2</v>
      </c>
      <c r="AM1306" t="n">
        <v>3</v>
      </c>
      <c r="AN1306" t="n">
        <v>0</v>
      </c>
      <c r="AO1306" t="n">
        <v>2</v>
      </c>
      <c r="AP1306" t="inlineStr">
        <is>
          <t>Yes</t>
        </is>
      </c>
      <c r="AQ1306" t="inlineStr">
        <is>
          <t>No</t>
        </is>
      </c>
      <c r="AR1306">
        <f>HYPERLINK("http://catalog.hathitrust.org/Record/001255022","HathiTrust Record")</f>
        <v/>
      </c>
      <c r="AS1306">
        <f>HYPERLINK("https://creighton-primo.hosted.exlibrisgroup.com/primo-explore/search?tab=default_tab&amp;search_scope=EVERYTHING&amp;vid=01CRU&amp;lang=en_US&amp;offset=0&amp;query=any,contains,991002420989702656","Catalog Record")</f>
        <v/>
      </c>
      <c r="AT1306">
        <f>HYPERLINK("http://www.worldcat.org/oclc/342773","WorldCat Record")</f>
        <v/>
      </c>
      <c r="AU1306" t="inlineStr">
        <is>
          <t>1483412:eng</t>
        </is>
      </c>
      <c r="AV1306" t="inlineStr">
        <is>
          <t>342773</t>
        </is>
      </c>
      <c r="AW1306" t="inlineStr">
        <is>
          <t>991002420989702656</t>
        </is>
      </c>
      <c r="AX1306" t="inlineStr">
        <is>
          <t>991002420989702656</t>
        </is>
      </c>
      <c r="AY1306" t="inlineStr">
        <is>
          <t>2266271290002656</t>
        </is>
      </c>
      <c r="AZ1306" t="inlineStr">
        <is>
          <t>BOOK</t>
        </is>
      </c>
      <c r="BC1306" t="inlineStr">
        <is>
          <t>32285000337054</t>
        </is>
      </c>
      <c r="BD1306" t="inlineStr">
        <is>
          <t>893440134</t>
        </is>
      </c>
    </row>
    <row r="1307">
      <c r="A1307" t="inlineStr">
        <is>
          <t>No</t>
        </is>
      </c>
      <c r="B1307" t="inlineStr">
        <is>
          <t>DS518.1 .C23</t>
        </is>
      </c>
      <c r="C1307" t="inlineStr">
        <is>
          <t>0                      DS 0518100C  23</t>
        </is>
      </c>
      <c r="D1307" t="inlineStr">
        <is>
          <t>The history of post-war Southeast Asia / John F. Cady.</t>
        </is>
      </c>
      <c r="F1307" t="inlineStr">
        <is>
          <t>No</t>
        </is>
      </c>
      <c r="G1307" t="inlineStr">
        <is>
          <t>1</t>
        </is>
      </c>
      <c r="H1307" t="inlineStr">
        <is>
          <t>No</t>
        </is>
      </c>
      <c r="I1307" t="inlineStr">
        <is>
          <t>No</t>
        </is>
      </c>
      <c r="J1307" t="inlineStr">
        <is>
          <t>0</t>
        </is>
      </c>
      <c r="K1307" t="inlineStr">
        <is>
          <t>Cady, John F. (John Frank), 1901-1996.</t>
        </is>
      </c>
      <c r="L1307" t="inlineStr">
        <is>
          <t>Athens : Ohio University Press, c1974.</t>
        </is>
      </c>
      <c r="M1307" t="inlineStr">
        <is>
          <t>1974</t>
        </is>
      </c>
      <c r="O1307" t="inlineStr">
        <is>
          <t>eng</t>
        </is>
      </c>
      <c r="P1307" t="inlineStr">
        <is>
          <t>ohu</t>
        </is>
      </c>
      <c r="R1307" t="inlineStr">
        <is>
          <t xml:space="preserve">DS </t>
        </is>
      </c>
      <c r="S1307" t="n">
        <v>6</v>
      </c>
      <c r="T1307" t="n">
        <v>6</v>
      </c>
      <c r="U1307" t="inlineStr">
        <is>
          <t>2005-03-17</t>
        </is>
      </c>
      <c r="V1307" t="inlineStr">
        <is>
          <t>2005-03-17</t>
        </is>
      </c>
      <c r="W1307" t="inlineStr">
        <is>
          <t>1997-03-10</t>
        </is>
      </c>
      <c r="X1307" t="inlineStr">
        <is>
          <t>1997-03-10</t>
        </is>
      </c>
      <c r="Y1307" t="n">
        <v>633</v>
      </c>
      <c r="Z1307" t="n">
        <v>520</v>
      </c>
      <c r="AA1307" t="n">
        <v>526</v>
      </c>
      <c r="AB1307" t="n">
        <v>6</v>
      </c>
      <c r="AC1307" t="n">
        <v>6</v>
      </c>
      <c r="AD1307" t="n">
        <v>26</v>
      </c>
      <c r="AE1307" t="n">
        <v>26</v>
      </c>
      <c r="AF1307" t="n">
        <v>7</v>
      </c>
      <c r="AG1307" t="n">
        <v>7</v>
      </c>
      <c r="AH1307" t="n">
        <v>6</v>
      </c>
      <c r="AI1307" t="n">
        <v>6</v>
      </c>
      <c r="AJ1307" t="n">
        <v>14</v>
      </c>
      <c r="AK1307" t="n">
        <v>14</v>
      </c>
      <c r="AL1307" t="n">
        <v>5</v>
      </c>
      <c r="AM1307" t="n">
        <v>5</v>
      </c>
      <c r="AN1307" t="n">
        <v>0</v>
      </c>
      <c r="AO1307" t="n">
        <v>0</v>
      </c>
      <c r="AP1307" t="inlineStr">
        <is>
          <t>No</t>
        </is>
      </c>
      <c r="AQ1307" t="inlineStr">
        <is>
          <t>Yes</t>
        </is>
      </c>
      <c r="AR1307">
        <f>HYPERLINK("http://catalog.hathitrust.org/Record/000019362","HathiTrust Record")</f>
        <v/>
      </c>
      <c r="AS1307">
        <f>HYPERLINK("https://creighton-primo.hosted.exlibrisgroup.com/primo-explore/search?tab=default_tab&amp;search_scope=EVERYTHING&amp;vid=01CRU&amp;lang=en_US&amp;offset=0&amp;query=any,contains,991003624119702656","Catalog Record")</f>
        <v/>
      </c>
      <c r="AT1307">
        <f>HYPERLINK("http://www.worldcat.org/oclc/1214440","WorldCat Record")</f>
        <v/>
      </c>
      <c r="AU1307" t="inlineStr">
        <is>
          <t>762393901:eng</t>
        </is>
      </c>
      <c r="AV1307" t="inlineStr">
        <is>
          <t>1214440</t>
        </is>
      </c>
      <c r="AW1307" t="inlineStr">
        <is>
          <t>991003624119702656</t>
        </is>
      </c>
      <c r="AX1307" t="inlineStr">
        <is>
          <t>991003624119702656</t>
        </is>
      </c>
      <c r="AY1307" t="inlineStr">
        <is>
          <t>2265139820002656</t>
        </is>
      </c>
      <c r="AZ1307" t="inlineStr">
        <is>
          <t>BOOK</t>
        </is>
      </c>
      <c r="BB1307" t="inlineStr">
        <is>
          <t>9780821401606</t>
        </is>
      </c>
      <c r="BC1307" t="inlineStr">
        <is>
          <t>32285002458668</t>
        </is>
      </c>
      <c r="BD1307" t="inlineStr">
        <is>
          <t>893330582</t>
        </is>
      </c>
    </row>
    <row r="1308">
      <c r="A1308" t="inlineStr">
        <is>
          <t>No</t>
        </is>
      </c>
      <c r="B1308" t="inlineStr">
        <is>
          <t>DS518.1 .F47</t>
        </is>
      </c>
      <c r="C1308" t="inlineStr">
        <is>
          <t>0                      DS 0518100F  47</t>
        </is>
      </c>
      <c r="D1308" t="inlineStr">
        <is>
          <t>The diplomacy of Southeast Asia: 1945-1958.</t>
        </is>
      </c>
      <c r="F1308" t="inlineStr">
        <is>
          <t>No</t>
        </is>
      </c>
      <c r="G1308" t="inlineStr">
        <is>
          <t>1</t>
        </is>
      </c>
      <c r="H1308" t="inlineStr">
        <is>
          <t>No</t>
        </is>
      </c>
      <c r="I1308" t="inlineStr">
        <is>
          <t>No</t>
        </is>
      </c>
      <c r="J1308" t="inlineStr">
        <is>
          <t>0</t>
        </is>
      </c>
      <c r="K1308" t="inlineStr">
        <is>
          <t>Fifield, Russell H. (Russell Hunt), 1914-</t>
        </is>
      </c>
      <c r="L1308" t="inlineStr">
        <is>
          <t>New York, Harper [1958]</t>
        </is>
      </c>
      <c r="M1308" t="inlineStr">
        <is>
          <t>1958</t>
        </is>
      </c>
      <c r="O1308" t="inlineStr">
        <is>
          <t>eng</t>
        </is>
      </c>
      <c r="P1308" t="inlineStr">
        <is>
          <t>nyu</t>
        </is>
      </c>
      <c r="R1308" t="inlineStr">
        <is>
          <t xml:space="preserve">DS </t>
        </is>
      </c>
      <c r="S1308" t="n">
        <v>1</v>
      </c>
      <c r="T1308" t="n">
        <v>1</v>
      </c>
      <c r="U1308" t="inlineStr">
        <is>
          <t>2005-03-31</t>
        </is>
      </c>
      <c r="V1308" t="inlineStr">
        <is>
          <t>2005-03-31</t>
        </is>
      </c>
      <c r="W1308" t="inlineStr">
        <is>
          <t>1997-03-10</t>
        </is>
      </c>
      <c r="X1308" t="inlineStr">
        <is>
          <t>1997-03-10</t>
        </is>
      </c>
      <c r="Y1308" t="n">
        <v>625</v>
      </c>
      <c r="Z1308" t="n">
        <v>520</v>
      </c>
      <c r="AA1308" t="n">
        <v>650</v>
      </c>
      <c r="AB1308" t="n">
        <v>5</v>
      </c>
      <c r="AC1308" t="n">
        <v>7</v>
      </c>
      <c r="AD1308" t="n">
        <v>25</v>
      </c>
      <c r="AE1308" t="n">
        <v>33</v>
      </c>
      <c r="AF1308" t="n">
        <v>12</v>
      </c>
      <c r="AG1308" t="n">
        <v>14</v>
      </c>
      <c r="AH1308" t="n">
        <v>4</v>
      </c>
      <c r="AI1308" t="n">
        <v>7</v>
      </c>
      <c r="AJ1308" t="n">
        <v>11</v>
      </c>
      <c r="AK1308" t="n">
        <v>14</v>
      </c>
      <c r="AL1308" t="n">
        <v>4</v>
      </c>
      <c r="AM1308" t="n">
        <v>6</v>
      </c>
      <c r="AN1308" t="n">
        <v>0</v>
      </c>
      <c r="AO1308" t="n">
        <v>0</v>
      </c>
      <c r="AP1308" t="inlineStr">
        <is>
          <t>No</t>
        </is>
      </c>
      <c r="AQ1308" t="inlineStr">
        <is>
          <t>Yes</t>
        </is>
      </c>
      <c r="AR1308">
        <f>HYPERLINK("http://catalog.hathitrust.org/Record/001255050","HathiTrust Record")</f>
        <v/>
      </c>
      <c r="AS1308">
        <f>HYPERLINK("https://creighton-primo.hosted.exlibrisgroup.com/primo-explore/search?tab=default_tab&amp;search_scope=EVERYTHING&amp;vid=01CRU&amp;lang=en_US&amp;offset=0&amp;query=any,contains,991003747549702656","Catalog Record")</f>
        <v/>
      </c>
      <c r="AT1308">
        <f>HYPERLINK("http://www.worldcat.org/oclc/1419969","WorldCat Record")</f>
        <v/>
      </c>
      <c r="AU1308" t="inlineStr">
        <is>
          <t>1501790:eng</t>
        </is>
      </c>
      <c r="AV1308" t="inlineStr">
        <is>
          <t>1419969</t>
        </is>
      </c>
      <c r="AW1308" t="inlineStr">
        <is>
          <t>991003747549702656</t>
        </is>
      </c>
      <c r="AX1308" t="inlineStr">
        <is>
          <t>991003747549702656</t>
        </is>
      </c>
      <c r="AY1308" t="inlineStr">
        <is>
          <t>2260696910002656</t>
        </is>
      </c>
      <c r="AZ1308" t="inlineStr">
        <is>
          <t>BOOK</t>
        </is>
      </c>
      <c r="BC1308" t="inlineStr">
        <is>
          <t>32285002458684</t>
        </is>
      </c>
      <c r="BD1308" t="inlineStr">
        <is>
          <t>893693106</t>
        </is>
      </c>
    </row>
    <row r="1309">
      <c r="A1309" t="inlineStr">
        <is>
          <t>No</t>
        </is>
      </c>
      <c r="B1309" t="inlineStr">
        <is>
          <t>DS518.1 .H6</t>
        </is>
      </c>
      <c r="C1309" t="inlineStr">
        <is>
          <t>0                      DS 0518100H  6</t>
        </is>
      </c>
      <c r="D1309" t="inlineStr">
        <is>
          <t>Asian nationalism and the West : a symposium based on documents and reports of the eleventh conference, Institute of Pacific Relations.</t>
        </is>
      </c>
      <c r="F1309" t="inlineStr">
        <is>
          <t>No</t>
        </is>
      </c>
      <c r="G1309" t="inlineStr">
        <is>
          <t>1</t>
        </is>
      </c>
      <c r="H1309" t="inlineStr">
        <is>
          <t>No</t>
        </is>
      </c>
      <c r="I1309" t="inlineStr">
        <is>
          <t>No</t>
        </is>
      </c>
      <c r="J1309" t="inlineStr">
        <is>
          <t>0</t>
        </is>
      </c>
      <c r="K1309" t="inlineStr">
        <is>
          <t>Holland, W. L. (William Lancelot), 1907- 2008 editor.</t>
        </is>
      </c>
      <c r="L1309" t="inlineStr">
        <is>
          <t>New York, Macmillan, 1953.</t>
        </is>
      </c>
      <c r="M1309" t="inlineStr">
        <is>
          <t>1953</t>
        </is>
      </c>
      <c r="O1309" t="inlineStr">
        <is>
          <t>eng</t>
        </is>
      </c>
      <c r="P1309" t="inlineStr">
        <is>
          <t>nyu</t>
        </is>
      </c>
      <c r="R1309" t="inlineStr">
        <is>
          <t xml:space="preserve">DS </t>
        </is>
      </c>
      <c r="S1309" t="n">
        <v>2</v>
      </c>
      <c r="T1309" t="n">
        <v>2</v>
      </c>
      <c r="U1309" t="inlineStr">
        <is>
          <t>1997-11-06</t>
        </is>
      </c>
      <c r="V1309" t="inlineStr">
        <is>
          <t>1997-11-06</t>
        </is>
      </c>
      <c r="W1309" t="inlineStr">
        <is>
          <t>1997-03-12</t>
        </is>
      </c>
      <c r="X1309" t="inlineStr">
        <is>
          <t>1997-03-12</t>
        </is>
      </c>
      <c r="Y1309" t="n">
        <v>385</v>
      </c>
      <c r="Z1309" t="n">
        <v>324</v>
      </c>
      <c r="AA1309" t="n">
        <v>419</v>
      </c>
      <c r="AB1309" t="n">
        <v>3</v>
      </c>
      <c r="AC1309" t="n">
        <v>5</v>
      </c>
      <c r="AD1309" t="n">
        <v>15</v>
      </c>
      <c r="AE1309" t="n">
        <v>21</v>
      </c>
      <c r="AF1309" t="n">
        <v>7</v>
      </c>
      <c r="AG1309" t="n">
        <v>10</v>
      </c>
      <c r="AH1309" t="n">
        <v>2</v>
      </c>
      <c r="AI1309" t="n">
        <v>3</v>
      </c>
      <c r="AJ1309" t="n">
        <v>6</v>
      </c>
      <c r="AK1309" t="n">
        <v>10</v>
      </c>
      <c r="AL1309" t="n">
        <v>2</v>
      </c>
      <c r="AM1309" t="n">
        <v>3</v>
      </c>
      <c r="AN1309" t="n">
        <v>0</v>
      </c>
      <c r="AO1309" t="n">
        <v>0</v>
      </c>
      <c r="AP1309" t="inlineStr">
        <is>
          <t>No</t>
        </is>
      </c>
      <c r="AQ1309" t="inlineStr">
        <is>
          <t>No</t>
        </is>
      </c>
      <c r="AR1309">
        <f>HYPERLINK("http://catalog.hathitrust.org/Record/001255055","HathiTrust Record")</f>
        <v/>
      </c>
      <c r="AS1309">
        <f>HYPERLINK("https://creighton-primo.hosted.exlibrisgroup.com/primo-explore/search?tab=default_tab&amp;search_scope=EVERYTHING&amp;vid=01CRU&amp;lang=en_US&amp;offset=0&amp;query=any,contains,991003518439702656","Catalog Record")</f>
        <v/>
      </c>
      <c r="AT1309">
        <f>HYPERLINK("http://www.worldcat.org/oclc/1077134","WorldCat Record")</f>
        <v/>
      </c>
      <c r="AU1309" t="inlineStr">
        <is>
          <t>1749906:eng</t>
        </is>
      </c>
      <c r="AV1309" t="inlineStr">
        <is>
          <t>1077134</t>
        </is>
      </c>
      <c r="AW1309" t="inlineStr">
        <is>
          <t>991003518439702656</t>
        </is>
      </c>
      <c r="AX1309" t="inlineStr">
        <is>
          <t>991003518439702656</t>
        </is>
      </c>
      <c r="AY1309" t="inlineStr">
        <is>
          <t>2259417020002656</t>
        </is>
      </c>
      <c r="AZ1309" t="inlineStr">
        <is>
          <t>BOOK</t>
        </is>
      </c>
      <c r="BC1309" t="inlineStr">
        <is>
          <t>32285002458718</t>
        </is>
      </c>
      <c r="BD1309" t="inlineStr">
        <is>
          <t>893705308</t>
        </is>
      </c>
    </row>
    <row r="1310">
      <c r="A1310" t="inlineStr">
        <is>
          <t>No</t>
        </is>
      </c>
      <c r="B1310" t="inlineStr">
        <is>
          <t>DS518.1 .P44 1988</t>
        </is>
      </c>
      <c r="C1310" t="inlineStr">
        <is>
          <t>0                      DS 0518100P  44          1988</t>
        </is>
      </c>
      <c r="D1310" t="inlineStr">
        <is>
          <t>Peace, politics &amp; economics in Asia : the challenge to cooperate / edited by Robert A. Scalapino and Masataka Kosaka.</t>
        </is>
      </c>
      <c r="F1310" t="inlineStr">
        <is>
          <t>No</t>
        </is>
      </c>
      <c r="G1310" t="inlineStr">
        <is>
          <t>1</t>
        </is>
      </c>
      <c r="H1310" t="inlineStr">
        <is>
          <t>No</t>
        </is>
      </c>
      <c r="I1310" t="inlineStr">
        <is>
          <t>No</t>
        </is>
      </c>
      <c r="J1310" t="inlineStr">
        <is>
          <t>0</t>
        </is>
      </c>
      <c r="L1310" t="inlineStr">
        <is>
          <t>Washington : Pergamon-Brassey's International Defense Publishers, 1988.</t>
        </is>
      </c>
      <c r="M1310" t="inlineStr">
        <is>
          <t>1988</t>
        </is>
      </c>
      <c r="N1310" t="inlineStr">
        <is>
          <t>1st ed.</t>
        </is>
      </c>
      <c r="O1310" t="inlineStr">
        <is>
          <t>eng</t>
        </is>
      </c>
      <c r="P1310" t="inlineStr">
        <is>
          <t>dcu</t>
        </is>
      </c>
      <c r="R1310" t="inlineStr">
        <is>
          <t xml:space="preserve">DS </t>
        </is>
      </c>
      <c r="S1310" t="n">
        <v>3</v>
      </c>
      <c r="T1310" t="n">
        <v>3</v>
      </c>
      <c r="U1310" t="inlineStr">
        <is>
          <t>1995-09-20</t>
        </is>
      </c>
      <c r="V1310" t="inlineStr">
        <is>
          <t>1995-09-20</t>
        </is>
      </c>
      <c r="W1310" t="inlineStr">
        <is>
          <t>1989-10-20</t>
        </is>
      </c>
      <c r="X1310" t="inlineStr">
        <is>
          <t>1989-10-20</t>
        </is>
      </c>
      <c r="Y1310" t="n">
        <v>301</v>
      </c>
      <c r="Z1310" t="n">
        <v>225</v>
      </c>
      <c r="AA1310" t="n">
        <v>232</v>
      </c>
      <c r="AB1310" t="n">
        <v>3</v>
      </c>
      <c r="AC1310" t="n">
        <v>3</v>
      </c>
      <c r="AD1310" t="n">
        <v>10</v>
      </c>
      <c r="AE1310" t="n">
        <v>10</v>
      </c>
      <c r="AF1310" t="n">
        <v>1</v>
      </c>
      <c r="AG1310" t="n">
        <v>1</v>
      </c>
      <c r="AH1310" t="n">
        <v>4</v>
      </c>
      <c r="AI1310" t="n">
        <v>4</v>
      </c>
      <c r="AJ1310" t="n">
        <v>4</v>
      </c>
      <c r="AK1310" t="n">
        <v>4</v>
      </c>
      <c r="AL1310" t="n">
        <v>2</v>
      </c>
      <c r="AM1310" t="n">
        <v>2</v>
      </c>
      <c r="AN1310" t="n">
        <v>0</v>
      </c>
      <c r="AO1310" t="n">
        <v>0</v>
      </c>
      <c r="AP1310" t="inlineStr">
        <is>
          <t>No</t>
        </is>
      </c>
      <c r="AQ1310" t="inlineStr">
        <is>
          <t>Yes</t>
        </is>
      </c>
      <c r="AR1310">
        <f>HYPERLINK("http://catalog.hathitrust.org/Record/000929937","HathiTrust Record")</f>
        <v/>
      </c>
      <c r="AS1310">
        <f>HYPERLINK("https://creighton-primo.hosted.exlibrisgroup.com/primo-explore/search?tab=default_tab&amp;search_scope=EVERYTHING&amp;vid=01CRU&amp;lang=en_US&amp;offset=0&amp;query=any,contains,991001142619702656","Catalog Record")</f>
        <v/>
      </c>
      <c r="AT1310">
        <f>HYPERLINK("http://www.worldcat.org/oclc/16754124","WorldCat Record")</f>
        <v/>
      </c>
      <c r="AU1310" t="inlineStr">
        <is>
          <t>836722371:eng</t>
        </is>
      </c>
      <c r="AV1310" t="inlineStr">
        <is>
          <t>16754124</t>
        </is>
      </c>
      <c r="AW1310" t="inlineStr">
        <is>
          <t>991001142619702656</t>
        </is>
      </c>
      <c r="AX1310" t="inlineStr">
        <is>
          <t>991001142619702656</t>
        </is>
      </c>
      <c r="AY1310" t="inlineStr">
        <is>
          <t>2263751360002656</t>
        </is>
      </c>
      <c r="AZ1310" t="inlineStr">
        <is>
          <t>BOOK</t>
        </is>
      </c>
      <c r="BB1310" t="inlineStr">
        <is>
          <t>9780080359618</t>
        </is>
      </c>
      <c r="BC1310" t="inlineStr">
        <is>
          <t>32285000001270</t>
        </is>
      </c>
      <c r="BD1310" t="inlineStr">
        <is>
          <t>893413992</t>
        </is>
      </c>
    </row>
    <row r="1311">
      <c r="A1311" t="inlineStr">
        <is>
          <t>No</t>
        </is>
      </c>
      <c r="B1311" t="inlineStr">
        <is>
          <t>DS518.1 .S476 1984</t>
        </is>
      </c>
      <c r="C1311" t="inlineStr">
        <is>
          <t>0                      DS 0518100S  476         1984</t>
        </is>
      </c>
      <c r="D1311" t="inlineStr">
        <is>
          <t>Japan and the Asian Pacific region : profile of change / Shibusawa Masahide.</t>
        </is>
      </c>
      <c r="F1311" t="inlineStr">
        <is>
          <t>No</t>
        </is>
      </c>
      <c r="G1311" t="inlineStr">
        <is>
          <t>1</t>
        </is>
      </c>
      <c r="H1311" t="inlineStr">
        <is>
          <t>No</t>
        </is>
      </c>
      <c r="I1311" t="inlineStr">
        <is>
          <t>No</t>
        </is>
      </c>
      <c r="J1311" t="inlineStr">
        <is>
          <t>0</t>
        </is>
      </c>
      <c r="K1311" t="inlineStr">
        <is>
          <t>Shibusawa, Masahide, 1925-</t>
        </is>
      </c>
      <c r="L1311" t="inlineStr">
        <is>
          <t>New York : St Martin's Press, 1984.</t>
        </is>
      </c>
      <c r="M1311" t="inlineStr">
        <is>
          <t>1984</t>
        </is>
      </c>
      <c r="O1311" t="inlineStr">
        <is>
          <t>eng</t>
        </is>
      </c>
      <c r="P1311" t="inlineStr">
        <is>
          <t>nyu</t>
        </is>
      </c>
      <c r="R1311" t="inlineStr">
        <is>
          <t xml:space="preserve">DS </t>
        </is>
      </c>
      <c r="S1311" t="n">
        <v>1</v>
      </c>
      <c r="T1311" t="n">
        <v>1</v>
      </c>
      <c r="U1311" t="inlineStr">
        <is>
          <t>1993-02-07</t>
        </is>
      </c>
      <c r="V1311" t="inlineStr">
        <is>
          <t>1993-02-07</t>
        </is>
      </c>
      <c r="W1311" t="inlineStr">
        <is>
          <t>1990-10-09</t>
        </is>
      </c>
      <c r="X1311" t="inlineStr">
        <is>
          <t>1990-10-09</t>
        </is>
      </c>
      <c r="Y1311" t="n">
        <v>321</v>
      </c>
      <c r="Z1311" t="n">
        <v>289</v>
      </c>
      <c r="AA1311" t="n">
        <v>367</v>
      </c>
      <c r="AB1311" t="n">
        <v>2</v>
      </c>
      <c r="AC1311" t="n">
        <v>4</v>
      </c>
      <c r="AD1311" t="n">
        <v>11</v>
      </c>
      <c r="AE1311" t="n">
        <v>13</v>
      </c>
      <c r="AF1311" t="n">
        <v>3</v>
      </c>
      <c r="AG1311" t="n">
        <v>3</v>
      </c>
      <c r="AH1311" t="n">
        <v>4</v>
      </c>
      <c r="AI1311" t="n">
        <v>4</v>
      </c>
      <c r="AJ1311" t="n">
        <v>7</v>
      </c>
      <c r="AK1311" t="n">
        <v>7</v>
      </c>
      <c r="AL1311" t="n">
        <v>1</v>
      </c>
      <c r="AM1311" t="n">
        <v>3</v>
      </c>
      <c r="AN1311" t="n">
        <v>0</v>
      </c>
      <c r="AO1311" t="n">
        <v>0</v>
      </c>
      <c r="AP1311" t="inlineStr">
        <is>
          <t>No</t>
        </is>
      </c>
      <c r="AQ1311" t="inlineStr">
        <is>
          <t>No</t>
        </is>
      </c>
      <c r="AS1311">
        <f>HYPERLINK("https://creighton-primo.hosted.exlibrisgroup.com/primo-explore/search?tab=default_tab&amp;search_scope=EVERYTHING&amp;vid=01CRU&amp;lang=en_US&amp;offset=0&amp;query=any,contains,991000478879702656","Catalog Record")</f>
        <v/>
      </c>
      <c r="AT1311">
        <f>HYPERLINK("http://www.worldcat.org/oclc/11044575","WorldCat Record")</f>
        <v/>
      </c>
      <c r="AU1311" t="inlineStr">
        <is>
          <t>3739489:eng</t>
        </is>
      </c>
      <c r="AV1311" t="inlineStr">
        <is>
          <t>11044575</t>
        </is>
      </c>
      <c r="AW1311" t="inlineStr">
        <is>
          <t>991000478879702656</t>
        </is>
      </c>
      <c r="AX1311" t="inlineStr">
        <is>
          <t>991000478879702656</t>
        </is>
      </c>
      <c r="AY1311" t="inlineStr">
        <is>
          <t>2261147000002656</t>
        </is>
      </c>
      <c r="AZ1311" t="inlineStr">
        <is>
          <t>BOOK</t>
        </is>
      </c>
      <c r="BB1311" t="inlineStr">
        <is>
          <t>9780312440497</t>
        </is>
      </c>
      <c r="BC1311" t="inlineStr">
        <is>
          <t>32285000337096</t>
        </is>
      </c>
      <c r="BD1311" t="inlineStr">
        <is>
          <t>893243296</t>
        </is>
      </c>
    </row>
    <row r="1312">
      <c r="A1312" t="inlineStr">
        <is>
          <t>No</t>
        </is>
      </c>
      <c r="B1312" t="inlineStr">
        <is>
          <t>DS518.1 .S68 1995</t>
        </is>
      </c>
      <c r="C1312" t="inlineStr">
        <is>
          <t>0                      DS 0518100S  68          1995</t>
        </is>
      </c>
      <c r="D1312" t="inlineStr">
        <is>
          <t>The strategic quadrangle : Russia, China, Japan, and the United States in East Asia / Michael Mandelbaum, editor.</t>
        </is>
      </c>
      <c r="F1312" t="inlineStr">
        <is>
          <t>No</t>
        </is>
      </c>
      <c r="G1312" t="inlineStr">
        <is>
          <t>1</t>
        </is>
      </c>
      <c r="H1312" t="inlineStr">
        <is>
          <t>No</t>
        </is>
      </c>
      <c r="I1312" t="inlineStr">
        <is>
          <t>No</t>
        </is>
      </c>
      <c r="J1312" t="inlineStr">
        <is>
          <t>0</t>
        </is>
      </c>
      <c r="L1312" t="inlineStr">
        <is>
          <t>New York : Council on Foreign Relations Press, c1995.</t>
        </is>
      </c>
      <c r="M1312" t="inlineStr">
        <is>
          <t>1995</t>
        </is>
      </c>
      <c r="O1312" t="inlineStr">
        <is>
          <t>eng</t>
        </is>
      </c>
      <c r="P1312" t="inlineStr">
        <is>
          <t>nyu</t>
        </is>
      </c>
      <c r="R1312" t="inlineStr">
        <is>
          <t xml:space="preserve">DS </t>
        </is>
      </c>
      <c r="S1312" t="n">
        <v>1</v>
      </c>
      <c r="T1312" t="n">
        <v>1</v>
      </c>
      <c r="U1312" t="inlineStr">
        <is>
          <t>1997-03-12</t>
        </is>
      </c>
      <c r="V1312" t="inlineStr">
        <is>
          <t>1997-03-12</t>
        </is>
      </c>
      <c r="W1312" t="inlineStr">
        <is>
          <t>1996-06-20</t>
        </is>
      </c>
      <c r="X1312" t="inlineStr">
        <is>
          <t>1996-06-20</t>
        </is>
      </c>
      <c r="Y1312" t="n">
        <v>483</v>
      </c>
      <c r="Z1312" t="n">
        <v>371</v>
      </c>
      <c r="AA1312" t="n">
        <v>391</v>
      </c>
      <c r="AB1312" t="n">
        <v>5</v>
      </c>
      <c r="AC1312" t="n">
        <v>5</v>
      </c>
      <c r="AD1312" t="n">
        <v>18</v>
      </c>
      <c r="AE1312" t="n">
        <v>20</v>
      </c>
      <c r="AF1312" t="n">
        <v>4</v>
      </c>
      <c r="AG1312" t="n">
        <v>4</v>
      </c>
      <c r="AH1312" t="n">
        <v>4</v>
      </c>
      <c r="AI1312" t="n">
        <v>4</v>
      </c>
      <c r="AJ1312" t="n">
        <v>10</v>
      </c>
      <c r="AK1312" t="n">
        <v>10</v>
      </c>
      <c r="AL1312" t="n">
        <v>4</v>
      </c>
      <c r="AM1312" t="n">
        <v>4</v>
      </c>
      <c r="AN1312" t="n">
        <v>0</v>
      </c>
      <c r="AO1312" t="n">
        <v>2</v>
      </c>
      <c r="AP1312" t="inlineStr">
        <is>
          <t>No</t>
        </is>
      </c>
      <c r="AQ1312" t="inlineStr">
        <is>
          <t>Yes</t>
        </is>
      </c>
      <c r="AR1312">
        <f>HYPERLINK("http://catalog.hathitrust.org/Record/002983901","HathiTrust Record")</f>
        <v/>
      </c>
      <c r="AS1312">
        <f>HYPERLINK("https://creighton-primo.hosted.exlibrisgroup.com/primo-explore/search?tab=default_tab&amp;search_scope=EVERYTHING&amp;vid=01CRU&amp;lang=en_US&amp;offset=0&amp;query=any,contains,991002415579702656","Catalog Record")</f>
        <v/>
      </c>
      <c r="AT1312">
        <f>HYPERLINK("http://www.worldcat.org/oclc/31434830","WorldCat Record")</f>
        <v/>
      </c>
      <c r="AU1312" t="inlineStr">
        <is>
          <t>889949477:eng</t>
        </is>
      </c>
      <c r="AV1312" t="inlineStr">
        <is>
          <t>31434830</t>
        </is>
      </c>
      <c r="AW1312" t="inlineStr">
        <is>
          <t>991002415579702656</t>
        </is>
      </c>
      <c r="AX1312" t="inlineStr">
        <is>
          <t>991002415579702656</t>
        </is>
      </c>
      <c r="AY1312" t="inlineStr">
        <is>
          <t>2262992730002656</t>
        </is>
      </c>
      <c r="AZ1312" t="inlineStr">
        <is>
          <t>BOOK</t>
        </is>
      </c>
      <c r="BB1312" t="inlineStr">
        <is>
          <t>9780876091685</t>
        </is>
      </c>
      <c r="BC1312" t="inlineStr">
        <is>
          <t>32285002171147</t>
        </is>
      </c>
      <c r="BD1312" t="inlineStr">
        <is>
          <t>893433852</t>
        </is>
      </c>
    </row>
    <row r="1313">
      <c r="A1313" t="inlineStr">
        <is>
          <t>No</t>
        </is>
      </c>
      <c r="B1313" t="inlineStr">
        <is>
          <t>DS518.45 .B49 2006</t>
        </is>
      </c>
      <c r="C1313" t="inlineStr">
        <is>
          <t>0                      DS 0518450B  49          2006</t>
        </is>
      </c>
      <c r="D1313" t="inlineStr">
        <is>
          <t>Beyond Japan : the dynamics of East Asian regionalism / edited by Peter J. Katzenstein and Takashi Shiraishi.</t>
        </is>
      </c>
      <c r="F1313" t="inlineStr">
        <is>
          <t>No</t>
        </is>
      </c>
      <c r="G1313" t="inlineStr">
        <is>
          <t>1</t>
        </is>
      </c>
      <c r="H1313" t="inlineStr">
        <is>
          <t>No</t>
        </is>
      </c>
      <c r="I1313" t="inlineStr">
        <is>
          <t>No</t>
        </is>
      </c>
      <c r="J1313" t="inlineStr">
        <is>
          <t>0</t>
        </is>
      </c>
      <c r="L1313" t="inlineStr">
        <is>
          <t>Ithaca : Cornell University Press, 2006.</t>
        </is>
      </c>
      <c r="M1313" t="inlineStr">
        <is>
          <t>2006</t>
        </is>
      </c>
      <c r="O1313" t="inlineStr">
        <is>
          <t>eng</t>
        </is>
      </c>
      <c r="P1313" t="inlineStr">
        <is>
          <t>nyu</t>
        </is>
      </c>
      <c r="Q1313" t="inlineStr">
        <is>
          <t>Cornell studies in political economy</t>
        </is>
      </c>
      <c r="R1313" t="inlineStr">
        <is>
          <t xml:space="preserve">DS </t>
        </is>
      </c>
      <c r="S1313" t="n">
        <v>1</v>
      </c>
      <c r="T1313" t="n">
        <v>1</v>
      </c>
      <c r="U1313" t="inlineStr">
        <is>
          <t>2007-12-18</t>
        </is>
      </c>
      <c r="V1313" t="inlineStr">
        <is>
          <t>2007-12-18</t>
        </is>
      </c>
      <c r="W1313" t="inlineStr">
        <is>
          <t>2007-12-18</t>
        </is>
      </c>
      <c r="X1313" t="inlineStr">
        <is>
          <t>2007-12-18</t>
        </is>
      </c>
      <c r="Y1313" t="n">
        <v>343</v>
      </c>
      <c r="Z1313" t="n">
        <v>220</v>
      </c>
      <c r="AA1313" t="n">
        <v>426</v>
      </c>
      <c r="AB1313" t="n">
        <v>2</v>
      </c>
      <c r="AC1313" t="n">
        <v>3</v>
      </c>
      <c r="AD1313" t="n">
        <v>9</v>
      </c>
      <c r="AE1313" t="n">
        <v>20</v>
      </c>
      <c r="AF1313" t="n">
        <v>2</v>
      </c>
      <c r="AG1313" t="n">
        <v>8</v>
      </c>
      <c r="AH1313" t="n">
        <v>3</v>
      </c>
      <c r="AI1313" t="n">
        <v>5</v>
      </c>
      <c r="AJ1313" t="n">
        <v>7</v>
      </c>
      <c r="AK1313" t="n">
        <v>11</v>
      </c>
      <c r="AL1313" t="n">
        <v>1</v>
      </c>
      <c r="AM1313" t="n">
        <v>2</v>
      </c>
      <c r="AN1313" t="n">
        <v>0</v>
      </c>
      <c r="AO1313" t="n">
        <v>0</v>
      </c>
      <c r="AP1313" t="inlineStr">
        <is>
          <t>No</t>
        </is>
      </c>
      <c r="AQ1313" t="inlineStr">
        <is>
          <t>Yes</t>
        </is>
      </c>
      <c r="AR1313">
        <f>HYPERLINK("http://catalog.hathitrust.org/Record/005136757","HathiTrust Record")</f>
        <v/>
      </c>
      <c r="AS1313">
        <f>HYPERLINK("https://creighton-primo.hosted.exlibrisgroup.com/primo-explore/search?tab=default_tab&amp;search_scope=EVERYTHING&amp;vid=01CRU&amp;lang=en_US&amp;offset=0&amp;query=any,contains,991005157769702656","Catalog Record")</f>
        <v/>
      </c>
      <c r="AT1313">
        <f>HYPERLINK("http://www.worldcat.org/oclc/61478715","WorldCat Record")</f>
        <v/>
      </c>
      <c r="AU1313" t="inlineStr">
        <is>
          <t>892144509:eng</t>
        </is>
      </c>
      <c r="AV1313" t="inlineStr">
        <is>
          <t>61478715</t>
        </is>
      </c>
      <c r="AW1313" t="inlineStr">
        <is>
          <t>991005157769702656</t>
        </is>
      </c>
      <c r="AX1313" t="inlineStr">
        <is>
          <t>991005157769702656</t>
        </is>
      </c>
      <c r="AY1313" t="inlineStr">
        <is>
          <t>2271277120002656</t>
        </is>
      </c>
      <c r="AZ1313" t="inlineStr">
        <is>
          <t>BOOK</t>
        </is>
      </c>
      <c r="BB1313" t="inlineStr">
        <is>
          <t>9780801444005</t>
        </is>
      </c>
      <c r="BC1313" t="inlineStr">
        <is>
          <t>32285005373955</t>
        </is>
      </c>
      <c r="BD1313" t="inlineStr">
        <is>
          <t>893795707</t>
        </is>
      </c>
    </row>
    <row r="1314">
      <c r="A1314" t="inlineStr">
        <is>
          <t>No</t>
        </is>
      </c>
      <c r="B1314" t="inlineStr">
        <is>
          <t>DS518.8 .A69 2006</t>
        </is>
      </c>
      <c r="C1314" t="inlineStr">
        <is>
          <t>0                      DS 0518800A  69          2006</t>
        </is>
      </c>
      <c r="D1314" t="inlineStr">
        <is>
          <t>Chasing the sun : rethinking East Asian policy / Morton Abramowitz and Stephen Bosworth.</t>
        </is>
      </c>
      <c r="F1314" t="inlineStr">
        <is>
          <t>No</t>
        </is>
      </c>
      <c r="G1314" t="inlineStr">
        <is>
          <t>1</t>
        </is>
      </c>
      <c r="H1314" t="inlineStr">
        <is>
          <t>No</t>
        </is>
      </c>
      <c r="I1314" t="inlineStr">
        <is>
          <t>No</t>
        </is>
      </c>
      <c r="J1314" t="inlineStr">
        <is>
          <t>0</t>
        </is>
      </c>
      <c r="K1314" t="inlineStr">
        <is>
          <t>Abramowitz, Morton, 1933-</t>
        </is>
      </c>
      <c r="L1314" t="inlineStr">
        <is>
          <t>New York : Century Foundation, c2006.</t>
        </is>
      </c>
      <c r="M1314" t="inlineStr">
        <is>
          <t>2006</t>
        </is>
      </c>
      <c r="O1314" t="inlineStr">
        <is>
          <t>eng</t>
        </is>
      </c>
      <c r="P1314" t="inlineStr">
        <is>
          <t>nyu</t>
        </is>
      </c>
      <c r="R1314" t="inlineStr">
        <is>
          <t xml:space="preserve">DS </t>
        </is>
      </c>
      <c r="S1314" t="n">
        <v>1</v>
      </c>
      <c r="T1314" t="n">
        <v>1</v>
      </c>
      <c r="U1314" t="inlineStr">
        <is>
          <t>2006-11-09</t>
        </is>
      </c>
      <c r="V1314" t="inlineStr">
        <is>
          <t>2006-11-09</t>
        </is>
      </c>
      <c r="W1314" t="inlineStr">
        <is>
          <t>2006-11-09</t>
        </is>
      </c>
      <c r="X1314" t="inlineStr">
        <is>
          <t>2006-11-09</t>
        </is>
      </c>
      <c r="Y1314" t="n">
        <v>370</v>
      </c>
      <c r="Z1314" t="n">
        <v>319</v>
      </c>
      <c r="AA1314" t="n">
        <v>320</v>
      </c>
      <c r="AB1314" t="n">
        <v>2</v>
      </c>
      <c r="AC1314" t="n">
        <v>2</v>
      </c>
      <c r="AD1314" t="n">
        <v>9</v>
      </c>
      <c r="AE1314" t="n">
        <v>9</v>
      </c>
      <c r="AF1314" t="n">
        <v>3</v>
      </c>
      <c r="AG1314" t="n">
        <v>3</v>
      </c>
      <c r="AH1314" t="n">
        <v>2</v>
      </c>
      <c r="AI1314" t="n">
        <v>2</v>
      </c>
      <c r="AJ1314" t="n">
        <v>6</v>
      </c>
      <c r="AK1314" t="n">
        <v>6</v>
      </c>
      <c r="AL1314" t="n">
        <v>0</v>
      </c>
      <c r="AM1314" t="n">
        <v>0</v>
      </c>
      <c r="AN1314" t="n">
        <v>1</v>
      </c>
      <c r="AO1314" t="n">
        <v>1</v>
      </c>
      <c r="AP1314" t="inlineStr">
        <is>
          <t>No</t>
        </is>
      </c>
      <c r="AQ1314" t="inlineStr">
        <is>
          <t>Yes</t>
        </is>
      </c>
      <c r="AR1314">
        <f>HYPERLINK("http://catalog.hathitrust.org/Record/005229246","HathiTrust Record")</f>
        <v/>
      </c>
      <c r="AS1314">
        <f>HYPERLINK("https://creighton-primo.hosted.exlibrisgroup.com/primo-explore/search?tab=default_tab&amp;search_scope=EVERYTHING&amp;vid=01CRU&amp;lang=en_US&amp;offset=0&amp;query=any,contains,991004972339702656","Catalog Record")</f>
        <v/>
      </c>
      <c r="AT1314">
        <f>HYPERLINK("http://www.worldcat.org/oclc/65207043","WorldCat Record")</f>
        <v/>
      </c>
      <c r="AU1314" t="inlineStr">
        <is>
          <t>890683744:eng</t>
        </is>
      </c>
      <c r="AV1314" t="inlineStr">
        <is>
          <t>65207043</t>
        </is>
      </c>
      <c r="AW1314" t="inlineStr">
        <is>
          <t>991004972339702656</t>
        </is>
      </c>
      <c r="AX1314" t="inlineStr">
        <is>
          <t>991004972339702656</t>
        </is>
      </c>
      <c r="AY1314" t="inlineStr">
        <is>
          <t>2258908330002656</t>
        </is>
      </c>
      <c r="AZ1314" t="inlineStr">
        <is>
          <t>BOOK</t>
        </is>
      </c>
      <c r="BB1314" t="inlineStr">
        <is>
          <t>9780870785009</t>
        </is>
      </c>
      <c r="BC1314" t="inlineStr">
        <is>
          <t>32285005237648</t>
        </is>
      </c>
      <c r="BD1314" t="inlineStr">
        <is>
          <t>893260382</t>
        </is>
      </c>
    </row>
    <row r="1315">
      <c r="A1315" t="inlineStr">
        <is>
          <t>No</t>
        </is>
      </c>
      <c r="B1315" t="inlineStr">
        <is>
          <t>DS518.8 .B58 1982</t>
        </is>
      </c>
      <c r="C1315" t="inlineStr">
        <is>
          <t>0                      DS 0518800B  58          1982</t>
        </is>
      </c>
      <c r="D1315" t="inlineStr">
        <is>
          <t>Drawing the line : the origin of the American containment policy in East Asia / Robert M. Blum.</t>
        </is>
      </c>
      <c r="F1315" t="inlineStr">
        <is>
          <t>No</t>
        </is>
      </c>
      <c r="G1315" t="inlineStr">
        <is>
          <t>1</t>
        </is>
      </c>
      <c r="H1315" t="inlineStr">
        <is>
          <t>No</t>
        </is>
      </c>
      <c r="I1315" t="inlineStr">
        <is>
          <t>No</t>
        </is>
      </c>
      <c r="J1315" t="inlineStr">
        <is>
          <t>0</t>
        </is>
      </c>
      <c r="K1315" t="inlineStr">
        <is>
          <t>Blum, Robert M.</t>
        </is>
      </c>
      <c r="L1315" t="inlineStr">
        <is>
          <t>New York : Norton, c1982.</t>
        </is>
      </c>
      <c r="M1315" t="inlineStr">
        <is>
          <t>1982</t>
        </is>
      </c>
      <c r="O1315" t="inlineStr">
        <is>
          <t>eng</t>
        </is>
      </c>
      <c r="P1315" t="inlineStr">
        <is>
          <t>nyu</t>
        </is>
      </c>
      <c r="R1315" t="inlineStr">
        <is>
          <t xml:space="preserve">DS </t>
        </is>
      </c>
      <c r="S1315" t="n">
        <v>2</v>
      </c>
      <c r="T1315" t="n">
        <v>2</v>
      </c>
      <c r="U1315" t="inlineStr">
        <is>
          <t>1998-08-11</t>
        </is>
      </c>
      <c r="V1315" t="inlineStr">
        <is>
          <t>1998-08-11</t>
        </is>
      </c>
      <c r="W1315" t="inlineStr">
        <is>
          <t>1990-10-09</t>
        </is>
      </c>
      <c r="X1315" t="inlineStr">
        <is>
          <t>1990-10-09</t>
        </is>
      </c>
      <c r="Y1315" t="n">
        <v>564</v>
      </c>
      <c r="Z1315" t="n">
        <v>459</v>
      </c>
      <c r="AA1315" t="n">
        <v>464</v>
      </c>
      <c r="AB1315" t="n">
        <v>4</v>
      </c>
      <c r="AC1315" t="n">
        <v>4</v>
      </c>
      <c r="AD1315" t="n">
        <v>21</v>
      </c>
      <c r="AE1315" t="n">
        <v>21</v>
      </c>
      <c r="AF1315" t="n">
        <v>7</v>
      </c>
      <c r="AG1315" t="n">
        <v>7</v>
      </c>
      <c r="AH1315" t="n">
        <v>9</v>
      </c>
      <c r="AI1315" t="n">
        <v>9</v>
      </c>
      <c r="AJ1315" t="n">
        <v>8</v>
      </c>
      <c r="AK1315" t="n">
        <v>8</v>
      </c>
      <c r="AL1315" t="n">
        <v>3</v>
      </c>
      <c r="AM1315" t="n">
        <v>3</v>
      </c>
      <c r="AN1315" t="n">
        <v>0</v>
      </c>
      <c r="AO1315" t="n">
        <v>0</v>
      </c>
      <c r="AP1315" t="inlineStr">
        <is>
          <t>No</t>
        </is>
      </c>
      <c r="AQ1315" t="inlineStr">
        <is>
          <t>No</t>
        </is>
      </c>
      <c r="AS1315">
        <f>HYPERLINK("https://creighton-primo.hosted.exlibrisgroup.com/primo-explore/search?tab=default_tab&amp;search_scope=EVERYTHING&amp;vid=01CRU&amp;lang=en_US&amp;offset=0&amp;query=any,contains,991005212849702656","Catalog Record")</f>
        <v/>
      </c>
      <c r="AT1315">
        <f>HYPERLINK("http://www.worldcat.org/oclc/8170832","WorldCat Record")</f>
        <v/>
      </c>
      <c r="AU1315" t="inlineStr">
        <is>
          <t>792138420:eng</t>
        </is>
      </c>
      <c r="AV1315" t="inlineStr">
        <is>
          <t>8170832</t>
        </is>
      </c>
      <c r="AW1315" t="inlineStr">
        <is>
          <t>991005212849702656</t>
        </is>
      </c>
      <c r="AX1315" t="inlineStr">
        <is>
          <t>991005212849702656</t>
        </is>
      </c>
      <c r="AY1315" t="inlineStr">
        <is>
          <t>2256578080002656</t>
        </is>
      </c>
      <c r="AZ1315" t="inlineStr">
        <is>
          <t>BOOK</t>
        </is>
      </c>
      <c r="BB1315" t="inlineStr">
        <is>
          <t>9780393015652</t>
        </is>
      </c>
      <c r="BC1315" t="inlineStr">
        <is>
          <t>32285000337138</t>
        </is>
      </c>
      <c r="BD1315" t="inlineStr">
        <is>
          <t>893320250</t>
        </is>
      </c>
    </row>
    <row r="1316">
      <c r="A1316" t="inlineStr">
        <is>
          <t>No</t>
        </is>
      </c>
      <c r="B1316" t="inlineStr">
        <is>
          <t>DS518.8 .F34 2009</t>
        </is>
      </c>
      <c r="C1316" t="inlineStr">
        <is>
          <t>0                      DS 0518800F  34          2009</t>
        </is>
      </c>
      <c r="D1316" t="inlineStr">
        <is>
          <t>The United States in the new Asia / Evan A. Feigenbaum, Robert A. Manning.</t>
        </is>
      </c>
      <c r="F1316" t="inlineStr">
        <is>
          <t>No</t>
        </is>
      </c>
      <c r="G1316" t="inlineStr">
        <is>
          <t>1</t>
        </is>
      </c>
      <c r="H1316" t="inlineStr">
        <is>
          <t>No</t>
        </is>
      </c>
      <c r="I1316" t="inlineStr">
        <is>
          <t>No</t>
        </is>
      </c>
      <c r="J1316" t="inlineStr">
        <is>
          <t>0</t>
        </is>
      </c>
      <c r="K1316" t="inlineStr">
        <is>
          <t>Feigenbaum, Evan A., 1969-</t>
        </is>
      </c>
      <c r="L1316" t="inlineStr">
        <is>
          <t>New York, NY : Council on Foreign Relations : [Washington, D.C. : Brookings Press, distributor], c2009.</t>
        </is>
      </c>
      <c r="M1316" t="inlineStr">
        <is>
          <t>2009</t>
        </is>
      </c>
      <c r="O1316" t="inlineStr">
        <is>
          <t>eng</t>
        </is>
      </c>
      <c r="P1316" t="inlineStr">
        <is>
          <t>nyu</t>
        </is>
      </c>
      <c r="Q1316" t="inlineStr">
        <is>
          <t>Council special report ; no. 50</t>
        </is>
      </c>
      <c r="R1316" t="inlineStr">
        <is>
          <t xml:space="preserve">DS </t>
        </is>
      </c>
      <c r="S1316" t="n">
        <v>1</v>
      </c>
      <c r="T1316" t="n">
        <v>1</v>
      </c>
      <c r="U1316" t="inlineStr">
        <is>
          <t>2010-12-16</t>
        </is>
      </c>
      <c r="V1316" t="inlineStr">
        <is>
          <t>2010-12-16</t>
        </is>
      </c>
      <c r="W1316" t="inlineStr">
        <is>
          <t>2010-12-16</t>
        </is>
      </c>
      <c r="X1316" t="inlineStr">
        <is>
          <t>2010-12-16</t>
        </is>
      </c>
      <c r="Y1316" t="n">
        <v>86</v>
      </c>
      <c r="Z1316" t="n">
        <v>76</v>
      </c>
      <c r="AA1316" t="n">
        <v>83</v>
      </c>
      <c r="AB1316" t="n">
        <v>1</v>
      </c>
      <c r="AC1316" t="n">
        <v>1</v>
      </c>
      <c r="AD1316" t="n">
        <v>6</v>
      </c>
      <c r="AE1316" t="n">
        <v>6</v>
      </c>
      <c r="AF1316" t="n">
        <v>1</v>
      </c>
      <c r="AG1316" t="n">
        <v>1</v>
      </c>
      <c r="AH1316" t="n">
        <v>2</v>
      </c>
      <c r="AI1316" t="n">
        <v>2</v>
      </c>
      <c r="AJ1316" t="n">
        <v>4</v>
      </c>
      <c r="AK1316" t="n">
        <v>4</v>
      </c>
      <c r="AL1316" t="n">
        <v>0</v>
      </c>
      <c r="AM1316" t="n">
        <v>0</v>
      </c>
      <c r="AN1316" t="n">
        <v>2</v>
      </c>
      <c r="AO1316" t="n">
        <v>2</v>
      </c>
      <c r="AP1316" t="inlineStr">
        <is>
          <t>No</t>
        </is>
      </c>
      <c r="AQ1316" t="inlineStr">
        <is>
          <t>No</t>
        </is>
      </c>
      <c r="AS1316">
        <f>HYPERLINK("https://creighton-primo.hosted.exlibrisgroup.com/primo-explore/search?tab=default_tab&amp;search_scope=EVERYTHING&amp;vid=01CRU&amp;lang=en_US&amp;offset=0&amp;query=any,contains,991000387999702656","Catalog Record")</f>
        <v/>
      </c>
      <c r="AT1316">
        <f>HYPERLINK("http://www.worldcat.org/oclc/489236663","WorldCat Record")</f>
        <v/>
      </c>
      <c r="AU1316" t="inlineStr">
        <is>
          <t>354936361:eng</t>
        </is>
      </c>
      <c r="AV1316" t="inlineStr">
        <is>
          <t>489236663</t>
        </is>
      </c>
      <c r="AW1316" t="inlineStr">
        <is>
          <t>991000387999702656</t>
        </is>
      </c>
      <c r="AX1316" t="inlineStr">
        <is>
          <t>991000387999702656</t>
        </is>
      </c>
      <c r="AY1316" t="inlineStr">
        <is>
          <t>2255006290002656</t>
        </is>
      </c>
      <c r="AZ1316" t="inlineStr">
        <is>
          <t>BOOK</t>
        </is>
      </c>
      <c r="BB1316" t="inlineStr">
        <is>
          <t>9780876094693</t>
        </is>
      </c>
      <c r="BC1316" t="inlineStr">
        <is>
          <t>32285005651442</t>
        </is>
      </c>
      <c r="BD1316" t="inlineStr">
        <is>
          <t>893802722</t>
        </is>
      </c>
    </row>
    <row r="1317">
      <c r="A1317" t="inlineStr">
        <is>
          <t>No</t>
        </is>
      </c>
      <c r="B1317" t="inlineStr">
        <is>
          <t>DS518.8 .J35</t>
        </is>
      </c>
      <c r="C1317" t="inlineStr">
        <is>
          <t>0                      DS 0518800J  35</t>
        </is>
      </c>
      <c r="D1317" t="inlineStr">
        <is>
          <t>Japan, Korea, and China : American perceptions and policies / William Watts ... [et al.].</t>
        </is>
      </c>
      <c r="F1317" t="inlineStr">
        <is>
          <t>No</t>
        </is>
      </c>
      <c r="G1317" t="inlineStr">
        <is>
          <t>1</t>
        </is>
      </c>
      <c r="H1317" t="inlineStr">
        <is>
          <t>No</t>
        </is>
      </c>
      <c r="I1317" t="inlineStr">
        <is>
          <t>No</t>
        </is>
      </c>
      <c r="J1317" t="inlineStr">
        <is>
          <t>0</t>
        </is>
      </c>
      <c r="L1317" t="inlineStr">
        <is>
          <t>Lexington, Mass. : Lexington Books, c1979.</t>
        </is>
      </c>
      <c r="M1317" t="inlineStr">
        <is>
          <t>1979</t>
        </is>
      </c>
      <c r="O1317" t="inlineStr">
        <is>
          <t>eng</t>
        </is>
      </c>
      <c r="P1317" t="inlineStr">
        <is>
          <t>mau</t>
        </is>
      </c>
      <c r="R1317" t="inlineStr">
        <is>
          <t xml:space="preserve">DS </t>
        </is>
      </c>
      <c r="S1317" t="n">
        <v>5</v>
      </c>
      <c r="T1317" t="n">
        <v>5</v>
      </c>
      <c r="U1317" t="inlineStr">
        <is>
          <t>1995-09-27</t>
        </is>
      </c>
      <c r="V1317" t="inlineStr">
        <is>
          <t>1995-09-27</t>
        </is>
      </c>
      <c r="W1317" t="inlineStr">
        <is>
          <t>1990-10-09</t>
        </is>
      </c>
      <c r="X1317" t="inlineStr">
        <is>
          <t>1990-10-09</t>
        </is>
      </c>
      <c r="Y1317" t="n">
        <v>300</v>
      </c>
      <c r="Z1317" t="n">
        <v>243</v>
      </c>
      <c r="AA1317" t="n">
        <v>251</v>
      </c>
      <c r="AB1317" t="n">
        <v>4</v>
      </c>
      <c r="AC1317" t="n">
        <v>4</v>
      </c>
      <c r="AD1317" t="n">
        <v>10</v>
      </c>
      <c r="AE1317" t="n">
        <v>10</v>
      </c>
      <c r="AF1317" t="n">
        <v>1</v>
      </c>
      <c r="AG1317" t="n">
        <v>1</v>
      </c>
      <c r="AH1317" t="n">
        <v>2</v>
      </c>
      <c r="AI1317" t="n">
        <v>2</v>
      </c>
      <c r="AJ1317" t="n">
        <v>4</v>
      </c>
      <c r="AK1317" t="n">
        <v>4</v>
      </c>
      <c r="AL1317" t="n">
        <v>3</v>
      </c>
      <c r="AM1317" t="n">
        <v>3</v>
      </c>
      <c r="AN1317" t="n">
        <v>0</v>
      </c>
      <c r="AO1317" t="n">
        <v>0</v>
      </c>
      <c r="AP1317" t="inlineStr">
        <is>
          <t>No</t>
        </is>
      </c>
      <c r="AQ1317" t="inlineStr">
        <is>
          <t>Yes</t>
        </is>
      </c>
      <c r="AR1317">
        <f>HYPERLINK("http://catalog.hathitrust.org/Record/000256408","HathiTrust Record")</f>
        <v/>
      </c>
      <c r="AS1317">
        <f>HYPERLINK("https://creighton-primo.hosted.exlibrisgroup.com/primo-explore/search?tab=default_tab&amp;search_scope=EVERYTHING&amp;vid=01CRU&amp;lang=en_US&amp;offset=0&amp;query=any,contains,991004658969702656","Catalog Record")</f>
        <v/>
      </c>
      <c r="AT1317">
        <f>HYPERLINK("http://www.worldcat.org/oclc/4496166","WorldCat Record")</f>
        <v/>
      </c>
      <c r="AU1317" t="inlineStr">
        <is>
          <t>836725442:eng</t>
        </is>
      </c>
      <c r="AV1317" t="inlineStr">
        <is>
          <t>4496166</t>
        </is>
      </c>
      <c r="AW1317" t="inlineStr">
        <is>
          <t>991004658969702656</t>
        </is>
      </c>
      <c r="AX1317" t="inlineStr">
        <is>
          <t>991004658969702656</t>
        </is>
      </c>
      <c r="AY1317" t="inlineStr">
        <is>
          <t>2268715410002656</t>
        </is>
      </c>
      <c r="AZ1317" t="inlineStr">
        <is>
          <t>BOOK</t>
        </is>
      </c>
      <c r="BB1317" t="inlineStr">
        <is>
          <t>9780669024708</t>
        </is>
      </c>
      <c r="BC1317" t="inlineStr">
        <is>
          <t>32285000337153</t>
        </is>
      </c>
      <c r="BD1317" t="inlineStr">
        <is>
          <t>893889015</t>
        </is>
      </c>
    </row>
    <row r="1318">
      <c r="A1318" t="inlineStr">
        <is>
          <t>No</t>
        </is>
      </c>
      <c r="B1318" t="inlineStr">
        <is>
          <t>DS518.8 .P336 1996</t>
        </is>
      </c>
      <c r="C1318" t="inlineStr">
        <is>
          <t>0                      DS 0518800P  336         1996</t>
        </is>
      </c>
      <c r="D1318" t="inlineStr">
        <is>
          <t>Pacific passage : the study of American--East Asian relations on the eve of the twenty-first century / edited, and with an introduction by Warren I. Cohen.</t>
        </is>
      </c>
      <c r="F1318" t="inlineStr">
        <is>
          <t>No</t>
        </is>
      </c>
      <c r="G1318" t="inlineStr">
        <is>
          <t>1</t>
        </is>
      </c>
      <c r="H1318" t="inlineStr">
        <is>
          <t>No</t>
        </is>
      </c>
      <c r="I1318" t="inlineStr">
        <is>
          <t>No</t>
        </is>
      </c>
      <c r="J1318" t="inlineStr">
        <is>
          <t>0</t>
        </is>
      </c>
      <c r="L1318" t="inlineStr">
        <is>
          <t>New York : Columbia University Press, c1996.</t>
        </is>
      </c>
      <c r="M1318" t="inlineStr">
        <is>
          <t>1996</t>
        </is>
      </c>
      <c r="O1318" t="inlineStr">
        <is>
          <t>eng</t>
        </is>
      </c>
      <c r="P1318" t="inlineStr">
        <is>
          <t>nyu</t>
        </is>
      </c>
      <c r="R1318" t="inlineStr">
        <is>
          <t xml:space="preserve">DS </t>
        </is>
      </c>
      <c r="S1318" t="n">
        <v>2</v>
      </c>
      <c r="T1318" t="n">
        <v>2</v>
      </c>
      <c r="U1318" t="inlineStr">
        <is>
          <t>1999-02-19</t>
        </is>
      </c>
      <c r="V1318" t="inlineStr">
        <is>
          <t>1999-02-19</t>
        </is>
      </c>
      <c r="W1318" t="inlineStr">
        <is>
          <t>1996-07-23</t>
        </is>
      </c>
      <c r="X1318" t="inlineStr">
        <is>
          <t>1996-07-23</t>
        </is>
      </c>
      <c r="Y1318" t="n">
        <v>479</v>
      </c>
      <c r="Z1318" t="n">
        <v>391</v>
      </c>
      <c r="AA1318" t="n">
        <v>397</v>
      </c>
      <c r="AB1318" t="n">
        <v>3</v>
      </c>
      <c r="AC1318" t="n">
        <v>3</v>
      </c>
      <c r="AD1318" t="n">
        <v>17</v>
      </c>
      <c r="AE1318" t="n">
        <v>18</v>
      </c>
      <c r="AF1318" t="n">
        <v>3</v>
      </c>
      <c r="AG1318" t="n">
        <v>4</v>
      </c>
      <c r="AH1318" t="n">
        <v>6</v>
      </c>
      <c r="AI1318" t="n">
        <v>6</v>
      </c>
      <c r="AJ1318" t="n">
        <v>9</v>
      </c>
      <c r="AK1318" t="n">
        <v>10</v>
      </c>
      <c r="AL1318" t="n">
        <v>2</v>
      </c>
      <c r="AM1318" t="n">
        <v>2</v>
      </c>
      <c r="AN1318" t="n">
        <v>0</v>
      </c>
      <c r="AO1318" t="n">
        <v>0</v>
      </c>
      <c r="AP1318" t="inlineStr">
        <is>
          <t>No</t>
        </is>
      </c>
      <c r="AQ1318" t="inlineStr">
        <is>
          <t>No</t>
        </is>
      </c>
      <c r="AS1318">
        <f>HYPERLINK("https://creighton-primo.hosted.exlibrisgroup.com/primo-explore/search?tab=default_tab&amp;search_scope=EVERYTHING&amp;vid=01CRU&amp;lang=en_US&amp;offset=0&amp;query=any,contains,991002560329702656","Catalog Record")</f>
        <v/>
      </c>
      <c r="AT1318">
        <f>HYPERLINK("http://www.worldcat.org/oclc/33277338","WorldCat Record")</f>
        <v/>
      </c>
      <c r="AU1318" t="inlineStr">
        <is>
          <t>837007149:eng</t>
        </is>
      </c>
      <c r="AV1318" t="inlineStr">
        <is>
          <t>33277338</t>
        </is>
      </c>
      <c r="AW1318" t="inlineStr">
        <is>
          <t>991002560329702656</t>
        </is>
      </c>
      <c r="AX1318" t="inlineStr">
        <is>
          <t>991002560329702656</t>
        </is>
      </c>
      <c r="AY1318" t="inlineStr">
        <is>
          <t>2256112940002656</t>
        </is>
      </c>
      <c r="AZ1318" t="inlineStr">
        <is>
          <t>BOOK</t>
        </is>
      </c>
      <c r="BB1318" t="inlineStr">
        <is>
          <t>9780231104067</t>
        </is>
      </c>
      <c r="BC1318" t="inlineStr">
        <is>
          <t>32285002214293</t>
        </is>
      </c>
      <c r="BD1318" t="inlineStr">
        <is>
          <t>893415348</t>
        </is>
      </c>
    </row>
    <row r="1319">
      <c r="A1319" t="inlineStr">
        <is>
          <t>No</t>
        </is>
      </c>
      <c r="B1319" t="inlineStr">
        <is>
          <t>DS518.8 .U586 1993</t>
        </is>
      </c>
      <c r="C1319" t="inlineStr">
        <is>
          <t>0                      DS 0518800U  586         1993</t>
        </is>
      </c>
      <c r="D1319" t="inlineStr">
        <is>
          <t>The United States and northeast Asia / edited by Robert H. Puckett.</t>
        </is>
      </c>
      <c r="F1319" t="inlineStr">
        <is>
          <t>No</t>
        </is>
      </c>
      <c r="G1319" t="inlineStr">
        <is>
          <t>1</t>
        </is>
      </c>
      <c r="H1319" t="inlineStr">
        <is>
          <t>No</t>
        </is>
      </c>
      <c r="I1319" t="inlineStr">
        <is>
          <t>No</t>
        </is>
      </c>
      <c r="J1319" t="inlineStr">
        <is>
          <t>0</t>
        </is>
      </c>
      <c r="L1319" t="inlineStr">
        <is>
          <t>Chicago : Nelson-Hall Publishers, c1993.</t>
        </is>
      </c>
      <c r="M1319" t="inlineStr">
        <is>
          <t>1993</t>
        </is>
      </c>
      <c r="O1319" t="inlineStr">
        <is>
          <t>eng</t>
        </is>
      </c>
      <c r="P1319" t="inlineStr">
        <is>
          <t>ilu</t>
        </is>
      </c>
      <c r="R1319" t="inlineStr">
        <is>
          <t xml:space="preserve">DS </t>
        </is>
      </c>
      <c r="S1319" t="n">
        <v>1</v>
      </c>
      <c r="T1319" t="n">
        <v>1</v>
      </c>
      <c r="U1319" t="inlineStr">
        <is>
          <t>1995-09-27</t>
        </is>
      </c>
      <c r="V1319" t="inlineStr">
        <is>
          <t>1995-09-27</t>
        </is>
      </c>
      <c r="W1319" t="inlineStr">
        <is>
          <t>1994-06-02</t>
        </is>
      </c>
      <c r="X1319" t="inlineStr">
        <is>
          <t>1994-06-02</t>
        </is>
      </c>
      <c r="Y1319" t="n">
        <v>117</v>
      </c>
      <c r="Z1319" t="n">
        <v>97</v>
      </c>
      <c r="AA1319" t="n">
        <v>98</v>
      </c>
      <c r="AB1319" t="n">
        <v>1</v>
      </c>
      <c r="AC1319" t="n">
        <v>1</v>
      </c>
      <c r="AD1319" t="n">
        <v>7</v>
      </c>
      <c r="AE1319" t="n">
        <v>7</v>
      </c>
      <c r="AF1319" t="n">
        <v>2</v>
      </c>
      <c r="AG1319" t="n">
        <v>2</v>
      </c>
      <c r="AH1319" t="n">
        <v>4</v>
      </c>
      <c r="AI1319" t="n">
        <v>4</v>
      </c>
      <c r="AJ1319" t="n">
        <v>4</v>
      </c>
      <c r="AK1319" t="n">
        <v>4</v>
      </c>
      <c r="AL1319" t="n">
        <v>0</v>
      </c>
      <c r="AM1319" t="n">
        <v>0</v>
      </c>
      <c r="AN1319" t="n">
        <v>0</v>
      </c>
      <c r="AO1319" t="n">
        <v>0</v>
      </c>
      <c r="AP1319" t="inlineStr">
        <is>
          <t>No</t>
        </is>
      </c>
      <c r="AQ1319" t="inlineStr">
        <is>
          <t>Yes</t>
        </is>
      </c>
      <c r="AR1319">
        <f>HYPERLINK("http://catalog.hathitrust.org/Record/002737974","HathiTrust Record")</f>
        <v/>
      </c>
      <c r="AS1319">
        <f>HYPERLINK("https://creighton-primo.hosted.exlibrisgroup.com/primo-explore/search?tab=default_tab&amp;search_scope=EVERYTHING&amp;vid=01CRU&amp;lang=en_US&amp;offset=0&amp;query=any,contains,991002098679702656","Catalog Record")</f>
        <v/>
      </c>
      <c r="AT1319">
        <f>HYPERLINK("http://www.worldcat.org/oclc/26931170","WorldCat Record")</f>
        <v/>
      </c>
      <c r="AU1319" t="inlineStr">
        <is>
          <t>55646039:eng</t>
        </is>
      </c>
      <c r="AV1319" t="inlineStr">
        <is>
          <t>26931170</t>
        </is>
      </c>
      <c r="AW1319" t="inlineStr">
        <is>
          <t>991002098679702656</t>
        </is>
      </c>
      <c r="AX1319" t="inlineStr">
        <is>
          <t>991002098679702656</t>
        </is>
      </c>
      <c r="AY1319" t="inlineStr">
        <is>
          <t>2260305050002656</t>
        </is>
      </c>
      <c r="AZ1319" t="inlineStr">
        <is>
          <t>BOOK</t>
        </is>
      </c>
      <c r="BB1319" t="inlineStr">
        <is>
          <t>9780830412792</t>
        </is>
      </c>
      <c r="BC1319" t="inlineStr">
        <is>
          <t>32285001920767</t>
        </is>
      </c>
      <c r="BD1319" t="inlineStr">
        <is>
          <t>893709866</t>
        </is>
      </c>
    </row>
    <row r="1320">
      <c r="A1320" t="inlineStr">
        <is>
          <t>No</t>
        </is>
      </c>
      <c r="B1320" t="inlineStr">
        <is>
          <t>DS522.6 .K55 2002</t>
        </is>
      </c>
      <c r="C1320" t="inlineStr">
        <is>
          <t>0                      DS 0522600K  55          2002</t>
        </is>
      </c>
      <c r="D1320" t="inlineStr">
        <is>
          <t>Asian, woman, alone / by Ayoung M. Kim.</t>
        </is>
      </c>
      <c r="F1320" t="inlineStr">
        <is>
          <t>No</t>
        </is>
      </c>
      <c r="G1320" t="inlineStr">
        <is>
          <t>1</t>
        </is>
      </c>
      <c r="H1320" t="inlineStr">
        <is>
          <t>No</t>
        </is>
      </c>
      <c r="I1320" t="inlineStr">
        <is>
          <t>No</t>
        </is>
      </c>
      <c r="J1320" t="inlineStr">
        <is>
          <t>0</t>
        </is>
      </c>
      <c r="K1320" t="inlineStr">
        <is>
          <t>Kim, Ayoung M.</t>
        </is>
      </c>
      <c r="L1320" t="inlineStr">
        <is>
          <t>Mill Valley, CA : Feng Liu Productions, 2002.</t>
        </is>
      </c>
      <c r="M1320" t="inlineStr">
        <is>
          <t>2002</t>
        </is>
      </c>
      <c r="N1320" t="inlineStr">
        <is>
          <t>1st Feng Liu Productions ed.</t>
        </is>
      </c>
      <c r="O1320" t="inlineStr">
        <is>
          <t>eng</t>
        </is>
      </c>
      <c r="P1320" t="inlineStr">
        <is>
          <t>cau</t>
        </is>
      </c>
      <c r="R1320" t="inlineStr">
        <is>
          <t xml:space="preserve">DS </t>
        </is>
      </c>
      <c r="S1320" t="n">
        <v>1</v>
      </c>
      <c r="T1320" t="n">
        <v>1</v>
      </c>
      <c r="U1320" t="inlineStr">
        <is>
          <t>2006-03-30</t>
        </is>
      </c>
      <c r="V1320" t="inlineStr">
        <is>
          <t>2006-03-30</t>
        </is>
      </c>
      <c r="W1320" t="inlineStr">
        <is>
          <t>2006-03-30</t>
        </is>
      </c>
      <c r="X1320" t="inlineStr">
        <is>
          <t>2006-03-30</t>
        </is>
      </c>
      <c r="Y1320" t="n">
        <v>15</v>
      </c>
      <c r="Z1320" t="n">
        <v>14</v>
      </c>
      <c r="AA1320" t="n">
        <v>14</v>
      </c>
      <c r="AB1320" t="n">
        <v>1</v>
      </c>
      <c r="AC1320" t="n">
        <v>1</v>
      </c>
      <c r="AD1320" t="n">
        <v>0</v>
      </c>
      <c r="AE1320" t="n">
        <v>0</v>
      </c>
      <c r="AF1320" t="n">
        <v>0</v>
      </c>
      <c r="AG1320" t="n">
        <v>0</v>
      </c>
      <c r="AH1320" t="n">
        <v>0</v>
      </c>
      <c r="AI1320" t="n">
        <v>0</v>
      </c>
      <c r="AJ1320" t="n">
        <v>0</v>
      </c>
      <c r="AK1320" t="n">
        <v>0</v>
      </c>
      <c r="AL1320" t="n">
        <v>0</v>
      </c>
      <c r="AM1320" t="n">
        <v>0</v>
      </c>
      <c r="AN1320" t="n">
        <v>0</v>
      </c>
      <c r="AO1320" t="n">
        <v>0</v>
      </c>
      <c r="AP1320" t="inlineStr">
        <is>
          <t>No</t>
        </is>
      </c>
      <c r="AQ1320" t="inlineStr">
        <is>
          <t>No</t>
        </is>
      </c>
      <c r="AS1320">
        <f>HYPERLINK("https://creighton-primo.hosted.exlibrisgroup.com/primo-explore/search?tab=default_tab&amp;search_scope=EVERYTHING&amp;vid=01CRU&amp;lang=en_US&amp;offset=0&amp;query=any,contains,991004766689702656","Catalog Record")</f>
        <v/>
      </c>
      <c r="AT1320">
        <f>HYPERLINK("http://www.worldcat.org/oclc/55040401","WorldCat Record")</f>
        <v/>
      </c>
      <c r="AU1320" t="inlineStr">
        <is>
          <t>1041447:eng</t>
        </is>
      </c>
      <c r="AV1320" t="inlineStr">
        <is>
          <t>55040401</t>
        </is>
      </c>
      <c r="AW1320" t="inlineStr">
        <is>
          <t>991004766689702656</t>
        </is>
      </c>
      <c r="AX1320" t="inlineStr">
        <is>
          <t>991004766689702656</t>
        </is>
      </c>
      <c r="AY1320" t="inlineStr">
        <is>
          <t>2268578320002656</t>
        </is>
      </c>
      <c r="AZ1320" t="inlineStr">
        <is>
          <t>BOOK</t>
        </is>
      </c>
      <c r="BB1320" t="inlineStr">
        <is>
          <t>9780972708913</t>
        </is>
      </c>
      <c r="BC1320" t="inlineStr">
        <is>
          <t>32285005168785</t>
        </is>
      </c>
      <c r="BD1320" t="inlineStr">
        <is>
          <t>893229802</t>
        </is>
      </c>
    </row>
    <row r="1321">
      <c r="A1321" t="inlineStr">
        <is>
          <t>No</t>
        </is>
      </c>
      <c r="B1321" t="inlineStr">
        <is>
          <t>DS522.6 .S44 2003</t>
        </is>
      </c>
      <c r="C1321" t="inlineStr">
        <is>
          <t>0                      DS 0522600S  44          2003</t>
        </is>
      </c>
      <c r="D1321" t="inlineStr">
        <is>
          <t>Cities of the hot zone : a Southeast Asian adventure / Greg Sheridan.</t>
        </is>
      </c>
      <c r="F1321" t="inlineStr">
        <is>
          <t>No</t>
        </is>
      </c>
      <c r="G1321" t="inlineStr">
        <is>
          <t>1</t>
        </is>
      </c>
      <c r="H1321" t="inlineStr">
        <is>
          <t>No</t>
        </is>
      </c>
      <c r="I1321" t="inlineStr">
        <is>
          <t>No</t>
        </is>
      </c>
      <c r="J1321" t="inlineStr">
        <is>
          <t>0</t>
        </is>
      </c>
      <c r="K1321" t="inlineStr">
        <is>
          <t>Sheridan, Greg, 1956-</t>
        </is>
      </c>
      <c r="L1321" t="inlineStr">
        <is>
          <t>Crows Nest, NSW : Allen &amp; Unwin, 2003.</t>
        </is>
      </c>
      <c r="M1321" t="inlineStr">
        <is>
          <t>2003</t>
        </is>
      </c>
      <c r="O1321" t="inlineStr">
        <is>
          <t>eng</t>
        </is>
      </c>
      <c r="P1321" t="inlineStr">
        <is>
          <t xml:space="preserve">at </t>
        </is>
      </c>
      <c r="R1321" t="inlineStr">
        <is>
          <t xml:space="preserve">DS </t>
        </is>
      </c>
      <c r="S1321" t="n">
        <v>2</v>
      </c>
      <c r="T1321" t="n">
        <v>2</v>
      </c>
      <c r="U1321" t="inlineStr">
        <is>
          <t>2004-08-25</t>
        </is>
      </c>
      <c r="V1321" t="inlineStr">
        <is>
          <t>2004-08-25</t>
        </is>
      </c>
      <c r="W1321" t="inlineStr">
        <is>
          <t>2004-07-28</t>
        </is>
      </c>
      <c r="X1321" t="inlineStr">
        <is>
          <t>2004-07-28</t>
        </is>
      </c>
      <c r="Y1321" t="n">
        <v>269</v>
      </c>
      <c r="Z1321" t="n">
        <v>205</v>
      </c>
      <c r="AA1321" t="n">
        <v>484</v>
      </c>
      <c r="AB1321" t="n">
        <v>1</v>
      </c>
      <c r="AC1321" t="n">
        <v>2</v>
      </c>
      <c r="AD1321" t="n">
        <v>3</v>
      </c>
      <c r="AE1321" t="n">
        <v>6</v>
      </c>
      <c r="AF1321" t="n">
        <v>0</v>
      </c>
      <c r="AG1321" t="n">
        <v>2</v>
      </c>
      <c r="AH1321" t="n">
        <v>1</v>
      </c>
      <c r="AI1321" t="n">
        <v>2</v>
      </c>
      <c r="AJ1321" t="n">
        <v>3</v>
      </c>
      <c r="AK1321" t="n">
        <v>3</v>
      </c>
      <c r="AL1321" t="n">
        <v>0</v>
      </c>
      <c r="AM1321" t="n">
        <v>1</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HYPERLINK("https://creighton-primo.hosted.exlibrisgroup.com/primo-explore/search?tab=default_tab&amp;search_scope=EVERYTHING&amp;vid=01CRU&amp;lang=en_US&amp;offset=0&amp;query=any,contains,991004313479702656","Catalog Record")</f>
        <v/>
      </c>
      <c r="AT1321">
        <f>HYPERLINK("http://www.worldcat.org/oclc/54536539","WorldCat Record")</f>
        <v/>
      </c>
      <c r="AU1321" t="inlineStr">
        <is>
          <t>800682619:eng</t>
        </is>
      </c>
      <c r="AV1321" t="inlineStr">
        <is>
          <t>54536539</t>
        </is>
      </c>
      <c r="AW1321" t="inlineStr">
        <is>
          <t>991004313479702656</t>
        </is>
      </c>
      <c r="AX1321" t="inlineStr">
        <is>
          <t>991004313479702656</t>
        </is>
      </c>
      <c r="AY1321" t="inlineStr">
        <is>
          <t>2255557990002656</t>
        </is>
      </c>
      <c r="AZ1321" t="inlineStr">
        <is>
          <t>BOOK</t>
        </is>
      </c>
      <c r="BB1321" t="inlineStr">
        <is>
          <t>9781741142242</t>
        </is>
      </c>
      <c r="BC1321" t="inlineStr">
        <is>
          <t>32285004926266</t>
        </is>
      </c>
      <c r="BD1321" t="inlineStr">
        <is>
          <t>893800846</t>
        </is>
      </c>
    </row>
    <row r="1322">
      <c r="A1322" t="inlineStr">
        <is>
          <t>No</t>
        </is>
      </c>
      <c r="B1322" t="inlineStr">
        <is>
          <t>DS522.6 .S47 1993</t>
        </is>
      </c>
      <c r="C1322" t="inlineStr">
        <is>
          <t>0                      DS 0522600S  47          1993</t>
        </is>
      </c>
      <c r="D1322" t="inlineStr">
        <is>
          <t>The lands of charm and cruelty : travels in Southeast Asia / by Stan Sesser.</t>
        </is>
      </c>
      <c r="F1322" t="inlineStr">
        <is>
          <t>No</t>
        </is>
      </c>
      <c r="G1322" t="inlineStr">
        <is>
          <t>1</t>
        </is>
      </c>
      <c r="H1322" t="inlineStr">
        <is>
          <t>No</t>
        </is>
      </c>
      <c r="I1322" t="inlineStr">
        <is>
          <t>No</t>
        </is>
      </c>
      <c r="J1322" t="inlineStr">
        <is>
          <t>0</t>
        </is>
      </c>
      <c r="K1322" t="inlineStr">
        <is>
          <t>Sesser, Stan.</t>
        </is>
      </c>
      <c r="L1322" t="inlineStr">
        <is>
          <t>New York : Knopf : Distributed by Random House, 1993.</t>
        </is>
      </c>
      <c r="M1322" t="inlineStr">
        <is>
          <t>1993</t>
        </is>
      </c>
      <c r="N1322" t="inlineStr">
        <is>
          <t>1st ed.</t>
        </is>
      </c>
      <c r="O1322" t="inlineStr">
        <is>
          <t>eng</t>
        </is>
      </c>
      <c r="P1322" t="inlineStr">
        <is>
          <t>nyu</t>
        </is>
      </c>
      <c r="R1322" t="inlineStr">
        <is>
          <t xml:space="preserve">DS </t>
        </is>
      </c>
      <c r="S1322" t="n">
        <v>4</v>
      </c>
      <c r="T1322" t="n">
        <v>4</v>
      </c>
      <c r="U1322" t="inlineStr">
        <is>
          <t>1995-05-31</t>
        </is>
      </c>
      <c r="V1322" t="inlineStr">
        <is>
          <t>1995-05-31</t>
        </is>
      </c>
      <c r="W1322" t="inlineStr">
        <is>
          <t>1993-06-01</t>
        </is>
      </c>
      <c r="X1322" t="inlineStr">
        <is>
          <t>1993-06-01</t>
        </is>
      </c>
      <c r="Y1322" t="n">
        <v>608</v>
      </c>
      <c r="Z1322" t="n">
        <v>558</v>
      </c>
      <c r="AA1322" t="n">
        <v>605</v>
      </c>
      <c r="AB1322" t="n">
        <v>4</v>
      </c>
      <c r="AC1322" t="n">
        <v>4</v>
      </c>
      <c r="AD1322" t="n">
        <v>14</v>
      </c>
      <c r="AE1322" t="n">
        <v>20</v>
      </c>
      <c r="AF1322" t="n">
        <v>3</v>
      </c>
      <c r="AG1322" t="n">
        <v>5</v>
      </c>
      <c r="AH1322" t="n">
        <v>5</v>
      </c>
      <c r="AI1322" t="n">
        <v>6</v>
      </c>
      <c r="AJ1322" t="n">
        <v>7</v>
      </c>
      <c r="AK1322" t="n">
        <v>11</v>
      </c>
      <c r="AL1322" t="n">
        <v>2</v>
      </c>
      <c r="AM1322" t="n">
        <v>2</v>
      </c>
      <c r="AN1322" t="n">
        <v>0</v>
      </c>
      <c r="AO1322" t="n">
        <v>0</v>
      </c>
      <c r="AP1322" t="inlineStr">
        <is>
          <t>No</t>
        </is>
      </c>
      <c r="AQ1322" t="inlineStr">
        <is>
          <t>Yes</t>
        </is>
      </c>
      <c r="AR1322">
        <f>HYPERLINK("http://catalog.hathitrust.org/Record/002635740","HathiTrust Record")</f>
        <v/>
      </c>
      <c r="AS1322">
        <f>HYPERLINK("https://creighton-primo.hosted.exlibrisgroup.com/primo-explore/search?tab=default_tab&amp;search_scope=EVERYTHING&amp;vid=01CRU&amp;lang=en_US&amp;offset=0&amp;query=any,contains,991002074289702656","Catalog Record")</f>
        <v/>
      </c>
      <c r="AT1322">
        <f>HYPERLINK("http://www.worldcat.org/oclc/26587440","WorldCat Record")</f>
        <v/>
      </c>
      <c r="AU1322" t="inlineStr">
        <is>
          <t>20688408:eng</t>
        </is>
      </c>
      <c r="AV1322" t="inlineStr">
        <is>
          <t>26587440</t>
        </is>
      </c>
      <c r="AW1322" t="inlineStr">
        <is>
          <t>991002074289702656</t>
        </is>
      </c>
      <c r="AX1322" t="inlineStr">
        <is>
          <t>991002074289702656</t>
        </is>
      </c>
      <c r="AY1322" t="inlineStr">
        <is>
          <t>2263057430002656</t>
        </is>
      </c>
      <c r="AZ1322" t="inlineStr">
        <is>
          <t>BOOK</t>
        </is>
      </c>
      <c r="BB1322" t="inlineStr">
        <is>
          <t>9780679416005</t>
        </is>
      </c>
      <c r="BC1322" t="inlineStr">
        <is>
          <t>32285001583375</t>
        </is>
      </c>
      <c r="BD1322" t="inlineStr">
        <is>
          <t>893322521</t>
        </is>
      </c>
    </row>
    <row r="1323">
      <c r="A1323" t="inlineStr">
        <is>
          <t>No</t>
        </is>
      </c>
      <c r="B1323" t="inlineStr">
        <is>
          <t>DS523.2 .O73 2007</t>
        </is>
      </c>
      <c r="C1323" t="inlineStr">
        <is>
          <t>0                      DS 0523200O  73          2007</t>
        </is>
      </c>
      <c r="D1323" t="inlineStr">
        <is>
          <t>Early civilizations of Southeast Asia / Dougald J.W. O'Reilly.</t>
        </is>
      </c>
      <c r="F1323" t="inlineStr">
        <is>
          <t>No</t>
        </is>
      </c>
      <c r="G1323" t="inlineStr">
        <is>
          <t>1</t>
        </is>
      </c>
      <c r="H1323" t="inlineStr">
        <is>
          <t>No</t>
        </is>
      </c>
      <c r="I1323" t="inlineStr">
        <is>
          <t>No</t>
        </is>
      </c>
      <c r="J1323" t="inlineStr">
        <is>
          <t>0</t>
        </is>
      </c>
      <c r="K1323" t="inlineStr">
        <is>
          <t>O'Reilly, Dougald J. W., 1965-</t>
        </is>
      </c>
      <c r="L1323" t="inlineStr">
        <is>
          <t>Lanham : AltaMira Press, c2007.</t>
        </is>
      </c>
      <c r="M1323" t="inlineStr">
        <is>
          <t>2007</t>
        </is>
      </c>
      <c r="O1323" t="inlineStr">
        <is>
          <t>eng</t>
        </is>
      </c>
      <c r="P1323" t="inlineStr">
        <is>
          <t>mdu</t>
        </is>
      </c>
      <c r="Q1323" t="inlineStr">
        <is>
          <t>Archaeology of Southeast Asia</t>
        </is>
      </c>
      <c r="R1323" t="inlineStr">
        <is>
          <t xml:space="preserve">DS </t>
        </is>
      </c>
      <c r="S1323" t="n">
        <v>2</v>
      </c>
      <c r="T1323" t="n">
        <v>2</v>
      </c>
      <c r="U1323" t="inlineStr">
        <is>
          <t>2007-03-23</t>
        </is>
      </c>
      <c r="V1323" t="inlineStr">
        <is>
          <t>2007-03-23</t>
        </is>
      </c>
      <c r="W1323" t="inlineStr">
        <is>
          <t>2007-03-12</t>
        </is>
      </c>
      <c r="X1323" t="inlineStr">
        <is>
          <t>2007-03-12</t>
        </is>
      </c>
      <c r="Y1323" t="n">
        <v>304</v>
      </c>
      <c r="Z1323" t="n">
        <v>235</v>
      </c>
      <c r="AA1323" t="n">
        <v>358</v>
      </c>
      <c r="AB1323" t="n">
        <v>5</v>
      </c>
      <c r="AC1323" t="n">
        <v>5</v>
      </c>
      <c r="AD1323" t="n">
        <v>13</v>
      </c>
      <c r="AE1323" t="n">
        <v>19</v>
      </c>
      <c r="AF1323" t="n">
        <v>2</v>
      </c>
      <c r="AG1323" t="n">
        <v>4</v>
      </c>
      <c r="AH1323" t="n">
        <v>4</v>
      </c>
      <c r="AI1323" t="n">
        <v>8</v>
      </c>
      <c r="AJ1323" t="n">
        <v>5</v>
      </c>
      <c r="AK1323" t="n">
        <v>7</v>
      </c>
      <c r="AL1323" t="n">
        <v>4</v>
      </c>
      <c r="AM1323" t="n">
        <v>4</v>
      </c>
      <c r="AN1323" t="n">
        <v>0</v>
      </c>
      <c r="AO1323" t="n">
        <v>0</v>
      </c>
      <c r="AP1323" t="inlineStr">
        <is>
          <t>No</t>
        </is>
      </c>
      <c r="AQ1323" t="inlineStr">
        <is>
          <t>Yes</t>
        </is>
      </c>
      <c r="AR1323">
        <f>HYPERLINK("http://catalog.hathitrust.org/Record/005419455","HathiTrust Record")</f>
        <v/>
      </c>
      <c r="AS1323">
        <f>HYPERLINK("https://creighton-primo.hosted.exlibrisgroup.com/primo-explore/search?tab=default_tab&amp;search_scope=EVERYTHING&amp;vid=01CRU&amp;lang=en_US&amp;offset=0&amp;query=any,contains,991005046009702656","Catalog Record")</f>
        <v/>
      </c>
      <c r="AT1323">
        <f>HYPERLINK("http://www.worldcat.org/oclc/70258930","WorldCat Record")</f>
        <v/>
      </c>
      <c r="AU1323" t="inlineStr">
        <is>
          <t>57472367:eng</t>
        </is>
      </c>
      <c r="AV1323" t="inlineStr">
        <is>
          <t>70258930</t>
        </is>
      </c>
      <c r="AW1323" t="inlineStr">
        <is>
          <t>991005046009702656</t>
        </is>
      </c>
      <c r="AX1323" t="inlineStr">
        <is>
          <t>991005046009702656</t>
        </is>
      </c>
      <c r="AY1323" t="inlineStr">
        <is>
          <t>2262033080002656</t>
        </is>
      </c>
      <c r="AZ1323" t="inlineStr">
        <is>
          <t>BOOK</t>
        </is>
      </c>
      <c r="BB1323" t="inlineStr">
        <is>
          <t>9780759102781</t>
        </is>
      </c>
      <c r="BC1323" t="inlineStr">
        <is>
          <t>32285005280721</t>
        </is>
      </c>
      <c r="BD1323" t="inlineStr">
        <is>
          <t>893606740</t>
        </is>
      </c>
    </row>
    <row r="1324">
      <c r="A1324" t="inlineStr">
        <is>
          <t>No</t>
        </is>
      </c>
      <c r="B1324" t="inlineStr">
        <is>
          <t>DS523.4.C45 D66 1999</t>
        </is>
      </c>
      <c r="C1324" t="inlineStr">
        <is>
          <t>0                      DS 0523400C  45                 D  66          1999</t>
        </is>
      </c>
      <c r="D1324" t="inlineStr">
        <is>
          <t>Dong nan Ya Hua qiao zi liao hui bian / He Fengjiao bian.</t>
        </is>
      </c>
      <c r="F1324" t="inlineStr">
        <is>
          <t>No</t>
        </is>
      </c>
      <c r="G1324" t="inlineStr">
        <is>
          <t>1</t>
        </is>
      </c>
      <c r="H1324" t="inlineStr">
        <is>
          <t>No</t>
        </is>
      </c>
      <c r="I1324" t="inlineStr">
        <is>
          <t>No</t>
        </is>
      </c>
      <c r="J1324" t="inlineStr">
        <is>
          <t>0</t>
        </is>
      </c>
      <c r="L1324" t="inlineStr">
        <is>
          <t>Taibei Xian Xindian Shi : Guo shi guan ; Taibei Shi : Jing xiao shang San min shu ju, Minguo 88- [1999- ]</t>
        </is>
      </c>
      <c r="M1324" t="inlineStr">
        <is>
          <t>1999</t>
        </is>
      </c>
      <c r="N1324" t="inlineStr">
        <is>
          <t>Chu ban.</t>
        </is>
      </c>
      <c r="O1324" t="inlineStr">
        <is>
          <t>chi</t>
        </is>
      </c>
      <c r="P1324" t="inlineStr">
        <is>
          <t xml:space="preserve">ch </t>
        </is>
      </c>
      <c r="Q1324" t="inlineStr">
        <is>
          <t>Minguo shi liao cong shu</t>
        </is>
      </c>
      <c r="R1324" t="inlineStr">
        <is>
          <t xml:space="preserve">DS </t>
        </is>
      </c>
      <c r="S1324" t="n">
        <v>1</v>
      </c>
      <c r="T1324" t="n">
        <v>1</v>
      </c>
      <c r="U1324" t="inlineStr">
        <is>
          <t>2007-04-19</t>
        </is>
      </c>
      <c r="V1324" t="inlineStr">
        <is>
          <t>2007-04-19</t>
        </is>
      </c>
      <c r="W1324" t="inlineStr">
        <is>
          <t>2007-04-19</t>
        </is>
      </c>
      <c r="X1324" t="inlineStr">
        <is>
          <t>2007-04-19</t>
        </is>
      </c>
      <c r="Y1324" t="n">
        <v>44</v>
      </c>
      <c r="Z1324" t="n">
        <v>28</v>
      </c>
      <c r="AA1324" t="n">
        <v>29</v>
      </c>
      <c r="AB1324" t="n">
        <v>1</v>
      </c>
      <c r="AC1324" t="n">
        <v>1</v>
      </c>
      <c r="AD1324" t="n">
        <v>0</v>
      </c>
      <c r="AE1324" t="n">
        <v>0</v>
      </c>
      <c r="AF1324" t="n">
        <v>0</v>
      </c>
      <c r="AG1324" t="n">
        <v>0</v>
      </c>
      <c r="AH1324" t="n">
        <v>0</v>
      </c>
      <c r="AI1324" t="n">
        <v>0</v>
      </c>
      <c r="AJ1324" t="n">
        <v>0</v>
      </c>
      <c r="AK1324" t="n">
        <v>0</v>
      </c>
      <c r="AL1324" t="n">
        <v>0</v>
      </c>
      <c r="AM1324" t="n">
        <v>0</v>
      </c>
      <c r="AN1324" t="n">
        <v>0</v>
      </c>
      <c r="AO1324" t="n">
        <v>0</v>
      </c>
      <c r="AP1324" t="inlineStr">
        <is>
          <t>No</t>
        </is>
      </c>
      <c r="AQ1324" t="inlineStr">
        <is>
          <t>Yes</t>
        </is>
      </c>
      <c r="AR1324">
        <f>HYPERLINK("http://catalog.hathitrust.org/Record/003594790","HathiTrust Record")</f>
        <v/>
      </c>
      <c r="AS1324">
        <f>HYPERLINK("https://creighton-primo.hosted.exlibrisgroup.com/primo-explore/search?tab=default_tab&amp;search_scope=EVERYTHING&amp;vid=01CRU&amp;lang=en_US&amp;offset=0&amp;query=any,contains,991005074589702656","Catalog Record")</f>
        <v/>
      </c>
      <c r="AT1324">
        <f>HYPERLINK("http://www.worldcat.org/oclc/42627163","WorldCat Record")</f>
        <v/>
      </c>
      <c r="AU1324" t="inlineStr">
        <is>
          <t>3373562567:chi</t>
        </is>
      </c>
      <c r="AV1324" t="inlineStr">
        <is>
          <t>42627163</t>
        </is>
      </c>
      <c r="AW1324" t="inlineStr">
        <is>
          <t>991005074589702656</t>
        </is>
      </c>
      <c r="AX1324" t="inlineStr">
        <is>
          <t>991005074589702656</t>
        </is>
      </c>
      <c r="AY1324" t="inlineStr">
        <is>
          <t>2264600070002656</t>
        </is>
      </c>
      <c r="AZ1324" t="inlineStr">
        <is>
          <t>BOOK</t>
        </is>
      </c>
      <c r="BB1324" t="inlineStr">
        <is>
          <t>9789570232547</t>
        </is>
      </c>
      <c r="BC1324" t="inlineStr">
        <is>
          <t>32285005288807</t>
        </is>
      </c>
      <c r="BD1324" t="inlineStr">
        <is>
          <t>893600563</t>
        </is>
      </c>
    </row>
    <row r="1325">
      <c r="A1325" t="inlineStr">
        <is>
          <t>No</t>
        </is>
      </c>
      <c r="B1325" t="inlineStr">
        <is>
          <t>DS525.33 .S5 1982</t>
        </is>
      </c>
      <c r="C1325" t="inlineStr">
        <is>
          <t>0                      DS 0525330S  5           1982</t>
        </is>
      </c>
      <c r="D1325" t="inlineStr">
        <is>
          <t>The ASEAN states and regional security / Sheldon W. Simon.</t>
        </is>
      </c>
      <c r="F1325" t="inlineStr">
        <is>
          <t>No</t>
        </is>
      </c>
      <c r="G1325" t="inlineStr">
        <is>
          <t>1</t>
        </is>
      </c>
      <c r="H1325" t="inlineStr">
        <is>
          <t>No</t>
        </is>
      </c>
      <c r="I1325" t="inlineStr">
        <is>
          <t>No</t>
        </is>
      </c>
      <c r="J1325" t="inlineStr">
        <is>
          <t>0</t>
        </is>
      </c>
      <c r="K1325" t="inlineStr">
        <is>
          <t>Simon, Sheldon W., 1937-</t>
        </is>
      </c>
      <c r="L1325" t="inlineStr">
        <is>
          <t>Stanford, Calif. : Hoover Institution Press, c1982.</t>
        </is>
      </c>
      <c r="M1325" t="inlineStr">
        <is>
          <t>1982</t>
        </is>
      </c>
      <c r="O1325" t="inlineStr">
        <is>
          <t>eng</t>
        </is>
      </c>
      <c r="P1325" t="inlineStr">
        <is>
          <t>cau</t>
        </is>
      </c>
      <c r="Q1325" t="inlineStr">
        <is>
          <t>Hoover Press publication ; 267</t>
        </is>
      </c>
      <c r="R1325" t="inlineStr">
        <is>
          <t xml:space="preserve">DS </t>
        </is>
      </c>
      <c r="S1325" t="n">
        <v>7</v>
      </c>
      <c r="T1325" t="n">
        <v>7</v>
      </c>
      <c r="U1325" t="inlineStr">
        <is>
          <t>1995-09-28</t>
        </is>
      </c>
      <c r="V1325" t="inlineStr">
        <is>
          <t>1995-09-28</t>
        </is>
      </c>
      <c r="W1325" t="inlineStr">
        <is>
          <t>1990-10-09</t>
        </is>
      </c>
      <c r="X1325" t="inlineStr">
        <is>
          <t>1990-10-09</t>
        </is>
      </c>
      <c r="Y1325" t="n">
        <v>359</v>
      </c>
      <c r="Z1325" t="n">
        <v>245</v>
      </c>
      <c r="AA1325" t="n">
        <v>251</v>
      </c>
      <c r="AB1325" t="n">
        <v>2</v>
      </c>
      <c r="AC1325" t="n">
        <v>2</v>
      </c>
      <c r="AD1325" t="n">
        <v>13</v>
      </c>
      <c r="AE1325" t="n">
        <v>13</v>
      </c>
      <c r="AF1325" t="n">
        <v>6</v>
      </c>
      <c r="AG1325" t="n">
        <v>6</v>
      </c>
      <c r="AH1325" t="n">
        <v>2</v>
      </c>
      <c r="AI1325" t="n">
        <v>2</v>
      </c>
      <c r="AJ1325" t="n">
        <v>8</v>
      </c>
      <c r="AK1325" t="n">
        <v>8</v>
      </c>
      <c r="AL1325" t="n">
        <v>1</v>
      </c>
      <c r="AM1325" t="n">
        <v>1</v>
      </c>
      <c r="AN1325" t="n">
        <v>0</v>
      </c>
      <c r="AO1325" t="n">
        <v>0</v>
      </c>
      <c r="AP1325" t="inlineStr">
        <is>
          <t>No</t>
        </is>
      </c>
      <c r="AQ1325" t="inlineStr">
        <is>
          <t>Yes</t>
        </is>
      </c>
      <c r="AR1325">
        <f>HYPERLINK("http://catalog.hathitrust.org/Record/000268910","HathiTrust Record")</f>
        <v/>
      </c>
      <c r="AS1325">
        <f>HYPERLINK("https://creighton-primo.hosted.exlibrisgroup.com/primo-explore/search?tab=default_tab&amp;search_scope=EVERYTHING&amp;vid=01CRU&amp;lang=en_US&amp;offset=0&amp;query=any,contains,991000058039702656","Catalog Record")</f>
        <v/>
      </c>
      <c r="AT1325">
        <f>HYPERLINK("http://www.worldcat.org/oclc/8712663","WorldCat Record")</f>
        <v/>
      </c>
      <c r="AU1325" t="inlineStr">
        <is>
          <t>482336:eng</t>
        </is>
      </c>
      <c r="AV1325" t="inlineStr">
        <is>
          <t>8712663</t>
        </is>
      </c>
      <c r="AW1325" t="inlineStr">
        <is>
          <t>991000058039702656</t>
        </is>
      </c>
      <c r="AX1325" t="inlineStr">
        <is>
          <t>991000058039702656</t>
        </is>
      </c>
      <c r="AY1325" t="inlineStr">
        <is>
          <t>2271819360002656</t>
        </is>
      </c>
      <c r="AZ1325" t="inlineStr">
        <is>
          <t>BOOK</t>
        </is>
      </c>
      <c r="BB1325" t="inlineStr">
        <is>
          <t>9780817976729</t>
        </is>
      </c>
      <c r="BC1325" t="inlineStr">
        <is>
          <t>32285000337211</t>
        </is>
      </c>
      <c r="BD1325" t="inlineStr">
        <is>
          <t>893620137</t>
        </is>
      </c>
    </row>
    <row r="1326">
      <c r="A1326" t="inlineStr">
        <is>
          <t>No</t>
        </is>
      </c>
      <c r="B1326" t="inlineStr">
        <is>
          <t>DS525.7 .E84 1986</t>
        </is>
      </c>
      <c r="C1326" t="inlineStr">
        <is>
          <t>0                      DS 0525700E  84          1986</t>
        </is>
      </c>
      <c r="D1326" t="inlineStr">
        <is>
          <t>"How the dominoes fell" : Southeast Asia in perspective / John H. Esterline and Mae H. Esterline.</t>
        </is>
      </c>
      <c r="F1326" t="inlineStr">
        <is>
          <t>No</t>
        </is>
      </c>
      <c r="G1326" t="inlineStr">
        <is>
          <t>1</t>
        </is>
      </c>
      <c r="H1326" t="inlineStr">
        <is>
          <t>No</t>
        </is>
      </c>
      <c r="I1326" t="inlineStr">
        <is>
          <t>No</t>
        </is>
      </c>
      <c r="J1326" t="inlineStr">
        <is>
          <t>0</t>
        </is>
      </c>
      <c r="K1326" t="inlineStr">
        <is>
          <t>Esterline, John H.</t>
        </is>
      </c>
      <c r="L1326" t="inlineStr">
        <is>
          <t>Lanham, MD : Hamilton Press, c1986.</t>
        </is>
      </c>
      <c r="M1326" t="inlineStr">
        <is>
          <t>1986</t>
        </is>
      </c>
      <c r="O1326" t="inlineStr">
        <is>
          <t>eng</t>
        </is>
      </c>
      <c r="P1326" t="inlineStr">
        <is>
          <t>mdu</t>
        </is>
      </c>
      <c r="R1326" t="inlineStr">
        <is>
          <t xml:space="preserve">DS </t>
        </is>
      </c>
      <c r="S1326" t="n">
        <v>5</v>
      </c>
      <c r="T1326" t="n">
        <v>5</v>
      </c>
      <c r="U1326" t="inlineStr">
        <is>
          <t>1995-09-28</t>
        </is>
      </c>
      <c r="V1326" t="inlineStr">
        <is>
          <t>1995-09-28</t>
        </is>
      </c>
      <c r="W1326" t="inlineStr">
        <is>
          <t>1990-10-09</t>
        </is>
      </c>
      <c r="X1326" t="inlineStr">
        <is>
          <t>1990-10-09</t>
        </is>
      </c>
      <c r="Y1326" t="n">
        <v>454</v>
      </c>
      <c r="Z1326" t="n">
        <v>378</v>
      </c>
      <c r="AA1326" t="n">
        <v>459</v>
      </c>
      <c r="AB1326" t="n">
        <v>3</v>
      </c>
      <c r="AC1326" t="n">
        <v>3</v>
      </c>
      <c r="AD1326" t="n">
        <v>16</v>
      </c>
      <c r="AE1326" t="n">
        <v>20</v>
      </c>
      <c r="AF1326" t="n">
        <v>5</v>
      </c>
      <c r="AG1326" t="n">
        <v>6</v>
      </c>
      <c r="AH1326" t="n">
        <v>4</v>
      </c>
      <c r="AI1326" t="n">
        <v>6</v>
      </c>
      <c r="AJ1326" t="n">
        <v>12</v>
      </c>
      <c r="AK1326" t="n">
        <v>15</v>
      </c>
      <c r="AL1326" t="n">
        <v>2</v>
      </c>
      <c r="AM1326" t="n">
        <v>2</v>
      </c>
      <c r="AN1326" t="n">
        <v>0</v>
      </c>
      <c r="AO1326" t="n">
        <v>0</v>
      </c>
      <c r="AP1326" t="inlineStr">
        <is>
          <t>No</t>
        </is>
      </c>
      <c r="AQ1326" t="inlineStr">
        <is>
          <t>Yes</t>
        </is>
      </c>
      <c r="AR1326">
        <f>HYPERLINK("http://catalog.hathitrust.org/Record/000394876","HathiTrust Record")</f>
        <v/>
      </c>
      <c r="AS1326">
        <f>HYPERLINK("https://creighton-primo.hosted.exlibrisgroup.com/primo-explore/search?tab=default_tab&amp;search_scope=EVERYTHING&amp;vid=01CRU&amp;lang=en_US&amp;offset=0&amp;query=any,contains,991000760179702656","Catalog Record")</f>
        <v/>
      </c>
      <c r="AT1326">
        <f>HYPERLINK("http://www.worldcat.org/oclc/12972607","WorldCat Record")</f>
        <v/>
      </c>
      <c r="AU1326" t="inlineStr">
        <is>
          <t>3223276:eng</t>
        </is>
      </c>
      <c r="AV1326" t="inlineStr">
        <is>
          <t>12972607</t>
        </is>
      </c>
      <c r="AW1326" t="inlineStr">
        <is>
          <t>991000760179702656</t>
        </is>
      </c>
      <c r="AX1326" t="inlineStr">
        <is>
          <t>991000760179702656</t>
        </is>
      </c>
      <c r="AY1326" t="inlineStr">
        <is>
          <t>2263924440002656</t>
        </is>
      </c>
      <c r="AZ1326" t="inlineStr">
        <is>
          <t>BOOK</t>
        </is>
      </c>
      <c r="BB1326" t="inlineStr">
        <is>
          <t>9780819151117</t>
        </is>
      </c>
      <c r="BC1326" t="inlineStr">
        <is>
          <t>32285000337229</t>
        </is>
      </c>
      <c r="BD1326" t="inlineStr">
        <is>
          <t>893790828</t>
        </is>
      </c>
    </row>
    <row r="1327">
      <c r="A1327" t="inlineStr">
        <is>
          <t>No</t>
        </is>
      </c>
      <c r="B1327" t="inlineStr">
        <is>
          <t>DS525.9.U6 H47 1987</t>
        </is>
      </c>
      <c r="C1327" t="inlineStr">
        <is>
          <t>0                      DS 0525900U  6                  H  47          1987</t>
        </is>
      </c>
      <c r="D1327" t="inlineStr">
        <is>
          <t>The United States' emergence as a Southeast Asian power, 1940-1950 / Gary R. Hess.</t>
        </is>
      </c>
      <c r="F1327" t="inlineStr">
        <is>
          <t>No</t>
        </is>
      </c>
      <c r="G1327" t="inlineStr">
        <is>
          <t>1</t>
        </is>
      </c>
      <c r="H1327" t="inlineStr">
        <is>
          <t>No</t>
        </is>
      </c>
      <c r="I1327" t="inlineStr">
        <is>
          <t>No</t>
        </is>
      </c>
      <c r="J1327" t="inlineStr">
        <is>
          <t>0</t>
        </is>
      </c>
      <c r="K1327" t="inlineStr">
        <is>
          <t>Hess, Gary R.</t>
        </is>
      </c>
      <c r="L1327" t="inlineStr">
        <is>
          <t>New York : Columbia University, 1987.</t>
        </is>
      </c>
      <c r="M1327" t="inlineStr">
        <is>
          <t>1987</t>
        </is>
      </c>
      <c r="O1327" t="inlineStr">
        <is>
          <t>eng</t>
        </is>
      </c>
      <c r="P1327" t="inlineStr">
        <is>
          <t>nyu</t>
        </is>
      </c>
      <c r="R1327" t="inlineStr">
        <is>
          <t xml:space="preserve">DS </t>
        </is>
      </c>
      <c r="S1327" t="n">
        <v>4</v>
      </c>
      <c r="T1327" t="n">
        <v>4</v>
      </c>
      <c r="U1327" t="inlineStr">
        <is>
          <t>2005-03-17</t>
        </is>
      </c>
      <c r="V1327" t="inlineStr">
        <is>
          <t>2005-03-17</t>
        </is>
      </c>
      <c r="W1327" t="inlineStr">
        <is>
          <t>1990-10-09</t>
        </is>
      </c>
      <c r="X1327" t="inlineStr">
        <is>
          <t>1990-10-09</t>
        </is>
      </c>
      <c r="Y1327" t="n">
        <v>556</v>
      </c>
      <c r="Z1327" t="n">
        <v>449</v>
      </c>
      <c r="AA1327" t="n">
        <v>457</v>
      </c>
      <c r="AB1327" t="n">
        <v>4</v>
      </c>
      <c r="AC1327" t="n">
        <v>4</v>
      </c>
      <c r="AD1327" t="n">
        <v>29</v>
      </c>
      <c r="AE1327" t="n">
        <v>29</v>
      </c>
      <c r="AF1327" t="n">
        <v>9</v>
      </c>
      <c r="AG1327" t="n">
        <v>9</v>
      </c>
      <c r="AH1327" t="n">
        <v>9</v>
      </c>
      <c r="AI1327" t="n">
        <v>9</v>
      </c>
      <c r="AJ1327" t="n">
        <v>18</v>
      </c>
      <c r="AK1327" t="n">
        <v>18</v>
      </c>
      <c r="AL1327" t="n">
        <v>3</v>
      </c>
      <c r="AM1327" t="n">
        <v>3</v>
      </c>
      <c r="AN1327" t="n">
        <v>0</v>
      </c>
      <c r="AO1327" t="n">
        <v>0</v>
      </c>
      <c r="AP1327" t="inlineStr">
        <is>
          <t>No</t>
        </is>
      </c>
      <c r="AQ1327" t="inlineStr">
        <is>
          <t>No</t>
        </is>
      </c>
      <c r="AS1327">
        <f>HYPERLINK("https://creighton-primo.hosted.exlibrisgroup.com/primo-explore/search?tab=default_tab&amp;search_scope=EVERYTHING&amp;vid=01CRU&amp;lang=en_US&amp;offset=0&amp;query=any,contains,991000897599702656","Catalog Record")</f>
        <v/>
      </c>
      <c r="AT1327">
        <f>HYPERLINK("http://www.worldcat.org/oclc/14002068","WorldCat Record")</f>
        <v/>
      </c>
      <c r="AU1327" t="inlineStr">
        <is>
          <t>6844309:eng</t>
        </is>
      </c>
      <c r="AV1327" t="inlineStr">
        <is>
          <t>14002068</t>
        </is>
      </c>
      <c r="AW1327" t="inlineStr">
        <is>
          <t>991000897599702656</t>
        </is>
      </c>
      <c r="AX1327" t="inlineStr">
        <is>
          <t>991000897599702656</t>
        </is>
      </c>
      <c r="AY1327" t="inlineStr">
        <is>
          <t>2257152480002656</t>
        </is>
      </c>
      <c r="AZ1327" t="inlineStr">
        <is>
          <t>BOOK</t>
        </is>
      </c>
      <c r="BB1327" t="inlineStr">
        <is>
          <t>9780231061902</t>
        </is>
      </c>
      <c r="BC1327" t="inlineStr">
        <is>
          <t>32285000337245</t>
        </is>
      </c>
      <c r="BD1327" t="inlineStr">
        <is>
          <t>893808864</t>
        </is>
      </c>
    </row>
    <row r="1328">
      <c r="A1328" t="inlineStr">
        <is>
          <t>No</t>
        </is>
      </c>
      <c r="B1328" t="inlineStr">
        <is>
          <t>DS526.7 .A59 1990</t>
        </is>
      </c>
      <c r="C1328" t="inlineStr">
        <is>
          <t>0                      DS 0526700A  59          1990</t>
        </is>
      </c>
      <c r="D1328" t="inlineStr">
        <is>
          <t>ASEAN and the diplomacy of accommodation / Michael Antolik.</t>
        </is>
      </c>
      <c r="F1328" t="inlineStr">
        <is>
          <t>No</t>
        </is>
      </c>
      <c r="G1328" t="inlineStr">
        <is>
          <t>1</t>
        </is>
      </c>
      <c r="H1328" t="inlineStr">
        <is>
          <t>No</t>
        </is>
      </c>
      <c r="I1328" t="inlineStr">
        <is>
          <t>No</t>
        </is>
      </c>
      <c r="J1328" t="inlineStr">
        <is>
          <t>0</t>
        </is>
      </c>
      <c r="K1328" t="inlineStr">
        <is>
          <t>Antolik, Michael, 1948-</t>
        </is>
      </c>
      <c r="L1328" t="inlineStr">
        <is>
          <t>Armonk, N.Y. : M.E. Sharpe, c1990.</t>
        </is>
      </c>
      <c r="M1328" t="inlineStr">
        <is>
          <t>1990</t>
        </is>
      </c>
      <c r="O1328" t="inlineStr">
        <is>
          <t>eng</t>
        </is>
      </c>
      <c r="P1328" t="inlineStr">
        <is>
          <t>nyu</t>
        </is>
      </c>
      <c r="R1328" t="inlineStr">
        <is>
          <t xml:space="preserve">DS </t>
        </is>
      </c>
      <c r="S1328" t="n">
        <v>7</v>
      </c>
      <c r="T1328" t="n">
        <v>7</v>
      </c>
      <c r="U1328" t="inlineStr">
        <is>
          <t>2005-04-18</t>
        </is>
      </c>
      <c r="V1328" t="inlineStr">
        <is>
          <t>2005-04-18</t>
        </is>
      </c>
      <c r="W1328" t="inlineStr">
        <is>
          <t>1996-05-21</t>
        </is>
      </c>
      <c r="X1328" t="inlineStr">
        <is>
          <t>1996-05-21</t>
        </is>
      </c>
      <c r="Y1328" t="n">
        <v>306</v>
      </c>
      <c r="Z1328" t="n">
        <v>219</v>
      </c>
      <c r="AA1328" t="n">
        <v>232</v>
      </c>
      <c r="AB1328" t="n">
        <v>2</v>
      </c>
      <c r="AC1328" t="n">
        <v>2</v>
      </c>
      <c r="AD1328" t="n">
        <v>12</v>
      </c>
      <c r="AE1328" t="n">
        <v>12</v>
      </c>
      <c r="AF1328" t="n">
        <v>2</v>
      </c>
      <c r="AG1328" t="n">
        <v>2</v>
      </c>
      <c r="AH1328" t="n">
        <v>3</v>
      </c>
      <c r="AI1328" t="n">
        <v>3</v>
      </c>
      <c r="AJ1328" t="n">
        <v>10</v>
      </c>
      <c r="AK1328" t="n">
        <v>10</v>
      </c>
      <c r="AL1328" t="n">
        <v>1</v>
      </c>
      <c r="AM1328" t="n">
        <v>1</v>
      </c>
      <c r="AN1328" t="n">
        <v>0</v>
      </c>
      <c r="AO1328" t="n">
        <v>0</v>
      </c>
      <c r="AP1328" t="inlineStr">
        <is>
          <t>No</t>
        </is>
      </c>
      <c r="AQ1328" t="inlineStr">
        <is>
          <t>Yes</t>
        </is>
      </c>
      <c r="AR1328">
        <f>HYPERLINK("http://catalog.hathitrust.org/Record/002427970","HathiTrust Record")</f>
        <v/>
      </c>
      <c r="AS1328">
        <f>HYPERLINK("https://creighton-primo.hosted.exlibrisgroup.com/primo-explore/search?tab=default_tab&amp;search_scope=EVERYTHING&amp;vid=01CRU&amp;lang=en_US&amp;offset=0&amp;query=any,contains,991001619219702656","Catalog Record")</f>
        <v/>
      </c>
      <c r="AT1328">
        <f>HYPERLINK("http://www.worldcat.org/oclc/20800516","WorldCat Record")</f>
        <v/>
      </c>
      <c r="AU1328" t="inlineStr">
        <is>
          <t>21984974:eng</t>
        </is>
      </c>
      <c r="AV1328" t="inlineStr">
        <is>
          <t>20800516</t>
        </is>
      </c>
      <c r="AW1328" t="inlineStr">
        <is>
          <t>991001619219702656</t>
        </is>
      </c>
      <c r="AX1328" t="inlineStr">
        <is>
          <t>991001619219702656</t>
        </is>
      </c>
      <c r="AY1328" t="inlineStr">
        <is>
          <t>2255608870002656</t>
        </is>
      </c>
      <c r="AZ1328" t="inlineStr">
        <is>
          <t>BOOK</t>
        </is>
      </c>
      <c r="BB1328" t="inlineStr">
        <is>
          <t>9780873326308</t>
        </is>
      </c>
      <c r="BC1328" t="inlineStr">
        <is>
          <t>32285002176211</t>
        </is>
      </c>
      <c r="BD1328" t="inlineStr">
        <is>
          <t>893866335</t>
        </is>
      </c>
    </row>
    <row r="1329">
      <c r="A1329" t="inlineStr">
        <is>
          <t>No</t>
        </is>
      </c>
      <c r="B1329" t="inlineStr">
        <is>
          <t>DS530 .T43 2006</t>
        </is>
      </c>
      <c r="C1329" t="inlineStr">
        <is>
          <t>0                      DS 0530000T  43          2006</t>
        </is>
      </c>
      <c r="D1329" t="inlineStr">
        <is>
          <t>The river of lost footsteps : histories of Burma / Thant Myint-U.</t>
        </is>
      </c>
      <c r="F1329" t="inlineStr">
        <is>
          <t>No</t>
        </is>
      </c>
      <c r="G1329" t="inlineStr">
        <is>
          <t>1</t>
        </is>
      </c>
      <c r="H1329" t="inlineStr">
        <is>
          <t>No</t>
        </is>
      </c>
      <c r="I1329" t="inlineStr">
        <is>
          <t>No</t>
        </is>
      </c>
      <c r="J1329" t="inlineStr">
        <is>
          <t>0</t>
        </is>
      </c>
      <c r="K1329" t="inlineStr">
        <is>
          <t>Thant Myint-U.</t>
        </is>
      </c>
      <c r="L1329" t="inlineStr">
        <is>
          <t>New York : Farrar, Straus and Giroux, 2006.</t>
        </is>
      </c>
      <c r="M1329" t="inlineStr">
        <is>
          <t>2006</t>
        </is>
      </c>
      <c r="N1329" t="inlineStr">
        <is>
          <t>1st ed.</t>
        </is>
      </c>
      <c r="O1329" t="inlineStr">
        <is>
          <t>eng</t>
        </is>
      </c>
      <c r="P1329" t="inlineStr">
        <is>
          <t>nyu</t>
        </is>
      </c>
      <c r="R1329" t="inlineStr">
        <is>
          <t xml:space="preserve">DS </t>
        </is>
      </c>
      <c r="S1329" t="n">
        <v>3</v>
      </c>
      <c r="T1329" t="n">
        <v>3</v>
      </c>
      <c r="U1329" t="inlineStr">
        <is>
          <t>2009-06-11</t>
        </is>
      </c>
      <c r="V1329" t="inlineStr">
        <is>
          <t>2009-06-11</t>
        </is>
      </c>
      <c r="W1329" t="inlineStr">
        <is>
          <t>2007-01-04</t>
        </is>
      </c>
      <c r="X1329" t="inlineStr">
        <is>
          <t>2007-01-04</t>
        </is>
      </c>
      <c r="Y1329" t="n">
        <v>896</v>
      </c>
      <c r="Z1329" t="n">
        <v>824</v>
      </c>
      <c r="AA1329" t="n">
        <v>934</v>
      </c>
      <c r="AB1329" t="n">
        <v>7</v>
      </c>
      <c r="AC1329" t="n">
        <v>7</v>
      </c>
      <c r="AD1329" t="n">
        <v>24</v>
      </c>
      <c r="AE1329" t="n">
        <v>26</v>
      </c>
      <c r="AF1329" t="n">
        <v>10</v>
      </c>
      <c r="AG1329" t="n">
        <v>10</v>
      </c>
      <c r="AH1329" t="n">
        <v>6</v>
      </c>
      <c r="AI1329" t="n">
        <v>6</v>
      </c>
      <c r="AJ1329" t="n">
        <v>11</v>
      </c>
      <c r="AK1329" t="n">
        <v>13</v>
      </c>
      <c r="AL1329" t="n">
        <v>4</v>
      </c>
      <c r="AM1329" t="n">
        <v>4</v>
      </c>
      <c r="AN1329" t="n">
        <v>0</v>
      </c>
      <c r="AO1329" t="n">
        <v>0</v>
      </c>
      <c r="AP1329" t="inlineStr">
        <is>
          <t>No</t>
        </is>
      </c>
      <c r="AQ1329" t="inlineStr">
        <is>
          <t>No</t>
        </is>
      </c>
      <c r="AS1329">
        <f>HYPERLINK("https://creighton-primo.hosted.exlibrisgroup.com/primo-explore/search?tab=default_tab&amp;search_scope=EVERYTHING&amp;vid=01CRU&amp;lang=en_US&amp;offset=0&amp;query=any,contains,991004957379702656","Catalog Record")</f>
        <v/>
      </c>
      <c r="AT1329">
        <f>HYPERLINK("http://www.worldcat.org/oclc/65064707","WorldCat Record")</f>
        <v/>
      </c>
      <c r="AU1329" t="inlineStr">
        <is>
          <t>287938777:eng</t>
        </is>
      </c>
      <c r="AV1329" t="inlineStr">
        <is>
          <t>65064707</t>
        </is>
      </c>
      <c r="AW1329" t="inlineStr">
        <is>
          <t>991004957379702656</t>
        </is>
      </c>
      <c r="AX1329" t="inlineStr">
        <is>
          <t>991004957379702656</t>
        </is>
      </c>
      <c r="AY1329" t="inlineStr">
        <is>
          <t>2257400760002656</t>
        </is>
      </c>
      <c r="AZ1329" t="inlineStr">
        <is>
          <t>BOOK</t>
        </is>
      </c>
      <c r="BB1329" t="inlineStr">
        <is>
          <t>9780374163426</t>
        </is>
      </c>
      <c r="BC1329" t="inlineStr">
        <is>
          <t>32285005268585</t>
        </is>
      </c>
      <c r="BD1329" t="inlineStr">
        <is>
          <t>893625285</t>
        </is>
      </c>
    </row>
    <row r="1330">
      <c r="A1330" t="inlineStr">
        <is>
          <t>No</t>
        </is>
      </c>
      <c r="B1330" t="inlineStr">
        <is>
          <t>DS530.4 .B867 1997</t>
        </is>
      </c>
      <c r="C1330" t="inlineStr">
        <is>
          <t>0                      DS 0530400B  867         1997</t>
        </is>
      </c>
      <c r="D1330" t="inlineStr">
        <is>
          <t>Burma : the challenge of change in a divided society / edited by Peter Carey ; foreword by Aung San Suu Kyi.</t>
        </is>
      </c>
      <c r="F1330" t="inlineStr">
        <is>
          <t>No</t>
        </is>
      </c>
      <c r="G1330" t="inlineStr">
        <is>
          <t>1</t>
        </is>
      </c>
      <c r="H1330" t="inlineStr">
        <is>
          <t>No</t>
        </is>
      </c>
      <c r="I1330" t="inlineStr">
        <is>
          <t>No</t>
        </is>
      </c>
      <c r="J1330" t="inlineStr">
        <is>
          <t>0</t>
        </is>
      </c>
      <c r="L1330" t="inlineStr">
        <is>
          <t>Houndmills, Basingstoke, Hampshire : Macmillan Press ; New York : St. Martin's Press, 1997.</t>
        </is>
      </c>
      <c r="M1330" t="inlineStr">
        <is>
          <t>1997</t>
        </is>
      </c>
      <c r="O1330" t="inlineStr">
        <is>
          <t>eng</t>
        </is>
      </c>
      <c r="P1330" t="inlineStr">
        <is>
          <t>enk</t>
        </is>
      </c>
      <c r="Q1330" t="inlineStr">
        <is>
          <t>St. Antony's series</t>
        </is>
      </c>
      <c r="R1330" t="inlineStr">
        <is>
          <t xml:space="preserve">DS </t>
        </is>
      </c>
      <c r="S1330" t="n">
        <v>2</v>
      </c>
      <c r="T1330" t="n">
        <v>2</v>
      </c>
      <c r="U1330" t="inlineStr">
        <is>
          <t>2007-04-04</t>
        </is>
      </c>
      <c r="V1330" t="inlineStr">
        <is>
          <t>2007-04-04</t>
        </is>
      </c>
      <c r="W1330" t="inlineStr">
        <is>
          <t>1998-11-02</t>
        </is>
      </c>
      <c r="X1330" t="inlineStr">
        <is>
          <t>1998-11-02</t>
        </is>
      </c>
      <c r="Y1330" t="n">
        <v>283</v>
      </c>
      <c r="Z1330" t="n">
        <v>211</v>
      </c>
      <c r="AA1330" t="n">
        <v>234</v>
      </c>
      <c r="AB1330" t="n">
        <v>2</v>
      </c>
      <c r="AC1330" t="n">
        <v>2</v>
      </c>
      <c r="AD1330" t="n">
        <v>9</v>
      </c>
      <c r="AE1330" t="n">
        <v>9</v>
      </c>
      <c r="AF1330" t="n">
        <v>3</v>
      </c>
      <c r="AG1330" t="n">
        <v>3</v>
      </c>
      <c r="AH1330" t="n">
        <v>3</v>
      </c>
      <c r="AI1330" t="n">
        <v>3</v>
      </c>
      <c r="AJ1330" t="n">
        <v>6</v>
      </c>
      <c r="AK1330" t="n">
        <v>6</v>
      </c>
      <c r="AL1330" t="n">
        <v>1</v>
      </c>
      <c r="AM1330" t="n">
        <v>1</v>
      </c>
      <c r="AN1330" t="n">
        <v>0</v>
      </c>
      <c r="AO1330" t="n">
        <v>0</v>
      </c>
      <c r="AP1330" t="inlineStr">
        <is>
          <t>No</t>
        </is>
      </c>
      <c r="AQ1330" t="inlineStr">
        <is>
          <t>No</t>
        </is>
      </c>
      <c r="AS1330">
        <f>HYPERLINK("https://creighton-primo.hosted.exlibrisgroup.com/primo-explore/search?tab=default_tab&amp;search_scope=EVERYTHING&amp;vid=01CRU&amp;lang=en_US&amp;offset=0&amp;query=any,contains,991002754379702656","Catalog Record")</f>
        <v/>
      </c>
      <c r="AT1330">
        <f>HYPERLINK("http://www.worldcat.org/oclc/36133265","WorldCat Record")</f>
        <v/>
      </c>
      <c r="AU1330" t="inlineStr">
        <is>
          <t>837055423:eng</t>
        </is>
      </c>
      <c r="AV1330" t="inlineStr">
        <is>
          <t>36133265</t>
        </is>
      </c>
      <c r="AW1330" t="inlineStr">
        <is>
          <t>991002754379702656</t>
        </is>
      </c>
      <c r="AX1330" t="inlineStr">
        <is>
          <t>991002754379702656</t>
        </is>
      </c>
      <c r="AY1330" t="inlineStr">
        <is>
          <t>2261934560002656</t>
        </is>
      </c>
      <c r="AZ1330" t="inlineStr">
        <is>
          <t>BOOK</t>
        </is>
      </c>
      <c r="BB1330" t="inlineStr">
        <is>
          <t>9780312174224</t>
        </is>
      </c>
      <c r="BC1330" t="inlineStr">
        <is>
          <t>32285003479184</t>
        </is>
      </c>
      <c r="BD1330" t="inlineStr">
        <is>
          <t>893517705</t>
        </is>
      </c>
    </row>
    <row r="1331">
      <c r="A1331" t="inlineStr">
        <is>
          <t>No</t>
        </is>
      </c>
      <c r="B1331" t="inlineStr">
        <is>
          <t>DS530.65 .S74 2001</t>
        </is>
      </c>
      <c r="C1331" t="inlineStr">
        <is>
          <t>0                      DS 0530650S  74          2001</t>
        </is>
      </c>
      <c r="D1331" t="inlineStr">
        <is>
          <t>Burma, the state of Myanmar / David I. Steinberg.</t>
        </is>
      </c>
      <c r="F1331" t="inlineStr">
        <is>
          <t>No</t>
        </is>
      </c>
      <c r="G1331" t="inlineStr">
        <is>
          <t>1</t>
        </is>
      </c>
      <c r="H1331" t="inlineStr">
        <is>
          <t>No</t>
        </is>
      </c>
      <c r="I1331" t="inlineStr">
        <is>
          <t>No</t>
        </is>
      </c>
      <c r="J1331" t="inlineStr">
        <is>
          <t>0</t>
        </is>
      </c>
      <c r="K1331" t="inlineStr">
        <is>
          <t>Steinberg, David I., 1928-</t>
        </is>
      </c>
      <c r="L1331" t="inlineStr">
        <is>
          <t>Washington, D.C. : Georgetown University Press, c2001.</t>
        </is>
      </c>
      <c r="M1331" t="inlineStr">
        <is>
          <t>2001</t>
        </is>
      </c>
      <c r="O1331" t="inlineStr">
        <is>
          <t>eng</t>
        </is>
      </c>
      <c r="P1331" t="inlineStr">
        <is>
          <t>dcu</t>
        </is>
      </c>
      <c r="R1331" t="inlineStr">
        <is>
          <t xml:space="preserve">DS </t>
        </is>
      </c>
      <c r="S1331" t="n">
        <v>2</v>
      </c>
      <c r="T1331" t="n">
        <v>2</v>
      </c>
      <c r="U1331" t="inlineStr">
        <is>
          <t>2008-11-16</t>
        </is>
      </c>
      <c r="V1331" t="inlineStr">
        <is>
          <t>2008-11-16</t>
        </is>
      </c>
      <c r="W1331" t="inlineStr">
        <is>
          <t>2008-01-10</t>
        </is>
      </c>
      <c r="X1331" t="inlineStr">
        <is>
          <t>2008-01-10</t>
        </is>
      </c>
      <c r="Y1331" t="n">
        <v>410</v>
      </c>
      <c r="Z1331" t="n">
        <v>339</v>
      </c>
      <c r="AA1331" t="n">
        <v>370</v>
      </c>
      <c r="AB1331" t="n">
        <v>5</v>
      </c>
      <c r="AC1331" t="n">
        <v>5</v>
      </c>
      <c r="AD1331" t="n">
        <v>21</v>
      </c>
      <c r="AE1331" t="n">
        <v>23</v>
      </c>
      <c r="AF1331" t="n">
        <v>8</v>
      </c>
      <c r="AG1331" t="n">
        <v>10</v>
      </c>
      <c r="AH1331" t="n">
        <v>5</v>
      </c>
      <c r="AI1331" t="n">
        <v>6</v>
      </c>
      <c r="AJ1331" t="n">
        <v>11</v>
      </c>
      <c r="AK1331" t="n">
        <v>12</v>
      </c>
      <c r="AL1331" t="n">
        <v>3</v>
      </c>
      <c r="AM1331" t="n">
        <v>3</v>
      </c>
      <c r="AN1331" t="n">
        <v>0</v>
      </c>
      <c r="AO1331" t="n">
        <v>0</v>
      </c>
      <c r="AP1331" t="inlineStr">
        <is>
          <t>No</t>
        </is>
      </c>
      <c r="AQ1331" t="inlineStr">
        <is>
          <t>No</t>
        </is>
      </c>
      <c r="AS1331">
        <f>HYPERLINK("https://creighton-primo.hosted.exlibrisgroup.com/primo-explore/search?tab=default_tab&amp;search_scope=EVERYTHING&amp;vid=01CRU&amp;lang=en_US&amp;offset=0&amp;query=any,contains,991005157549702656","Catalog Record")</f>
        <v/>
      </c>
      <c r="AT1331">
        <f>HYPERLINK("http://www.worldcat.org/oclc/44676159","WorldCat Record")</f>
        <v/>
      </c>
      <c r="AU1331" t="inlineStr">
        <is>
          <t>34329234:eng</t>
        </is>
      </c>
      <c r="AV1331" t="inlineStr">
        <is>
          <t>44676159</t>
        </is>
      </c>
      <c r="AW1331" t="inlineStr">
        <is>
          <t>991005157549702656</t>
        </is>
      </c>
      <c r="AX1331" t="inlineStr">
        <is>
          <t>991005157549702656</t>
        </is>
      </c>
      <c r="AY1331" t="inlineStr">
        <is>
          <t>2269712960002656</t>
        </is>
      </c>
      <c r="AZ1331" t="inlineStr">
        <is>
          <t>BOOK</t>
        </is>
      </c>
      <c r="BB1331" t="inlineStr">
        <is>
          <t>9780878408429</t>
        </is>
      </c>
      <c r="BC1331" t="inlineStr">
        <is>
          <t>32285005376677</t>
        </is>
      </c>
      <c r="BD1331" t="inlineStr">
        <is>
          <t>893895975</t>
        </is>
      </c>
    </row>
    <row r="1332">
      <c r="A1332" t="inlineStr">
        <is>
          <t>No</t>
        </is>
      </c>
      <c r="B1332" t="inlineStr">
        <is>
          <t>DS54.5 .S24</t>
        </is>
      </c>
      <c r="C1332" t="inlineStr">
        <is>
          <t>0                      DS 0054500S  24</t>
        </is>
      </c>
      <c r="D1332" t="inlineStr">
        <is>
          <t>Cyprus, the impact of diverse nationalism on a state / by Halil Ibrahim Salih. --</t>
        </is>
      </c>
      <c r="F1332" t="inlineStr">
        <is>
          <t>No</t>
        </is>
      </c>
      <c r="G1332" t="inlineStr">
        <is>
          <t>1</t>
        </is>
      </c>
      <c r="H1332" t="inlineStr">
        <is>
          <t>No</t>
        </is>
      </c>
      <c r="I1332" t="inlineStr">
        <is>
          <t>No</t>
        </is>
      </c>
      <c r="J1332" t="inlineStr">
        <is>
          <t>0</t>
        </is>
      </c>
      <c r="K1332" t="inlineStr">
        <is>
          <t>Salih, Halil Ibrahim.</t>
        </is>
      </c>
      <c r="L1332" t="inlineStr">
        <is>
          <t>University, Ala. : University of Alabama Press, c1978.</t>
        </is>
      </c>
      <c r="M1332" t="inlineStr">
        <is>
          <t>1978</t>
        </is>
      </c>
      <c r="O1332" t="inlineStr">
        <is>
          <t>eng</t>
        </is>
      </c>
      <c r="P1332" t="inlineStr">
        <is>
          <t>alu</t>
        </is>
      </c>
      <c r="R1332" t="inlineStr">
        <is>
          <t xml:space="preserve">DS </t>
        </is>
      </c>
      <c r="S1332" t="n">
        <v>2</v>
      </c>
      <c r="T1332" t="n">
        <v>2</v>
      </c>
      <c r="U1332" t="inlineStr">
        <is>
          <t>1993-09-13</t>
        </is>
      </c>
      <c r="V1332" t="inlineStr">
        <is>
          <t>1993-09-13</t>
        </is>
      </c>
      <c r="W1332" t="inlineStr">
        <is>
          <t>1990-09-13</t>
        </is>
      </c>
      <c r="X1332" t="inlineStr">
        <is>
          <t>1990-09-13</t>
        </is>
      </c>
      <c r="Y1332" t="n">
        <v>419</v>
      </c>
      <c r="Z1332" t="n">
        <v>337</v>
      </c>
      <c r="AA1332" t="n">
        <v>347</v>
      </c>
      <c r="AB1332" t="n">
        <v>4</v>
      </c>
      <c r="AC1332" t="n">
        <v>4</v>
      </c>
      <c r="AD1332" t="n">
        <v>15</v>
      </c>
      <c r="AE1332" t="n">
        <v>16</v>
      </c>
      <c r="AF1332" t="n">
        <v>4</v>
      </c>
      <c r="AG1332" t="n">
        <v>4</v>
      </c>
      <c r="AH1332" t="n">
        <v>2</v>
      </c>
      <c r="AI1332" t="n">
        <v>3</v>
      </c>
      <c r="AJ1332" t="n">
        <v>8</v>
      </c>
      <c r="AK1332" t="n">
        <v>9</v>
      </c>
      <c r="AL1332" t="n">
        <v>3</v>
      </c>
      <c r="AM1332" t="n">
        <v>3</v>
      </c>
      <c r="AN1332" t="n">
        <v>0</v>
      </c>
      <c r="AO1332" t="n">
        <v>0</v>
      </c>
      <c r="AP1332" t="inlineStr">
        <is>
          <t>No</t>
        </is>
      </c>
      <c r="AQ1332" t="inlineStr">
        <is>
          <t>Yes</t>
        </is>
      </c>
      <c r="AR1332">
        <f>HYPERLINK("http://catalog.hathitrust.org/Record/000741465","HathiTrust Record")</f>
        <v/>
      </c>
      <c r="AS1332">
        <f>HYPERLINK("https://creighton-primo.hosted.exlibrisgroup.com/primo-explore/search?tab=default_tab&amp;search_scope=EVERYTHING&amp;vid=01CRU&amp;lang=en_US&amp;offset=0&amp;query=any,contains,991004086129702656","Catalog Record")</f>
        <v/>
      </c>
      <c r="AT1332">
        <f>HYPERLINK("http://www.worldcat.org/oclc/2332133","WorldCat Record")</f>
        <v/>
      </c>
      <c r="AU1332" t="inlineStr">
        <is>
          <t>481964:eng</t>
        </is>
      </c>
      <c r="AV1332" t="inlineStr">
        <is>
          <t>2332133</t>
        </is>
      </c>
      <c r="AW1332" t="inlineStr">
        <is>
          <t>991004086129702656</t>
        </is>
      </c>
      <c r="AX1332" t="inlineStr">
        <is>
          <t>991004086129702656</t>
        </is>
      </c>
      <c r="AY1332" t="inlineStr">
        <is>
          <t>2264217840002656</t>
        </is>
      </c>
      <c r="AZ1332" t="inlineStr">
        <is>
          <t>BOOK</t>
        </is>
      </c>
      <c r="BC1332" t="inlineStr">
        <is>
          <t>32285000291699</t>
        </is>
      </c>
      <c r="BD1332" t="inlineStr">
        <is>
          <t>893417209</t>
        </is>
      </c>
    </row>
    <row r="1333">
      <c r="A1333" t="inlineStr">
        <is>
          <t>No</t>
        </is>
      </c>
      <c r="B1333" t="inlineStr">
        <is>
          <t>DS54.6 .C98 2005</t>
        </is>
      </c>
      <c r="C1333" t="inlineStr">
        <is>
          <t>0                      DS 0054600C  98          2005</t>
        </is>
      </c>
      <c r="D1333" t="inlineStr">
        <is>
          <t>Cyprus : society and culture 1191-1374 / edited by Angel Nicolaou-Konnari and Chris Schabel.</t>
        </is>
      </c>
      <c r="F1333" t="inlineStr">
        <is>
          <t>No</t>
        </is>
      </c>
      <c r="G1333" t="inlineStr">
        <is>
          <t>1</t>
        </is>
      </c>
      <c r="H1333" t="inlineStr">
        <is>
          <t>No</t>
        </is>
      </c>
      <c r="I1333" t="inlineStr">
        <is>
          <t>No</t>
        </is>
      </c>
      <c r="J1333" t="inlineStr">
        <is>
          <t>0</t>
        </is>
      </c>
      <c r="L1333" t="inlineStr">
        <is>
          <t>Leiden ; Boston : Brill, 2005.</t>
        </is>
      </c>
      <c r="M1333" t="inlineStr">
        <is>
          <t>2005</t>
        </is>
      </c>
      <c r="O1333" t="inlineStr">
        <is>
          <t>eng</t>
        </is>
      </c>
      <c r="P1333" t="inlineStr">
        <is>
          <t xml:space="preserve">ne </t>
        </is>
      </c>
      <c r="Q1333" t="inlineStr">
        <is>
          <t>The medieval Mediterranean, 0928-5520 ; v. 58</t>
        </is>
      </c>
      <c r="R1333" t="inlineStr">
        <is>
          <t xml:space="preserve">DS </t>
        </is>
      </c>
      <c r="S1333" t="n">
        <v>1</v>
      </c>
      <c r="T1333" t="n">
        <v>1</v>
      </c>
      <c r="U1333" t="inlineStr">
        <is>
          <t>2008-04-01</t>
        </is>
      </c>
      <c r="V1333" t="inlineStr">
        <is>
          <t>2008-04-01</t>
        </is>
      </c>
      <c r="W1333" t="inlineStr">
        <is>
          <t>2008-04-01</t>
        </is>
      </c>
      <c r="X1333" t="inlineStr">
        <is>
          <t>2008-04-01</t>
        </is>
      </c>
      <c r="Y1333" t="n">
        <v>171</v>
      </c>
      <c r="Z1333" t="n">
        <v>116</v>
      </c>
      <c r="AA1333" t="n">
        <v>116</v>
      </c>
      <c r="AB1333" t="n">
        <v>1</v>
      </c>
      <c r="AC1333" t="n">
        <v>1</v>
      </c>
      <c r="AD1333" t="n">
        <v>8</v>
      </c>
      <c r="AE1333" t="n">
        <v>8</v>
      </c>
      <c r="AF1333" t="n">
        <v>4</v>
      </c>
      <c r="AG1333" t="n">
        <v>4</v>
      </c>
      <c r="AH1333" t="n">
        <v>3</v>
      </c>
      <c r="AI1333" t="n">
        <v>3</v>
      </c>
      <c r="AJ1333" t="n">
        <v>6</v>
      </c>
      <c r="AK1333" t="n">
        <v>6</v>
      </c>
      <c r="AL1333" t="n">
        <v>0</v>
      </c>
      <c r="AM1333" t="n">
        <v>0</v>
      </c>
      <c r="AN1333" t="n">
        <v>0</v>
      </c>
      <c r="AO1333" t="n">
        <v>0</v>
      </c>
      <c r="AP1333" t="inlineStr">
        <is>
          <t>No</t>
        </is>
      </c>
      <c r="AQ1333" t="inlineStr">
        <is>
          <t>No</t>
        </is>
      </c>
      <c r="AS1333">
        <f>HYPERLINK("https://creighton-primo.hosted.exlibrisgroup.com/primo-explore/search?tab=default_tab&amp;search_scope=EVERYTHING&amp;vid=01CRU&amp;lang=en_US&amp;offset=0&amp;query=any,contains,991005196319702656","Catalog Record")</f>
        <v/>
      </c>
      <c r="AT1333">
        <f>HYPERLINK("http://www.worldcat.org/oclc/62273928","WorldCat Record")</f>
        <v/>
      </c>
      <c r="AU1333" t="inlineStr">
        <is>
          <t>891238463:eng</t>
        </is>
      </c>
      <c r="AV1333" t="inlineStr">
        <is>
          <t>62273928</t>
        </is>
      </c>
      <c r="AW1333" t="inlineStr">
        <is>
          <t>991005196319702656</t>
        </is>
      </c>
      <c r="AX1333" t="inlineStr">
        <is>
          <t>991005196319702656</t>
        </is>
      </c>
      <c r="AY1333" t="inlineStr">
        <is>
          <t>2256315080002656</t>
        </is>
      </c>
      <c r="AZ1333" t="inlineStr">
        <is>
          <t>BOOK</t>
        </is>
      </c>
      <c r="BB1333" t="inlineStr">
        <is>
          <t>9789004147676</t>
        </is>
      </c>
      <c r="BC1333" t="inlineStr">
        <is>
          <t>32285005399992</t>
        </is>
      </c>
      <c r="BD1333" t="inlineStr">
        <is>
          <t>893701180</t>
        </is>
      </c>
    </row>
    <row r="1334">
      <c r="A1334" t="inlineStr">
        <is>
          <t>No</t>
        </is>
      </c>
      <c r="B1334" t="inlineStr">
        <is>
          <t>DS54.8 .D8 1957a</t>
        </is>
      </c>
      <c r="C1334" t="inlineStr">
        <is>
          <t>0                      DS 0054800D  8           1957a</t>
        </is>
      </c>
      <c r="D1334" t="inlineStr">
        <is>
          <t>Bitter lemons.</t>
        </is>
      </c>
      <c r="F1334" t="inlineStr">
        <is>
          <t>No</t>
        </is>
      </c>
      <c r="G1334" t="inlineStr">
        <is>
          <t>1</t>
        </is>
      </c>
      <c r="H1334" t="inlineStr">
        <is>
          <t>No</t>
        </is>
      </c>
      <c r="I1334" t="inlineStr">
        <is>
          <t>No</t>
        </is>
      </c>
      <c r="J1334" t="inlineStr">
        <is>
          <t>0</t>
        </is>
      </c>
      <c r="K1334" t="inlineStr">
        <is>
          <t>Durrell, Lawrence.</t>
        </is>
      </c>
      <c r="L1334" t="inlineStr">
        <is>
          <t>New York, Dutton [c1957]</t>
        </is>
      </c>
      <c r="M1334" t="inlineStr">
        <is>
          <t>1957</t>
        </is>
      </c>
      <c r="N1334" t="inlineStr">
        <is>
          <t>[1st American ed.]</t>
        </is>
      </c>
      <c r="O1334" t="inlineStr">
        <is>
          <t>eng</t>
        </is>
      </c>
      <c r="P1334" t="inlineStr">
        <is>
          <t>nyu</t>
        </is>
      </c>
      <c r="R1334" t="inlineStr">
        <is>
          <t xml:space="preserve">DS </t>
        </is>
      </c>
      <c r="S1334" t="n">
        <v>2</v>
      </c>
      <c r="T1334" t="n">
        <v>2</v>
      </c>
      <c r="U1334" t="inlineStr">
        <is>
          <t>2005-11-20</t>
        </is>
      </c>
      <c r="V1334" t="inlineStr">
        <is>
          <t>2005-11-20</t>
        </is>
      </c>
      <c r="W1334" t="inlineStr">
        <is>
          <t>1997-02-21</t>
        </is>
      </c>
      <c r="X1334" t="inlineStr">
        <is>
          <t>1997-02-21</t>
        </is>
      </c>
      <c r="Y1334" t="n">
        <v>864</v>
      </c>
      <c r="Z1334" t="n">
        <v>831</v>
      </c>
      <c r="AA1334" t="n">
        <v>1252</v>
      </c>
      <c r="AB1334" t="n">
        <v>4</v>
      </c>
      <c r="AC1334" t="n">
        <v>5</v>
      </c>
      <c r="AD1334" t="n">
        <v>28</v>
      </c>
      <c r="AE1334" t="n">
        <v>40</v>
      </c>
      <c r="AF1334" t="n">
        <v>12</v>
      </c>
      <c r="AG1334" t="n">
        <v>19</v>
      </c>
      <c r="AH1334" t="n">
        <v>6</v>
      </c>
      <c r="AI1334" t="n">
        <v>9</v>
      </c>
      <c r="AJ1334" t="n">
        <v>14</v>
      </c>
      <c r="AK1334" t="n">
        <v>21</v>
      </c>
      <c r="AL1334" t="n">
        <v>2</v>
      </c>
      <c r="AM1334" t="n">
        <v>3</v>
      </c>
      <c r="AN1334" t="n">
        <v>0</v>
      </c>
      <c r="AO1334" t="n">
        <v>0</v>
      </c>
      <c r="AP1334" t="inlineStr">
        <is>
          <t>No</t>
        </is>
      </c>
      <c r="AQ1334" t="inlineStr">
        <is>
          <t>No</t>
        </is>
      </c>
      <c r="AS1334">
        <f>HYPERLINK("https://creighton-primo.hosted.exlibrisgroup.com/primo-explore/search?tab=default_tab&amp;search_scope=EVERYTHING&amp;vid=01CRU&amp;lang=en_US&amp;offset=0&amp;query=any,contains,991002499799702656","Catalog Record")</f>
        <v/>
      </c>
      <c r="AT1334">
        <f>HYPERLINK("http://www.worldcat.org/oclc/364164","WorldCat Record")</f>
        <v/>
      </c>
      <c r="AU1334" t="inlineStr">
        <is>
          <t>1421711:eng</t>
        </is>
      </c>
      <c r="AV1334" t="inlineStr">
        <is>
          <t>364164</t>
        </is>
      </c>
      <c r="AW1334" t="inlineStr">
        <is>
          <t>991002499799702656</t>
        </is>
      </c>
      <c r="AX1334" t="inlineStr">
        <is>
          <t>991002499799702656</t>
        </is>
      </c>
      <c r="AY1334" t="inlineStr">
        <is>
          <t>2263017720002656</t>
        </is>
      </c>
      <c r="AZ1334" t="inlineStr">
        <is>
          <t>BOOK</t>
        </is>
      </c>
      <c r="BC1334" t="inlineStr">
        <is>
          <t>32285002468873</t>
        </is>
      </c>
      <c r="BD1334" t="inlineStr">
        <is>
          <t>893591412</t>
        </is>
      </c>
    </row>
    <row r="1335">
      <c r="A1335" t="inlineStr">
        <is>
          <t>No</t>
        </is>
      </c>
      <c r="B1335" t="inlineStr">
        <is>
          <t>DS54.8 .S68 2006</t>
        </is>
      </c>
      <c r="C1335" t="inlineStr">
        <is>
          <t>0                      DS 0054800S  68          2006</t>
        </is>
      </c>
      <c r="D1335" t="inlineStr">
        <is>
          <t>Fettered independence : Cyprus, 1878-1964 / Stella Soulioti ; with a foreword by Claire Palley.</t>
        </is>
      </c>
      <c r="E1335" t="inlineStr">
        <is>
          <t>V. 1</t>
        </is>
      </c>
      <c r="F1335" t="inlineStr">
        <is>
          <t>Yes</t>
        </is>
      </c>
      <c r="G1335" t="inlineStr">
        <is>
          <t>1</t>
        </is>
      </c>
      <c r="H1335" t="inlineStr">
        <is>
          <t>No</t>
        </is>
      </c>
      <c r="I1335" t="inlineStr">
        <is>
          <t>No</t>
        </is>
      </c>
      <c r="J1335" t="inlineStr">
        <is>
          <t>0</t>
        </is>
      </c>
      <c r="K1335" t="inlineStr">
        <is>
          <t>Soulioti, Stella.</t>
        </is>
      </c>
      <c r="L1335" t="inlineStr">
        <is>
          <t>Minneapolis, Minn. : Modern Greek Studies, University of Minnesota, 2006.</t>
        </is>
      </c>
      <c r="M1335" t="inlineStr">
        <is>
          <t>2006</t>
        </is>
      </c>
      <c r="O1335" t="inlineStr">
        <is>
          <t>eng</t>
        </is>
      </c>
      <c r="P1335" t="inlineStr">
        <is>
          <t>mnu</t>
        </is>
      </c>
      <c r="Q1335" t="inlineStr">
        <is>
          <t>Minnesota Mediterranean and East European monographs ; 16</t>
        </is>
      </c>
      <c r="R1335" t="inlineStr">
        <is>
          <t xml:space="preserve">DS </t>
        </is>
      </c>
      <c r="S1335" t="n">
        <v>1</v>
      </c>
      <c r="T1335" t="n">
        <v>3</v>
      </c>
      <c r="U1335" t="inlineStr">
        <is>
          <t>2008-01-09</t>
        </is>
      </c>
      <c r="V1335" t="inlineStr">
        <is>
          <t>2008-01-09</t>
        </is>
      </c>
      <c r="W1335" t="inlineStr">
        <is>
          <t>2008-01-09</t>
        </is>
      </c>
      <c r="X1335" t="inlineStr">
        <is>
          <t>2008-01-09</t>
        </is>
      </c>
      <c r="Y1335" t="n">
        <v>450</v>
      </c>
      <c r="Z1335" t="n">
        <v>430</v>
      </c>
      <c r="AA1335" t="n">
        <v>437</v>
      </c>
      <c r="AB1335" t="n">
        <v>5</v>
      </c>
      <c r="AC1335" t="n">
        <v>5</v>
      </c>
      <c r="AD1335" t="n">
        <v>22</v>
      </c>
      <c r="AE1335" t="n">
        <v>22</v>
      </c>
      <c r="AF1335" t="n">
        <v>6</v>
      </c>
      <c r="AG1335" t="n">
        <v>6</v>
      </c>
      <c r="AH1335" t="n">
        <v>6</v>
      </c>
      <c r="AI1335" t="n">
        <v>6</v>
      </c>
      <c r="AJ1335" t="n">
        <v>12</v>
      </c>
      <c r="AK1335" t="n">
        <v>12</v>
      </c>
      <c r="AL1335" t="n">
        <v>4</v>
      </c>
      <c r="AM1335" t="n">
        <v>4</v>
      </c>
      <c r="AN1335" t="n">
        <v>0</v>
      </c>
      <c r="AO1335" t="n">
        <v>0</v>
      </c>
      <c r="AP1335" t="inlineStr">
        <is>
          <t>No</t>
        </is>
      </c>
      <c r="AQ1335" t="inlineStr">
        <is>
          <t>No</t>
        </is>
      </c>
      <c r="AS1335">
        <f>HYPERLINK("https://creighton-primo.hosted.exlibrisgroup.com/primo-explore/search?tab=default_tab&amp;search_scope=EVERYTHING&amp;vid=01CRU&amp;lang=en_US&amp;offset=0&amp;query=any,contains,991005169069702656","Catalog Record")</f>
        <v/>
      </c>
      <c r="AT1335">
        <f>HYPERLINK("http://www.worldcat.org/oclc/86175692","WorldCat Record")</f>
        <v/>
      </c>
      <c r="AU1335" t="inlineStr">
        <is>
          <t>320450220:eng</t>
        </is>
      </c>
      <c r="AV1335" t="inlineStr">
        <is>
          <t>86175692</t>
        </is>
      </c>
      <c r="AW1335" t="inlineStr">
        <is>
          <t>991005169069702656</t>
        </is>
      </c>
      <c r="AX1335" t="inlineStr">
        <is>
          <t>991005169069702656</t>
        </is>
      </c>
      <c r="AY1335" t="inlineStr">
        <is>
          <t>2261443990002656</t>
        </is>
      </c>
      <c r="AZ1335" t="inlineStr">
        <is>
          <t>BOOK</t>
        </is>
      </c>
      <c r="BB1335" t="inlineStr">
        <is>
          <t>9780979121814</t>
        </is>
      </c>
      <c r="BC1335" t="inlineStr">
        <is>
          <t>32285005375661</t>
        </is>
      </c>
      <c r="BD1335" t="inlineStr">
        <is>
          <t>893437281</t>
        </is>
      </c>
    </row>
    <row r="1336">
      <c r="A1336" t="inlineStr">
        <is>
          <t>No</t>
        </is>
      </c>
      <c r="B1336" t="inlineStr">
        <is>
          <t>DS54.8 .S68 2006</t>
        </is>
      </c>
      <c r="C1336" t="inlineStr">
        <is>
          <t>0                      DS 0054800S  68          2006</t>
        </is>
      </c>
      <c r="D1336" t="inlineStr">
        <is>
          <t>Fettered independence : Cyprus, 1878-1964 / Stella Soulioti ; with a foreword by Claire Palley.</t>
        </is>
      </c>
      <c r="E1336" t="inlineStr">
        <is>
          <t>V. 2 SUPP.</t>
        </is>
      </c>
      <c r="F1336" t="inlineStr">
        <is>
          <t>Yes</t>
        </is>
      </c>
      <c r="G1336" t="inlineStr">
        <is>
          <t>1</t>
        </is>
      </c>
      <c r="H1336" t="inlineStr">
        <is>
          <t>No</t>
        </is>
      </c>
      <c r="I1336" t="inlineStr">
        <is>
          <t>No</t>
        </is>
      </c>
      <c r="J1336" t="inlineStr">
        <is>
          <t>0</t>
        </is>
      </c>
      <c r="K1336" t="inlineStr">
        <is>
          <t>Soulioti, Stella.</t>
        </is>
      </c>
      <c r="L1336" t="inlineStr">
        <is>
          <t>Minneapolis, Minn. : Modern Greek Studies, University of Minnesota, 2006.</t>
        </is>
      </c>
      <c r="M1336" t="inlineStr">
        <is>
          <t>2006</t>
        </is>
      </c>
      <c r="O1336" t="inlineStr">
        <is>
          <t>eng</t>
        </is>
      </c>
      <c r="P1336" t="inlineStr">
        <is>
          <t>mnu</t>
        </is>
      </c>
      <c r="Q1336" t="inlineStr">
        <is>
          <t>Minnesota Mediterranean and East European monographs ; 16</t>
        </is>
      </c>
      <c r="R1336" t="inlineStr">
        <is>
          <t xml:space="preserve">DS </t>
        </is>
      </c>
      <c r="S1336" t="n">
        <v>1</v>
      </c>
      <c r="T1336" t="n">
        <v>3</v>
      </c>
      <c r="U1336" t="inlineStr">
        <is>
          <t>2008-01-09</t>
        </is>
      </c>
      <c r="V1336" t="inlineStr">
        <is>
          <t>2008-01-09</t>
        </is>
      </c>
      <c r="W1336" t="inlineStr">
        <is>
          <t>2008-01-09</t>
        </is>
      </c>
      <c r="X1336" t="inlineStr">
        <is>
          <t>2008-01-09</t>
        </is>
      </c>
      <c r="Y1336" t="n">
        <v>450</v>
      </c>
      <c r="Z1336" t="n">
        <v>430</v>
      </c>
      <c r="AA1336" t="n">
        <v>437</v>
      </c>
      <c r="AB1336" t="n">
        <v>5</v>
      </c>
      <c r="AC1336" t="n">
        <v>5</v>
      </c>
      <c r="AD1336" t="n">
        <v>22</v>
      </c>
      <c r="AE1336" t="n">
        <v>22</v>
      </c>
      <c r="AF1336" t="n">
        <v>6</v>
      </c>
      <c r="AG1336" t="n">
        <v>6</v>
      </c>
      <c r="AH1336" t="n">
        <v>6</v>
      </c>
      <c r="AI1336" t="n">
        <v>6</v>
      </c>
      <c r="AJ1336" t="n">
        <v>12</v>
      </c>
      <c r="AK1336" t="n">
        <v>12</v>
      </c>
      <c r="AL1336" t="n">
        <v>4</v>
      </c>
      <c r="AM1336" t="n">
        <v>4</v>
      </c>
      <c r="AN1336" t="n">
        <v>0</v>
      </c>
      <c r="AO1336" t="n">
        <v>0</v>
      </c>
      <c r="AP1336" t="inlineStr">
        <is>
          <t>No</t>
        </is>
      </c>
      <c r="AQ1336" t="inlineStr">
        <is>
          <t>No</t>
        </is>
      </c>
      <c r="AS1336">
        <f>HYPERLINK("https://creighton-primo.hosted.exlibrisgroup.com/primo-explore/search?tab=default_tab&amp;search_scope=EVERYTHING&amp;vid=01CRU&amp;lang=en_US&amp;offset=0&amp;query=any,contains,991005169069702656","Catalog Record")</f>
        <v/>
      </c>
      <c r="AT1336">
        <f>HYPERLINK("http://www.worldcat.org/oclc/86175692","WorldCat Record")</f>
        <v/>
      </c>
      <c r="AU1336" t="inlineStr">
        <is>
          <t>320450220:eng</t>
        </is>
      </c>
      <c r="AV1336" t="inlineStr">
        <is>
          <t>86175692</t>
        </is>
      </c>
      <c r="AW1336" t="inlineStr">
        <is>
          <t>991005169069702656</t>
        </is>
      </c>
      <c r="AX1336" t="inlineStr">
        <is>
          <t>991005169069702656</t>
        </is>
      </c>
      <c r="AY1336" t="inlineStr">
        <is>
          <t>2261443990002656</t>
        </is>
      </c>
      <c r="AZ1336" t="inlineStr">
        <is>
          <t>BOOK</t>
        </is>
      </c>
      <c r="BB1336" t="inlineStr">
        <is>
          <t>9780979121814</t>
        </is>
      </c>
      <c r="BC1336" t="inlineStr">
        <is>
          <t>32285005375687</t>
        </is>
      </c>
      <c r="BD1336" t="inlineStr">
        <is>
          <t>893443521</t>
        </is>
      </c>
    </row>
    <row r="1337">
      <c r="A1337" t="inlineStr">
        <is>
          <t>No</t>
        </is>
      </c>
      <c r="B1337" t="inlineStr">
        <is>
          <t>DS54.8 .S68 2006</t>
        </is>
      </c>
      <c r="C1337" t="inlineStr">
        <is>
          <t>0                      DS 0054800S  68          2006</t>
        </is>
      </c>
      <c r="D1337" t="inlineStr">
        <is>
          <t>Fettered independence : Cyprus, 1878-1964 / Stella Soulioti ; with a foreword by Claire Palley.</t>
        </is>
      </c>
      <c r="E1337" t="inlineStr">
        <is>
          <t>V. 2</t>
        </is>
      </c>
      <c r="F1337" t="inlineStr">
        <is>
          <t>Yes</t>
        </is>
      </c>
      <c r="G1337" t="inlineStr">
        <is>
          <t>1</t>
        </is>
      </c>
      <c r="H1337" t="inlineStr">
        <is>
          <t>No</t>
        </is>
      </c>
      <c r="I1337" t="inlineStr">
        <is>
          <t>No</t>
        </is>
      </c>
      <c r="J1337" t="inlineStr">
        <is>
          <t>0</t>
        </is>
      </c>
      <c r="K1337" t="inlineStr">
        <is>
          <t>Soulioti, Stella.</t>
        </is>
      </c>
      <c r="L1337" t="inlineStr">
        <is>
          <t>Minneapolis, Minn. : Modern Greek Studies, University of Minnesota, 2006.</t>
        </is>
      </c>
      <c r="M1337" t="inlineStr">
        <is>
          <t>2006</t>
        </is>
      </c>
      <c r="O1337" t="inlineStr">
        <is>
          <t>eng</t>
        </is>
      </c>
      <c r="P1337" t="inlineStr">
        <is>
          <t>mnu</t>
        </is>
      </c>
      <c r="Q1337" t="inlineStr">
        <is>
          <t>Minnesota Mediterranean and East European monographs ; 16</t>
        </is>
      </c>
      <c r="R1337" t="inlineStr">
        <is>
          <t xml:space="preserve">DS </t>
        </is>
      </c>
      <c r="S1337" t="n">
        <v>1</v>
      </c>
      <c r="T1337" t="n">
        <v>3</v>
      </c>
      <c r="U1337" t="inlineStr">
        <is>
          <t>2008-01-09</t>
        </is>
      </c>
      <c r="V1337" t="inlineStr">
        <is>
          <t>2008-01-09</t>
        </is>
      </c>
      <c r="W1337" t="inlineStr">
        <is>
          <t>2008-01-09</t>
        </is>
      </c>
      <c r="X1337" t="inlineStr">
        <is>
          <t>2008-01-09</t>
        </is>
      </c>
      <c r="Y1337" t="n">
        <v>450</v>
      </c>
      <c r="Z1337" t="n">
        <v>430</v>
      </c>
      <c r="AA1337" t="n">
        <v>437</v>
      </c>
      <c r="AB1337" t="n">
        <v>5</v>
      </c>
      <c r="AC1337" t="n">
        <v>5</v>
      </c>
      <c r="AD1337" t="n">
        <v>22</v>
      </c>
      <c r="AE1337" t="n">
        <v>22</v>
      </c>
      <c r="AF1337" t="n">
        <v>6</v>
      </c>
      <c r="AG1337" t="n">
        <v>6</v>
      </c>
      <c r="AH1337" t="n">
        <v>6</v>
      </c>
      <c r="AI1337" t="n">
        <v>6</v>
      </c>
      <c r="AJ1337" t="n">
        <v>12</v>
      </c>
      <c r="AK1337" t="n">
        <v>12</v>
      </c>
      <c r="AL1337" t="n">
        <v>4</v>
      </c>
      <c r="AM1337" t="n">
        <v>4</v>
      </c>
      <c r="AN1337" t="n">
        <v>0</v>
      </c>
      <c r="AO1337" t="n">
        <v>0</v>
      </c>
      <c r="AP1337" t="inlineStr">
        <is>
          <t>No</t>
        </is>
      </c>
      <c r="AQ1337" t="inlineStr">
        <is>
          <t>No</t>
        </is>
      </c>
      <c r="AS1337">
        <f>HYPERLINK("https://creighton-primo.hosted.exlibrisgroup.com/primo-explore/search?tab=default_tab&amp;search_scope=EVERYTHING&amp;vid=01CRU&amp;lang=en_US&amp;offset=0&amp;query=any,contains,991005169069702656","Catalog Record")</f>
        <v/>
      </c>
      <c r="AT1337">
        <f>HYPERLINK("http://www.worldcat.org/oclc/86175692","WorldCat Record")</f>
        <v/>
      </c>
      <c r="AU1337" t="inlineStr">
        <is>
          <t>320450220:eng</t>
        </is>
      </c>
      <c r="AV1337" t="inlineStr">
        <is>
          <t>86175692</t>
        </is>
      </c>
      <c r="AW1337" t="inlineStr">
        <is>
          <t>991005169069702656</t>
        </is>
      </c>
      <c r="AX1337" t="inlineStr">
        <is>
          <t>991005169069702656</t>
        </is>
      </c>
      <c r="AY1337" t="inlineStr">
        <is>
          <t>2261443990002656</t>
        </is>
      </c>
      <c r="AZ1337" t="inlineStr">
        <is>
          <t>BOOK</t>
        </is>
      </c>
      <c r="BB1337" t="inlineStr">
        <is>
          <t>9780979121814</t>
        </is>
      </c>
      <c r="BC1337" t="inlineStr">
        <is>
          <t>32285005375679</t>
        </is>
      </c>
      <c r="BD1337" t="inlineStr">
        <is>
          <t>893437280</t>
        </is>
      </c>
    </row>
    <row r="1338">
      <c r="A1338" t="inlineStr">
        <is>
          <t>No</t>
        </is>
      </c>
      <c r="B1338" t="inlineStr">
        <is>
          <t>DS54.9 .C68 2006</t>
        </is>
      </c>
      <c r="C1338" t="inlineStr">
        <is>
          <t>0                      DS 0054900C  68          2006</t>
        </is>
      </c>
      <c r="D1338" t="inlineStr">
        <is>
          <t>Cyprus : a contemporary problem in historical perspective / Van Coufoudakis.</t>
        </is>
      </c>
      <c r="F1338" t="inlineStr">
        <is>
          <t>No</t>
        </is>
      </c>
      <c r="G1338" t="inlineStr">
        <is>
          <t>1</t>
        </is>
      </c>
      <c r="H1338" t="inlineStr">
        <is>
          <t>No</t>
        </is>
      </c>
      <c r="I1338" t="inlineStr">
        <is>
          <t>No</t>
        </is>
      </c>
      <c r="J1338" t="inlineStr">
        <is>
          <t>0</t>
        </is>
      </c>
      <c r="K1338" t="inlineStr">
        <is>
          <t>Coufoudakis, Van.</t>
        </is>
      </c>
      <c r="L1338" t="inlineStr">
        <is>
          <t>Minneapolis, MN : Modern Greek Studies, 2006.</t>
        </is>
      </c>
      <c r="M1338" t="inlineStr">
        <is>
          <t>2006</t>
        </is>
      </c>
      <c r="O1338" t="inlineStr">
        <is>
          <t>eng</t>
        </is>
      </c>
      <c r="P1338" t="inlineStr">
        <is>
          <t>mnu</t>
        </is>
      </c>
      <c r="Q1338" t="inlineStr">
        <is>
          <t>Minnesota Mediterranean and East European monographs ; 15</t>
        </is>
      </c>
      <c r="R1338" t="inlineStr">
        <is>
          <t xml:space="preserve">DS </t>
        </is>
      </c>
      <c r="S1338" t="n">
        <v>2</v>
      </c>
      <c r="T1338" t="n">
        <v>2</v>
      </c>
      <c r="U1338" t="inlineStr">
        <is>
          <t>2010-03-02</t>
        </is>
      </c>
      <c r="V1338" t="inlineStr">
        <is>
          <t>2010-03-02</t>
        </is>
      </c>
      <c r="W1338" t="inlineStr">
        <is>
          <t>2007-03-21</t>
        </is>
      </c>
      <c r="X1338" t="inlineStr">
        <is>
          <t>2007-03-21</t>
        </is>
      </c>
      <c r="Y1338" t="n">
        <v>688</v>
      </c>
      <c r="Z1338" t="n">
        <v>653</v>
      </c>
      <c r="AA1338" t="n">
        <v>660</v>
      </c>
      <c r="AB1338" t="n">
        <v>8</v>
      </c>
      <c r="AC1338" t="n">
        <v>8</v>
      </c>
      <c r="AD1338" t="n">
        <v>33</v>
      </c>
      <c r="AE1338" t="n">
        <v>33</v>
      </c>
      <c r="AF1338" t="n">
        <v>16</v>
      </c>
      <c r="AG1338" t="n">
        <v>16</v>
      </c>
      <c r="AH1338" t="n">
        <v>6</v>
      </c>
      <c r="AI1338" t="n">
        <v>6</v>
      </c>
      <c r="AJ1338" t="n">
        <v>12</v>
      </c>
      <c r="AK1338" t="n">
        <v>12</v>
      </c>
      <c r="AL1338" t="n">
        <v>7</v>
      </c>
      <c r="AM1338" t="n">
        <v>7</v>
      </c>
      <c r="AN1338" t="n">
        <v>0</v>
      </c>
      <c r="AO1338" t="n">
        <v>0</v>
      </c>
      <c r="AP1338" t="inlineStr">
        <is>
          <t>No</t>
        </is>
      </c>
      <c r="AQ1338" t="inlineStr">
        <is>
          <t>Yes</t>
        </is>
      </c>
      <c r="AR1338">
        <f>HYPERLINK("http://catalog.hathitrust.org/Record/005546989","HathiTrust Record")</f>
        <v/>
      </c>
      <c r="AS1338">
        <f>HYPERLINK("https://creighton-primo.hosted.exlibrisgroup.com/primo-explore/search?tab=default_tab&amp;search_scope=EVERYTHING&amp;vid=01CRU&amp;lang=en_US&amp;offset=0&amp;query=any,contains,991005056939702656","Catalog Record")</f>
        <v/>
      </c>
      <c r="AT1338">
        <f>HYPERLINK("http://www.worldcat.org/oclc/82172538","WorldCat Record")</f>
        <v/>
      </c>
      <c r="AU1338" t="inlineStr">
        <is>
          <t>892636504:eng</t>
        </is>
      </c>
      <c r="AV1338" t="inlineStr">
        <is>
          <t>82172538</t>
        </is>
      </c>
      <c r="AW1338" t="inlineStr">
        <is>
          <t>991005056939702656</t>
        </is>
      </c>
      <c r="AX1338" t="inlineStr">
        <is>
          <t>991005056939702656</t>
        </is>
      </c>
      <c r="AY1338" t="inlineStr">
        <is>
          <t>2270001520002656</t>
        </is>
      </c>
      <c r="AZ1338" t="inlineStr">
        <is>
          <t>BOOK</t>
        </is>
      </c>
      <c r="BB1338" t="inlineStr">
        <is>
          <t>9780979121807</t>
        </is>
      </c>
      <c r="BC1338" t="inlineStr">
        <is>
          <t>32285005282222</t>
        </is>
      </c>
      <c r="BD1338" t="inlineStr">
        <is>
          <t>893795537</t>
        </is>
      </c>
    </row>
    <row r="1339">
      <c r="A1339" t="inlineStr">
        <is>
          <t>No</t>
        </is>
      </c>
      <c r="B1339" t="inlineStr">
        <is>
          <t>DS54.9 .I629 2001</t>
        </is>
      </c>
      <c r="C1339" t="inlineStr">
        <is>
          <t>0                      DS 0054900I  629         2001</t>
        </is>
      </c>
      <c r="D1339" t="inlineStr">
        <is>
          <t>Realpolitik in the Eastern Mediterranean : from Kissinger and the Cyprus Crisis to Carter and the lifting of the Turkish arms embargo / Chris P. Ioannides.</t>
        </is>
      </c>
      <c r="F1339" t="inlineStr">
        <is>
          <t>No</t>
        </is>
      </c>
      <c r="G1339" t="inlineStr">
        <is>
          <t>1</t>
        </is>
      </c>
      <c r="H1339" t="inlineStr">
        <is>
          <t>No</t>
        </is>
      </c>
      <c r="I1339" t="inlineStr">
        <is>
          <t>No</t>
        </is>
      </c>
      <c r="J1339" t="inlineStr">
        <is>
          <t>0</t>
        </is>
      </c>
      <c r="K1339" t="inlineStr">
        <is>
          <t>Ioannides, Christos P., 1946-</t>
        </is>
      </c>
      <c r="L1339" t="inlineStr">
        <is>
          <t>New York : Pella, 2001.</t>
        </is>
      </c>
      <c r="M1339" t="inlineStr">
        <is>
          <t>2001</t>
        </is>
      </c>
      <c r="O1339" t="inlineStr">
        <is>
          <t>eng</t>
        </is>
      </c>
      <c r="P1339" t="inlineStr">
        <is>
          <t>nyu</t>
        </is>
      </c>
      <c r="Q1339" t="inlineStr">
        <is>
          <t>Modern Greek research series ; 10</t>
        </is>
      </c>
      <c r="R1339" t="inlineStr">
        <is>
          <t xml:space="preserve">DS </t>
        </is>
      </c>
      <c r="S1339" t="n">
        <v>1</v>
      </c>
      <c r="T1339" t="n">
        <v>1</v>
      </c>
      <c r="U1339" t="inlineStr">
        <is>
          <t>2002-10-21</t>
        </is>
      </c>
      <c r="V1339" t="inlineStr">
        <is>
          <t>2002-10-21</t>
        </is>
      </c>
      <c r="W1339" t="inlineStr">
        <is>
          <t>2002-10-21</t>
        </is>
      </c>
      <c r="X1339" t="inlineStr">
        <is>
          <t>2002-10-21</t>
        </is>
      </c>
      <c r="Y1339" t="n">
        <v>65</v>
      </c>
      <c r="Z1339" t="n">
        <v>56</v>
      </c>
      <c r="AA1339" t="n">
        <v>58</v>
      </c>
      <c r="AB1339" t="n">
        <v>1</v>
      </c>
      <c r="AC1339" t="n">
        <v>1</v>
      </c>
      <c r="AD1339" t="n">
        <v>5</v>
      </c>
      <c r="AE1339" t="n">
        <v>5</v>
      </c>
      <c r="AF1339" t="n">
        <v>2</v>
      </c>
      <c r="AG1339" t="n">
        <v>2</v>
      </c>
      <c r="AH1339" t="n">
        <v>2</v>
      </c>
      <c r="AI1339" t="n">
        <v>2</v>
      </c>
      <c r="AJ1339" t="n">
        <v>4</v>
      </c>
      <c r="AK1339" t="n">
        <v>4</v>
      </c>
      <c r="AL1339" t="n">
        <v>0</v>
      </c>
      <c r="AM1339" t="n">
        <v>0</v>
      </c>
      <c r="AN1339" t="n">
        <v>0</v>
      </c>
      <c r="AO1339" t="n">
        <v>0</v>
      </c>
      <c r="AP1339" t="inlineStr">
        <is>
          <t>No</t>
        </is>
      </c>
      <c r="AQ1339" t="inlineStr">
        <is>
          <t>Yes</t>
        </is>
      </c>
      <c r="AR1339">
        <f>HYPERLINK("http://catalog.hathitrust.org/Record/005019098","HathiTrust Record")</f>
        <v/>
      </c>
      <c r="AS1339">
        <f>HYPERLINK("https://creighton-primo.hosted.exlibrisgroup.com/primo-explore/search?tab=default_tab&amp;search_scope=EVERYTHING&amp;vid=01CRU&amp;lang=en_US&amp;offset=0&amp;query=any,contains,991003874599702656","Catalog Record")</f>
        <v/>
      </c>
      <c r="AT1339">
        <f>HYPERLINK("http://www.worldcat.org/oclc/48460659","WorldCat Record")</f>
        <v/>
      </c>
      <c r="AU1339" t="inlineStr">
        <is>
          <t>366947696:eng</t>
        </is>
      </c>
      <c r="AV1339" t="inlineStr">
        <is>
          <t>48460659</t>
        </is>
      </c>
      <c r="AW1339" t="inlineStr">
        <is>
          <t>991003874599702656</t>
        </is>
      </c>
      <c r="AX1339" t="inlineStr">
        <is>
          <t>991003874599702656</t>
        </is>
      </c>
      <c r="AY1339" t="inlineStr">
        <is>
          <t>2271974300002656</t>
        </is>
      </c>
      <c r="AZ1339" t="inlineStr">
        <is>
          <t>BOOK</t>
        </is>
      </c>
      <c r="BB1339" t="inlineStr">
        <is>
          <t>9780918618818</t>
        </is>
      </c>
      <c r="BC1339" t="inlineStr">
        <is>
          <t>32285004656392</t>
        </is>
      </c>
      <c r="BD1339" t="inlineStr">
        <is>
          <t>893868981</t>
        </is>
      </c>
    </row>
    <row r="1340">
      <c r="A1340" t="inlineStr">
        <is>
          <t>No</t>
        </is>
      </c>
      <c r="B1340" t="inlineStr">
        <is>
          <t>DS546 .Z37 1978</t>
        </is>
      </c>
      <c r="C1340" t="inlineStr">
        <is>
          <t>0                      DS 0546000Z  37          1978</t>
        </is>
      </c>
      <c r="D1340" t="inlineStr">
        <is>
          <t>Communist Indochina and U.S. foreign policy : postwar realities / Joseph J. Zasloff, MacAlister Brown. --</t>
        </is>
      </c>
      <c r="F1340" t="inlineStr">
        <is>
          <t>No</t>
        </is>
      </c>
      <c r="G1340" t="inlineStr">
        <is>
          <t>1</t>
        </is>
      </c>
      <c r="H1340" t="inlineStr">
        <is>
          <t>No</t>
        </is>
      </c>
      <c r="I1340" t="inlineStr">
        <is>
          <t>No</t>
        </is>
      </c>
      <c r="J1340" t="inlineStr">
        <is>
          <t>0</t>
        </is>
      </c>
      <c r="K1340" t="inlineStr">
        <is>
          <t>Zasloff, Joseph Jermiah.</t>
        </is>
      </c>
      <c r="L1340" t="inlineStr">
        <is>
          <t>Boulder, Colo. : Westview Press, [1978]</t>
        </is>
      </c>
      <c r="M1340" t="inlineStr">
        <is>
          <t>1978</t>
        </is>
      </c>
      <c r="O1340" t="inlineStr">
        <is>
          <t>eng</t>
        </is>
      </c>
      <c r="P1340" t="inlineStr">
        <is>
          <t>cou</t>
        </is>
      </c>
      <c r="Q1340" t="inlineStr">
        <is>
          <t>Westview special studies on international relations.</t>
        </is>
      </c>
      <c r="R1340" t="inlineStr">
        <is>
          <t xml:space="preserve">DS </t>
        </is>
      </c>
      <c r="S1340" t="n">
        <v>3</v>
      </c>
      <c r="T1340" t="n">
        <v>3</v>
      </c>
      <c r="U1340" t="inlineStr">
        <is>
          <t>2005-04-20</t>
        </is>
      </c>
      <c r="V1340" t="inlineStr">
        <is>
          <t>2005-04-20</t>
        </is>
      </c>
      <c r="W1340" t="inlineStr">
        <is>
          <t>1990-02-20</t>
        </is>
      </c>
      <c r="X1340" t="inlineStr">
        <is>
          <t>1990-02-20</t>
        </is>
      </c>
      <c r="Y1340" t="n">
        <v>417</v>
      </c>
      <c r="Z1340" t="n">
        <v>332</v>
      </c>
      <c r="AA1340" t="n">
        <v>351</v>
      </c>
      <c r="AB1340" t="n">
        <v>3</v>
      </c>
      <c r="AC1340" t="n">
        <v>3</v>
      </c>
      <c r="AD1340" t="n">
        <v>13</v>
      </c>
      <c r="AE1340" t="n">
        <v>13</v>
      </c>
      <c r="AF1340" t="n">
        <v>2</v>
      </c>
      <c r="AG1340" t="n">
        <v>2</v>
      </c>
      <c r="AH1340" t="n">
        <v>5</v>
      </c>
      <c r="AI1340" t="n">
        <v>5</v>
      </c>
      <c r="AJ1340" t="n">
        <v>7</v>
      </c>
      <c r="AK1340" t="n">
        <v>7</v>
      </c>
      <c r="AL1340" t="n">
        <v>2</v>
      </c>
      <c r="AM1340" t="n">
        <v>2</v>
      </c>
      <c r="AN1340" t="n">
        <v>0</v>
      </c>
      <c r="AO1340" t="n">
        <v>0</v>
      </c>
      <c r="AP1340" t="inlineStr">
        <is>
          <t>No</t>
        </is>
      </c>
      <c r="AQ1340" t="inlineStr">
        <is>
          <t>Yes</t>
        </is>
      </c>
      <c r="AR1340">
        <f>HYPERLINK("http://catalog.hathitrust.org/Record/000091567","HathiTrust Record")</f>
        <v/>
      </c>
      <c r="AS1340">
        <f>HYPERLINK("https://creighton-primo.hosted.exlibrisgroup.com/primo-explore/search?tab=default_tab&amp;search_scope=EVERYTHING&amp;vid=01CRU&amp;lang=en_US&amp;offset=0&amp;query=any,contains,991004690769702656","Catalog Record")</f>
        <v/>
      </c>
      <c r="AT1340">
        <f>HYPERLINK("http://www.worldcat.org/oclc/3609286","WorldCat Record")</f>
        <v/>
      </c>
      <c r="AU1340" t="inlineStr">
        <is>
          <t>548394:eng</t>
        </is>
      </c>
      <c r="AV1340" t="inlineStr">
        <is>
          <t>3609286</t>
        </is>
      </c>
      <c r="AW1340" t="inlineStr">
        <is>
          <t>991004690769702656</t>
        </is>
      </c>
      <c r="AX1340" t="inlineStr">
        <is>
          <t>991004690769702656</t>
        </is>
      </c>
      <c r="AY1340" t="inlineStr">
        <is>
          <t>2257528640002656</t>
        </is>
      </c>
      <c r="AZ1340" t="inlineStr">
        <is>
          <t>BOOK</t>
        </is>
      </c>
      <c r="BB1340" t="inlineStr">
        <is>
          <t>9780891581505</t>
        </is>
      </c>
      <c r="BC1340" t="inlineStr">
        <is>
          <t>32285000055870</t>
        </is>
      </c>
      <c r="BD1340" t="inlineStr">
        <is>
          <t>893436603</t>
        </is>
      </c>
    </row>
    <row r="1341">
      <c r="A1341" t="inlineStr">
        <is>
          <t>No</t>
        </is>
      </c>
      <c r="B1341" t="inlineStr">
        <is>
          <t>DS550 .R3</t>
        </is>
      </c>
      <c r="C1341" t="inlineStr">
        <is>
          <t>0                      DS 0550000R  3</t>
        </is>
      </c>
      <c r="D1341" t="inlineStr">
        <is>
          <t>Geneva 1954; the settlement of the Indochinese War, by Robert F. Randle.</t>
        </is>
      </c>
      <c r="F1341" t="inlineStr">
        <is>
          <t>No</t>
        </is>
      </c>
      <c r="G1341" t="inlineStr">
        <is>
          <t>1</t>
        </is>
      </c>
      <c r="H1341" t="inlineStr">
        <is>
          <t>No</t>
        </is>
      </c>
      <c r="I1341" t="inlineStr">
        <is>
          <t>No</t>
        </is>
      </c>
      <c r="J1341" t="inlineStr">
        <is>
          <t>0</t>
        </is>
      </c>
      <c r="K1341" t="inlineStr">
        <is>
          <t>Randle, Robert F.</t>
        </is>
      </c>
      <c r="L1341" t="inlineStr">
        <is>
          <t>Princeton, N.J., Princeton University Press, 1969.</t>
        </is>
      </c>
      <c r="M1341" t="inlineStr">
        <is>
          <t>1969</t>
        </is>
      </c>
      <c r="O1341" t="inlineStr">
        <is>
          <t>eng</t>
        </is>
      </c>
      <c r="P1341" t="inlineStr">
        <is>
          <t>nju</t>
        </is>
      </c>
      <c r="R1341" t="inlineStr">
        <is>
          <t xml:space="preserve">DS </t>
        </is>
      </c>
      <c r="S1341" t="n">
        <v>1</v>
      </c>
      <c r="T1341" t="n">
        <v>1</v>
      </c>
      <c r="U1341" t="inlineStr">
        <is>
          <t>2005-03-31</t>
        </is>
      </c>
      <c r="V1341" t="inlineStr">
        <is>
          <t>2005-03-31</t>
        </is>
      </c>
      <c r="W1341" t="inlineStr">
        <is>
          <t>1991-12-17</t>
        </is>
      </c>
      <c r="X1341" t="inlineStr">
        <is>
          <t>1991-12-17</t>
        </is>
      </c>
      <c r="Y1341" t="n">
        <v>803</v>
      </c>
      <c r="Z1341" t="n">
        <v>681</v>
      </c>
      <c r="AA1341" t="n">
        <v>836</v>
      </c>
      <c r="AB1341" t="n">
        <v>7</v>
      </c>
      <c r="AC1341" t="n">
        <v>7</v>
      </c>
      <c r="AD1341" t="n">
        <v>40</v>
      </c>
      <c r="AE1341" t="n">
        <v>45</v>
      </c>
      <c r="AF1341" t="n">
        <v>15</v>
      </c>
      <c r="AG1341" t="n">
        <v>18</v>
      </c>
      <c r="AH1341" t="n">
        <v>7</v>
      </c>
      <c r="AI1341" t="n">
        <v>9</v>
      </c>
      <c r="AJ1341" t="n">
        <v>16</v>
      </c>
      <c r="AK1341" t="n">
        <v>19</v>
      </c>
      <c r="AL1341" t="n">
        <v>5</v>
      </c>
      <c r="AM1341" t="n">
        <v>5</v>
      </c>
      <c r="AN1341" t="n">
        <v>5</v>
      </c>
      <c r="AO1341" t="n">
        <v>5</v>
      </c>
      <c r="AP1341" t="inlineStr">
        <is>
          <t>No</t>
        </is>
      </c>
      <c r="AQ1341" t="inlineStr">
        <is>
          <t>No</t>
        </is>
      </c>
      <c r="AS1341">
        <f>HYPERLINK("https://creighton-primo.hosted.exlibrisgroup.com/primo-explore/search?tab=default_tab&amp;search_scope=EVERYTHING&amp;vid=01CRU&amp;lang=en_US&amp;offset=0&amp;query=any,contains,991000135669702656","Catalog Record")</f>
        <v/>
      </c>
      <c r="AT1341">
        <f>HYPERLINK("http://www.worldcat.org/oclc/56179","WorldCat Record")</f>
        <v/>
      </c>
      <c r="AU1341" t="inlineStr">
        <is>
          <t>887995534:eng</t>
        </is>
      </c>
      <c r="AV1341" t="inlineStr">
        <is>
          <t>56179</t>
        </is>
      </c>
      <c r="AW1341" t="inlineStr">
        <is>
          <t>991000135669702656</t>
        </is>
      </c>
      <c r="AX1341" t="inlineStr">
        <is>
          <t>991000135669702656</t>
        </is>
      </c>
      <c r="AY1341" t="inlineStr">
        <is>
          <t>2261115740002656</t>
        </is>
      </c>
      <c r="AZ1341" t="inlineStr">
        <is>
          <t>BOOK</t>
        </is>
      </c>
      <c r="BB1341" t="inlineStr">
        <is>
          <t>9780691075297</t>
        </is>
      </c>
      <c r="BC1341" t="inlineStr">
        <is>
          <t>32285000901982</t>
        </is>
      </c>
      <c r="BD1341" t="inlineStr">
        <is>
          <t>893884152</t>
        </is>
      </c>
    </row>
    <row r="1342">
      <c r="A1342" t="inlineStr">
        <is>
          <t>No</t>
        </is>
      </c>
      <c r="B1342" t="inlineStr">
        <is>
          <t>DS553.1 .D38 1988</t>
        </is>
      </c>
      <c r="C1342" t="inlineStr">
        <is>
          <t>0                      DS 0553100D  38          1988</t>
        </is>
      </c>
      <c r="D1342" t="inlineStr">
        <is>
          <t>Vietnam at war : the history, 1946-1975 / Phillip B. Davidson.</t>
        </is>
      </c>
      <c r="F1342" t="inlineStr">
        <is>
          <t>No</t>
        </is>
      </c>
      <c r="G1342" t="inlineStr">
        <is>
          <t>1</t>
        </is>
      </c>
      <c r="H1342" t="inlineStr">
        <is>
          <t>No</t>
        </is>
      </c>
      <c r="I1342" t="inlineStr">
        <is>
          <t>No</t>
        </is>
      </c>
      <c r="J1342" t="inlineStr">
        <is>
          <t>0</t>
        </is>
      </c>
      <c r="K1342" t="inlineStr">
        <is>
          <t>Davidson, Phillip B., 1915-1996.</t>
        </is>
      </c>
      <c r="L1342" t="inlineStr">
        <is>
          <t>Novato, Calif. : Presidio Press, c1988.</t>
        </is>
      </c>
      <c r="M1342" t="inlineStr">
        <is>
          <t>1988</t>
        </is>
      </c>
      <c r="O1342" t="inlineStr">
        <is>
          <t>eng</t>
        </is>
      </c>
      <c r="P1342" t="inlineStr">
        <is>
          <t>cau</t>
        </is>
      </c>
      <c r="R1342" t="inlineStr">
        <is>
          <t xml:space="preserve">DS </t>
        </is>
      </c>
      <c r="S1342" t="n">
        <v>2</v>
      </c>
      <c r="T1342" t="n">
        <v>2</v>
      </c>
      <c r="U1342" t="inlineStr">
        <is>
          <t>1998-12-18</t>
        </is>
      </c>
      <c r="V1342" t="inlineStr">
        <is>
          <t>1998-12-18</t>
        </is>
      </c>
      <c r="W1342" t="inlineStr">
        <is>
          <t>1990-10-09</t>
        </is>
      </c>
      <c r="X1342" t="inlineStr">
        <is>
          <t>1990-10-09</t>
        </is>
      </c>
      <c r="Y1342" t="n">
        <v>1714</v>
      </c>
      <c r="Z1342" t="n">
        <v>1565</v>
      </c>
      <c r="AA1342" t="n">
        <v>1822</v>
      </c>
      <c r="AB1342" t="n">
        <v>10</v>
      </c>
      <c r="AC1342" t="n">
        <v>13</v>
      </c>
      <c r="AD1342" t="n">
        <v>34</v>
      </c>
      <c r="AE1342" t="n">
        <v>45</v>
      </c>
      <c r="AF1342" t="n">
        <v>16</v>
      </c>
      <c r="AG1342" t="n">
        <v>22</v>
      </c>
      <c r="AH1342" t="n">
        <v>5</v>
      </c>
      <c r="AI1342" t="n">
        <v>9</v>
      </c>
      <c r="AJ1342" t="n">
        <v>15</v>
      </c>
      <c r="AK1342" t="n">
        <v>18</v>
      </c>
      <c r="AL1342" t="n">
        <v>5</v>
      </c>
      <c r="AM1342" t="n">
        <v>8</v>
      </c>
      <c r="AN1342" t="n">
        <v>0</v>
      </c>
      <c r="AO1342" t="n">
        <v>0</v>
      </c>
      <c r="AP1342" t="inlineStr">
        <is>
          <t>No</t>
        </is>
      </c>
      <c r="AQ1342" t="inlineStr">
        <is>
          <t>No</t>
        </is>
      </c>
      <c r="AS1342">
        <f>HYPERLINK("https://creighton-primo.hosted.exlibrisgroup.com/primo-explore/search?tab=default_tab&amp;search_scope=EVERYTHING&amp;vid=01CRU&amp;lang=en_US&amp;offset=0&amp;query=any,contains,991001125509702656","Catalog Record")</f>
        <v/>
      </c>
      <c r="AT1342">
        <f>HYPERLINK("http://www.worldcat.org/oclc/16648147","WorldCat Record")</f>
        <v/>
      </c>
      <c r="AU1342" t="inlineStr">
        <is>
          <t>46878656:eng</t>
        </is>
      </c>
      <c r="AV1342" t="inlineStr">
        <is>
          <t>16648147</t>
        </is>
      </c>
      <c r="AW1342" t="inlineStr">
        <is>
          <t>991001125509702656</t>
        </is>
      </c>
      <c r="AX1342" t="inlineStr">
        <is>
          <t>991001125509702656</t>
        </is>
      </c>
      <c r="AY1342" t="inlineStr">
        <is>
          <t>2265755550002656</t>
        </is>
      </c>
      <c r="AZ1342" t="inlineStr">
        <is>
          <t>BOOK</t>
        </is>
      </c>
      <c r="BB1342" t="inlineStr">
        <is>
          <t>9780891413066</t>
        </is>
      </c>
      <c r="BC1342" t="inlineStr">
        <is>
          <t>32285000337260</t>
        </is>
      </c>
      <c r="BD1342" t="inlineStr">
        <is>
          <t>893346263</t>
        </is>
      </c>
    </row>
    <row r="1343">
      <c r="A1343" t="inlineStr">
        <is>
          <t>No</t>
        </is>
      </c>
      <c r="B1343" t="inlineStr">
        <is>
          <t>DS553.1 .D86 1985</t>
        </is>
      </c>
      <c r="C1343" t="inlineStr">
        <is>
          <t>0                      DS 0553100D  86          1985</t>
        </is>
      </c>
      <c r="D1343" t="inlineStr">
        <is>
          <t>The first Vietnam War / Peter M. Dunn.</t>
        </is>
      </c>
      <c r="F1343" t="inlineStr">
        <is>
          <t>No</t>
        </is>
      </c>
      <c r="G1343" t="inlineStr">
        <is>
          <t>1</t>
        </is>
      </c>
      <c r="H1343" t="inlineStr">
        <is>
          <t>No</t>
        </is>
      </c>
      <c r="I1343" t="inlineStr">
        <is>
          <t>No</t>
        </is>
      </c>
      <c r="J1343" t="inlineStr">
        <is>
          <t>0</t>
        </is>
      </c>
      <c r="K1343" t="inlineStr">
        <is>
          <t>Dunn, Peter M.</t>
        </is>
      </c>
      <c r="L1343" t="inlineStr">
        <is>
          <t>New York : St. Martin's Press, 1985.</t>
        </is>
      </c>
      <c r="M1343" t="inlineStr">
        <is>
          <t>1985</t>
        </is>
      </c>
      <c r="O1343" t="inlineStr">
        <is>
          <t>eng</t>
        </is>
      </c>
      <c r="P1343" t="inlineStr">
        <is>
          <t>nyu</t>
        </is>
      </c>
      <c r="R1343" t="inlineStr">
        <is>
          <t xml:space="preserve">DS </t>
        </is>
      </c>
      <c r="S1343" t="n">
        <v>1</v>
      </c>
      <c r="T1343" t="n">
        <v>1</v>
      </c>
      <c r="U1343" t="inlineStr">
        <is>
          <t>2006-11-18</t>
        </is>
      </c>
      <c r="V1343" t="inlineStr">
        <is>
          <t>2006-11-18</t>
        </is>
      </c>
      <c r="W1343" t="inlineStr">
        <is>
          <t>1990-10-09</t>
        </is>
      </c>
      <c r="X1343" t="inlineStr">
        <is>
          <t>1990-10-09</t>
        </is>
      </c>
      <c r="Y1343" t="n">
        <v>345</v>
      </c>
      <c r="Z1343" t="n">
        <v>310</v>
      </c>
      <c r="AA1343" t="n">
        <v>371</v>
      </c>
      <c r="AB1343" t="n">
        <v>3</v>
      </c>
      <c r="AC1343" t="n">
        <v>4</v>
      </c>
      <c r="AD1343" t="n">
        <v>18</v>
      </c>
      <c r="AE1343" t="n">
        <v>19</v>
      </c>
      <c r="AF1343" t="n">
        <v>6</v>
      </c>
      <c r="AG1343" t="n">
        <v>6</v>
      </c>
      <c r="AH1343" t="n">
        <v>5</v>
      </c>
      <c r="AI1343" t="n">
        <v>5</v>
      </c>
      <c r="AJ1343" t="n">
        <v>10</v>
      </c>
      <c r="AK1343" t="n">
        <v>10</v>
      </c>
      <c r="AL1343" t="n">
        <v>2</v>
      </c>
      <c r="AM1343" t="n">
        <v>3</v>
      </c>
      <c r="AN1343" t="n">
        <v>0</v>
      </c>
      <c r="AO1343" t="n">
        <v>0</v>
      </c>
      <c r="AP1343" t="inlineStr">
        <is>
          <t>No</t>
        </is>
      </c>
      <c r="AQ1343" t="inlineStr">
        <is>
          <t>No</t>
        </is>
      </c>
      <c r="AS1343">
        <f>HYPERLINK("https://creighton-primo.hosted.exlibrisgroup.com/primo-explore/search?tab=default_tab&amp;search_scope=EVERYTHING&amp;vid=01CRU&amp;lang=en_US&amp;offset=0&amp;query=any,contains,991000488159702656","Catalog Record")</f>
        <v/>
      </c>
      <c r="AT1343">
        <f>HYPERLINK("http://www.worldcat.org/oclc/11090229","WorldCat Record")</f>
        <v/>
      </c>
      <c r="AU1343" t="inlineStr">
        <is>
          <t>4066800:eng</t>
        </is>
      </c>
      <c r="AV1343" t="inlineStr">
        <is>
          <t>11090229</t>
        </is>
      </c>
      <c r="AW1343" t="inlineStr">
        <is>
          <t>991000488159702656</t>
        </is>
      </c>
      <c r="AX1343" t="inlineStr">
        <is>
          <t>991000488159702656</t>
        </is>
      </c>
      <c r="AY1343" t="inlineStr">
        <is>
          <t>2269211220002656</t>
        </is>
      </c>
      <c r="AZ1343" t="inlineStr">
        <is>
          <t>BOOK</t>
        </is>
      </c>
      <c r="BB1343" t="inlineStr">
        <is>
          <t>9780312293147</t>
        </is>
      </c>
      <c r="BC1343" t="inlineStr">
        <is>
          <t>32285000337278</t>
        </is>
      </c>
      <c r="BD1343" t="inlineStr">
        <is>
          <t>893884428</t>
        </is>
      </c>
    </row>
    <row r="1344">
      <c r="A1344" t="inlineStr">
        <is>
          <t>No</t>
        </is>
      </c>
      <c r="B1344" t="inlineStr">
        <is>
          <t>DS553.1 .W56 1991</t>
        </is>
      </c>
      <c r="C1344" t="inlineStr">
        <is>
          <t>0                      DS 0553100W  56          1991</t>
        </is>
      </c>
      <c r="D1344" t="inlineStr">
        <is>
          <t>The Vietnam wars / Justin Wintle.</t>
        </is>
      </c>
      <c r="F1344" t="inlineStr">
        <is>
          <t>No</t>
        </is>
      </c>
      <c r="G1344" t="inlineStr">
        <is>
          <t>1</t>
        </is>
      </c>
      <c r="H1344" t="inlineStr">
        <is>
          <t>No</t>
        </is>
      </c>
      <c r="I1344" t="inlineStr">
        <is>
          <t>No</t>
        </is>
      </c>
      <c r="J1344" t="inlineStr">
        <is>
          <t>0</t>
        </is>
      </c>
      <c r="K1344" t="inlineStr">
        <is>
          <t>Wintle, Justin.</t>
        </is>
      </c>
      <c r="L1344" t="inlineStr">
        <is>
          <t>New York : St. Martin's Press, 1991.</t>
        </is>
      </c>
      <c r="M1344" t="inlineStr">
        <is>
          <t>1991</t>
        </is>
      </c>
      <c r="O1344" t="inlineStr">
        <is>
          <t>eng</t>
        </is>
      </c>
      <c r="P1344" t="inlineStr">
        <is>
          <t>nyu</t>
        </is>
      </c>
      <c r="Q1344" t="inlineStr">
        <is>
          <t>Wars of the modern era</t>
        </is>
      </c>
      <c r="R1344" t="inlineStr">
        <is>
          <t xml:space="preserve">DS </t>
        </is>
      </c>
      <c r="S1344" t="n">
        <v>10</v>
      </c>
      <c r="T1344" t="n">
        <v>10</v>
      </c>
      <c r="U1344" t="inlineStr">
        <is>
          <t>2006-11-18</t>
        </is>
      </c>
      <c r="V1344" t="inlineStr">
        <is>
          <t>2006-11-18</t>
        </is>
      </c>
      <c r="W1344" t="inlineStr">
        <is>
          <t>1992-02-21</t>
        </is>
      </c>
      <c r="X1344" t="inlineStr">
        <is>
          <t>1992-02-21</t>
        </is>
      </c>
      <c r="Y1344" t="n">
        <v>185</v>
      </c>
      <c r="Z1344" t="n">
        <v>161</v>
      </c>
      <c r="AA1344" t="n">
        <v>188</v>
      </c>
      <c r="AB1344" t="n">
        <v>4</v>
      </c>
      <c r="AC1344" t="n">
        <v>4</v>
      </c>
      <c r="AD1344" t="n">
        <v>10</v>
      </c>
      <c r="AE1344" t="n">
        <v>10</v>
      </c>
      <c r="AF1344" t="n">
        <v>3</v>
      </c>
      <c r="AG1344" t="n">
        <v>3</v>
      </c>
      <c r="AH1344" t="n">
        <v>1</v>
      </c>
      <c r="AI1344" t="n">
        <v>1</v>
      </c>
      <c r="AJ1344" t="n">
        <v>5</v>
      </c>
      <c r="AK1344" t="n">
        <v>5</v>
      </c>
      <c r="AL1344" t="n">
        <v>3</v>
      </c>
      <c r="AM1344" t="n">
        <v>3</v>
      </c>
      <c r="AN1344" t="n">
        <v>0</v>
      </c>
      <c r="AO1344" t="n">
        <v>0</v>
      </c>
      <c r="AP1344" t="inlineStr">
        <is>
          <t>No</t>
        </is>
      </c>
      <c r="AQ1344" t="inlineStr">
        <is>
          <t>No</t>
        </is>
      </c>
      <c r="AS1344">
        <f>HYPERLINK("https://creighton-primo.hosted.exlibrisgroup.com/primo-explore/search?tab=default_tab&amp;search_scope=EVERYTHING&amp;vid=01CRU&amp;lang=en_US&amp;offset=0&amp;query=any,contains,991001908839702656","Catalog Record")</f>
        <v/>
      </c>
      <c r="AT1344">
        <f>HYPERLINK("http://www.worldcat.org/oclc/24107784","WorldCat Record")</f>
        <v/>
      </c>
      <c r="AU1344" t="inlineStr">
        <is>
          <t>3943675223:eng</t>
        </is>
      </c>
      <c r="AV1344" t="inlineStr">
        <is>
          <t>24107784</t>
        </is>
      </c>
      <c r="AW1344" t="inlineStr">
        <is>
          <t>991001908839702656</t>
        </is>
      </c>
      <c r="AX1344" t="inlineStr">
        <is>
          <t>991001908839702656</t>
        </is>
      </c>
      <c r="AY1344" t="inlineStr">
        <is>
          <t>2255595030002656</t>
        </is>
      </c>
      <c r="AZ1344" t="inlineStr">
        <is>
          <t>BOOK</t>
        </is>
      </c>
      <c r="BB1344" t="inlineStr">
        <is>
          <t>9780312068516</t>
        </is>
      </c>
      <c r="BC1344" t="inlineStr">
        <is>
          <t>32285000936285</t>
        </is>
      </c>
      <c r="BD1344" t="inlineStr">
        <is>
          <t>893891923</t>
        </is>
      </c>
    </row>
    <row r="1345">
      <c r="A1345" t="inlineStr">
        <is>
          <t>No</t>
        </is>
      </c>
      <c r="B1345" t="inlineStr">
        <is>
          <t>DS553.3.D5 W56 2004</t>
        </is>
      </c>
      <c r="C1345" t="inlineStr">
        <is>
          <t>0                      DS 0553300D  5                  W  56          2004</t>
        </is>
      </c>
      <c r="D1345" t="inlineStr">
        <is>
          <t>The last valley : Dien Bien Phu and the French defeat in Vietnam / Martin Windrow.</t>
        </is>
      </c>
      <c r="F1345" t="inlineStr">
        <is>
          <t>No</t>
        </is>
      </c>
      <c r="G1345" t="inlineStr">
        <is>
          <t>1</t>
        </is>
      </c>
      <c r="H1345" t="inlineStr">
        <is>
          <t>No</t>
        </is>
      </c>
      <c r="I1345" t="inlineStr">
        <is>
          <t>No</t>
        </is>
      </c>
      <c r="J1345" t="inlineStr">
        <is>
          <t>0</t>
        </is>
      </c>
      <c r="K1345" t="inlineStr">
        <is>
          <t>Windrow, Martin.</t>
        </is>
      </c>
      <c r="L1345" t="inlineStr">
        <is>
          <t>Cambridge, MA : Da Capo Press, 2004.</t>
        </is>
      </c>
      <c r="M1345" t="inlineStr">
        <is>
          <t>2004</t>
        </is>
      </c>
      <c r="N1345" t="inlineStr">
        <is>
          <t>1st Da Capo Press ed.</t>
        </is>
      </c>
      <c r="O1345" t="inlineStr">
        <is>
          <t>eng</t>
        </is>
      </c>
      <c r="P1345" t="inlineStr">
        <is>
          <t>mau</t>
        </is>
      </c>
      <c r="R1345" t="inlineStr">
        <is>
          <t xml:space="preserve">DS </t>
        </is>
      </c>
      <c r="S1345" t="n">
        <v>2</v>
      </c>
      <c r="T1345" t="n">
        <v>2</v>
      </c>
      <c r="U1345" t="inlineStr">
        <is>
          <t>2005-04-15</t>
        </is>
      </c>
      <c r="V1345" t="inlineStr">
        <is>
          <t>2005-04-15</t>
        </is>
      </c>
      <c r="W1345" t="inlineStr">
        <is>
          <t>2005-03-21</t>
        </is>
      </c>
      <c r="X1345" t="inlineStr">
        <is>
          <t>2005-03-21</t>
        </is>
      </c>
      <c r="Y1345" t="n">
        <v>960</v>
      </c>
      <c r="Z1345" t="n">
        <v>913</v>
      </c>
      <c r="AA1345" t="n">
        <v>1075</v>
      </c>
      <c r="AB1345" t="n">
        <v>6</v>
      </c>
      <c r="AC1345" t="n">
        <v>7</v>
      </c>
      <c r="AD1345" t="n">
        <v>32</v>
      </c>
      <c r="AE1345" t="n">
        <v>38</v>
      </c>
      <c r="AF1345" t="n">
        <v>16</v>
      </c>
      <c r="AG1345" t="n">
        <v>18</v>
      </c>
      <c r="AH1345" t="n">
        <v>7</v>
      </c>
      <c r="AI1345" t="n">
        <v>9</v>
      </c>
      <c r="AJ1345" t="n">
        <v>11</v>
      </c>
      <c r="AK1345" t="n">
        <v>14</v>
      </c>
      <c r="AL1345" t="n">
        <v>5</v>
      </c>
      <c r="AM1345" t="n">
        <v>6</v>
      </c>
      <c r="AN1345" t="n">
        <v>0</v>
      </c>
      <c r="AO1345" t="n">
        <v>0</v>
      </c>
      <c r="AP1345" t="inlineStr">
        <is>
          <t>No</t>
        </is>
      </c>
      <c r="AQ1345" t="inlineStr">
        <is>
          <t>No</t>
        </is>
      </c>
      <c r="AS1345">
        <f>HYPERLINK("https://creighton-primo.hosted.exlibrisgroup.com/primo-explore/search?tab=default_tab&amp;search_scope=EVERYTHING&amp;vid=01CRU&amp;lang=en_US&amp;offset=0&amp;query=any,contains,991004486069702656","Catalog Record")</f>
        <v/>
      </c>
      <c r="AT1345">
        <f>HYPERLINK("http://www.worldcat.org/oclc/57211315","WorldCat Record")</f>
        <v/>
      </c>
      <c r="AU1345" t="inlineStr">
        <is>
          <t>998732:eng</t>
        </is>
      </c>
      <c r="AV1345" t="inlineStr">
        <is>
          <t>57211315</t>
        </is>
      </c>
      <c r="AW1345" t="inlineStr">
        <is>
          <t>991004486069702656</t>
        </is>
      </c>
      <c r="AX1345" t="inlineStr">
        <is>
          <t>991004486069702656</t>
        </is>
      </c>
      <c r="AY1345" t="inlineStr">
        <is>
          <t>2265164230002656</t>
        </is>
      </c>
      <c r="AZ1345" t="inlineStr">
        <is>
          <t>BOOK</t>
        </is>
      </c>
      <c r="BB1345" t="inlineStr">
        <is>
          <t>9780306813863</t>
        </is>
      </c>
      <c r="BC1345" t="inlineStr">
        <is>
          <t>32285005043574</t>
        </is>
      </c>
      <c r="BD1345" t="inlineStr">
        <is>
          <t>893430115</t>
        </is>
      </c>
    </row>
    <row r="1346">
      <c r="A1346" t="inlineStr">
        <is>
          <t>No</t>
        </is>
      </c>
      <c r="B1346" t="inlineStr">
        <is>
          <t>DS553.5 .S56 1994</t>
        </is>
      </c>
      <c r="C1346" t="inlineStr">
        <is>
          <t>0                      DS 0553500S  56          1994</t>
        </is>
      </c>
      <c r="D1346" t="inlineStr">
        <is>
          <t>Tiger in the barbed wire : an American in Vietnam, 1952-1991 / Howard R. Simpson ; foreword by Pierre Salinger.</t>
        </is>
      </c>
      <c r="F1346" t="inlineStr">
        <is>
          <t>No</t>
        </is>
      </c>
      <c r="G1346" t="inlineStr">
        <is>
          <t>1</t>
        </is>
      </c>
      <c r="H1346" t="inlineStr">
        <is>
          <t>No</t>
        </is>
      </c>
      <c r="I1346" t="inlineStr">
        <is>
          <t>No</t>
        </is>
      </c>
      <c r="J1346" t="inlineStr">
        <is>
          <t>0</t>
        </is>
      </c>
      <c r="K1346" t="inlineStr">
        <is>
          <t>Simpson, Howard R., 1925-1999.</t>
        </is>
      </c>
      <c r="L1346" t="inlineStr">
        <is>
          <t>New York : Kodansha International, 1994.</t>
        </is>
      </c>
      <c r="M1346" t="inlineStr">
        <is>
          <t>1994</t>
        </is>
      </c>
      <c r="O1346" t="inlineStr">
        <is>
          <t>eng</t>
        </is>
      </c>
      <c r="P1346" t="inlineStr">
        <is>
          <t>nyu</t>
        </is>
      </c>
      <c r="Q1346" t="inlineStr">
        <is>
          <t>Kodansha globe</t>
        </is>
      </c>
      <c r="R1346" t="inlineStr">
        <is>
          <t xml:space="preserve">DS </t>
        </is>
      </c>
      <c r="S1346" t="n">
        <v>6</v>
      </c>
      <c r="T1346" t="n">
        <v>6</v>
      </c>
      <c r="U1346" t="inlineStr">
        <is>
          <t>2005-10-25</t>
        </is>
      </c>
      <c r="V1346" t="inlineStr">
        <is>
          <t>2005-10-25</t>
        </is>
      </c>
      <c r="W1346" t="inlineStr">
        <is>
          <t>1995-02-06</t>
        </is>
      </c>
      <c r="X1346" t="inlineStr">
        <is>
          <t>1995-02-06</t>
        </is>
      </c>
      <c r="Y1346" t="n">
        <v>105</v>
      </c>
      <c r="Z1346" t="n">
        <v>94</v>
      </c>
      <c r="AA1346" t="n">
        <v>403</v>
      </c>
      <c r="AB1346" t="n">
        <v>1</v>
      </c>
      <c r="AC1346" t="n">
        <v>3</v>
      </c>
      <c r="AD1346" t="n">
        <v>2</v>
      </c>
      <c r="AE1346" t="n">
        <v>13</v>
      </c>
      <c r="AF1346" t="n">
        <v>1</v>
      </c>
      <c r="AG1346" t="n">
        <v>3</v>
      </c>
      <c r="AH1346" t="n">
        <v>1</v>
      </c>
      <c r="AI1346" t="n">
        <v>5</v>
      </c>
      <c r="AJ1346" t="n">
        <v>1</v>
      </c>
      <c r="AK1346" t="n">
        <v>6</v>
      </c>
      <c r="AL1346" t="n">
        <v>0</v>
      </c>
      <c r="AM1346" t="n">
        <v>2</v>
      </c>
      <c r="AN1346" t="n">
        <v>0</v>
      </c>
      <c r="AO1346" t="n">
        <v>0</v>
      </c>
      <c r="AP1346" t="inlineStr">
        <is>
          <t>No</t>
        </is>
      </c>
      <c r="AQ1346" t="inlineStr">
        <is>
          <t>Yes</t>
        </is>
      </c>
      <c r="AR1346">
        <f>HYPERLINK("http://catalog.hathitrust.org/Record/006044753","HathiTrust Record")</f>
        <v/>
      </c>
      <c r="AS1346">
        <f>HYPERLINK("https://creighton-primo.hosted.exlibrisgroup.com/primo-explore/search?tab=default_tab&amp;search_scope=EVERYTHING&amp;vid=01CRU&amp;lang=en_US&amp;offset=0&amp;query=any,contains,991002283009702656","Catalog Record")</f>
        <v/>
      </c>
      <c r="AT1346">
        <f>HYPERLINK("http://www.worldcat.org/oclc/29597321","WorldCat Record")</f>
        <v/>
      </c>
      <c r="AU1346" t="inlineStr">
        <is>
          <t>836730480:eng</t>
        </is>
      </c>
      <c r="AV1346" t="inlineStr">
        <is>
          <t>29597321</t>
        </is>
      </c>
      <c r="AW1346" t="inlineStr">
        <is>
          <t>991002283009702656</t>
        </is>
      </c>
      <c r="AX1346" t="inlineStr">
        <is>
          <t>991002283009702656</t>
        </is>
      </c>
      <c r="AY1346" t="inlineStr">
        <is>
          <t>2261399520002656</t>
        </is>
      </c>
      <c r="AZ1346" t="inlineStr">
        <is>
          <t>BOOK</t>
        </is>
      </c>
      <c r="BB1346" t="inlineStr">
        <is>
          <t>9781568360256</t>
        </is>
      </c>
      <c r="BC1346" t="inlineStr">
        <is>
          <t>32285001997286</t>
        </is>
      </c>
      <c r="BD1346" t="inlineStr">
        <is>
          <t>893408917</t>
        </is>
      </c>
    </row>
    <row r="1347">
      <c r="A1347" t="inlineStr">
        <is>
          <t>No</t>
        </is>
      </c>
      <c r="B1347" t="inlineStr">
        <is>
          <t>DS553.6 .C33 1986</t>
        </is>
      </c>
      <c r="C1347" t="inlineStr">
        <is>
          <t>0                      DS 0553600C  33          1986</t>
        </is>
      </c>
      <c r="D1347" t="inlineStr">
        <is>
          <t>The Geneva Conference of 1954 on Indochina / James Cable.</t>
        </is>
      </c>
      <c r="F1347" t="inlineStr">
        <is>
          <t>No</t>
        </is>
      </c>
      <c r="G1347" t="inlineStr">
        <is>
          <t>1</t>
        </is>
      </c>
      <c r="H1347" t="inlineStr">
        <is>
          <t>No</t>
        </is>
      </c>
      <c r="I1347" t="inlineStr">
        <is>
          <t>No</t>
        </is>
      </c>
      <c r="J1347" t="inlineStr">
        <is>
          <t>0</t>
        </is>
      </c>
      <c r="K1347" t="inlineStr">
        <is>
          <t>Cable, James, 1920-</t>
        </is>
      </c>
      <c r="L1347" t="inlineStr">
        <is>
          <t>New York : St. Martin's Press, 1986.</t>
        </is>
      </c>
      <c r="M1347" t="inlineStr">
        <is>
          <t>1986</t>
        </is>
      </c>
      <c r="O1347" t="inlineStr">
        <is>
          <t>eng</t>
        </is>
      </c>
      <c r="P1347" t="inlineStr">
        <is>
          <t>nyu</t>
        </is>
      </c>
      <c r="R1347" t="inlineStr">
        <is>
          <t xml:space="preserve">DS </t>
        </is>
      </c>
      <c r="S1347" t="n">
        <v>1</v>
      </c>
      <c r="T1347" t="n">
        <v>1</v>
      </c>
      <c r="U1347" t="inlineStr">
        <is>
          <t>2005-04-06</t>
        </is>
      </c>
      <c r="V1347" t="inlineStr">
        <is>
          <t>2005-04-06</t>
        </is>
      </c>
      <c r="W1347" t="inlineStr">
        <is>
          <t>1990-10-09</t>
        </is>
      </c>
      <c r="X1347" t="inlineStr">
        <is>
          <t>1990-10-09</t>
        </is>
      </c>
      <c r="Y1347" t="n">
        <v>252</v>
      </c>
      <c r="Z1347" t="n">
        <v>229</v>
      </c>
      <c r="AA1347" t="n">
        <v>315</v>
      </c>
      <c r="AB1347" t="n">
        <v>1</v>
      </c>
      <c r="AC1347" t="n">
        <v>3</v>
      </c>
      <c r="AD1347" t="n">
        <v>10</v>
      </c>
      <c r="AE1347" t="n">
        <v>14</v>
      </c>
      <c r="AF1347" t="n">
        <v>4</v>
      </c>
      <c r="AG1347" t="n">
        <v>5</v>
      </c>
      <c r="AH1347" t="n">
        <v>3</v>
      </c>
      <c r="AI1347" t="n">
        <v>4</v>
      </c>
      <c r="AJ1347" t="n">
        <v>4</v>
      </c>
      <c r="AK1347" t="n">
        <v>6</v>
      </c>
      <c r="AL1347" t="n">
        <v>0</v>
      </c>
      <c r="AM1347" t="n">
        <v>2</v>
      </c>
      <c r="AN1347" t="n">
        <v>0</v>
      </c>
      <c r="AO1347" t="n">
        <v>0</v>
      </c>
      <c r="AP1347" t="inlineStr">
        <is>
          <t>No</t>
        </is>
      </c>
      <c r="AQ1347" t="inlineStr">
        <is>
          <t>No</t>
        </is>
      </c>
      <c r="AS1347">
        <f>HYPERLINK("https://creighton-primo.hosted.exlibrisgroup.com/primo-explore/search?tab=default_tab&amp;search_scope=EVERYTHING&amp;vid=01CRU&amp;lang=en_US&amp;offset=0&amp;query=any,contains,991000756269702656","Catalog Record")</f>
        <v/>
      </c>
      <c r="AT1347">
        <f>HYPERLINK("http://www.worldcat.org/oclc/12947773","WorldCat Record")</f>
        <v/>
      </c>
      <c r="AU1347" t="inlineStr">
        <is>
          <t>5873926:eng</t>
        </is>
      </c>
      <c r="AV1347" t="inlineStr">
        <is>
          <t>12947773</t>
        </is>
      </c>
      <c r="AW1347" t="inlineStr">
        <is>
          <t>991000756269702656</t>
        </is>
      </c>
      <c r="AX1347" t="inlineStr">
        <is>
          <t>991000756269702656</t>
        </is>
      </c>
      <c r="AY1347" t="inlineStr">
        <is>
          <t>2256700520002656</t>
        </is>
      </c>
      <c r="AZ1347" t="inlineStr">
        <is>
          <t>BOOK</t>
        </is>
      </c>
      <c r="BB1347" t="inlineStr">
        <is>
          <t>9780312320973</t>
        </is>
      </c>
      <c r="BC1347" t="inlineStr">
        <is>
          <t>32285000337286</t>
        </is>
      </c>
      <c r="BD1347" t="inlineStr">
        <is>
          <t>893261597</t>
        </is>
      </c>
    </row>
    <row r="1348">
      <c r="A1348" t="inlineStr">
        <is>
          <t>No</t>
        </is>
      </c>
      <c r="B1348" t="inlineStr">
        <is>
          <t>DS554.382 .V53 1984</t>
        </is>
      </c>
      <c r="C1348" t="inlineStr">
        <is>
          <t>0                      DS 0554382V  53          1984</t>
        </is>
      </c>
      <c r="D1348" t="inlineStr">
        <is>
          <t>Cambodia, 1975-1982 / Michael Vickery.</t>
        </is>
      </c>
      <c r="F1348" t="inlineStr">
        <is>
          <t>No</t>
        </is>
      </c>
      <c r="G1348" t="inlineStr">
        <is>
          <t>1</t>
        </is>
      </c>
      <c r="H1348" t="inlineStr">
        <is>
          <t>No</t>
        </is>
      </c>
      <c r="I1348" t="inlineStr">
        <is>
          <t>No</t>
        </is>
      </c>
      <c r="J1348" t="inlineStr">
        <is>
          <t>0</t>
        </is>
      </c>
      <c r="K1348" t="inlineStr">
        <is>
          <t>Vickery, Michael.</t>
        </is>
      </c>
      <c r="L1348" t="inlineStr">
        <is>
          <t>Boston, MA : South End Press, c1984.</t>
        </is>
      </c>
      <c r="M1348" t="inlineStr">
        <is>
          <t>1984</t>
        </is>
      </c>
      <c r="O1348" t="inlineStr">
        <is>
          <t>eng</t>
        </is>
      </c>
      <c r="P1348" t="inlineStr">
        <is>
          <t>mau</t>
        </is>
      </c>
      <c r="R1348" t="inlineStr">
        <is>
          <t xml:space="preserve">DS </t>
        </is>
      </c>
      <c r="S1348" t="n">
        <v>9</v>
      </c>
      <c r="T1348" t="n">
        <v>9</v>
      </c>
      <c r="U1348" t="inlineStr">
        <is>
          <t>2007-04-01</t>
        </is>
      </c>
      <c r="V1348" t="inlineStr">
        <is>
          <t>2007-04-01</t>
        </is>
      </c>
      <c r="W1348" t="inlineStr">
        <is>
          <t>1991-06-28</t>
        </is>
      </c>
      <c r="X1348" t="inlineStr">
        <is>
          <t>1991-06-28</t>
        </is>
      </c>
      <c r="Y1348" t="n">
        <v>858</v>
      </c>
      <c r="Z1348" t="n">
        <v>769</v>
      </c>
      <c r="AA1348" t="n">
        <v>806</v>
      </c>
      <c r="AB1348" t="n">
        <v>4</v>
      </c>
      <c r="AC1348" t="n">
        <v>5</v>
      </c>
      <c r="AD1348" t="n">
        <v>31</v>
      </c>
      <c r="AE1348" t="n">
        <v>32</v>
      </c>
      <c r="AF1348" t="n">
        <v>15</v>
      </c>
      <c r="AG1348" t="n">
        <v>15</v>
      </c>
      <c r="AH1348" t="n">
        <v>7</v>
      </c>
      <c r="AI1348" t="n">
        <v>7</v>
      </c>
      <c r="AJ1348" t="n">
        <v>15</v>
      </c>
      <c r="AK1348" t="n">
        <v>15</v>
      </c>
      <c r="AL1348" t="n">
        <v>3</v>
      </c>
      <c r="AM1348" t="n">
        <v>4</v>
      </c>
      <c r="AN1348" t="n">
        <v>0</v>
      </c>
      <c r="AO1348" t="n">
        <v>0</v>
      </c>
      <c r="AP1348" t="inlineStr">
        <is>
          <t>No</t>
        </is>
      </c>
      <c r="AQ1348" t="inlineStr">
        <is>
          <t>Yes</t>
        </is>
      </c>
      <c r="AR1348">
        <f>HYPERLINK("http://catalog.hathitrust.org/Record/000119992","HathiTrust Record")</f>
        <v/>
      </c>
      <c r="AS1348">
        <f>HYPERLINK("https://creighton-primo.hosted.exlibrisgroup.com/primo-explore/search?tab=default_tab&amp;search_scope=EVERYTHING&amp;vid=01CRU&amp;lang=en_US&amp;offset=0&amp;query=any,contains,991000394509702656","Catalog Record")</f>
        <v/>
      </c>
      <c r="AT1348">
        <f>HYPERLINK("http://www.worldcat.org/oclc/10560044","WorldCat Record")</f>
        <v/>
      </c>
      <c r="AU1348" t="inlineStr">
        <is>
          <t>2953164:eng</t>
        </is>
      </c>
      <c r="AV1348" t="inlineStr">
        <is>
          <t>10560044</t>
        </is>
      </c>
      <c r="AW1348" t="inlineStr">
        <is>
          <t>991000394509702656</t>
        </is>
      </c>
      <c r="AX1348" t="inlineStr">
        <is>
          <t>991000394509702656</t>
        </is>
      </c>
      <c r="AY1348" t="inlineStr">
        <is>
          <t>2264997690002656</t>
        </is>
      </c>
      <c r="AZ1348" t="inlineStr">
        <is>
          <t>BOOK</t>
        </is>
      </c>
      <c r="BB1348" t="inlineStr">
        <is>
          <t>9780896081901</t>
        </is>
      </c>
      <c r="BC1348" t="inlineStr">
        <is>
          <t>32285000672401</t>
        </is>
      </c>
      <c r="BD1348" t="inlineStr">
        <is>
          <t>893243208</t>
        </is>
      </c>
    </row>
    <row r="1349">
      <c r="A1349" t="inlineStr">
        <is>
          <t>No</t>
        </is>
      </c>
      <c r="B1349" t="inlineStr">
        <is>
          <t>DS554.8 .C357 1989</t>
        </is>
      </c>
      <c r="C1349" t="inlineStr">
        <is>
          <t>0                      DS 0554800C  357         1989</t>
        </is>
      </c>
      <c r="D1349" t="inlineStr">
        <is>
          <t>Cambodia, 1975-1978 : rendezvous with death / [compiled by] Karl D. Jackson.</t>
        </is>
      </c>
      <c r="F1349" t="inlineStr">
        <is>
          <t>No</t>
        </is>
      </c>
      <c r="G1349" t="inlineStr">
        <is>
          <t>1</t>
        </is>
      </c>
      <c r="H1349" t="inlineStr">
        <is>
          <t>No</t>
        </is>
      </c>
      <c r="I1349" t="inlineStr">
        <is>
          <t>No</t>
        </is>
      </c>
      <c r="J1349" t="inlineStr">
        <is>
          <t>0</t>
        </is>
      </c>
      <c r="L1349" t="inlineStr">
        <is>
          <t>Princeton, N.J. : Princeton University Press, c1989.</t>
        </is>
      </c>
      <c r="M1349" t="inlineStr">
        <is>
          <t>1989</t>
        </is>
      </c>
      <c r="O1349" t="inlineStr">
        <is>
          <t>eng</t>
        </is>
      </c>
      <c r="P1349" t="inlineStr">
        <is>
          <t>nju</t>
        </is>
      </c>
      <c r="R1349" t="inlineStr">
        <is>
          <t xml:space="preserve">DS </t>
        </is>
      </c>
      <c r="S1349" t="n">
        <v>12</v>
      </c>
      <c r="T1349" t="n">
        <v>12</v>
      </c>
      <c r="U1349" t="inlineStr">
        <is>
          <t>2007-04-01</t>
        </is>
      </c>
      <c r="V1349" t="inlineStr">
        <is>
          <t>2007-04-01</t>
        </is>
      </c>
      <c r="W1349" t="inlineStr">
        <is>
          <t>1990-10-26</t>
        </is>
      </c>
      <c r="X1349" t="inlineStr">
        <is>
          <t>1990-10-26</t>
        </is>
      </c>
      <c r="Y1349" t="n">
        <v>813</v>
      </c>
      <c r="Z1349" t="n">
        <v>679</v>
      </c>
      <c r="AA1349" t="n">
        <v>1088</v>
      </c>
      <c r="AB1349" t="n">
        <v>7</v>
      </c>
      <c r="AC1349" t="n">
        <v>12</v>
      </c>
      <c r="AD1349" t="n">
        <v>33</v>
      </c>
      <c r="AE1349" t="n">
        <v>50</v>
      </c>
      <c r="AF1349" t="n">
        <v>11</v>
      </c>
      <c r="AG1349" t="n">
        <v>19</v>
      </c>
      <c r="AH1349" t="n">
        <v>8</v>
      </c>
      <c r="AI1349" t="n">
        <v>11</v>
      </c>
      <c r="AJ1349" t="n">
        <v>14</v>
      </c>
      <c r="AK1349" t="n">
        <v>19</v>
      </c>
      <c r="AL1349" t="n">
        <v>6</v>
      </c>
      <c r="AM1349" t="n">
        <v>10</v>
      </c>
      <c r="AN1349" t="n">
        <v>1</v>
      </c>
      <c r="AO1349" t="n">
        <v>2</v>
      </c>
      <c r="AP1349" t="inlineStr">
        <is>
          <t>No</t>
        </is>
      </c>
      <c r="AQ1349" t="inlineStr">
        <is>
          <t>No</t>
        </is>
      </c>
      <c r="AS1349">
        <f>HYPERLINK("https://creighton-primo.hosted.exlibrisgroup.com/primo-explore/search?tab=default_tab&amp;search_scope=EVERYTHING&amp;vid=01CRU&amp;lang=en_US&amp;offset=0&amp;query=any,contains,991001387389702656","Catalog Record")</f>
        <v/>
      </c>
      <c r="AT1349">
        <f>HYPERLINK("http://www.worldcat.org/oclc/18739271","WorldCat Record")</f>
        <v/>
      </c>
      <c r="AU1349" t="inlineStr">
        <is>
          <t>836737109:eng</t>
        </is>
      </c>
      <c r="AV1349" t="inlineStr">
        <is>
          <t>18739271</t>
        </is>
      </c>
      <c r="AW1349" t="inlineStr">
        <is>
          <t>991001387389702656</t>
        </is>
      </c>
      <c r="AX1349" t="inlineStr">
        <is>
          <t>991001387389702656</t>
        </is>
      </c>
      <c r="AY1349" t="inlineStr">
        <is>
          <t>2261568630002656</t>
        </is>
      </c>
      <c r="AZ1349" t="inlineStr">
        <is>
          <t>BOOK</t>
        </is>
      </c>
      <c r="BB1349" t="inlineStr">
        <is>
          <t>9780691078076</t>
        </is>
      </c>
      <c r="BC1349" t="inlineStr">
        <is>
          <t>32285000311851</t>
        </is>
      </c>
      <c r="BD1349" t="inlineStr">
        <is>
          <t>893866196</t>
        </is>
      </c>
    </row>
    <row r="1350">
      <c r="A1350" t="inlineStr">
        <is>
          <t>No</t>
        </is>
      </c>
      <c r="B1350" t="inlineStr">
        <is>
          <t>DS554.8 .K3832 1998</t>
        </is>
      </c>
      <c r="C1350" t="inlineStr">
        <is>
          <t>0                      DS 0554800K  3832        1998</t>
        </is>
      </c>
      <c r="D1350" t="inlineStr">
        <is>
          <t>Cambodia : report from a stricken land / Henry Kamm.</t>
        </is>
      </c>
      <c r="F1350" t="inlineStr">
        <is>
          <t>No</t>
        </is>
      </c>
      <c r="G1350" t="inlineStr">
        <is>
          <t>1</t>
        </is>
      </c>
      <c r="H1350" t="inlineStr">
        <is>
          <t>No</t>
        </is>
      </c>
      <c r="I1350" t="inlineStr">
        <is>
          <t>No</t>
        </is>
      </c>
      <c r="J1350" t="inlineStr">
        <is>
          <t>0</t>
        </is>
      </c>
      <c r="K1350" t="inlineStr">
        <is>
          <t>Kamm, Henry.</t>
        </is>
      </c>
      <c r="L1350" t="inlineStr">
        <is>
          <t>New York : Arcade Pub., 1998.</t>
        </is>
      </c>
      <c r="M1350" t="inlineStr">
        <is>
          <t>1998</t>
        </is>
      </c>
      <c r="N1350" t="inlineStr">
        <is>
          <t>1st ed.</t>
        </is>
      </c>
      <c r="O1350" t="inlineStr">
        <is>
          <t>eng</t>
        </is>
      </c>
      <c r="P1350" t="inlineStr">
        <is>
          <t>nyu</t>
        </is>
      </c>
      <c r="R1350" t="inlineStr">
        <is>
          <t xml:space="preserve">DS </t>
        </is>
      </c>
      <c r="S1350" t="n">
        <v>5</v>
      </c>
      <c r="T1350" t="n">
        <v>5</v>
      </c>
      <c r="U1350" t="inlineStr">
        <is>
          <t>2007-04-09</t>
        </is>
      </c>
      <c r="V1350" t="inlineStr">
        <is>
          <t>2007-04-09</t>
        </is>
      </c>
      <c r="W1350" t="inlineStr">
        <is>
          <t>1998-10-06</t>
        </is>
      </c>
      <c r="X1350" t="inlineStr">
        <is>
          <t>1998-10-06</t>
        </is>
      </c>
      <c r="Y1350" t="n">
        <v>949</v>
      </c>
      <c r="Z1350" t="n">
        <v>858</v>
      </c>
      <c r="AA1350" t="n">
        <v>929</v>
      </c>
      <c r="AB1350" t="n">
        <v>6</v>
      </c>
      <c r="AC1350" t="n">
        <v>6</v>
      </c>
      <c r="AD1350" t="n">
        <v>29</v>
      </c>
      <c r="AE1350" t="n">
        <v>29</v>
      </c>
      <c r="AF1350" t="n">
        <v>10</v>
      </c>
      <c r="AG1350" t="n">
        <v>10</v>
      </c>
      <c r="AH1350" t="n">
        <v>7</v>
      </c>
      <c r="AI1350" t="n">
        <v>7</v>
      </c>
      <c r="AJ1350" t="n">
        <v>16</v>
      </c>
      <c r="AK1350" t="n">
        <v>16</v>
      </c>
      <c r="AL1350" t="n">
        <v>4</v>
      </c>
      <c r="AM1350" t="n">
        <v>4</v>
      </c>
      <c r="AN1350" t="n">
        <v>0</v>
      </c>
      <c r="AO1350" t="n">
        <v>0</v>
      </c>
      <c r="AP1350" t="inlineStr">
        <is>
          <t>No</t>
        </is>
      </c>
      <c r="AQ1350" t="inlineStr">
        <is>
          <t>Yes</t>
        </is>
      </c>
      <c r="AR1350">
        <f>HYPERLINK("http://catalog.hathitrust.org/Record/003997266","HathiTrust Record")</f>
        <v/>
      </c>
      <c r="AS1350">
        <f>HYPERLINK("https://creighton-primo.hosted.exlibrisgroup.com/primo-explore/search?tab=default_tab&amp;search_scope=EVERYTHING&amp;vid=01CRU&amp;lang=en_US&amp;offset=0&amp;query=any,contains,991002930289702656","Catalog Record")</f>
        <v/>
      </c>
      <c r="AT1350">
        <f>HYPERLINK("http://www.worldcat.org/oclc/38964260","WorldCat Record")</f>
        <v/>
      </c>
      <c r="AU1350" t="inlineStr">
        <is>
          <t>315013509:eng</t>
        </is>
      </c>
      <c r="AV1350" t="inlineStr">
        <is>
          <t>38964260</t>
        </is>
      </c>
      <c r="AW1350" t="inlineStr">
        <is>
          <t>991002930289702656</t>
        </is>
      </c>
      <c r="AX1350" t="inlineStr">
        <is>
          <t>991002930289702656</t>
        </is>
      </c>
      <c r="AY1350" t="inlineStr">
        <is>
          <t>2258772740002656</t>
        </is>
      </c>
      <c r="AZ1350" t="inlineStr">
        <is>
          <t>BOOK</t>
        </is>
      </c>
      <c r="BB1350" t="inlineStr">
        <is>
          <t>9781559704335</t>
        </is>
      </c>
      <c r="BC1350" t="inlineStr">
        <is>
          <t>32285003472528</t>
        </is>
      </c>
      <c r="BD1350" t="inlineStr">
        <is>
          <t>893434471</t>
        </is>
      </c>
    </row>
    <row r="1351">
      <c r="A1351" t="inlineStr">
        <is>
          <t>No</t>
        </is>
      </c>
      <c r="B1351" t="inlineStr">
        <is>
          <t>DS554.8 .N48 1996</t>
        </is>
      </c>
      <c r="C1351" t="inlineStr">
        <is>
          <t>0                      DS 0554800N  48          1996</t>
        </is>
      </c>
      <c r="D1351" t="inlineStr">
        <is>
          <t>The New interventionism, 1991-1994 : United Nations experience in Cambodia, former Yugoslavia, and Somalia/ edited by James Mayall.</t>
        </is>
      </c>
      <c r="F1351" t="inlineStr">
        <is>
          <t>No</t>
        </is>
      </c>
      <c r="G1351" t="inlineStr">
        <is>
          <t>1</t>
        </is>
      </c>
      <c r="H1351" t="inlineStr">
        <is>
          <t>Yes</t>
        </is>
      </c>
      <c r="I1351" t="inlineStr">
        <is>
          <t>No</t>
        </is>
      </c>
      <c r="J1351" t="inlineStr">
        <is>
          <t>0</t>
        </is>
      </c>
      <c r="L1351" t="inlineStr">
        <is>
          <t>New York : Cambridge University Press, 1996.</t>
        </is>
      </c>
      <c r="M1351" t="inlineStr">
        <is>
          <t>1996</t>
        </is>
      </c>
      <c r="O1351" t="inlineStr">
        <is>
          <t>eng</t>
        </is>
      </c>
      <c r="P1351" t="inlineStr">
        <is>
          <t>nyu</t>
        </is>
      </c>
      <c r="Q1351" t="inlineStr">
        <is>
          <t>LSE monographs in international studies</t>
        </is>
      </c>
      <c r="R1351" t="inlineStr">
        <is>
          <t xml:space="preserve">DS </t>
        </is>
      </c>
      <c r="S1351" t="n">
        <v>1</v>
      </c>
      <c r="T1351" t="n">
        <v>1</v>
      </c>
      <c r="U1351" t="inlineStr">
        <is>
          <t>2004-11-22</t>
        </is>
      </c>
      <c r="V1351" t="inlineStr">
        <is>
          <t>2004-11-22</t>
        </is>
      </c>
      <c r="W1351" t="inlineStr">
        <is>
          <t>1998-11-09</t>
        </is>
      </c>
      <c r="X1351" t="inlineStr">
        <is>
          <t>1998-11-09</t>
        </is>
      </c>
      <c r="Y1351" t="n">
        <v>484</v>
      </c>
      <c r="Z1351" t="n">
        <v>327</v>
      </c>
      <c r="AA1351" t="n">
        <v>343</v>
      </c>
      <c r="AB1351" t="n">
        <v>4</v>
      </c>
      <c r="AC1351" t="n">
        <v>4</v>
      </c>
      <c r="AD1351" t="n">
        <v>19</v>
      </c>
      <c r="AE1351" t="n">
        <v>19</v>
      </c>
      <c r="AF1351" t="n">
        <v>5</v>
      </c>
      <c r="AG1351" t="n">
        <v>5</v>
      </c>
      <c r="AH1351" t="n">
        <v>6</v>
      </c>
      <c r="AI1351" t="n">
        <v>6</v>
      </c>
      <c r="AJ1351" t="n">
        <v>11</v>
      </c>
      <c r="AK1351" t="n">
        <v>11</v>
      </c>
      <c r="AL1351" t="n">
        <v>2</v>
      </c>
      <c r="AM1351" t="n">
        <v>2</v>
      </c>
      <c r="AN1351" t="n">
        <v>0</v>
      </c>
      <c r="AO1351" t="n">
        <v>0</v>
      </c>
      <c r="AP1351" t="inlineStr">
        <is>
          <t>No</t>
        </is>
      </c>
      <c r="AQ1351" t="inlineStr">
        <is>
          <t>No</t>
        </is>
      </c>
      <c r="AS1351">
        <f>HYPERLINK("https://creighton-primo.hosted.exlibrisgroup.com/primo-explore/search?tab=default_tab&amp;search_scope=EVERYTHING&amp;vid=01CRU&amp;lang=en_US&amp;offset=0&amp;query=any,contains,991001668539702656","Catalog Record")</f>
        <v/>
      </c>
      <c r="AT1351">
        <f>HYPERLINK("http://www.worldcat.org/oclc/33047184","WorldCat Record")</f>
        <v/>
      </c>
      <c r="AU1351" t="inlineStr">
        <is>
          <t>917503884:eng</t>
        </is>
      </c>
      <c r="AV1351" t="inlineStr">
        <is>
          <t>33047184</t>
        </is>
      </c>
      <c r="AW1351" t="inlineStr">
        <is>
          <t>991001668539702656</t>
        </is>
      </c>
      <c r="AX1351" t="inlineStr">
        <is>
          <t>991001668539702656</t>
        </is>
      </c>
      <c r="AY1351" t="inlineStr">
        <is>
          <t>2265766650002656</t>
        </is>
      </c>
      <c r="AZ1351" t="inlineStr">
        <is>
          <t>BOOK</t>
        </is>
      </c>
      <c r="BB1351" t="inlineStr">
        <is>
          <t>9780521551977</t>
        </is>
      </c>
      <c r="BC1351" t="inlineStr">
        <is>
          <t>32285003486601</t>
        </is>
      </c>
      <c r="BD1351" t="inlineStr">
        <is>
          <t>893351958</t>
        </is>
      </c>
    </row>
    <row r="1352">
      <c r="A1352" t="inlineStr">
        <is>
          <t>No</t>
        </is>
      </c>
      <c r="B1352" t="inlineStr">
        <is>
          <t>DS554.842 .E9 1984</t>
        </is>
      </c>
      <c r="C1352" t="inlineStr">
        <is>
          <t>0                      DS 0554842E  9           1984</t>
        </is>
      </c>
      <c r="D1352" t="inlineStr">
        <is>
          <t>Red brotherhood at war : Indochina since the fall of Saigon / Grant Evans, Kelvin Rowley.</t>
        </is>
      </c>
      <c r="F1352" t="inlineStr">
        <is>
          <t>No</t>
        </is>
      </c>
      <c r="G1352" t="inlineStr">
        <is>
          <t>1</t>
        </is>
      </c>
      <c r="H1352" t="inlineStr">
        <is>
          <t>No</t>
        </is>
      </c>
      <c r="I1352" t="inlineStr">
        <is>
          <t>No</t>
        </is>
      </c>
      <c r="J1352" t="inlineStr">
        <is>
          <t>0</t>
        </is>
      </c>
      <c r="K1352" t="inlineStr">
        <is>
          <t>Evans, Grant, 1948-2014.</t>
        </is>
      </c>
      <c r="L1352" t="inlineStr">
        <is>
          <t>London : Verso ; [New York : distributed in the USA and Canada by Schocken Books], 1984.</t>
        </is>
      </c>
      <c r="M1352" t="inlineStr">
        <is>
          <t>1984</t>
        </is>
      </c>
      <c r="O1352" t="inlineStr">
        <is>
          <t>eng</t>
        </is>
      </c>
      <c r="P1352" t="inlineStr">
        <is>
          <t>enk</t>
        </is>
      </c>
      <c r="R1352" t="inlineStr">
        <is>
          <t xml:space="preserve">DS </t>
        </is>
      </c>
      <c r="S1352" t="n">
        <v>1</v>
      </c>
      <c r="T1352" t="n">
        <v>1</v>
      </c>
      <c r="U1352" t="inlineStr">
        <is>
          <t>1992-03-04</t>
        </is>
      </c>
      <c r="V1352" t="inlineStr">
        <is>
          <t>1992-03-04</t>
        </is>
      </c>
      <c r="W1352" t="inlineStr">
        <is>
          <t>1990-10-09</t>
        </is>
      </c>
      <c r="X1352" t="inlineStr">
        <is>
          <t>1990-10-09</t>
        </is>
      </c>
      <c r="Y1352" t="n">
        <v>291</v>
      </c>
      <c r="Z1352" t="n">
        <v>201</v>
      </c>
      <c r="AA1352" t="n">
        <v>208</v>
      </c>
      <c r="AB1352" t="n">
        <v>2</v>
      </c>
      <c r="AC1352" t="n">
        <v>2</v>
      </c>
      <c r="AD1352" t="n">
        <v>7</v>
      </c>
      <c r="AE1352" t="n">
        <v>7</v>
      </c>
      <c r="AF1352" t="n">
        <v>2</v>
      </c>
      <c r="AG1352" t="n">
        <v>2</v>
      </c>
      <c r="AH1352" t="n">
        <v>4</v>
      </c>
      <c r="AI1352" t="n">
        <v>4</v>
      </c>
      <c r="AJ1352" t="n">
        <v>2</v>
      </c>
      <c r="AK1352" t="n">
        <v>2</v>
      </c>
      <c r="AL1352" t="n">
        <v>1</v>
      </c>
      <c r="AM1352" t="n">
        <v>1</v>
      </c>
      <c r="AN1352" t="n">
        <v>0</v>
      </c>
      <c r="AO1352" t="n">
        <v>0</v>
      </c>
      <c r="AP1352" t="inlineStr">
        <is>
          <t>No</t>
        </is>
      </c>
      <c r="AQ1352" t="inlineStr">
        <is>
          <t>Yes</t>
        </is>
      </c>
      <c r="AR1352">
        <f>HYPERLINK("http://catalog.hathitrust.org/Record/000656186","HathiTrust Record")</f>
        <v/>
      </c>
      <c r="AS1352">
        <f>HYPERLINK("https://creighton-primo.hosted.exlibrisgroup.com/primo-explore/search?tab=default_tab&amp;search_scope=EVERYTHING&amp;vid=01CRU&amp;lang=en_US&amp;offset=0&amp;query=any,contains,991000540869702656","Catalog Record")</f>
        <v/>
      </c>
      <c r="AT1352">
        <f>HYPERLINK("http://www.worldcat.org/oclc/11482614","WorldCat Record")</f>
        <v/>
      </c>
      <c r="AU1352" t="inlineStr">
        <is>
          <t>222183821:eng</t>
        </is>
      </c>
      <c r="AV1352" t="inlineStr">
        <is>
          <t>11482614</t>
        </is>
      </c>
      <c r="AW1352" t="inlineStr">
        <is>
          <t>991000540869702656</t>
        </is>
      </c>
      <c r="AX1352" t="inlineStr">
        <is>
          <t>991000540869702656</t>
        </is>
      </c>
      <c r="AY1352" t="inlineStr">
        <is>
          <t>2256036640002656</t>
        </is>
      </c>
      <c r="AZ1352" t="inlineStr">
        <is>
          <t>BOOK</t>
        </is>
      </c>
      <c r="BB1352" t="inlineStr">
        <is>
          <t>9780860917953</t>
        </is>
      </c>
      <c r="BC1352" t="inlineStr">
        <is>
          <t>32285000337310</t>
        </is>
      </c>
      <c r="BD1352" t="inlineStr">
        <is>
          <t>893714678</t>
        </is>
      </c>
    </row>
    <row r="1353">
      <c r="A1353" t="inlineStr">
        <is>
          <t>No</t>
        </is>
      </c>
      <c r="B1353" t="inlineStr">
        <is>
          <t>DS556.39 .P39 1994</t>
        </is>
      </c>
      <c r="C1353" t="inlineStr">
        <is>
          <t>0                      DS 0556390P  39          1994</t>
        </is>
      </c>
      <c r="D1353" t="inlineStr">
        <is>
          <t>Passage to Vietnam : through the eyes of seventy photographers / created by Rick Smolan and Jennifer Erwitt ; designed by Thomas K. Walker.</t>
        </is>
      </c>
      <c r="F1353" t="inlineStr">
        <is>
          <t>No</t>
        </is>
      </c>
      <c r="G1353" t="inlineStr">
        <is>
          <t>1</t>
        </is>
      </c>
      <c r="H1353" t="inlineStr">
        <is>
          <t>No</t>
        </is>
      </c>
      <c r="I1353" t="inlineStr">
        <is>
          <t>No</t>
        </is>
      </c>
      <c r="J1353" t="inlineStr">
        <is>
          <t>0</t>
        </is>
      </c>
      <c r="L1353" t="inlineStr">
        <is>
          <t>[United States?] : Against All Odds Productions &amp; Melcher Media, 1994.</t>
        </is>
      </c>
      <c r="M1353" t="inlineStr">
        <is>
          <t>1994</t>
        </is>
      </c>
      <c r="N1353" t="inlineStr">
        <is>
          <t>1st ed.</t>
        </is>
      </c>
      <c r="O1353" t="inlineStr">
        <is>
          <t>eng</t>
        </is>
      </c>
      <c r="P1353" t="inlineStr">
        <is>
          <t>xxu</t>
        </is>
      </c>
      <c r="R1353" t="inlineStr">
        <is>
          <t xml:space="preserve">DS </t>
        </is>
      </c>
      <c r="S1353" t="n">
        <v>9</v>
      </c>
      <c r="T1353" t="n">
        <v>9</v>
      </c>
      <c r="U1353" t="inlineStr">
        <is>
          <t>2006-11-19</t>
        </is>
      </c>
      <c r="V1353" t="inlineStr">
        <is>
          <t>2006-11-19</t>
        </is>
      </c>
      <c r="W1353" t="inlineStr">
        <is>
          <t>1996-04-01</t>
        </is>
      </c>
      <c r="X1353" t="inlineStr">
        <is>
          <t>1996-04-01</t>
        </is>
      </c>
      <c r="Y1353" t="n">
        <v>543</v>
      </c>
      <c r="Z1353" t="n">
        <v>497</v>
      </c>
      <c r="AA1353" t="n">
        <v>500</v>
      </c>
      <c r="AB1353" t="n">
        <v>4</v>
      </c>
      <c r="AC1353" t="n">
        <v>4</v>
      </c>
      <c r="AD1353" t="n">
        <v>11</v>
      </c>
      <c r="AE1353" t="n">
        <v>11</v>
      </c>
      <c r="AF1353" t="n">
        <v>5</v>
      </c>
      <c r="AG1353" t="n">
        <v>5</v>
      </c>
      <c r="AH1353" t="n">
        <v>2</v>
      </c>
      <c r="AI1353" t="n">
        <v>2</v>
      </c>
      <c r="AJ1353" t="n">
        <v>6</v>
      </c>
      <c r="AK1353" t="n">
        <v>6</v>
      </c>
      <c r="AL1353" t="n">
        <v>2</v>
      </c>
      <c r="AM1353" t="n">
        <v>2</v>
      </c>
      <c r="AN1353" t="n">
        <v>0</v>
      </c>
      <c r="AO1353" t="n">
        <v>0</v>
      </c>
      <c r="AP1353" t="inlineStr">
        <is>
          <t>No</t>
        </is>
      </c>
      <c r="AQ1353" t="inlineStr">
        <is>
          <t>Yes</t>
        </is>
      </c>
      <c r="AR1353">
        <f>HYPERLINK("http://catalog.hathitrust.org/Record/003020862","HathiTrust Record")</f>
        <v/>
      </c>
      <c r="AS1353">
        <f>HYPERLINK("https://creighton-primo.hosted.exlibrisgroup.com/primo-explore/search?tab=default_tab&amp;search_scope=EVERYTHING&amp;vid=01CRU&amp;lang=en_US&amp;offset=0&amp;query=any,contains,991002417459702656","Catalog Record")</f>
        <v/>
      </c>
      <c r="AT1353">
        <f>HYPERLINK("http://www.worldcat.org/oclc/31441385","WorldCat Record")</f>
        <v/>
      </c>
      <c r="AU1353" t="inlineStr">
        <is>
          <t>353187070:eng</t>
        </is>
      </c>
      <c r="AV1353" t="inlineStr">
        <is>
          <t>31441385</t>
        </is>
      </c>
      <c r="AW1353" t="inlineStr">
        <is>
          <t>991002417459702656</t>
        </is>
      </c>
      <c r="AX1353" t="inlineStr">
        <is>
          <t>991002417459702656</t>
        </is>
      </c>
      <c r="AY1353" t="inlineStr">
        <is>
          <t>2258433140002656</t>
        </is>
      </c>
      <c r="AZ1353" t="inlineStr">
        <is>
          <t>BOOK</t>
        </is>
      </c>
      <c r="BB1353" t="inlineStr">
        <is>
          <t>9781885559005</t>
        </is>
      </c>
      <c r="BC1353" t="inlineStr">
        <is>
          <t>32285002148780</t>
        </is>
      </c>
      <c r="BD1353" t="inlineStr">
        <is>
          <t>893603574</t>
        </is>
      </c>
    </row>
    <row r="1354">
      <c r="A1354" t="inlineStr">
        <is>
          <t>No</t>
        </is>
      </c>
      <c r="B1354" t="inlineStr">
        <is>
          <t>DS556.45.M6 H52 1982</t>
        </is>
      </c>
      <c r="C1354" t="inlineStr">
        <is>
          <t>0                      DS 0556450M  6                  H  52          1982</t>
        </is>
      </c>
      <c r="D1354" t="inlineStr">
        <is>
          <t>Free in the forest : ethnohistory of the Vietnamese central highlands, 1954-1976 / Gerald Cannon Hickey.</t>
        </is>
      </c>
      <c r="F1354" t="inlineStr">
        <is>
          <t>No</t>
        </is>
      </c>
      <c r="G1354" t="inlineStr">
        <is>
          <t>1</t>
        </is>
      </c>
      <c r="H1354" t="inlineStr">
        <is>
          <t>No</t>
        </is>
      </c>
      <c r="I1354" t="inlineStr">
        <is>
          <t>No</t>
        </is>
      </c>
      <c r="J1354" t="inlineStr">
        <is>
          <t>0</t>
        </is>
      </c>
      <c r="K1354" t="inlineStr">
        <is>
          <t>Hickey, Gerald Cannon, 1925-2010.</t>
        </is>
      </c>
      <c r="L1354" t="inlineStr">
        <is>
          <t>New Haven : Yale University Press, c1982.</t>
        </is>
      </c>
      <c r="M1354" t="inlineStr">
        <is>
          <t>1982</t>
        </is>
      </c>
      <c r="O1354" t="inlineStr">
        <is>
          <t>eng</t>
        </is>
      </c>
      <c r="P1354" t="inlineStr">
        <is>
          <t>ctu</t>
        </is>
      </c>
      <c r="R1354" t="inlineStr">
        <is>
          <t xml:space="preserve">DS </t>
        </is>
      </c>
      <c r="S1354" t="n">
        <v>4</v>
      </c>
      <c r="T1354" t="n">
        <v>4</v>
      </c>
      <c r="U1354" t="inlineStr">
        <is>
          <t>2004-11-12</t>
        </is>
      </c>
      <c r="V1354" t="inlineStr">
        <is>
          <t>2004-11-12</t>
        </is>
      </c>
      <c r="W1354" t="inlineStr">
        <is>
          <t>1990-06-27</t>
        </is>
      </c>
      <c r="X1354" t="inlineStr">
        <is>
          <t>1990-06-27</t>
        </is>
      </c>
      <c r="Y1354" t="n">
        <v>436</v>
      </c>
      <c r="Z1354" t="n">
        <v>347</v>
      </c>
      <c r="AA1354" t="n">
        <v>349</v>
      </c>
      <c r="AB1354" t="n">
        <v>2</v>
      </c>
      <c r="AC1354" t="n">
        <v>2</v>
      </c>
      <c r="AD1354" t="n">
        <v>11</v>
      </c>
      <c r="AE1354" t="n">
        <v>11</v>
      </c>
      <c r="AF1354" t="n">
        <v>1</v>
      </c>
      <c r="AG1354" t="n">
        <v>1</v>
      </c>
      <c r="AH1354" t="n">
        <v>4</v>
      </c>
      <c r="AI1354" t="n">
        <v>4</v>
      </c>
      <c r="AJ1354" t="n">
        <v>8</v>
      </c>
      <c r="AK1354" t="n">
        <v>8</v>
      </c>
      <c r="AL1354" t="n">
        <v>1</v>
      </c>
      <c r="AM1354" t="n">
        <v>1</v>
      </c>
      <c r="AN1354" t="n">
        <v>0</v>
      </c>
      <c r="AO1354" t="n">
        <v>0</v>
      </c>
      <c r="AP1354" t="inlineStr">
        <is>
          <t>No</t>
        </is>
      </c>
      <c r="AQ1354" t="inlineStr">
        <is>
          <t>No</t>
        </is>
      </c>
      <c r="AS1354">
        <f>HYPERLINK("https://creighton-primo.hosted.exlibrisgroup.com/primo-explore/search?tab=default_tab&amp;search_scope=EVERYTHING&amp;vid=01CRU&amp;lang=en_US&amp;offset=0&amp;query=any,contains,991005138499702656","Catalog Record")</f>
        <v/>
      </c>
      <c r="AT1354">
        <f>HYPERLINK("http://www.worldcat.org/oclc/7596224","WorldCat Record")</f>
        <v/>
      </c>
      <c r="AU1354" t="inlineStr">
        <is>
          <t>865185928:eng</t>
        </is>
      </c>
      <c r="AV1354" t="inlineStr">
        <is>
          <t>7596224</t>
        </is>
      </c>
      <c r="AW1354" t="inlineStr">
        <is>
          <t>991005138499702656</t>
        </is>
      </c>
      <c r="AX1354" t="inlineStr">
        <is>
          <t>991005138499702656</t>
        </is>
      </c>
      <c r="AY1354" t="inlineStr">
        <is>
          <t>2255822660002656</t>
        </is>
      </c>
      <c r="AZ1354" t="inlineStr">
        <is>
          <t>BOOK</t>
        </is>
      </c>
      <c r="BB1354" t="inlineStr">
        <is>
          <t>9780300024371</t>
        </is>
      </c>
      <c r="BC1354" t="inlineStr">
        <is>
          <t>32285000205426</t>
        </is>
      </c>
      <c r="BD1354" t="inlineStr">
        <is>
          <t>893514111</t>
        </is>
      </c>
    </row>
    <row r="1355">
      <c r="A1355" t="inlineStr">
        <is>
          <t>No</t>
        </is>
      </c>
      <c r="B1355" t="inlineStr">
        <is>
          <t>DS556.5 .D69 1981</t>
        </is>
      </c>
      <c r="C1355" t="inlineStr">
        <is>
          <t>0                      DS 0556500D  69          1981</t>
        </is>
      </c>
      <c r="D1355" t="inlineStr">
        <is>
          <t>Setting the stage / by Edward Doyle, Samuel Lipsman, and the editors of Boston Publishing Company ; preface by Henry Cabot Lodge.</t>
        </is>
      </c>
      <c r="F1355" t="inlineStr">
        <is>
          <t>No</t>
        </is>
      </c>
      <c r="G1355" t="inlineStr">
        <is>
          <t>1</t>
        </is>
      </c>
      <c r="H1355" t="inlineStr">
        <is>
          <t>No</t>
        </is>
      </c>
      <c r="I1355" t="inlineStr">
        <is>
          <t>No</t>
        </is>
      </c>
      <c r="J1355" t="inlineStr">
        <is>
          <t>0</t>
        </is>
      </c>
      <c r="K1355" t="inlineStr">
        <is>
          <t>Doyle, Edward, 1949-</t>
        </is>
      </c>
      <c r="L1355" t="inlineStr">
        <is>
          <t>Boston, MA : Boston Pub. Co., c1981.</t>
        </is>
      </c>
      <c r="M1355" t="inlineStr">
        <is>
          <t>1981</t>
        </is>
      </c>
      <c r="O1355" t="inlineStr">
        <is>
          <t>eng</t>
        </is>
      </c>
      <c r="P1355" t="inlineStr">
        <is>
          <t>mau</t>
        </is>
      </c>
      <c r="Q1355" t="inlineStr">
        <is>
          <t>The Vietnam experience</t>
        </is>
      </c>
      <c r="R1355" t="inlineStr">
        <is>
          <t xml:space="preserve">DS </t>
        </is>
      </c>
      <c r="S1355" t="n">
        <v>11</v>
      </c>
      <c r="T1355" t="n">
        <v>11</v>
      </c>
      <c r="U1355" t="inlineStr">
        <is>
          <t>2007-04-20</t>
        </is>
      </c>
      <c r="V1355" t="inlineStr">
        <is>
          <t>2007-04-20</t>
        </is>
      </c>
      <c r="W1355" t="inlineStr">
        <is>
          <t>1990-05-07</t>
        </is>
      </c>
      <c r="X1355" t="inlineStr">
        <is>
          <t>1990-05-07</t>
        </is>
      </c>
      <c r="Y1355" t="n">
        <v>2058</v>
      </c>
      <c r="Z1355" t="n">
        <v>1944</v>
      </c>
      <c r="AA1355" t="n">
        <v>1961</v>
      </c>
      <c r="AB1355" t="n">
        <v>18</v>
      </c>
      <c r="AC1355" t="n">
        <v>18</v>
      </c>
      <c r="AD1355" t="n">
        <v>28</v>
      </c>
      <c r="AE1355" t="n">
        <v>30</v>
      </c>
      <c r="AF1355" t="n">
        <v>12</v>
      </c>
      <c r="AG1355" t="n">
        <v>13</v>
      </c>
      <c r="AH1355" t="n">
        <v>6</v>
      </c>
      <c r="AI1355" t="n">
        <v>7</v>
      </c>
      <c r="AJ1355" t="n">
        <v>14</v>
      </c>
      <c r="AK1355" t="n">
        <v>14</v>
      </c>
      <c r="AL1355" t="n">
        <v>2</v>
      </c>
      <c r="AM1355" t="n">
        <v>2</v>
      </c>
      <c r="AN1355" t="n">
        <v>0</v>
      </c>
      <c r="AO1355" t="n">
        <v>0</v>
      </c>
      <c r="AP1355" t="inlineStr">
        <is>
          <t>No</t>
        </is>
      </c>
      <c r="AQ1355" t="inlineStr">
        <is>
          <t>No</t>
        </is>
      </c>
      <c r="AS1355">
        <f>HYPERLINK("https://creighton-primo.hosted.exlibrisgroup.com/primo-explore/search?tab=default_tab&amp;search_scope=EVERYTHING&amp;vid=01CRU&amp;lang=en_US&amp;offset=0&amp;query=any,contains,991005182799702656","Catalog Record")</f>
        <v/>
      </c>
      <c r="AT1355">
        <f>HYPERLINK("http://www.worldcat.org/oclc/7947415","WorldCat Record")</f>
        <v/>
      </c>
      <c r="AU1355" t="inlineStr">
        <is>
          <t>585145:eng</t>
        </is>
      </c>
      <c r="AV1355" t="inlineStr">
        <is>
          <t>7947415</t>
        </is>
      </c>
      <c r="AW1355" t="inlineStr">
        <is>
          <t>991005182799702656</t>
        </is>
      </c>
      <c r="AX1355" t="inlineStr">
        <is>
          <t>991005182799702656</t>
        </is>
      </c>
      <c r="AY1355" t="inlineStr">
        <is>
          <t>2270083480002656</t>
        </is>
      </c>
      <c r="AZ1355" t="inlineStr">
        <is>
          <t>BOOK</t>
        </is>
      </c>
      <c r="BB1355" t="inlineStr">
        <is>
          <t>9780939526000</t>
        </is>
      </c>
      <c r="BC1355" t="inlineStr">
        <is>
          <t>32285000149749</t>
        </is>
      </c>
      <c r="BD1355" t="inlineStr">
        <is>
          <t>893600765</t>
        </is>
      </c>
    </row>
    <row r="1356">
      <c r="A1356" t="inlineStr">
        <is>
          <t>No</t>
        </is>
      </c>
      <c r="B1356" t="inlineStr">
        <is>
          <t>DS556.58 .K46 2002</t>
        </is>
      </c>
      <c r="C1356" t="inlineStr">
        <is>
          <t>0                      DS 0556580K  46          2002</t>
        </is>
      </c>
      <c r="D1356" t="inlineStr">
        <is>
          <t>Shadow of the dragon : Vietnam's continuing struggle with China and its implications for U.S. foreign policy / Henry J. Kenny.</t>
        </is>
      </c>
      <c r="F1356" t="inlineStr">
        <is>
          <t>No</t>
        </is>
      </c>
      <c r="G1356" t="inlineStr">
        <is>
          <t>1</t>
        </is>
      </c>
      <c r="H1356" t="inlineStr">
        <is>
          <t>No</t>
        </is>
      </c>
      <c r="I1356" t="inlineStr">
        <is>
          <t>No</t>
        </is>
      </c>
      <c r="J1356" t="inlineStr">
        <is>
          <t>0</t>
        </is>
      </c>
      <c r="K1356" t="inlineStr">
        <is>
          <t>Kenny, Henry J.</t>
        </is>
      </c>
      <c r="L1356" t="inlineStr">
        <is>
          <t>Washington, D.C. : Brassey's, c2002.</t>
        </is>
      </c>
      <c r="M1356" t="inlineStr">
        <is>
          <t>2002</t>
        </is>
      </c>
      <c r="N1356" t="inlineStr">
        <is>
          <t>1st ed.</t>
        </is>
      </c>
      <c r="O1356" t="inlineStr">
        <is>
          <t>eng</t>
        </is>
      </c>
      <c r="P1356" t="inlineStr">
        <is>
          <t>dcu</t>
        </is>
      </c>
      <c r="R1356" t="inlineStr">
        <is>
          <t xml:space="preserve">DS </t>
        </is>
      </c>
      <c r="S1356" t="n">
        <v>2</v>
      </c>
      <c r="T1356" t="n">
        <v>2</v>
      </c>
      <c r="U1356" t="inlineStr">
        <is>
          <t>2004-02-06</t>
        </is>
      </c>
      <c r="V1356" t="inlineStr">
        <is>
          <t>2004-02-06</t>
        </is>
      </c>
      <c r="W1356" t="inlineStr">
        <is>
          <t>2003-12-18</t>
        </is>
      </c>
      <c r="X1356" t="inlineStr">
        <is>
          <t>2003-12-18</t>
        </is>
      </c>
      <c r="Y1356" t="n">
        <v>307</v>
      </c>
      <c r="Z1356" t="n">
        <v>264</v>
      </c>
      <c r="AA1356" t="n">
        <v>276</v>
      </c>
      <c r="AB1356" t="n">
        <v>3</v>
      </c>
      <c r="AC1356" t="n">
        <v>3</v>
      </c>
      <c r="AD1356" t="n">
        <v>14</v>
      </c>
      <c r="AE1356" t="n">
        <v>15</v>
      </c>
      <c r="AF1356" t="n">
        <v>7</v>
      </c>
      <c r="AG1356" t="n">
        <v>7</v>
      </c>
      <c r="AH1356" t="n">
        <v>4</v>
      </c>
      <c r="AI1356" t="n">
        <v>4</v>
      </c>
      <c r="AJ1356" t="n">
        <v>7</v>
      </c>
      <c r="AK1356" t="n">
        <v>8</v>
      </c>
      <c r="AL1356" t="n">
        <v>2</v>
      </c>
      <c r="AM1356" t="n">
        <v>2</v>
      </c>
      <c r="AN1356" t="n">
        <v>0</v>
      </c>
      <c r="AO1356" t="n">
        <v>0</v>
      </c>
      <c r="AP1356" t="inlineStr">
        <is>
          <t>No</t>
        </is>
      </c>
      <c r="AQ1356" t="inlineStr">
        <is>
          <t>Yes</t>
        </is>
      </c>
      <c r="AR1356">
        <f>HYPERLINK("http://catalog.hathitrust.org/Record/004255296","HathiTrust Record")</f>
        <v/>
      </c>
      <c r="AS1356">
        <f>HYPERLINK("https://creighton-primo.hosted.exlibrisgroup.com/primo-explore/search?tab=default_tab&amp;search_scope=EVERYTHING&amp;vid=01CRU&amp;lang=en_US&amp;offset=0&amp;query=any,contains,991004189409702656","Catalog Record")</f>
        <v/>
      </c>
      <c r="AT1356">
        <f>HYPERLINK("http://www.worldcat.org/oclc/49225298","WorldCat Record")</f>
        <v/>
      </c>
      <c r="AU1356" t="inlineStr">
        <is>
          <t>201286302:eng</t>
        </is>
      </c>
      <c r="AV1356" t="inlineStr">
        <is>
          <t>49225298</t>
        </is>
      </c>
      <c r="AW1356" t="inlineStr">
        <is>
          <t>991004189409702656</t>
        </is>
      </c>
      <c r="AX1356" t="inlineStr">
        <is>
          <t>991004189409702656</t>
        </is>
      </c>
      <c r="AY1356" t="inlineStr">
        <is>
          <t>2265790150002656</t>
        </is>
      </c>
      <c r="AZ1356" t="inlineStr">
        <is>
          <t>BOOK</t>
        </is>
      </c>
      <c r="BB1356" t="inlineStr">
        <is>
          <t>9781574884784</t>
        </is>
      </c>
      <c r="BC1356" t="inlineStr">
        <is>
          <t>32285004848098</t>
        </is>
      </c>
      <c r="BD1356" t="inlineStr">
        <is>
          <t>893353273</t>
        </is>
      </c>
    </row>
    <row r="1357">
      <c r="A1357" t="inlineStr">
        <is>
          <t>No</t>
        </is>
      </c>
      <c r="B1357" t="inlineStr">
        <is>
          <t>DS556.8 .D45 1986</t>
        </is>
      </c>
      <c r="C1357" t="inlineStr">
        <is>
          <t>0                      DS 0556800D  45          1986</t>
        </is>
      </c>
      <c r="D1357" t="inlineStr">
        <is>
          <t>Vietnam revisited : from covert action to invasion to reconstruction / by David Dellinger.</t>
        </is>
      </c>
      <c r="F1357" t="inlineStr">
        <is>
          <t>No</t>
        </is>
      </c>
      <c r="G1357" t="inlineStr">
        <is>
          <t>1</t>
        </is>
      </c>
      <c r="H1357" t="inlineStr">
        <is>
          <t>No</t>
        </is>
      </c>
      <c r="I1357" t="inlineStr">
        <is>
          <t>No</t>
        </is>
      </c>
      <c r="J1357" t="inlineStr">
        <is>
          <t>0</t>
        </is>
      </c>
      <c r="K1357" t="inlineStr">
        <is>
          <t>Dellinger, David T., 1915-2004.</t>
        </is>
      </c>
      <c r="L1357" t="inlineStr">
        <is>
          <t>Boston, MA : South End Press, c1986.</t>
        </is>
      </c>
      <c r="M1357" t="inlineStr">
        <is>
          <t>1986</t>
        </is>
      </c>
      <c r="O1357" t="inlineStr">
        <is>
          <t>eng</t>
        </is>
      </c>
      <c r="P1357" t="inlineStr">
        <is>
          <t>mau</t>
        </is>
      </c>
      <c r="R1357" t="inlineStr">
        <is>
          <t xml:space="preserve">DS </t>
        </is>
      </c>
      <c r="S1357" t="n">
        <v>1</v>
      </c>
      <c r="T1357" t="n">
        <v>1</v>
      </c>
      <c r="U1357" t="inlineStr">
        <is>
          <t>1992-10-06</t>
        </is>
      </c>
      <c r="V1357" t="inlineStr">
        <is>
          <t>1992-10-06</t>
        </is>
      </c>
      <c r="W1357" t="inlineStr">
        <is>
          <t>1990-05-10</t>
        </is>
      </c>
      <c r="X1357" t="inlineStr">
        <is>
          <t>1990-05-10</t>
        </is>
      </c>
      <c r="Y1357" t="n">
        <v>393</v>
      </c>
      <c r="Z1357" t="n">
        <v>354</v>
      </c>
      <c r="AA1357" t="n">
        <v>361</v>
      </c>
      <c r="AB1357" t="n">
        <v>2</v>
      </c>
      <c r="AC1357" t="n">
        <v>2</v>
      </c>
      <c r="AD1357" t="n">
        <v>18</v>
      </c>
      <c r="AE1357" t="n">
        <v>18</v>
      </c>
      <c r="AF1357" t="n">
        <v>6</v>
      </c>
      <c r="AG1357" t="n">
        <v>6</v>
      </c>
      <c r="AH1357" t="n">
        <v>6</v>
      </c>
      <c r="AI1357" t="n">
        <v>6</v>
      </c>
      <c r="AJ1357" t="n">
        <v>9</v>
      </c>
      <c r="AK1357" t="n">
        <v>9</v>
      </c>
      <c r="AL1357" t="n">
        <v>1</v>
      </c>
      <c r="AM1357" t="n">
        <v>1</v>
      </c>
      <c r="AN1357" t="n">
        <v>0</v>
      </c>
      <c r="AO1357" t="n">
        <v>0</v>
      </c>
      <c r="AP1357" t="inlineStr">
        <is>
          <t>No</t>
        </is>
      </c>
      <c r="AQ1357" t="inlineStr">
        <is>
          <t>Yes</t>
        </is>
      </c>
      <c r="AR1357">
        <f>HYPERLINK("http://catalog.hathitrust.org/Record/000400175","HathiTrust Record")</f>
        <v/>
      </c>
      <c r="AS1357">
        <f>HYPERLINK("https://creighton-primo.hosted.exlibrisgroup.com/primo-explore/search?tab=default_tab&amp;search_scope=EVERYTHING&amp;vid=01CRU&amp;lang=en_US&amp;offset=0&amp;query=any,contains,991000822199702656","Catalog Record")</f>
        <v/>
      </c>
      <c r="AT1357">
        <f>HYPERLINK("http://www.worldcat.org/oclc/13395879","WorldCat Record")</f>
        <v/>
      </c>
      <c r="AU1357" t="inlineStr">
        <is>
          <t>138567390:eng</t>
        </is>
      </c>
      <c r="AV1357" t="inlineStr">
        <is>
          <t>13395879</t>
        </is>
      </c>
      <c r="AW1357" t="inlineStr">
        <is>
          <t>991000822199702656</t>
        </is>
      </c>
      <c r="AX1357" t="inlineStr">
        <is>
          <t>991000822199702656</t>
        </is>
      </c>
      <c r="AY1357" t="inlineStr">
        <is>
          <t>2261934980002656</t>
        </is>
      </c>
      <c r="AZ1357" t="inlineStr">
        <is>
          <t>BOOK</t>
        </is>
      </c>
      <c r="BB1357" t="inlineStr">
        <is>
          <t>9780896083196</t>
        </is>
      </c>
      <c r="BC1357" t="inlineStr">
        <is>
          <t>32285000151844</t>
        </is>
      </c>
      <c r="BD1357" t="inlineStr">
        <is>
          <t>893702467</t>
        </is>
      </c>
    </row>
    <row r="1358">
      <c r="A1358" t="inlineStr">
        <is>
          <t>No</t>
        </is>
      </c>
      <c r="B1358" t="inlineStr">
        <is>
          <t>DS556.8 .D69 1981</t>
        </is>
      </c>
      <c r="C1358" t="inlineStr">
        <is>
          <t>0                      DS 0556800D  69          1981</t>
        </is>
      </c>
      <c r="D1358" t="inlineStr">
        <is>
          <t>Passing the torch / by Edward Doyle, Samuel Lipsman, Stephen Weiss, and the editors of Boston Publishing Company.</t>
        </is>
      </c>
      <c r="F1358" t="inlineStr">
        <is>
          <t>No</t>
        </is>
      </c>
      <c r="G1358" t="inlineStr">
        <is>
          <t>1</t>
        </is>
      </c>
      <c r="H1358" t="inlineStr">
        <is>
          <t>No</t>
        </is>
      </c>
      <c r="I1358" t="inlineStr">
        <is>
          <t>No</t>
        </is>
      </c>
      <c r="J1358" t="inlineStr">
        <is>
          <t>0</t>
        </is>
      </c>
      <c r="K1358" t="inlineStr">
        <is>
          <t>Doyle, Edward, 1949-</t>
        </is>
      </c>
      <c r="L1358" t="inlineStr">
        <is>
          <t>Boston, MA : Boston Pub. Co., c1981.</t>
        </is>
      </c>
      <c r="M1358" t="inlineStr">
        <is>
          <t>1981</t>
        </is>
      </c>
      <c r="O1358" t="inlineStr">
        <is>
          <t>eng</t>
        </is>
      </c>
      <c r="P1358" t="inlineStr">
        <is>
          <t>mau</t>
        </is>
      </c>
      <c r="Q1358" t="inlineStr">
        <is>
          <t>The Vietnam experience</t>
        </is>
      </c>
      <c r="R1358" t="inlineStr">
        <is>
          <t xml:space="preserve">DS </t>
        </is>
      </c>
      <c r="S1358" t="n">
        <v>9</v>
      </c>
      <c r="T1358" t="n">
        <v>9</v>
      </c>
      <c r="U1358" t="inlineStr">
        <is>
          <t>2007-04-20</t>
        </is>
      </c>
      <c r="V1358" t="inlineStr">
        <is>
          <t>2007-04-20</t>
        </is>
      </c>
      <c r="W1358" t="inlineStr">
        <is>
          <t>1990-10-09</t>
        </is>
      </c>
      <c r="X1358" t="inlineStr">
        <is>
          <t>1990-10-09</t>
        </is>
      </c>
      <c r="Y1358" t="n">
        <v>1931</v>
      </c>
      <c r="Z1358" t="n">
        <v>1825</v>
      </c>
      <c r="AA1358" t="n">
        <v>1832</v>
      </c>
      <c r="AB1358" t="n">
        <v>17</v>
      </c>
      <c r="AC1358" t="n">
        <v>17</v>
      </c>
      <c r="AD1358" t="n">
        <v>23</v>
      </c>
      <c r="AE1358" t="n">
        <v>23</v>
      </c>
      <c r="AF1358" t="n">
        <v>7</v>
      </c>
      <c r="AG1358" t="n">
        <v>7</v>
      </c>
      <c r="AH1358" t="n">
        <v>6</v>
      </c>
      <c r="AI1358" t="n">
        <v>6</v>
      </c>
      <c r="AJ1358" t="n">
        <v>13</v>
      </c>
      <c r="AK1358" t="n">
        <v>13</v>
      </c>
      <c r="AL1358" t="n">
        <v>3</v>
      </c>
      <c r="AM1358" t="n">
        <v>3</v>
      </c>
      <c r="AN1358" t="n">
        <v>0</v>
      </c>
      <c r="AO1358" t="n">
        <v>0</v>
      </c>
      <c r="AP1358" t="inlineStr">
        <is>
          <t>No</t>
        </is>
      </c>
      <c r="AQ1358" t="inlineStr">
        <is>
          <t>Yes</t>
        </is>
      </c>
      <c r="AR1358">
        <f>HYPERLINK("http://catalog.hathitrust.org/Record/000764497","HathiTrust Record")</f>
        <v/>
      </c>
      <c r="AS1358">
        <f>HYPERLINK("https://creighton-primo.hosted.exlibrisgroup.com/primo-explore/search?tab=default_tab&amp;search_scope=EVERYTHING&amp;vid=01CRU&amp;lang=en_US&amp;offset=0&amp;query=any,contains,991005201379702656","Catalog Record")</f>
        <v/>
      </c>
      <c r="AT1358">
        <f>HYPERLINK("http://www.worldcat.org/oclc/8085591","WorldCat Record")</f>
        <v/>
      </c>
      <c r="AU1358" t="inlineStr">
        <is>
          <t>585146:eng</t>
        </is>
      </c>
      <c r="AV1358" t="inlineStr">
        <is>
          <t>8085591</t>
        </is>
      </c>
      <c r="AW1358" t="inlineStr">
        <is>
          <t>991005201379702656</t>
        </is>
      </c>
      <c r="AX1358" t="inlineStr">
        <is>
          <t>991005201379702656</t>
        </is>
      </c>
      <c r="AY1358" t="inlineStr">
        <is>
          <t>2256962700002656</t>
        </is>
      </c>
      <c r="AZ1358" t="inlineStr">
        <is>
          <t>BOOK</t>
        </is>
      </c>
      <c r="BB1358" t="inlineStr">
        <is>
          <t>9780939526017</t>
        </is>
      </c>
      <c r="BC1358" t="inlineStr">
        <is>
          <t>32285000337351</t>
        </is>
      </c>
      <c r="BD1358" t="inlineStr">
        <is>
          <t>893807988</t>
        </is>
      </c>
    </row>
    <row r="1359">
      <c r="A1359" t="inlineStr">
        <is>
          <t>No</t>
        </is>
      </c>
      <c r="B1359" t="inlineStr">
        <is>
          <t>DS556.8 .D691 1986</t>
        </is>
      </c>
      <c r="C1359" t="inlineStr">
        <is>
          <t>0                      DS 0556800D  691         1986</t>
        </is>
      </c>
      <c r="D1359" t="inlineStr">
        <is>
          <t>The North / by Edward Doyle, Samuel Lipsman, Terrence Maitland and the editors of Boston Publishing Company.</t>
        </is>
      </c>
      <c r="F1359" t="inlineStr">
        <is>
          <t>No</t>
        </is>
      </c>
      <c r="G1359" t="inlineStr">
        <is>
          <t>1</t>
        </is>
      </c>
      <c r="H1359" t="inlineStr">
        <is>
          <t>No</t>
        </is>
      </c>
      <c r="I1359" t="inlineStr">
        <is>
          <t>No</t>
        </is>
      </c>
      <c r="J1359" t="inlineStr">
        <is>
          <t>0</t>
        </is>
      </c>
      <c r="K1359" t="inlineStr">
        <is>
          <t>Doyle, Edward, 1949-</t>
        </is>
      </c>
      <c r="L1359" t="inlineStr">
        <is>
          <t>Boston, MA : Boston Pub. Co., c1986.</t>
        </is>
      </c>
      <c r="M1359" t="inlineStr">
        <is>
          <t>1986</t>
        </is>
      </c>
      <c r="O1359" t="inlineStr">
        <is>
          <t>eng</t>
        </is>
      </c>
      <c r="P1359" t="inlineStr">
        <is>
          <t>mau</t>
        </is>
      </c>
      <c r="Q1359" t="inlineStr">
        <is>
          <t>The Vietnam experience</t>
        </is>
      </c>
      <c r="R1359" t="inlineStr">
        <is>
          <t xml:space="preserve">DS </t>
        </is>
      </c>
      <c r="S1359" t="n">
        <v>5</v>
      </c>
      <c r="T1359" t="n">
        <v>5</v>
      </c>
      <c r="U1359" t="inlineStr">
        <is>
          <t>1999-01-06</t>
        </is>
      </c>
      <c r="V1359" t="inlineStr">
        <is>
          <t>1999-01-06</t>
        </is>
      </c>
      <c r="W1359" t="inlineStr">
        <is>
          <t>1990-03-27</t>
        </is>
      </c>
      <c r="X1359" t="inlineStr">
        <is>
          <t>1990-03-27</t>
        </is>
      </c>
      <c r="Y1359" t="n">
        <v>1305</v>
      </c>
      <c r="Z1359" t="n">
        <v>1264</v>
      </c>
      <c r="AA1359" t="n">
        <v>1273</v>
      </c>
      <c r="AB1359" t="n">
        <v>12</v>
      </c>
      <c r="AC1359" t="n">
        <v>12</v>
      </c>
      <c r="AD1359" t="n">
        <v>15</v>
      </c>
      <c r="AE1359" t="n">
        <v>15</v>
      </c>
      <c r="AF1359" t="n">
        <v>6</v>
      </c>
      <c r="AG1359" t="n">
        <v>6</v>
      </c>
      <c r="AH1359" t="n">
        <v>3</v>
      </c>
      <c r="AI1359" t="n">
        <v>3</v>
      </c>
      <c r="AJ1359" t="n">
        <v>10</v>
      </c>
      <c r="AK1359" t="n">
        <v>10</v>
      </c>
      <c r="AL1359" t="n">
        <v>1</v>
      </c>
      <c r="AM1359" t="n">
        <v>1</v>
      </c>
      <c r="AN1359" t="n">
        <v>0</v>
      </c>
      <c r="AO1359" t="n">
        <v>0</v>
      </c>
      <c r="AP1359" t="inlineStr">
        <is>
          <t>No</t>
        </is>
      </c>
      <c r="AQ1359" t="inlineStr">
        <is>
          <t>Yes</t>
        </is>
      </c>
      <c r="AR1359">
        <f>HYPERLINK("http://catalog.hathitrust.org/Record/000823752","HathiTrust Record")</f>
        <v/>
      </c>
      <c r="AS1359">
        <f>HYPERLINK("https://creighton-primo.hosted.exlibrisgroup.com/primo-explore/search?tab=default_tab&amp;search_scope=EVERYTHING&amp;vid=01CRU&amp;lang=en_US&amp;offset=0&amp;query=any,contains,991000908259702656","Catalog Record")</f>
        <v/>
      </c>
      <c r="AT1359">
        <f>HYPERLINK("http://www.worldcat.org/oclc/14115298","WorldCat Record")</f>
        <v/>
      </c>
      <c r="AU1359" t="inlineStr">
        <is>
          <t>7133828:eng</t>
        </is>
      </c>
      <c r="AV1359" t="inlineStr">
        <is>
          <t>14115298</t>
        </is>
      </c>
      <c r="AW1359" t="inlineStr">
        <is>
          <t>991000908259702656</t>
        </is>
      </c>
      <c r="AX1359" t="inlineStr">
        <is>
          <t>991000908259702656</t>
        </is>
      </c>
      <c r="AY1359" t="inlineStr">
        <is>
          <t>2262609670002656</t>
        </is>
      </c>
      <c r="AZ1359" t="inlineStr">
        <is>
          <t>BOOK</t>
        </is>
      </c>
      <c r="BB1359" t="inlineStr">
        <is>
          <t>9780939526215</t>
        </is>
      </c>
      <c r="BC1359" t="inlineStr">
        <is>
          <t>32285000097377</t>
        </is>
      </c>
      <c r="BD1359" t="inlineStr">
        <is>
          <t>893696278</t>
        </is>
      </c>
    </row>
    <row r="1360">
      <c r="A1360" t="inlineStr">
        <is>
          <t>No</t>
        </is>
      </c>
      <c r="B1360" t="inlineStr">
        <is>
          <t>DS556.8 .H37 1989</t>
        </is>
      </c>
      <c r="C1360" t="inlineStr">
        <is>
          <t>0                      DS 0556800H  37          1989</t>
        </is>
      </c>
      <c r="D1360" t="inlineStr">
        <is>
          <t>The endless war : Vietnam's struggle for independence / James P. Harrison.</t>
        </is>
      </c>
      <c r="F1360" t="inlineStr">
        <is>
          <t>No</t>
        </is>
      </c>
      <c r="G1360" t="inlineStr">
        <is>
          <t>1</t>
        </is>
      </c>
      <c r="H1360" t="inlineStr">
        <is>
          <t>No</t>
        </is>
      </c>
      <c r="I1360" t="inlineStr">
        <is>
          <t>No</t>
        </is>
      </c>
      <c r="J1360" t="inlineStr">
        <is>
          <t>0</t>
        </is>
      </c>
      <c r="K1360" t="inlineStr">
        <is>
          <t>Harrison, James P.</t>
        </is>
      </c>
      <c r="L1360" t="inlineStr">
        <is>
          <t>New York : Columbia University Press, 1989.</t>
        </is>
      </c>
      <c r="M1360" t="inlineStr">
        <is>
          <t>1989</t>
        </is>
      </c>
      <c r="N1360" t="inlineStr">
        <is>
          <t>Columbia University Press morningside ed.</t>
        </is>
      </c>
      <c r="O1360" t="inlineStr">
        <is>
          <t>eng</t>
        </is>
      </c>
      <c r="P1360" t="inlineStr">
        <is>
          <t>nyu</t>
        </is>
      </c>
      <c r="R1360" t="inlineStr">
        <is>
          <t xml:space="preserve">DS </t>
        </is>
      </c>
      <c r="S1360" t="n">
        <v>5</v>
      </c>
      <c r="T1360" t="n">
        <v>5</v>
      </c>
      <c r="U1360" t="inlineStr">
        <is>
          <t>1999-07-18</t>
        </is>
      </c>
      <c r="V1360" t="inlineStr">
        <is>
          <t>1999-07-18</t>
        </is>
      </c>
      <c r="W1360" t="inlineStr">
        <is>
          <t>1989-12-18</t>
        </is>
      </c>
      <c r="X1360" t="inlineStr">
        <is>
          <t>1989-12-18</t>
        </is>
      </c>
      <c r="Y1360" t="n">
        <v>219</v>
      </c>
      <c r="Z1360" t="n">
        <v>180</v>
      </c>
      <c r="AA1360" t="n">
        <v>264</v>
      </c>
      <c r="AB1360" t="n">
        <v>2</v>
      </c>
      <c r="AC1360" t="n">
        <v>2</v>
      </c>
      <c r="AD1360" t="n">
        <v>5</v>
      </c>
      <c r="AE1360" t="n">
        <v>8</v>
      </c>
      <c r="AF1360" t="n">
        <v>2</v>
      </c>
      <c r="AG1360" t="n">
        <v>3</v>
      </c>
      <c r="AH1360" t="n">
        <v>1</v>
      </c>
      <c r="AI1360" t="n">
        <v>2</v>
      </c>
      <c r="AJ1360" t="n">
        <v>3</v>
      </c>
      <c r="AK1360" t="n">
        <v>5</v>
      </c>
      <c r="AL1360" t="n">
        <v>1</v>
      </c>
      <c r="AM1360" t="n">
        <v>1</v>
      </c>
      <c r="AN1360" t="n">
        <v>0</v>
      </c>
      <c r="AO1360" t="n">
        <v>0</v>
      </c>
      <c r="AP1360" t="inlineStr">
        <is>
          <t>No</t>
        </is>
      </c>
      <c r="AQ1360" t="inlineStr">
        <is>
          <t>No</t>
        </is>
      </c>
      <c r="AS1360">
        <f>HYPERLINK("https://creighton-primo.hosted.exlibrisgroup.com/primo-explore/search?tab=default_tab&amp;search_scope=EVERYTHING&amp;vid=01CRU&amp;lang=en_US&amp;offset=0&amp;query=any,contains,991001398169702656","Catalog Record")</f>
        <v/>
      </c>
      <c r="AT1360">
        <f>HYPERLINK("http://www.worldcat.org/oclc/18814034","WorldCat Record")</f>
        <v/>
      </c>
      <c r="AU1360" t="inlineStr">
        <is>
          <t>2097563357:eng</t>
        </is>
      </c>
      <c r="AV1360" t="inlineStr">
        <is>
          <t>18814034</t>
        </is>
      </c>
      <c r="AW1360" t="inlineStr">
        <is>
          <t>991001398169702656</t>
        </is>
      </c>
      <c r="AX1360" t="inlineStr">
        <is>
          <t>991001398169702656</t>
        </is>
      </c>
      <c r="AY1360" t="inlineStr">
        <is>
          <t>2265147610002656</t>
        </is>
      </c>
      <c r="AZ1360" t="inlineStr">
        <is>
          <t>BOOK</t>
        </is>
      </c>
      <c r="BB1360" t="inlineStr">
        <is>
          <t>9780231069090</t>
        </is>
      </c>
      <c r="BC1360" t="inlineStr">
        <is>
          <t>32285000018662</t>
        </is>
      </c>
      <c r="BD1360" t="inlineStr">
        <is>
          <t>893516176</t>
        </is>
      </c>
    </row>
    <row r="1361">
      <c r="A1361" t="inlineStr">
        <is>
          <t>No</t>
        </is>
      </c>
      <c r="B1361" t="inlineStr">
        <is>
          <t>DS556.8 .N56 2002</t>
        </is>
      </c>
      <c r="C1361" t="inlineStr">
        <is>
          <t>0                      DS 0556800N  56          2002</t>
        </is>
      </c>
      <c r="D1361" t="inlineStr">
        <is>
          <t>A world transformed : the politics of culture in revolutionary Vietnam, 1945-1965 / Kim N.B. Ninh.</t>
        </is>
      </c>
      <c r="F1361" t="inlineStr">
        <is>
          <t>No</t>
        </is>
      </c>
      <c r="G1361" t="inlineStr">
        <is>
          <t>1</t>
        </is>
      </c>
      <c r="H1361" t="inlineStr">
        <is>
          <t>No</t>
        </is>
      </c>
      <c r="I1361" t="inlineStr">
        <is>
          <t>No</t>
        </is>
      </c>
      <c r="J1361" t="inlineStr">
        <is>
          <t>0</t>
        </is>
      </c>
      <c r="K1361" t="inlineStr">
        <is>
          <t>Ninh, Kim Ngoc Bao.</t>
        </is>
      </c>
      <c r="L1361" t="inlineStr">
        <is>
          <t>Ann Arbor : University of Michigan Press, 2002.</t>
        </is>
      </c>
      <c r="M1361" t="inlineStr">
        <is>
          <t>2002</t>
        </is>
      </c>
      <c r="O1361" t="inlineStr">
        <is>
          <t>eng</t>
        </is>
      </c>
      <c r="P1361" t="inlineStr">
        <is>
          <t>miu</t>
        </is>
      </c>
      <c r="Q1361" t="inlineStr">
        <is>
          <t>Southeast Asia</t>
        </is>
      </c>
      <c r="R1361" t="inlineStr">
        <is>
          <t xml:space="preserve">DS </t>
        </is>
      </c>
      <c r="S1361" t="n">
        <v>4</v>
      </c>
      <c r="T1361" t="n">
        <v>4</v>
      </c>
      <c r="U1361" t="inlineStr">
        <is>
          <t>2008-11-10</t>
        </is>
      </c>
      <c r="V1361" t="inlineStr">
        <is>
          <t>2008-11-10</t>
        </is>
      </c>
      <c r="W1361" t="inlineStr">
        <is>
          <t>2003-06-17</t>
        </is>
      </c>
      <c r="X1361" t="inlineStr">
        <is>
          <t>2003-06-17</t>
        </is>
      </c>
      <c r="Y1361" t="n">
        <v>464</v>
      </c>
      <c r="Z1361" t="n">
        <v>397</v>
      </c>
      <c r="AA1361" t="n">
        <v>406</v>
      </c>
      <c r="AB1361" t="n">
        <v>3</v>
      </c>
      <c r="AC1361" t="n">
        <v>3</v>
      </c>
      <c r="AD1361" t="n">
        <v>30</v>
      </c>
      <c r="AE1361" t="n">
        <v>30</v>
      </c>
      <c r="AF1361" t="n">
        <v>13</v>
      </c>
      <c r="AG1361" t="n">
        <v>13</v>
      </c>
      <c r="AH1361" t="n">
        <v>7</v>
      </c>
      <c r="AI1361" t="n">
        <v>7</v>
      </c>
      <c r="AJ1361" t="n">
        <v>17</v>
      </c>
      <c r="AK1361" t="n">
        <v>17</v>
      </c>
      <c r="AL1361" t="n">
        <v>2</v>
      </c>
      <c r="AM1361" t="n">
        <v>2</v>
      </c>
      <c r="AN1361" t="n">
        <v>0</v>
      </c>
      <c r="AO1361" t="n">
        <v>0</v>
      </c>
      <c r="AP1361" t="inlineStr">
        <is>
          <t>Yes</t>
        </is>
      </c>
      <c r="AQ1361" t="inlineStr">
        <is>
          <t>No</t>
        </is>
      </c>
      <c r="AR1361">
        <f>HYPERLINK("http://catalog.hathitrust.org/Record/004288142","HathiTrust Record")</f>
        <v/>
      </c>
      <c r="AS1361">
        <f>HYPERLINK("https://creighton-primo.hosted.exlibrisgroup.com/primo-explore/search?tab=default_tab&amp;search_scope=EVERYTHING&amp;vid=01CRU&amp;lang=en_US&amp;offset=0&amp;query=any,contains,991004060669702656","Catalog Record")</f>
        <v/>
      </c>
      <c r="AT1361">
        <f>HYPERLINK("http://www.worldcat.org/oclc/49225821","WorldCat Record")</f>
        <v/>
      </c>
      <c r="AU1361" t="inlineStr">
        <is>
          <t>20634505:eng</t>
        </is>
      </c>
      <c r="AV1361" t="inlineStr">
        <is>
          <t>49225821</t>
        </is>
      </c>
      <c r="AW1361" t="inlineStr">
        <is>
          <t>991004060669702656</t>
        </is>
      </c>
      <c r="AX1361" t="inlineStr">
        <is>
          <t>991004060669702656</t>
        </is>
      </c>
      <c r="AY1361" t="inlineStr">
        <is>
          <t>2265967510002656</t>
        </is>
      </c>
      <c r="AZ1361" t="inlineStr">
        <is>
          <t>BOOK</t>
        </is>
      </c>
      <c r="BB1361" t="inlineStr">
        <is>
          <t>9780472067992</t>
        </is>
      </c>
      <c r="BC1361" t="inlineStr">
        <is>
          <t>32285004752985</t>
        </is>
      </c>
      <c r="BD1361" t="inlineStr">
        <is>
          <t>893718410</t>
        </is>
      </c>
    </row>
    <row r="1362">
      <c r="A1362" t="inlineStr">
        <is>
          <t>No</t>
        </is>
      </c>
      <c r="B1362" t="inlineStr">
        <is>
          <t>DS556.9 .H346 1987</t>
        </is>
      </c>
      <c r="C1362" t="inlineStr">
        <is>
          <t>0                      DS 0556900H  346         1987</t>
        </is>
      </c>
      <c r="D1362" t="inlineStr">
        <is>
          <t>A death in November : America in Vietnam, 1963 / Ellen J. Hammer.</t>
        </is>
      </c>
      <c r="F1362" t="inlineStr">
        <is>
          <t>No</t>
        </is>
      </c>
      <c r="G1362" t="inlineStr">
        <is>
          <t>1</t>
        </is>
      </c>
      <c r="H1362" t="inlineStr">
        <is>
          <t>No</t>
        </is>
      </c>
      <c r="I1362" t="inlineStr">
        <is>
          <t>No</t>
        </is>
      </c>
      <c r="J1362" t="inlineStr">
        <is>
          <t>0</t>
        </is>
      </c>
      <c r="K1362" t="inlineStr">
        <is>
          <t>Hammer, Ellen J. (Ellen Joy), 1921-</t>
        </is>
      </c>
      <c r="L1362" t="inlineStr">
        <is>
          <t>New York : E.P. Dutton, c1987.</t>
        </is>
      </c>
      <c r="M1362" t="inlineStr">
        <is>
          <t>1987</t>
        </is>
      </c>
      <c r="N1362" t="inlineStr">
        <is>
          <t>1st ed.</t>
        </is>
      </c>
      <c r="O1362" t="inlineStr">
        <is>
          <t>eng</t>
        </is>
      </c>
      <c r="P1362" t="inlineStr">
        <is>
          <t>nyu</t>
        </is>
      </c>
      <c r="R1362" t="inlineStr">
        <is>
          <t xml:space="preserve">DS </t>
        </is>
      </c>
      <c r="S1362" t="n">
        <v>5</v>
      </c>
      <c r="T1362" t="n">
        <v>5</v>
      </c>
      <c r="U1362" t="inlineStr">
        <is>
          <t>1993-11-08</t>
        </is>
      </c>
      <c r="V1362" t="inlineStr">
        <is>
          <t>1993-11-08</t>
        </is>
      </c>
      <c r="W1362" t="inlineStr">
        <is>
          <t>1990-10-09</t>
        </is>
      </c>
      <c r="X1362" t="inlineStr">
        <is>
          <t>1990-10-09</t>
        </is>
      </c>
      <c r="Y1362" t="n">
        <v>1065</v>
      </c>
      <c r="Z1362" t="n">
        <v>988</v>
      </c>
      <c r="AA1362" t="n">
        <v>1101</v>
      </c>
      <c r="AB1362" t="n">
        <v>3</v>
      </c>
      <c r="AC1362" t="n">
        <v>4</v>
      </c>
      <c r="AD1362" t="n">
        <v>34</v>
      </c>
      <c r="AE1362" t="n">
        <v>36</v>
      </c>
      <c r="AF1362" t="n">
        <v>15</v>
      </c>
      <c r="AG1362" t="n">
        <v>15</v>
      </c>
      <c r="AH1362" t="n">
        <v>9</v>
      </c>
      <c r="AI1362" t="n">
        <v>9</v>
      </c>
      <c r="AJ1362" t="n">
        <v>17</v>
      </c>
      <c r="AK1362" t="n">
        <v>18</v>
      </c>
      <c r="AL1362" t="n">
        <v>2</v>
      </c>
      <c r="AM1362" t="n">
        <v>3</v>
      </c>
      <c r="AN1362" t="n">
        <v>0</v>
      </c>
      <c r="AO1362" t="n">
        <v>0</v>
      </c>
      <c r="AP1362" t="inlineStr">
        <is>
          <t>No</t>
        </is>
      </c>
      <c r="AQ1362" t="inlineStr">
        <is>
          <t>Yes</t>
        </is>
      </c>
      <c r="AR1362">
        <f>HYPERLINK("http://catalog.hathitrust.org/Record/000812712","HathiTrust Record")</f>
        <v/>
      </c>
      <c r="AS1362">
        <f>HYPERLINK("https://creighton-primo.hosted.exlibrisgroup.com/primo-explore/search?tab=default_tab&amp;search_scope=EVERYTHING&amp;vid=01CRU&amp;lang=en_US&amp;offset=0&amp;query=any,contains,991001015919702656","Catalog Record")</f>
        <v/>
      </c>
      <c r="AT1362">
        <f>HYPERLINK("http://www.worldcat.org/oclc/15317660","WorldCat Record")</f>
        <v/>
      </c>
      <c r="AU1362" t="inlineStr">
        <is>
          <t>10135934:eng</t>
        </is>
      </c>
      <c r="AV1362" t="inlineStr">
        <is>
          <t>15317660</t>
        </is>
      </c>
      <c r="AW1362" t="inlineStr">
        <is>
          <t>991001015919702656</t>
        </is>
      </c>
      <c r="AX1362" t="inlineStr">
        <is>
          <t>991001015919702656</t>
        </is>
      </c>
      <c r="AY1362" t="inlineStr">
        <is>
          <t>2256405590002656</t>
        </is>
      </c>
      <c r="AZ1362" t="inlineStr">
        <is>
          <t>BOOK</t>
        </is>
      </c>
      <c r="BB1362" t="inlineStr">
        <is>
          <t>9780525242109</t>
        </is>
      </c>
      <c r="BC1362" t="inlineStr">
        <is>
          <t>32285000337385</t>
        </is>
      </c>
      <c r="BD1362" t="inlineStr">
        <is>
          <t>893243788</t>
        </is>
      </c>
    </row>
    <row r="1363">
      <c r="A1363" t="inlineStr">
        <is>
          <t>No</t>
        </is>
      </c>
      <c r="B1363" t="inlineStr">
        <is>
          <t>DS556.9 .T75</t>
        </is>
      </c>
      <c r="C1363" t="inlineStr">
        <is>
          <t>0                      DS 0556900T  75</t>
        </is>
      </c>
      <c r="D1363" t="inlineStr">
        <is>
          <t>Our endless war : inside Vietnam / Tran Van Don.</t>
        </is>
      </c>
      <c r="F1363" t="inlineStr">
        <is>
          <t>No</t>
        </is>
      </c>
      <c r="G1363" t="inlineStr">
        <is>
          <t>1</t>
        </is>
      </c>
      <c r="H1363" t="inlineStr">
        <is>
          <t>No</t>
        </is>
      </c>
      <c r="I1363" t="inlineStr">
        <is>
          <t>No</t>
        </is>
      </c>
      <c r="J1363" t="inlineStr">
        <is>
          <t>0</t>
        </is>
      </c>
      <c r="K1363" t="inlineStr">
        <is>
          <t>Trần, Văn Đôn, 1917-</t>
        </is>
      </c>
      <c r="L1363" t="inlineStr">
        <is>
          <t>San Rafael, Calif. : Presidio Press, c1978.</t>
        </is>
      </c>
      <c r="M1363" t="inlineStr">
        <is>
          <t>1978</t>
        </is>
      </c>
      <c r="O1363" t="inlineStr">
        <is>
          <t>eng</t>
        </is>
      </c>
      <c r="P1363" t="inlineStr">
        <is>
          <t>cau</t>
        </is>
      </c>
      <c r="R1363" t="inlineStr">
        <is>
          <t xml:space="preserve">DS </t>
        </is>
      </c>
      <c r="S1363" t="n">
        <v>5</v>
      </c>
      <c r="T1363" t="n">
        <v>5</v>
      </c>
      <c r="U1363" t="inlineStr">
        <is>
          <t>1998-03-03</t>
        </is>
      </c>
      <c r="V1363" t="inlineStr">
        <is>
          <t>1998-03-03</t>
        </is>
      </c>
      <c r="W1363" t="inlineStr">
        <is>
          <t>1990-10-09</t>
        </is>
      </c>
      <c r="X1363" t="inlineStr">
        <is>
          <t>1990-10-09</t>
        </is>
      </c>
      <c r="Y1363" t="n">
        <v>430</v>
      </c>
      <c r="Z1363" t="n">
        <v>378</v>
      </c>
      <c r="AA1363" t="n">
        <v>407</v>
      </c>
      <c r="AB1363" t="n">
        <v>3</v>
      </c>
      <c r="AC1363" t="n">
        <v>3</v>
      </c>
      <c r="AD1363" t="n">
        <v>14</v>
      </c>
      <c r="AE1363" t="n">
        <v>17</v>
      </c>
      <c r="AF1363" t="n">
        <v>4</v>
      </c>
      <c r="AG1363" t="n">
        <v>5</v>
      </c>
      <c r="AH1363" t="n">
        <v>4</v>
      </c>
      <c r="AI1363" t="n">
        <v>6</v>
      </c>
      <c r="AJ1363" t="n">
        <v>8</v>
      </c>
      <c r="AK1363" t="n">
        <v>10</v>
      </c>
      <c r="AL1363" t="n">
        <v>1</v>
      </c>
      <c r="AM1363" t="n">
        <v>1</v>
      </c>
      <c r="AN1363" t="n">
        <v>0</v>
      </c>
      <c r="AO1363" t="n">
        <v>0</v>
      </c>
      <c r="AP1363" t="inlineStr">
        <is>
          <t>No</t>
        </is>
      </c>
      <c r="AQ1363" t="inlineStr">
        <is>
          <t>Yes</t>
        </is>
      </c>
      <c r="AR1363">
        <f>HYPERLINK("http://catalog.hathitrust.org/Record/000135539","HathiTrust Record")</f>
        <v/>
      </c>
      <c r="AS1363">
        <f>HYPERLINK("https://creighton-primo.hosted.exlibrisgroup.com/primo-explore/search?tab=default_tab&amp;search_scope=EVERYTHING&amp;vid=01CRU&amp;lang=en_US&amp;offset=0&amp;query=any,contains,991004529379702656","Catalog Record")</f>
        <v/>
      </c>
      <c r="AT1363">
        <f>HYPERLINK("http://www.worldcat.org/oclc/3844653","WorldCat Record")</f>
        <v/>
      </c>
      <c r="AU1363" t="inlineStr">
        <is>
          <t>548265:eng</t>
        </is>
      </c>
      <c r="AV1363" t="inlineStr">
        <is>
          <t>3844653</t>
        </is>
      </c>
      <c r="AW1363" t="inlineStr">
        <is>
          <t>991004529379702656</t>
        </is>
      </c>
      <c r="AX1363" t="inlineStr">
        <is>
          <t>991004529379702656</t>
        </is>
      </c>
      <c r="AY1363" t="inlineStr">
        <is>
          <t>2264884160002656</t>
        </is>
      </c>
      <c r="AZ1363" t="inlineStr">
        <is>
          <t>BOOK</t>
        </is>
      </c>
      <c r="BB1363" t="inlineStr">
        <is>
          <t>9780891410195</t>
        </is>
      </c>
      <c r="BC1363" t="inlineStr">
        <is>
          <t>32285000337393</t>
        </is>
      </c>
      <c r="BD1363" t="inlineStr">
        <is>
          <t>893513350</t>
        </is>
      </c>
    </row>
    <row r="1364">
      <c r="A1364" t="inlineStr">
        <is>
          <t>No</t>
        </is>
      </c>
      <c r="B1364" t="inlineStr">
        <is>
          <t>DS556.9 .W57 1997</t>
        </is>
      </c>
      <c r="C1364" t="inlineStr">
        <is>
          <t>0                      DS 0556900W  57          1997</t>
        </is>
      </c>
      <c r="D1364" t="inlineStr">
        <is>
          <t>The Year of the hare : America in Vietnam, January 25, 1963-February 15, 1964 / Francis X. Winters.</t>
        </is>
      </c>
      <c r="F1364" t="inlineStr">
        <is>
          <t>No</t>
        </is>
      </c>
      <c r="G1364" t="inlineStr">
        <is>
          <t>1</t>
        </is>
      </c>
      <c r="H1364" t="inlineStr">
        <is>
          <t>No</t>
        </is>
      </c>
      <c r="I1364" t="inlineStr">
        <is>
          <t>No</t>
        </is>
      </c>
      <c r="J1364" t="inlineStr">
        <is>
          <t>0</t>
        </is>
      </c>
      <c r="K1364" t="inlineStr">
        <is>
          <t>Winters, Francis X.</t>
        </is>
      </c>
      <c r="L1364" t="inlineStr">
        <is>
          <t>Athens : University of Georgia Press, c1997.</t>
        </is>
      </c>
      <c r="M1364" t="inlineStr">
        <is>
          <t>1997</t>
        </is>
      </c>
      <c r="O1364" t="inlineStr">
        <is>
          <t>eng</t>
        </is>
      </c>
      <c r="P1364" t="inlineStr">
        <is>
          <t>gau</t>
        </is>
      </c>
      <c r="R1364" t="inlineStr">
        <is>
          <t xml:space="preserve">DS </t>
        </is>
      </c>
      <c r="S1364" t="n">
        <v>3</v>
      </c>
      <c r="T1364" t="n">
        <v>3</v>
      </c>
      <c r="U1364" t="inlineStr">
        <is>
          <t>1999-11-01</t>
        </is>
      </c>
      <c r="V1364" t="inlineStr">
        <is>
          <t>1999-11-01</t>
        </is>
      </c>
      <c r="W1364" t="inlineStr">
        <is>
          <t>1999-10-07</t>
        </is>
      </c>
      <c r="X1364" t="inlineStr">
        <is>
          <t>1999-10-07</t>
        </is>
      </c>
      <c r="Y1364" t="n">
        <v>387</v>
      </c>
      <c r="Z1364" t="n">
        <v>338</v>
      </c>
      <c r="AA1364" t="n">
        <v>364</v>
      </c>
      <c r="AB1364" t="n">
        <v>4</v>
      </c>
      <c r="AC1364" t="n">
        <v>4</v>
      </c>
      <c r="AD1364" t="n">
        <v>17</v>
      </c>
      <c r="AE1364" t="n">
        <v>18</v>
      </c>
      <c r="AF1364" t="n">
        <v>7</v>
      </c>
      <c r="AG1364" t="n">
        <v>8</v>
      </c>
      <c r="AH1364" t="n">
        <v>5</v>
      </c>
      <c r="AI1364" t="n">
        <v>5</v>
      </c>
      <c r="AJ1364" t="n">
        <v>10</v>
      </c>
      <c r="AK1364" t="n">
        <v>11</v>
      </c>
      <c r="AL1364" t="n">
        <v>2</v>
      </c>
      <c r="AM1364" t="n">
        <v>2</v>
      </c>
      <c r="AN1364" t="n">
        <v>0</v>
      </c>
      <c r="AO1364" t="n">
        <v>0</v>
      </c>
      <c r="AP1364" t="inlineStr">
        <is>
          <t>No</t>
        </is>
      </c>
      <c r="AQ1364" t="inlineStr">
        <is>
          <t>No</t>
        </is>
      </c>
      <c r="AS1364">
        <f>HYPERLINK("https://creighton-primo.hosted.exlibrisgroup.com/primo-explore/search?tab=default_tab&amp;search_scope=EVERYTHING&amp;vid=01CRU&amp;lang=en_US&amp;offset=0&amp;query=any,contains,991002630979702656","Catalog Record")</f>
        <v/>
      </c>
      <c r="AT1364">
        <f>HYPERLINK("http://www.worldcat.org/oclc/34477151","WorldCat Record")</f>
        <v/>
      </c>
      <c r="AU1364" t="inlineStr">
        <is>
          <t>20930571:eng</t>
        </is>
      </c>
      <c r="AV1364" t="inlineStr">
        <is>
          <t>34477151</t>
        </is>
      </c>
      <c r="AW1364" t="inlineStr">
        <is>
          <t>991002630979702656</t>
        </is>
      </c>
      <c r="AX1364" t="inlineStr">
        <is>
          <t>991002630979702656</t>
        </is>
      </c>
      <c r="AY1364" t="inlineStr">
        <is>
          <t>2264275210002656</t>
        </is>
      </c>
      <c r="AZ1364" t="inlineStr">
        <is>
          <t>BOOK</t>
        </is>
      </c>
      <c r="BB1364" t="inlineStr">
        <is>
          <t>9780820318745</t>
        </is>
      </c>
      <c r="BC1364" t="inlineStr">
        <is>
          <t>32285003594008</t>
        </is>
      </c>
      <c r="BD1364" t="inlineStr">
        <is>
          <t>893798805</t>
        </is>
      </c>
    </row>
    <row r="1365">
      <c r="A1365" t="inlineStr">
        <is>
          <t>No</t>
        </is>
      </c>
      <c r="B1365" t="inlineStr">
        <is>
          <t>DS556.93.H39 A3 1989</t>
        </is>
      </c>
      <c r="C1365" t="inlineStr">
        <is>
          <t>0                      DS 0556930H  39                 A  3           1989</t>
        </is>
      </c>
      <c r="D1365" t="inlineStr">
        <is>
          <t>When heaven and earth changed places : a Vietnamese woman's journey from war to peace / Le Ly Hayslip with Jay Wurts.</t>
        </is>
      </c>
      <c r="F1365" t="inlineStr">
        <is>
          <t>No</t>
        </is>
      </c>
      <c r="G1365" t="inlineStr">
        <is>
          <t>1</t>
        </is>
      </c>
      <c r="H1365" t="inlineStr">
        <is>
          <t>No</t>
        </is>
      </c>
      <c r="I1365" t="inlineStr">
        <is>
          <t>No</t>
        </is>
      </c>
      <c r="J1365" t="inlineStr">
        <is>
          <t>0</t>
        </is>
      </c>
      <c r="K1365" t="inlineStr">
        <is>
          <t>Hayslip, Le Ly.</t>
        </is>
      </c>
      <c r="L1365" t="inlineStr">
        <is>
          <t>New York : Doubleday, c1989.</t>
        </is>
      </c>
      <c r="M1365" t="inlineStr">
        <is>
          <t>1989</t>
        </is>
      </c>
      <c r="N1365" t="inlineStr">
        <is>
          <t>1st ed.</t>
        </is>
      </c>
      <c r="O1365" t="inlineStr">
        <is>
          <t>eng</t>
        </is>
      </c>
      <c r="P1365" t="inlineStr">
        <is>
          <t>nyu</t>
        </is>
      </c>
      <c r="R1365" t="inlineStr">
        <is>
          <t xml:space="preserve">DS </t>
        </is>
      </c>
      <c r="S1365" t="n">
        <v>16</v>
      </c>
      <c r="T1365" t="n">
        <v>16</v>
      </c>
      <c r="U1365" t="inlineStr">
        <is>
          <t>2007-05-03</t>
        </is>
      </c>
      <c r="V1365" t="inlineStr">
        <is>
          <t>2007-05-03</t>
        </is>
      </c>
      <c r="W1365" t="inlineStr">
        <is>
          <t>1990-10-09</t>
        </is>
      </c>
      <c r="X1365" t="inlineStr">
        <is>
          <t>1990-10-09</t>
        </is>
      </c>
      <c r="Y1365" t="n">
        <v>1253</v>
      </c>
      <c r="Z1365" t="n">
        <v>1193</v>
      </c>
      <c r="AA1365" t="n">
        <v>1834</v>
      </c>
      <c r="AB1365" t="n">
        <v>11</v>
      </c>
      <c r="AC1365" t="n">
        <v>17</v>
      </c>
      <c r="AD1365" t="n">
        <v>29</v>
      </c>
      <c r="AE1365" t="n">
        <v>40</v>
      </c>
      <c r="AF1365" t="n">
        <v>11</v>
      </c>
      <c r="AG1365" t="n">
        <v>17</v>
      </c>
      <c r="AH1365" t="n">
        <v>6</v>
      </c>
      <c r="AI1365" t="n">
        <v>8</v>
      </c>
      <c r="AJ1365" t="n">
        <v>14</v>
      </c>
      <c r="AK1365" t="n">
        <v>17</v>
      </c>
      <c r="AL1365" t="n">
        <v>5</v>
      </c>
      <c r="AM1365" t="n">
        <v>7</v>
      </c>
      <c r="AN1365" t="n">
        <v>0</v>
      </c>
      <c r="AO1365" t="n">
        <v>0</v>
      </c>
      <c r="AP1365" t="inlineStr">
        <is>
          <t>No</t>
        </is>
      </c>
      <c r="AQ1365" t="inlineStr">
        <is>
          <t>Yes</t>
        </is>
      </c>
      <c r="AR1365">
        <f>HYPERLINK("http://catalog.hathitrust.org/Record/001303647","HathiTrust Record")</f>
        <v/>
      </c>
      <c r="AS1365">
        <f>HYPERLINK("https://creighton-primo.hosted.exlibrisgroup.com/primo-explore/search?tab=default_tab&amp;search_scope=EVERYTHING&amp;vid=01CRU&amp;lang=en_US&amp;offset=0&amp;query=any,contains,991001424879702656","Catalog Record")</f>
        <v/>
      </c>
      <c r="AT1365">
        <f>HYPERLINK("http://www.worldcat.org/oclc/18989662","WorldCat Record")</f>
        <v/>
      </c>
      <c r="AU1365" t="inlineStr">
        <is>
          <t>10370096:eng</t>
        </is>
      </c>
      <c r="AV1365" t="inlineStr">
        <is>
          <t>18989662</t>
        </is>
      </c>
      <c r="AW1365" t="inlineStr">
        <is>
          <t>991001424879702656</t>
        </is>
      </c>
      <c r="AX1365" t="inlineStr">
        <is>
          <t>991001424879702656</t>
        </is>
      </c>
      <c r="AY1365" t="inlineStr">
        <is>
          <t>2265708020002656</t>
        </is>
      </c>
      <c r="AZ1365" t="inlineStr">
        <is>
          <t>BOOK</t>
        </is>
      </c>
      <c r="BB1365" t="inlineStr">
        <is>
          <t>9780385247580</t>
        </is>
      </c>
      <c r="BC1365" t="inlineStr">
        <is>
          <t>32285000337401</t>
        </is>
      </c>
      <c r="BD1365" t="inlineStr">
        <is>
          <t>893509621</t>
        </is>
      </c>
    </row>
    <row r="1366">
      <c r="A1366" t="inlineStr">
        <is>
          <t>No</t>
        </is>
      </c>
      <c r="B1366" t="inlineStr">
        <is>
          <t>DS557.6 .L64 2001</t>
        </is>
      </c>
      <c r="C1366" t="inlineStr">
        <is>
          <t>0                      DS 0557600L  64          2001</t>
        </is>
      </c>
      <c r="D1366" t="inlineStr">
        <is>
          <t>The origins of the Vietnam War / Fredrik Logevall.</t>
        </is>
      </c>
      <c r="F1366" t="inlineStr">
        <is>
          <t>No</t>
        </is>
      </c>
      <c r="G1366" t="inlineStr">
        <is>
          <t>1</t>
        </is>
      </c>
      <c r="H1366" t="inlineStr">
        <is>
          <t>No</t>
        </is>
      </c>
      <c r="I1366" t="inlineStr">
        <is>
          <t>No</t>
        </is>
      </c>
      <c r="J1366" t="inlineStr">
        <is>
          <t>0</t>
        </is>
      </c>
      <c r="K1366" t="inlineStr">
        <is>
          <t>Logevall, Fredrik, 1963-</t>
        </is>
      </c>
      <c r="L1366" t="inlineStr">
        <is>
          <t>Harlow, England ; New York : Longman, 2001.</t>
        </is>
      </c>
      <c r="M1366" t="inlineStr">
        <is>
          <t>2001</t>
        </is>
      </c>
      <c r="O1366" t="inlineStr">
        <is>
          <t>eng</t>
        </is>
      </c>
      <c r="P1366" t="inlineStr">
        <is>
          <t>enk</t>
        </is>
      </c>
      <c r="Q1366" t="inlineStr">
        <is>
          <t>Seminar studies in history</t>
        </is>
      </c>
      <c r="R1366" t="inlineStr">
        <is>
          <t xml:space="preserve">DS </t>
        </is>
      </c>
      <c r="S1366" t="n">
        <v>7</v>
      </c>
      <c r="T1366" t="n">
        <v>7</v>
      </c>
      <c r="U1366" t="inlineStr">
        <is>
          <t>2006-03-24</t>
        </is>
      </c>
      <c r="V1366" t="inlineStr">
        <is>
          <t>2006-03-24</t>
        </is>
      </c>
      <c r="W1366" t="inlineStr">
        <is>
          <t>2001-11-20</t>
        </is>
      </c>
      <c r="X1366" t="inlineStr">
        <is>
          <t>2001-11-20</t>
        </is>
      </c>
      <c r="Y1366" t="n">
        <v>330</v>
      </c>
      <c r="Z1366" t="n">
        <v>257</v>
      </c>
      <c r="AA1366" t="n">
        <v>292</v>
      </c>
      <c r="AB1366" t="n">
        <v>2</v>
      </c>
      <c r="AC1366" t="n">
        <v>2</v>
      </c>
      <c r="AD1366" t="n">
        <v>13</v>
      </c>
      <c r="AE1366" t="n">
        <v>13</v>
      </c>
      <c r="AF1366" t="n">
        <v>4</v>
      </c>
      <c r="AG1366" t="n">
        <v>4</v>
      </c>
      <c r="AH1366" t="n">
        <v>5</v>
      </c>
      <c r="AI1366" t="n">
        <v>5</v>
      </c>
      <c r="AJ1366" t="n">
        <v>10</v>
      </c>
      <c r="AK1366" t="n">
        <v>10</v>
      </c>
      <c r="AL1366" t="n">
        <v>0</v>
      </c>
      <c r="AM1366" t="n">
        <v>0</v>
      </c>
      <c r="AN1366" t="n">
        <v>0</v>
      </c>
      <c r="AO1366" t="n">
        <v>0</v>
      </c>
      <c r="AP1366" t="inlineStr">
        <is>
          <t>No</t>
        </is>
      </c>
      <c r="AQ1366" t="inlineStr">
        <is>
          <t>Yes</t>
        </is>
      </c>
      <c r="AR1366">
        <f>HYPERLINK("http://catalog.hathitrust.org/Record/003576421","HathiTrust Record")</f>
        <v/>
      </c>
      <c r="AS1366">
        <f>HYPERLINK("https://creighton-primo.hosted.exlibrisgroup.com/primo-explore/search?tab=default_tab&amp;search_scope=EVERYTHING&amp;vid=01CRU&amp;lang=en_US&amp;offset=0&amp;query=any,contains,991003663589702656","Catalog Record")</f>
        <v/>
      </c>
      <c r="AT1366">
        <f>HYPERLINK("http://www.worldcat.org/oclc/46422184","WorldCat Record")</f>
        <v/>
      </c>
      <c r="AU1366" t="inlineStr">
        <is>
          <t>20598809:eng</t>
        </is>
      </c>
      <c r="AV1366" t="inlineStr">
        <is>
          <t>46422184</t>
        </is>
      </c>
      <c r="AW1366" t="inlineStr">
        <is>
          <t>991003663589702656</t>
        </is>
      </c>
      <c r="AX1366" t="inlineStr">
        <is>
          <t>991003663589702656</t>
        </is>
      </c>
      <c r="AY1366" t="inlineStr">
        <is>
          <t>2261274330002656</t>
        </is>
      </c>
      <c r="AZ1366" t="inlineStr">
        <is>
          <t>BOOK</t>
        </is>
      </c>
      <c r="BB1366" t="inlineStr">
        <is>
          <t>9780582319189</t>
        </is>
      </c>
      <c r="BC1366" t="inlineStr">
        <is>
          <t>32285004413026</t>
        </is>
      </c>
      <c r="BD1366" t="inlineStr">
        <is>
          <t>893512220</t>
        </is>
      </c>
    </row>
    <row r="1367">
      <c r="A1367" t="inlineStr">
        <is>
          <t>No</t>
        </is>
      </c>
      <c r="B1367" t="inlineStr">
        <is>
          <t>DS557.7 .A53 2005</t>
        </is>
      </c>
      <c r="C1367" t="inlineStr">
        <is>
          <t>0                      DS 0557700A  53          2005</t>
        </is>
      </c>
      <c r="D1367" t="inlineStr">
        <is>
          <t>The Vietnam War / David L. Anderson.</t>
        </is>
      </c>
      <c r="F1367" t="inlineStr">
        <is>
          <t>No</t>
        </is>
      </c>
      <c r="G1367" t="inlineStr">
        <is>
          <t>1</t>
        </is>
      </c>
      <c r="H1367" t="inlineStr">
        <is>
          <t>No</t>
        </is>
      </c>
      <c r="I1367" t="inlineStr">
        <is>
          <t>No</t>
        </is>
      </c>
      <c r="J1367" t="inlineStr">
        <is>
          <t>0</t>
        </is>
      </c>
      <c r="K1367" t="inlineStr">
        <is>
          <t>Anderson, David L., 1946-</t>
        </is>
      </c>
      <c r="L1367" t="inlineStr">
        <is>
          <t>New York : Palgrave Macmillan, 2005.</t>
        </is>
      </c>
      <c r="M1367" t="inlineStr">
        <is>
          <t>2005</t>
        </is>
      </c>
      <c r="O1367" t="inlineStr">
        <is>
          <t>eng</t>
        </is>
      </c>
      <c r="P1367" t="inlineStr">
        <is>
          <t>nyu</t>
        </is>
      </c>
      <c r="Q1367" t="inlineStr">
        <is>
          <t>Twentieth-century wars</t>
        </is>
      </c>
      <c r="R1367" t="inlineStr">
        <is>
          <t xml:space="preserve">DS </t>
        </is>
      </c>
      <c r="S1367" t="n">
        <v>9</v>
      </c>
      <c r="T1367" t="n">
        <v>9</v>
      </c>
      <c r="U1367" t="inlineStr">
        <is>
          <t>2009-08-08</t>
        </is>
      </c>
      <c r="V1367" t="inlineStr">
        <is>
          <t>2009-08-08</t>
        </is>
      </c>
      <c r="W1367" t="inlineStr">
        <is>
          <t>2006-04-24</t>
        </is>
      </c>
      <c r="X1367" t="inlineStr">
        <is>
          <t>2006-04-24</t>
        </is>
      </c>
      <c r="Y1367" t="n">
        <v>562</v>
      </c>
      <c r="Z1367" t="n">
        <v>464</v>
      </c>
      <c r="AA1367" t="n">
        <v>487</v>
      </c>
      <c r="AB1367" t="n">
        <v>4</v>
      </c>
      <c r="AC1367" t="n">
        <v>4</v>
      </c>
      <c r="AD1367" t="n">
        <v>16</v>
      </c>
      <c r="AE1367" t="n">
        <v>16</v>
      </c>
      <c r="AF1367" t="n">
        <v>5</v>
      </c>
      <c r="AG1367" t="n">
        <v>5</v>
      </c>
      <c r="AH1367" t="n">
        <v>3</v>
      </c>
      <c r="AI1367" t="n">
        <v>3</v>
      </c>
      <c r="AJ1367" t="n">
        <v>10</v>
      </c>
      <c r="AK1367" t="n">
        <v>10</v>
      </c>
      <c r="AL1367" t="n">
        <v>3</v>
      </c>
      <c r="AM1367" t="n">
        <v>3</v>
      </c>
      <c r="AN1367" t="n">
        <v>0</v>
      </c>
      <c r="AO1367" t="n">
        <v>0</v>
      </c>
      <c r="AP1367" t="inlineStr">
        <is>
          <t>No</t>
        </is>
      </c>
      <c r="AQ1367" t="inlineStr">
        <is>
          <t>No</t>
        </is>
      </c>
      <c r="AS1367">
        <f>HYPERLINK("https://creighton-primo.hosted.exlibrisgroup.com/primo-explore/search?tab=default_tab&amp;search_scope=EVERYTHING&amp;vid=01CRU&amp;lang=en_US&amp;offset=0&amp;query=any,contains,991004772409702656","Catalog Record")</f>
        <v/>
      </c>
      <c r="AT1367">
        <f>HYPERLINK("http://www.worldcat.org/oclc/56880068","WorldCat Record")</f>
        <v/>
      </c>
      <c r="AU1367" t="inlineStr">
        <is>
          <t>877156:eng</t>
        </is>
      </c>
      <c r="AV1367" t="inlineStr">
        <is>
          <t>56880068</t>
        </is>
      </c>
      <c r="AW1367" t="inlineStr">
        <is>
          <t>991004772409702656</t>
        </is>
      </c>
      <c r="AX1367" t="inlineStr">
        <is>
          <t>991004772409702656</t>
        </is>
      </c>
      <c r="AY1367" t="inlineStr">
        <is>
          <t>2261439600002656</t>
        </is>
      </c>
      <c r="AZ1367" t="inlineStr">
        <is>
          <t>BOOK</t>
        </is>
      </c>
      <c r="BB1367" t="inlineStr">
        <is>
          <t>9780333963364</t>
        </is>
      </c>
      <c r="BC1367" t="inlineStr">
        <is>
          <t>32285005181952</t>
        </is>
      </c>
      <c r="BD1367" t="inlineStr">
        <is>
          <t>893694335</t>
        </is>
      </c>
    </row>
    <row r="1368">
      <c r="A1368" t="inlineStr">
        <is>
          <t>No</t>
        </is>
      </c>
      <c r="B1368" t="inlineStr">
        <is>
          <t>DS557.7 .B4 1985</t>
        </is>
      </c>
      <c r="C1368" t="inlineStr">
        <is>
          <t>0                      DS 0557700B  4           1985</t>
        </is>
      </c>
      <c r="D1368" t="inlineStr">
        <is>
          <t>The illustrated history of the Vietnam War / Brian Beckett.</t>
        </is>
      </c>
      <c r="F1368" t="inlineStr">
        <is>
          <t>No</t>
        </is>
      </c>
      <c r="G1368" t="inlineStr">
        <is>
          <t>1</t>
        </is>
      </c>
      <c r="H1368" t="inlineStr">
        <is>
          <t>No</t>
        </is>
      </c>
      <c r="I1368" t="inlineStr">
        <is>
          <t>No</t>
        </is>
      </c>
      <c r="J1368" t="inlineStr">
        <is>
          <t>0</t>
        </is>
      </c>
      <c r="K1368" t="inlineStr">
        <is>
          <t>Beckett, Brian, 19-</t>
        </is>
      </c>
      <c r="L1368" t="inlineStr">
        <is>
          <t>Poole : Blandford, 1985.</t>
        </is>
      </c>
      <c r="M1368" t="inlineStr">
        <is>
          <t>1985</t>
        </is>
      </c>
      <c r="O1368" t="inlineStr">
        <is>
          <t>eng</t>
        </is>
      </c>
      <c r="P1368" t="inlineStr">
        <is>
          <t>enk</t>
        </is>
      </c>
      <c r="R1368" t="inlineStr">
        <is>
          <t xml:space="preserve">DS </t>
        </is>
      </c>
      <c r="S1368" t="n">
        <v>19</v>
      </c>
      <c r="T1368" t="n">
        <v>19</v>
      </c>
      <c r="U1368" t="inlineStr">
        <is>
          <t>2007-03-18</t>
        </is>
      </c>
      <c r="V1368" t="inlineStr">
        <is>
          <t>2007-03-18</t>
        </is>
      </c>
      <c r="W1368" t="inlineStr">
        <is>
          <t>1990-05-08</t>
        </is>
      </c>
      <c r="X1368" t="inlineStr">
        <is>
          <t>1990-05-08</t>
        </is>
      </c>
      <c r="Y1368" t="n">
        <v>122</v>
      </c>
      <c r="Z1368" t="n">
        <v>70</v>
      </c>
      <c r="AA1368" t="n">
        <v>408</v>
      </c>
      <c r="AB1368" t="n">
        <v>2</v>
      </c>
      <c r="AC1368" t="n">
        <v>7</v>
      </c>
      <c r="AD1368" t="n">
        <v>2</v>
      </c>
      <c r="AE1368" t="n">
        <v>6</v>
      </c>
      <c r="AF1368" t="n">
        <v>0</v>
      </c>
      <c r="AG1368" t="n">
        <v>2</v>
      </c>
      <c r="AH1368" t="n">
        <v>0</v>
      </c>
      <c r="AI1368" t="n">
        <v>1</v>
      </c>
      <c r="AJ1368" t="n">
        <v>1</v>
      </c>
      <c r="AK1368" t="n">
        <v>2</v>
      </c>
      <c r="AL1368" t="n">
        <v>1</v>
      </c>
      <c r="AM1368" t="n">
        <v>2</v>
      </c>
      <c r="AN1368" t="n">
        <v>0</v>
      </c>
      <c r="AO1368" t="n">
        <v>0</v>
      </c>
      <c r="AP1368" t="inlineStr">
        <is>
          <t>No</t>
        </is>
      </c>
      <c r="AQ1368" t="inlineStr">
        <is>
          <t>Yes</t>
        </is>
      </c>
      <c r="AR1368">
        <f>HYPERLINK("http://catalog.hathitrust.org/Record/000385600","HathiTrust Record")</f>
        <v/>
      </c>
      <c r="AS1368">
        <f>HYPERLINK("https://creighton-primo.hosted.exlibrisgroup.com/primo-explore/search?tab=default_tab&amp;search_scope=EVERYTHING&amp;vid=01CRU&amp;lang=en_US&amp;offset=0&amp;query=any,contains,991000697819702656","Catalog Record")</f>
        <v/>
      </c>
      <c r="AT1368">
        <f>HYPERLINK("http://www.worldcat.org/oclc/14932853","WorldCat Record")</f>
        <v/>
      </c>
      <c r="AU1368" t="inlineStr">
        <is>
          <t>3943304534:eng</t>
        </is>
      </c>
      <c r="AV1368" t="inlineStr">
        <is>
          <t>14932853</t>
        </is>
      </c>
      <c r="AW1368" t="inlineStr">
        <is>
          <t>991000697819702656</t>
        </is>
      </c>
      <c r="AX1368" t="inlineStr">
        <is>
          <t>991000697819702656</t>
        </is>
      </c>
      <c r="AY1368" t="inlineStr">
        <is>
          <t>2258336540002656</t>
        </is>
      </c>
      <c r="AZ1368" t="inlineStr">
        <is>
          <t>BOOK</t>
        </is>
      </c>
      <c r="BB1368" t="inlineStr">
        <is>
          <t>9780713717907</t>
        </is>
      </c>
      <c r="BC1368" t="inlineStr">
        <is>
          <t>32285000150671</t>
        </is>
      </c>
      <c r="BD1368" t="inlineStr">
        <is>
          <t>893790777</t>
        </is>
      </c>
    </row>
    <row r="1369">
      <c r="A1369" t="inlineStr">
        <is>
          <t>No</t>
        </is>
      </c>
      <c r="B1369" t="inlineStr">
        <is>
          <t>DS557.7 .D677 1985</t>
        </is>
      </c>
      <c r="C1369" t="inlineStr">
        <is>
          <t>0                      DS 0557700D  677         1985</t>
        </is>
      </c>
      <c r="D1369" t="inlineStr">
        <is>
          <t>The fall of the South / by Clark Dougan, David Fulghum, and the editors of Boston Publishing Company.</t>
        </is>
      </c>
      <c r="F1369" t="inlineStr">
        <is>
          <t>No</t>
        </is>
      </c>
      <c r="G1369" t="inlineStr">
        <is>
          <t>1</t>
        </is>
      </c>
      <c r="H1369" t="inlineStr">
        <is>
          <t>No</t>
        </is>
      </c>
      <c r="I1369" t="inlineStr">
        <is>
          <t>No</t>
        </is>
      </c>
      <c r="J1369" t="inlineStr">
        <is>
          <t>0</t>
        </is>
      </c>
      <c r="K1369" t="inlineStr">
        <is>
          <t>Dougan, Clark.</t>
        </is>
      </c>
      <c r="L1369" t="inlineStr">
        <is>
          <t>Boston, MA : Boston Pub. Co., c1985.</t>
        </is>
      </c>
      <c r="M1369" t="inlineStr">
        <is>
          <t>1985</t>
        </is>
      </c>
      <c r="O1369" t="inlineStr">
        <is>
          <t>eng</t>
        </is>
      </c>
      <c r="P1369" t="inlineStr">
        <is>
          <t>mau</t>
        </is>
      </c>
      <c r="Q1369" t="inlineStr">
        <is>
          <t>The Vietnam experience</t>
        </is>
      </c>
      <c r="R1369" t="inlineStr">
        <is>
          <t xml:space="preserve">DS </t>
        </is>
      </c>
      <c r="S1369" t="n">
        <v>3</v>
      </c>
      <c r="T1369" t="n">
        <v>3</v>
      </c>
      <c r="U1369" t="inlineStr">
        <is>
          <t>1992-10-28</t>
        </is>
      </c>
      <c r="V1369" t="inlineStr">
        <is>
          <t>1992-10-28</t>
        </is>
      </c>
      <c r="W1369" t="inlineStr">
        <is>
          <t>1990-02-21</t>
        </is>
      </c>
      <c r="X1369" t="inlineStr">
        <is>
          <t>1990-02-21</t>
        </is>
      </c>
      <c r="Y1369" t="n">
        <v>1501</v>
      </c>
      <c r="Z1369" t="n">
        <v>1429</v>
      </c>
      <c r="AA1369" t="n">
        <v>1444</v>
      </c>
      <c r="AB1369" t="n">
        <v>13</v>
      </c>
      <c r="AC1369" t="n">
        <v>13</v>
      </c>
      <c r="AD1369" t="n">
        <v>19</v>
      </c>
      <c r="AE1369" t="n">
        <v>21</v>
      </c>
      <c r="AF1369" t="n">
        <v>6</v>
      </c>
      <c r="AG1369" t="n">
        <v>7</v>
      </c>
      <c r="AH1369" t="n">
        <v>5</v>
      </c>
      <c r="AI1369" t="n">
        <v>6</v>
      </c>
      <c r="AJ1369" t="n">
        <v>11</v>
      </c>
      <c r="AK1369" t="n">
        <v>11</v>
      </c>
      <c r="AL1369" t="n">
        <v>2</v>
      </c>
      <c r="AM1369" t="n">
        <v>2</v>
      </c>
      <c r="AN1369" t="n">
        <v>0</v>
      </c>
      <c r="AO1369" t="n">
        <v>0</v>
      </c>
      <c r="AP1369" t="inlineStr">
        <is>
          <t>No</t>
        </is>
      </c>
      <c r="AQ1369" t="inlineStr">
        <is>
          <t>Yes</t>
        </is>
      </c>
      <c r="AR1369">
        <f>HYPERLINK("http://catalog.hathitrust.org/Record/000590727","HathiTrust Record")</f>
        <v/>
      </c>
      <c r="AS1369">
        <f>HYPERLINK("https://creighton-primo.hosted.exlibrisgroup.com/primo-explore/search?tab=default_tab&amp;search_scope=EVERYTHING&amp;vid=01CRU&amp;lang=en_US&amp;offset=0&amp;query=any,contains,991000715209702656","Catalog Record")</f>
        <v/>
      </c>
      <c r="AT1369">
        <f>HYPERLINK("http://www.worldcat.org/oclc/12617949","WorldCat Record")</f>
        <v/>
      </c>
      <c r="AU1369" t="inlineStr">
        <is>
          <t>5120120:eng</t>
        </is>
      </c>
      <c r="AV1369" t="inlineStr">
        <is>
          <t>12617949</t>
        </is>
      </c>
      <c r="AW1369" t="inlineStr">
        <is>
          <t>991000715209702656</t>
        </is>
      </c>
      <c r="AX1369" t="inlineStr">
        <is>
          <t>991000715209702656</t>
        </is>
      </c>
      <c r="AY1369" t="inlineStr">
        <is>
          <t>2262230130002656</t>
        </is>
      </c>
      <c r="AZ1369" t="inlineStr">
        <is>
          <t>BOOK</t>
        </is>
      </c>
      <c r="BB1369" t="inlineStr">
        <is>
          <t>9780939526161</t>
        </is>
      </c>
      <c r="BC1369" t="inlineStr">
        <is>
          <t>32285000058346</t>
        </is>
      </c>
      <c r="BD1369" t="inlineStr">
        <is>
          <t>893419715</t>
        </is>
      </c>
    </row>
    <row r="1370">
      <c r="A1370" t="inlineStr">
        <is>
          <t>No</t>
        </is>
      </c>
      <c r="B1370" t="inlineStr">
        <is>
          <t>DS557.7 .D68 1983</t>
        </is>
      </c>
      <c r="C1370" t="inlineStr">
        <is>
          <t>0                      DS 0557700D  68          1983</t>
        </is>
      </c>
      <c r="D1370" t="inlineStr">
        <is>
          <t>Nineteen sixty-eight / by Clark Dougan, Stephen Weiss, and the editors of Boston Publishing Company.</t>
        </is>
      </c>
      <c r="F1370" t="inlineStr">
        <is>
          <t>No</t>
        </is>
      </c>
      <c r="G1370" t="inlineStr">
        <is>
          <t>1</t>
        </is>
      </c>
      <c r="H1370" t="inlineStr">
        <is>
          <t>No</t>
        </is>
      </c>
      <c r="I1370" t="inlineStr">
        <is>
          <t>No</t>
        </is>
      </c>
      <c r="J1370" t="inlineStr">
        <is>
          <t>0</t>
        </is>
      </c>
      <c r="K1370" t="inlineStr">
        <is>
          <t>Dougan, Clark.</t>
        </is>
      </c>
      <c r="L1370" t="inlineStr">
        <is>
          <t>Boston, MA : Boston Pub. Co., c1983.</t>
        </is>
      </c>
      <c r="M1370" t="inlineStr">
        <is>
          <t>1983</t>
        </is>
      </c>
      <c r="O1370" t="inlineStr">
        <is>
          <t>eng</t>
        </is>
      </c>
      <c r="P1370" t="inlineStr">
        <is>
          <t>mau</t>
        </is>
      </c>
      <c r="Q1370" t="inlineStr">
        <is>
          <t>The Vietnam experience</t>
        </is>
      </c>
      <c r="R1370" t="inlineStr">
        <is>
          <t xml:space="preserve">DS </t>
        </is>
      </c>
      <c r="S1370" t="n">
        <v>7</v>
      </c>
      <c r="T1370" t="n">
        <v>7</v>
      </c>
      <c r="U1370" t="inlineStr">
        <is>
          <t>1998-03-03</t>
        </is>
      </c>
      <c r="V1370" t="inlineStr">
        <is>
          <t>1998-03-03</t>
        </is>
      </c>
      <c r="W1370" t="inlineStr">
        <is>
          <t>1990-03-12</t>
        </is>
      </c>
      <c r="X1370" t="inlineStr">
        <is>
          <t>1990-03-12</t>
        </is>
      </c>
      <c r="Y1370" t="n">
        <v>1813</v>
      </c>
      <c r="Z1370" t="n">
        <v>1719</v>
      </c>
      <c r="AA1370" t="n">
        <v>1734</v>
      </c>
      <c r="AB1370" t="n">
        <v>17</v>
      </c>
      <c r="AC1370" t="n">
        <v>17</v>
      </c>
      <c r="AD1370" t="n">
        <v>27</v>
      </c>
      <c r="AE1370" t="n">
        <v>29</v>
      </c>
      <c r="AF1370" t="n">
        <v>12</v>
      </c>
      <c r="AG1370" t="n">
        <v>13</v>
      </c>
      <c r="AH1370" t="n">
        <v>7</v>
      </c>
      <c r="AI1370" t="n">
        <v>8</v>
      </c>
      <c r="AJ1370" t="n">
        <v>14</v>
      </c>
      <c r="AK1370" t="n">
        <v>14</v>
      </c>
      <c r="AL1370" t="n">
        <v>2</v>
      </c>
      <c r="AM1370" t="n">
        <v>2</v>
      </c>
      <c r="AN1370" t="n">
        <v>0</v>
      </c>
      <c r="AO1370" t="n">
        <v>0</v>
      </c>
      <c r="AP1370" t="inlineStr">
        <is>
          <t>No</t>
        </is>
      </c>
      <c r="AQ1370" t="inlineStr">
        <is>
          <t>Yes</t>
        </is>
      </c>
      <c r="AR1370">
        <f>HYPERLINK("http://catalog.hathitrust.org/Record/000202152","HathiTrust Record")</f>
        <v/>
      </c>
      <c r="AS1370">
        <f>HYPERLINK("https://creighton-primo.hosted.exlibrisgroup.com/primo-explore/search?tab=default_tab&amp;search_scope=EVERYTHING&amp;vid=01CRU&amp;lang=en_US&amp;offset=0&amp;query=any,contains,991000278659702656","Catalog Record")</f>
        <v/>
      </c>
      <c r="AT1370">
        <f>HYPERLINK("http://www.worldcat.org/oclc/9905799","WorldCat Record")</f>
        <v/>
      </c>
      <c r="AU1370" t="inlineStr">
        <is>
          <t>5624202309:eng</t>
        </is>
      </c>
      <c r="AV1370" t="inlineStr">
        <is>
          <t>9905799</t>
        </is>
      </c>
      <c r="AW1370" t="inlineStr">
        <is>
          <t>991000278659702656</t>
        </is>
      </c>
      <c r="AX1370" t="inlineStr">
        <is>
          <t>991000278659702656</t>
        </is>
      </c>
      <c r="AY1370" t="inlineStr">
        <is>
          <t>2266541360002656</t>
        </is>
      </c>
      <c r="AZ1370" t="inlineStr">
        <is>
          <t>BOOK</t>
        </is>
      </c>
      <c r="BB1370" t="inlineStr">
        <is>
          <t>9780939526062</t>
        </is>
      </c>
      <c r="BC1370" t="inlineStr">
        <is>
          <t>32285000079201</t>
        </is>
      </c>
      <c r="BD1370" t="inlineStr">
        <is>
          <t>893802655</t>
        </is>
      </c>
    </row>
    <row r="1371">
      <c r="A1371" t="inlineStr">
        <is>
          <t>No</t>
        </is>
      </c>
      <c r="B1371" t="inlineStr">
        <is>
          <t>DS557.7 .E474 2004</t>
        </is>
      </c>
      <c r="C1371" t="inlineStr">
        <is>
          <t>0                      DS 0557700E  474         2004</t>
        </is>
      </c>
      <c r="D1371" t="inlineStr">
        <is>
          <t>Britain, America, and the Vietnam War / Sylvia Ellis.</t>
        </is>
      </c>
      <c r="F1371" t="inlineStr">
        <is>
          <t>No</t>
        </is>
      </c>
      <c r="G1371" t="inlineStr">
        <is>
          <t>1</t>
        </is>
      </c>
      <c r="H1371" t="inlineStr">
        <is>
          <t>No</t>
        </is>
      </c>
      <c r="I1371" t="inlineStr">
        <is>
          <t>No</t>
        </is>
      </c>
      <c r="J1371" t="inlineStr">
        <is>
          <t>0</t>
        </is>
      </c>
      <c r="K1371" t="inlineStr">
        <is>
          <t>Ellis, Sylvia.</t>
        </is>
      </c>
      <c r="L1371" t="inlineStr">
        <is>
          <t>Westport, Conn. : Praeger, 2004.</t>
        </is>
      </c>
      <c r="M1371" t="inlineStr">
        <is>
          <t>2004</t>
        </is>
      </c>
      <c r="O1371" t="inlineStr">
        <is>
          <t>eng</t>
        </is>
      </c>
      <c r="P1371" t="inlineStr">
        <is>
          <t>ctu</t>
        </is>
      </c>
      <c r="Q1371" t="inlineStr">
        <is>
          <t>International history</t>
        </is>
      </c>
      <c r="R1371" t="inlineStr">
        <is>
          <t xml:space="preserve">DS </t>
        </is>
      </c>
      <c r="S1371" t="n">
        <v>2</v>
      </c>
      <c r="T1371" t="n">
        <v>2</v>
      </c>
      <c r="U1371" t="inlineStr">
        <is>
          <t>2007-04-11</t>
        </is>
      </c>
      <c r="V1371" t="inlineStr">
        <is>
          <t>2007-04-11</t>
        </is>
      </c>
      <c r="W1371" t="inlineStr">
        <is>
          <t>2007-03-26</t>
        </is>
      </c>
      <c r="X1371" t="inlineStr">
        <is>
          <t>2007-03-26</t>
        </is>
      </c>
      <c r="Y1371" t="n">
        <v>400</v>
      </c>
      <c r="Z1371" t="n">
        <v>333</v>
      </c>
      <c r="AA1371" t="n">
        <v>365</v>
      </c>
      <c r="AB1371" t="n">
        <v>3</v>
      </c>
      <c r="AC1371" t="n">
        <v>3</v>
      </c>
      <c r="AD1371" t="n">
        <v>23</v>
      </c>
      <c r="AE1371" t="n">
        <v>23</v>
      </c>
      <c r="AF1371" t="n">
        <v>11</v>
      </c>
      <c r="AG1371" t="n">
        <v>11</v>
      </c>
      <c r="AH1371" t="n">
        <v>6</v>
      </c>
      <c r="AI1371" t="n">
        <v>6</v>
      </c>
      <c r="AJ1371" t="n">
        <v>11</v>
      </c>
      <c r="AK1371" t="n">
        <v>11</v>
      </c>
      <c r="AL1371" t="n">
        <v>2</v>
      </c>
      <c r="AM1371" t="n">
        <v>2</v>
      </c>
      <c r="AN1371" t="n">
        <v>0</v>
      </c>
      <c r="AO1371" t="n">
        <v>0</v>
      </c>
      <c r="AP1371" t="inlineStr">
        <is>
          <t>No</t>
        </is>
      </c>
      <c r="AQ1371" t="inlineStr">
        <is>
          <t>Yes</t>
        </is>
      </c>
      <c r="AR1371">
        <f>HYPERLINK("http://catalog.hathitrust.org/Record/004730319","HathiTrust Record")</f>
        <v/>
      </c>
      <c r="AS1371">
        <f>HYPERLINK("https://creighton-primo.hosted.exlibrisgroup.com/primo-explore/search?tab=default_tab&amp;search_scope=EVERYTHING&amp;vid=01CRU&amp;lang=en_US&amp;offset=0&amp;query=any,contains,991005053919702656","Catalog Record")</f>
        <v/>
      </c>
      <c r="AT1371">
        <f>HYPERLINK("http://www.worldcat.org/oclc/54007119","WorldCat Record")</f>
        <v/>
      </c>
      <c r="AU1371" t="inlineStr">
        <is>
          <t>995764:eng</t>
        </is>
      </c>
      <c r="AV1371" t="inlineStr">
        <is>
          <t>54007119</t>
        </is>
      </c>
      <c r="AW1371" t="inlineStr">
        <is>
          <t>991005053919702656</t>
        </is>
      </c>
      <c r="AX1371" t="inlineStr">
        <is>
          <t>991005053919702656</t>
        </is>
      </c>
      <c r="AY1371" t="inlineStr">
        <is>
          <t>2269739140002656</t>
        </is>
      </c>
      <c r="AZ1371" t="inlineStr">
        <is>
          <t>BOOK</t>
        </is>
      </c>
      <c r="BB1371" t="inlineStr">
        <is>
          <t>9780275973810</t>
        </is>
      </c>
      <c r="BC1371" t="inlineStr">
        <is>
          <t>32285005282875</t>
        </is>
      </c>
      <c r="BD1371" t="inlineStr">
        <is>
          <t>893507534</t>
        </is>
      </c>
    </row>
    <row r="1372">
      <c r="A1372" t="inlineStr">
        <is>
          <t>No</t>
        </is>
      </c>
      <c r="B1372" t="inlineStr">
        <is>
          <t>DS557.7 .E49 1988</t>
        </is>
      </c>
      <c r="C1372" t="inlineStr">
        <is>
          <t>0                      DS 0557700E  49          1988</t>
        </is>
      </c>
      <c r="D1372" t="inlineStr">
        <is>
          <t>Women war correspondents in the Vietnam War, 1961-1975 / by Virginia Elwood-Akers.</t>
        </is>
      </c>
      <c r="F1372" t="inlineStr">
        <is>
          <t>No</t>
        </is>
      </c>
      <c r="G1372" t="inlineStr">
        <is>
          <t>1</t>
        </is>
      </c>
      <c r="H1372" t="inlineStr">
        <is>
          <t>No</t>
        </is>
      </c>
      <c r="I1372" t="inlineStr">
        <is>
          <t>No</t>
        </is>
      </c>
      <c r="J1372" t="inlineStr">
        <is>
          <t>0</t>
        </is>
      </c>
      <c r="K1372" t="inlineStr">
        <is>
          <t>Elwood-Akers, Virginia, 1938-</t>
        </is>
      </c>
      <c r="L1372" t="inlineStr">
        <is>
          <t>Metuchen, N.J. : Scarecrow Press, 1988.</t>
        </is>
      </c>
      <c r="M1372" t="inlineStr">
        <is>
          <t>1988</t>
        </is>
      </c>
      <c r="O1372" t="inlineStr">
        <is>
          <t>eng</t>
        </is>
      </c>
      <c r="P1372" t="inlineStr">
        <is>
          <t>nju</t>
        </is>
      </c>
      <c r="R1372" t="inlineStr">
        <is>
          <t xml:space="preserve">DS </t>
        </is>
      </c>
      <c r="S1372" t="n">
        <v>11</v>
      </c>
      <c r="T1372" t="n">
        <v>11</v>
      </c>
      <c r="U1372" t="inlineStr">
        <is>
          <t>2010-06-08</t>
        </is>
      </c>
      <c r="V1372" t="inlineStr">
        <is>
          <t>2010-06-08</t>
        </is>
      </c>
      <c r="W1372" t="inlineStr">
        <is>
          <t>1990-02-20</t>
        </is>
      </c>
      <c r="X1372" t="inlineStr">
        <is>
          <t>1990-02-20</t>
        </is>
      </c>
      <c r="Y1372" t="n">
        <v>461</v>
      </c>
      <c r="Z1372" t="n">
        <v>406</v>
      </c>
      <c r="AA1372" t="n">
        <v>406</v>
      </c>
      <c r="AB1372" t="n">
        <v>5</v>
      </c>
      <c r="AC1372" t="n">
        <v>5</v>
      </c>
      <c r="AD1372" t="n">
        <v>24</v>
      </c>
      <c r="AE1372" t="n">
        <v>24</v>
      </c>
      <c r="AF1372" t="n">
        <v>10</v>
      </c>
      <c r="AG1372" t="n">
        <v>10</v>
      </c>
      <c r="AH1372" t="n">
        <v>4</v>
      </c>
      <c r="AI1372" t="n">
        <v>4</v>
      </c>
      <c r="AJ1372" t="n">
        <v>11</v>
      </c>
      <c r="AK1372" t="n">
        <v>11</v>
      </c>
      <c r="AL1372" t="n">
        <v>4</v>
      </c>
      <c r="AM1372" t="n">
        <v>4</v>
      </c>
      <c r="AN1372" t="n">
        <v>0</v>
      </c>
      <c r="AO1372" t="n">
        <v>0</v>
      </c>
      <c r="AP1372" t="inlineStr">
        <is>
          <t>No</t>
        </is>
      </c>
      <c r="AQ1372" t="inlineStr">
        <is>
          <t>No</t>
        </is>
      </c>
      <c r="AS1372">
        <f>HYPERLINK("https://creighton-primo.hosted.exlibrisgroup.com/primo-explore/search?tab=default_tab&amp;search_scope=EVERYTHING&amp;vid=01CRU&amp;lang=en_US&amp;offset=0&amp;query=any,contains,991001114969702656","Catalog Record")</f>
        <v/>
      </c>
      <c r="AT1372">
        <f>HYPERLINK("http://www.worldcat.org/oclc/16525239","WorldCat Record")</f>
        <v/>
      </c>
      <c r="AU1372" t="inlineStr">
        <is>
          <t>12449399:eng</t>
        </is>
      </c>
      <c r="AV1372" t="inlineStr">
        <is>
          <t>16525239</t>
        </is>
      </c>
      <c r="AW1372" t="inlineStr">
        <is>
          <t>991001114969702656</t>
        </is>
      </c>
      <c r="AX1372" t="inlineStr">
        <is>
          <t>991001114969702656</t>
        </is>
      </c>
      <c r="AY1372" t="inlineStr">
        <is>
          <t>2258870440002656</t>
        </is>
      </c>
      <c r="AZ1372" t="inlineStr">
        <is>
          <t>BOOK</t>
        </is>
      </c>
      <c r="BB1372" t="inlineStr">
        <is>
          <t>9780810820333</t>
        </is>
      </c>
      <c r="BC1372" t="inlineStr">
        <is>
          <t>32285000057017</t>
        </is>
      </c>
      <c r="BD1372" t="inlineStr">
        <is>
          <t>893351782</t>
        </is>
      </c>
    </row>
    <row r="1373">
      <c r="A1373" t="inlineStr">
        <is>
          <t>No</t>
        </is>
      </c>
      <c r="B1373" t="inlineStr">
        <is>
          <t>DS557.7 .G46 1985</t>
        </is>
      </c>
      <c r="C1373" t="inlineStr">
        <is>
          <t>0                      DS 0557700G  46          1985</t>
        </is>
      </c>
      <c r="D1373" t="inlineStr">
        <is>
          <t>Vietnam, the secret war / Kevin M. Generous.</t>
        </is>
      </c>
      <c r="F1373" t="inlineStr">
        <is>
          <t>No</t>
        </is>
      </c>
      <c r="G1373" t="inlineStr">
        <is>
          <t>1</t>
        </is>
      </c>
      <c r="H1373" t="inlineStr">
        <is>
          <t>No</t>
        </is>
      </c>
      <c r="I1373" t="inlineStr">
        <is>
          <t>No</t>
        </is>
      </c>
      <c r="J1373" t="inlineStr">
        <is>
          <t>0</t>
        </is>
      </c>
      <c r="K1373" t="inlineStr">
        <is>
          <t>Generous, Kevin M.</t>
        </is>
      </c>
      <c r="L1373" t="inlineStr">
        <is>
          <t>New York : Gallery Books, c1985.</t>
        </is>
      </c>
      <c r="M1373" t="inlineStr">
        <is>
          <t>1985</t>
        </is>
      </c>
      <c r="O1373" t="inlineStr">
        <is>
          <t>eng</t>
        </is>
      </c>
      <c r="P1373" t="inlineStr">
        <is>
          <t>nyu</t>
        </is>
      </c>
      <c r="R1373" t="inlineStr">
        <is>
          <t xml:space="preserve">DS </t>
        </is>
      </c>
      <c r="S1373" t="n">
        <v>6</v>
      </c>
      <c r="T1373" t="n">
        <v>6</v>
      </c>
      <c r="U1373" t="inlineStr">
        <is>
          <t>1999-07-18</t>
        </is>
      </c>
      <c r="V1373" t="inlineStr">
        <is>
          <t>1999-07-18</t>
        </is>
      </c>
      <c r="W1373" t="inlineStr">
        <is>
          <t>1990-03-27</t>
        </is>
      </c>
      <c r="X1373" t="inlineStr">
        <is>
          <t>1990-03-27</t>
        </is>
      </c>
      <c r="Y1373" t="n">
        <v>147</v>
      </c>
      <c r="Z1373" t="n">
        <v>146</v>
      </c>
      <c r="AA1373" t="n">
        <v>182</v>
      </c>
      <c r="AB1373" t="n">
        <v>3</v>
      </c>
      <c r="AC1373" t="n">
        <v>3</v>
      </c>
      <c r="AD1373" t="n">
        <v>2</v>
      </c>
      <c r="AE1373" t="n">
        <v>2</v>
      </c>
      <c r="AF1373" t="n">
        <v>1</v>
      </c>
      <c r="AG1373" t="n">
        <v>1</v>
      </c>
      <c r="AH1373" t="n">
        <v>1</v>
      </c>
      <c r="AI1373" t="n">
        <v>1</v>
      </c>
      <c r="AJ1373" t="n">
        <v>1</v>
      </c>
      <c r="AK1373" t="n">
        <v>1</v>
      </c>
      <c r="AL1373" t="n">
        <v>0</v>
      </c>
      <c r="AM1373" t="n">
        <v>0</v>
      </c>
      <c r="AN1373" t="n">
        <v>0</v>
      </c>
      <c r="AO1373" t="n">
        <v>0</v>
      </c>
      <c r="AP1373" t="inlineStr">
        <is>
          <t>No</t>
        </is>
      </c>
      <c r="AQ1373" t="inlineStr">
        <is>
          <t>No</t>
        </is>
      </c>
      <c r="AS1373">
        <f>HYPERLINK("https://creighton-primo.hosted.exlibrisgroup.com/primo-explore/search?tab=default_tab&amp;search_scope=EVERYTHING&amp;vid=01CRU&amp;lang=en_US&amp;offset=0&amp;query=any,contains,991000735659702656","Catalog Record")</f>
        <v/>
      </c>
      <c r="AT1373">
        <f>HYPERLINK("http://www.worldcat.org/oclc/12769195","WorldCat Record")</f>
        <v/>
      </c>
      <c r="AU1373" t="inlineStr">
        <is>
          <t>5536914:eng</t>
        </is>
      </c>
      <c r="AV1373" t="inlineStr">
        <is>
          <t>12769195</t>
        </is>
      </c>
      <c r="AW1373" t="inlineStr">
        <is>
          <t>991000735659702656</t>
        </is>
      </c>
      <c r="AX1373" t="inlineStr">
        <is>
          <t>991000735659702656</t>
        </is>
      </c>
      <c r="AY1373" t="inlineStr">
        <is>
          <t>2267706170002656</t>
        </is>
      </c>
      <c r="AZ1373" t="inlineStr">
        <is>
          <t>BOOK</t>
        </is>
      </c>
      <c r="BB1373" t="inlineStr">
        <is>
          <t>9780831791735</t>
        </is>
      </c>
      <c r="BC1373" t="inlineStr">
        <is>
          <t>32285000097393</t>
        </is>
      </c>
      <c r="BD1373" t="inlineStr">
        <is>
          <t>893696113</t>
        </is>
      </c>
    </row>
    <row r="1374">
      <c r="A1374" t="inlineStr">
        <is>
          <t>No</t>
        </is>
      </c>
      <c r="B1374" t="inlineStr">
        <is>
          <t>DS557.7 .I48 1986</t>
        </is>
      </c>
      <c r="C1374" t="inlineStr">
        <is>
          <t>0                      DS 0557700I  48          1986</t>
        </is>
      </c>
      <c r="D1374" t="inlineStr">
        <is>
          <t>Images of war / [edited] by Julene Fischer and the picture staff of Boston Publishing Company ; text by Robert Stone.</t>
        </is>
      </c>
      <c r="F1374" t="inlineStr">
        <is>
          <t>No</t>
        </is>
      </c>
      <c r="G1374" t="inlineStr">
        <is>
          <t>1</t>
        </is>
      </c>
      <c r="H1374" t="inlineStr">
        <is>
          <t>No</t>
        </is>
      </c>
      <c r="I1374" t="inlineStr">
        <is>
          <t>No</t>
        </is>
      </c>
      <c r="J1374" t="inlineStr">
        <is>
          <t>0</t>
        </is>
      </c>
      <c r="L1374" t="inlineStr">
        <is>
          <t>Boston, MA : Boston Pub. Co., c1986.</t>
        </is>
      </c>
      <c r="M1374" t="inlineStr">
        <is>
          <t>1986</t>
        </is>
      </c>
      <c r="O1374" t="inlineStr">
        <is>
          <t>eng</t>
        </is>
      </c>
      <c r="P1374" t="inlineStr">
        <is>
          <t>mau</t>
        </is>
      </c>
      <c r="Q1374" t="inlineStr">
        <is>
          <t>The Vietnam experience</t>
        </is>
      </c>
      <c r="R1374" t="inlineStr">
        <is>
          <t xml:space="preserve">DS </t>
        </is>
      </c>
      <c r="S1374" t="n">
        <v>14</v>
      </c>
      <c r="T1374" t="n">
        <v>14</v>
      </c>
      <c r="U1374" t="inlineStr">
        <is>
          <t>2009-12-15</t>
        </is>
      </c>
      <c r="V1374" t="inlineStr">
        <is>
          <t>2009-12-15</t>
        </is>
      </c>
      <c r="W1374" t="inlineStr">
        <is>
          <t>1990-10-10</t>
        </is>
      </c>
      <c r="X1374" t="inlineStr">
        <is>
          <t>1990-10-10</t>
        </is>
      </c>
      <c r="Y1374" t="n">
        <v>1478</v>
      </c>
      <c r="Z1374" t="n">
        <v>1428</v>
      </c>
      <c r="AA1374" t="n">
        <v>1447</v>
      </c>
      <c r="AB1374" t="n">
        <v>14</v>
      </c>
      <c r="AC1374" t="n">
        <v>14</v>
      </c>
      <c r="AD1374" t="n">
        <v>17</v>
      </c>
      <c r="AE1374" t="n">
        <v>19</v>
      </c>
      <c r="AF1374" t="n">
        <v>7</v>
      </c>
      <c r="AG1374" t="n">
        <v>8</v>
      </c>
      <c r="AH1374" t="n">
        <v>3</v>
      </c>
      <c r="AI1374" t="n">
        <v>4</v>
      </c>
      <c r="AJ1374" t="n">
        <v>11</v>
      </c>
      <c r="AK1374" t="n">
        <v>11</v>
      </c>
      <c r="AL1374" t="n">
        <v>2</v>
      </c>
      <c r="AM1374" t="n">
        <v>2</v>
      </c>
      <c r="AN1374" t="n">
        <v>0</v>
      </c>
      <c r="AO1374" t="n">
        <v>0</v>
      </c>
      <c r="AP1374" t="inlineStr">
        <is>
          <t>No</t>
        </is>
      </c>
      <c r="AQ1374" t="inlineStr">
        <is>
          <t>Yes</t>
        </is>
      </c>
      <c r="AR1374">
        <f>HYPERLINK("http://catalog.hathitrust.org/Record/000594244","HathiTrust Record")</f>
        <v/>
      </c>
      <c r="AS1374">
        <f>HYPERLINK("https://creighton-primo.hosted.exlibrisgroup.com/primo-explore/search?tab=default_tab&amp;search_scope=EVERYTHING&amp;vid=01CRU&amp;lang=en_US&amp;offset=0&amp;query=any,contains,991000783099702656","Catalog Record")</f>
        <v/>
      </c>
      <c r="AT1374">
        <f>HYPERLINK("http://www.worldcat.org/oclc/13116967","WorldCat Record")</f>
        <v/>
      </c>
      <c r="AU1374" t="inlineStr">
        <is>
          <t>3943692864:eng</t>
        </is>
      </c>
      <c r="AV1374" t="inlineStr">
        <is>
          <t>13116967</t>
        </is>
      </c>
      <c r="AW1374" t="inlineStr">
        <is>
          <t>991000783099702656</t>
        </is>
      </c>
      <c r="AX1374" t="inlineStr">
        <is>
          <t>991000783099702656</t>
        </is>
      </c>
      <c r="AY1374" t="inlineStr">
        <is>
          <t>2261712480002656</t>
        </is>
      </c>
      <c r="AZ1374" t="inlineStr">
        <is>
          <t>BOOK</t>
        </is>
      </c>
      <c r="BB1374" t="inlineStr">
        <is>
          <t>9780939526185</t>
        </is>
      </c>
      <c r="BC1374" t="inlineStr">
        <is>
          <t>32285000337450</t>
        </is>
      </c>
      <c r="BD1374" t="inlineStr">
        <is>
          <t>893714897</t>
        </is>
      </c>
    </row>
    <row r="1375">
      <c r="A1375" t="inlineStr">
        <is>
          <t>No</t>
        </is>
      </c>
      <c r="B1375" t="inlineStr">
        <is>
          <t>DS557.7 .I82 1983</t>
        </is>
      </c>
      <c r="C1375" t="inlineStr">
        <is>
          <t>0                      DS 0557700I  82          1983</t>
        </is>
      </c>
      <c r="D1375" t="inlineStr">
        <is>
          <t>Without honor : defeat in Vietnam and Cambodia / by Arnold R. Isaacs.</t>
        </is>
      </c>
      <c r="F1375" t="inlineStr">
        <is>
          <t>No</t>
        </is>
      </c>
      <c r="G1375" t="inlineStr">
        <is>
          <t>1</t>
        </is>
      </c>
      <c r="H1375" t="inlineStr">
        <is>
          <t>No</t>
        </is>
      </c>
      <c r="I1375" t="inlineStr">
        <is>
          <t>No</t>
        </is>
      </c>
      <c r="J1375" t="inlineStr">
        <is>
          <t>0</t>
        </is>
      </c>
      <c r="K1375" t="inlineStr">
        <is>
          <t>Isaacs, Arnold R.</t>
        </is>
      </c>
      <c r="L1375" t="inlineStr">
        <is>
          <t>Baltimore : Johns Hopkins University Press, c1983.</t>
        </is>
      </c>
      <c r="M1375" t="inlineStr">
        <is>
          <t>1983</t>
        </is>
      </c>
      <c r="O1375" t="inlineStr">
        <is>
          <t>eng</t>
        </is>
      </c>
      <c r="P1375" t="inlineStr">
        <is>
          <t>mdu</t>
        </is>
      </c>
      <c r="R1375" t="inlineStr">
        <is>
          <t xml:space="preserve">DS </t>
        </is>
      </c>
      <c r="S1375" t="n">
        <v>2</v>
      </c>
      <c r="T1375" t="n">
        <v>2</v>
      </c>
      <c r="U1375" t="inlineStr">
        <is>
          <t>1999-05-03</t>
        </is>
      </c>
      <c r="V1375" t="inlineStr">
        <is>
          <t>1999-05-03</t>
        </is>
      </c>
      <c r="W1375" t="inlineStr">
        <is>
          <t>1990-03-21</t>
        </is>
      </c>
      <c r="X1375" t="inlineStr">
        <is>
          <t>1990-03-21</t>
        </is>
      </c>
      <c r="Y1375" t="n">
        <v>1676</v>
      </c>
      <c r="Z1375" t="n">
        <v>1525</v>
      </c>
      <c r="AA1375" t="n">
        <v>1629</v>
      </c>
      <c r="AB1375" t="n">
        <v>10</v>
      </c>
      <c r="AC1375" t="n">
        <v>11</v>
      </c>
      <c r="AD1375" t="n">
        <v>47</v>
      </c>
      <c r="AE1375" t="n">
        <v>53</v>
      </c>
      <c r="AF1375" t="n">
        <v>20</v>
      </c>
      <c r="AG1375" t="n">
        <v>22</v>
      </c>
      <c r="AH1375" t="n">
        <v>7</v>
      </c>
      <c r="AI1375" t="n">
        <v>10</v>
      </c>
      <c r="AJ1375" t="n">
        <v>22</v>
      </c>
      <c r="AK1375" t="n">
        <v>23</v>
      </c>
      <c r="AL1375" t="n">
        <v>7</v>
      </c>
      <c r="AM1375" t="n">
        <v>8</v>
      </c>
      <c r="AN1375" t="n">
        <v>1</v>
      </c>
      <c r="AO1375" t="n">
        <v>1</v>
      </c>
      <c r="AP1375" t="inlineStr">
        <is>
          <t>No</t>
        </is>
      </c>
      <c r="AQ1375" t="inlineStr">
        <is>
          <t>Yes</t>
        </is>
      </c>
      <c r="AR1375">
        <f>HYPERLINK("http://catalog.hathitrust.org/Record/000316042","HathiTrust Record")</f>
        <v/>
      </c>
      <c r="AS1375">
        <f>HYPERLINK("https://creighton-primo.hosted.exlibrisgroup.com/primo-explore/search?tab=default_tab&amp;search_scope=EVERYTHING&amp;vid=01CRU&amp;lang=en_US&amp;offset=0&amp;query=any,contains,991000215739702656","Catalog Record")</f>
        <v/>
      </c>
      <c r="AT1375">
        <f>HYPERLINK("http://www.worldcat.org/oclc/9557629","WorldCat Record")</f>
        <v/>
      </c>
      <c r="AU1375" t="inlineStr">
        <is>
          <t>2909824:eng</t>
        </is>
      </c>
      <c r="AV1375" t="inlineStr">
        <is>
          <t>9557629</t>
        </is>
      </c>
      <c r="AW1375" t="inlineStr">
        <is>
          <t>991000215739702656</t>
        </is>
      </c>
      <c r="AX1375" t="inlineStr">
        <is>
          <t>991000215739702656</t>
        </is>
      </c>
      <c r="AY1375" t="inlineStr">
        <is>
          <t>2266882620002656</t>
        </is>
      </c>
      <c r="AZ1375" t="inlineStr">
        <is>
          <t>BOOK</t>
        </is>
      </c>
      <c r="BB1375" t="inlineStr">
        <is>
          <t>9780801830600</t>
        </is>
      </c>
      <c r="BC1375" t="inlineStr">
        <is>
          <t>32285000089440</t>
        </is>
      </c>
      <c r="BD1375" t="inlineStr">
        <is>
          <t>893515115</t>
        </is>
      </c>
    </row>
    <row r="1376">
      <c r="A1376" t="inlineStr">
        <is>
          <t>No</t>
        </is>
      </c>
      <c r="B1376" t="inlineStr">
        <is>
          <t>DS557.7 .J67 2003</t>
        </is>
      </c>
      <c r="C1376" t="inlineStr">
        <is>
          <t>0                      DS 0557700J  67          2003</t>
        </is>
      </c>
      <c r="D1376" t="inlineStr">
        <is>
          <t>Death of a generation : how the assassinations of Diem and JFK prolonged the Vietnam War / Howard Jones.</t>
        </is>
      </c>
      <c r="F1376" t="inlineStr">
        <is>
          <t>No</t>
        </is>
      </c>
      <c r="G1376" t="inlineStr">
        <is>
          <t>1</t>
        </is>
      </c>
      <c r="H1376" t="inlineStr">
        <is>
          <t>No</t>
        </is>
      </c>
      <c r="I1376" t="inlineStr">
        <is>
          <t>No</t>
        </is>
      </c>
      <c r="J1376" t="inlineStr">
        <is>
          <t>0</t>
        </is>
      </c>
      <c r="K1376" t="inlineStr">
        <is>
          <t>Jones, Howard, 1940-</t>
        </is>
      </c>
      <c r="L1376" t="inlineStr">
        <is>
          <t>Oxford ; New York : Oxford University Press, 2003.</t>
        </is>
      </c>
      <c r="M1376" t="inlineStr">
        <is>
          <t>2003</t>
        </is>
      </c>
      <c r="O1376" t="inlineStr">
        <is>
          <t>eng</t>
        </is>
      </c>
      <c r="P1376" t="inlineStr">
        <is>
          <t>enk</t>
        </is>
      </c>
      <c r="R1376" t="inlineStr">
        <is>
          <t xml:space="preserve">DS </t>
        </is>
      </c>
      <c r="S1376" t="n">
        <v>2</v>
      </c>
      <c r="T1376" t="n">
        <v>2</v>
      </c>
      <c r="U1376" t="inlineStr">
        <is>
          <t>2005-04-20</t>
        </is>
      </c>
      <c r="V1376" t="inlineStr">
        <is>
          <t>2005-04-20</t>
        </is>
      </c>
      <c r="W1376" t="inlineStr">
        <is>
          <t>2005-03-30</t>
        </is>
      </c>
      <c r="X1376" t="inlineStr">
        <is>
          <t>2005-03-30</t>
        </is>
      </c>
      <c r="Y1376" t="n">
        <v>1047</v>
      </c>
      <c r="Z1376" t="n">
        <v>941</v>
      </c>
      <c r="AA1376" t="n">
        <v>1699</v>
      </c>
      <c r="AB1376" t="n">
        <v>6</v>
      </c>
      <c r="AC1376" t="n">
        <v>33</v>
      </c>
      <c r="AD1376" t="n">
        <v>42</v>
      </c>
      <c r="AE1376" t="n">
        <v>57</v>
      </c>
      <c r="AF1376" t="n">
        <v>22</v>
      </c>
      <c r="AG1376" t="n">
        <v>23</v>
      </c>
      <c r="AH1376" t="n">
        <v>9</v>
      </c>
      <c r="AI1376" t="n">
        <v>10</v>
      </c>
      <c r="AJ1376" t="n">
        <v>17</v>
      </c>
      <c r="AK1376" t="n">
        <v>21</v>
      </c>
      <c r="AL1376" t="n">
        <v>4</v>
      </c>
      <c r="AM1376" t="n">
        <v>13</v>
      </c>
      <c r="AN1376" t="n">
        <v>0</v>
      </c>
      <c r="AO1376" t="n">
        <v>1</v>
      </c>
      <c r="AP1376" t="inlineStr">
        <is>
          <t>No</t>
        </is>
      </c>
      <c r="AQ1376" t="inlineStr">
        <is>
          <t>No</t>
        </is>
      </c>
      <c r="AS1376">
        <f>HYPERLINK("https://creighton-primo.hosted.exlibrisgroup.com/primo-explore/search?tab=default_tab&amp;search_scope=EVERYTHING&amp;vid=01CRU&amp;lang=en_US&amp;offset=0&amp;query=any,contains,991004501889702656","Catalog Record")</f>
        <v/>
      </c>
      <c r="AT1376">
        <f>HYPERLINK("http://www.worldcat.org/oclc/50630482","WorldCat Record")</f>
        <v/>
      </c>
      <c r="AU1376" t="inlineStr">
        <is>
          <t>795534772:eng</t>
        </is>
      </c>
      <c r="AV1376" t="inlineStr">
        <is>
          <t>50630482</t>
        </is>
      </c>
      <c r="AW1376" t="inlineStr">
        <is>
          <t>991004501889702656</t>
        </is>
      </c>
      <c r="AX1376" t="inlineStr">
        <is>
          <t>991004501889702656</t>
        </is>
      </c>
      <c r="AY1376" t="inlineStr">
        <is>
          <t>2259157030002656</t>
        </is>
      </c>
      <c r="AZ1376" t="inlineStr">
        <is>
          <t>BOOK</t>
        </is>
      </c>
      <c r="BB1376" t="inlineStr">
        <is>
          <t>9780195052862</t>
        </is>
      </c>
      <c r="BC1376" t="inlineStr">
        <is>
          <t>32285005045868</t>
        </is>
      </c>
      <c r="BD1376" t="inlineStr">
        <is>
          <t>893500654</t>
        </is>
      </c>
    </row>
    <row r="1377">
      <c r="A1377" t="inlineStr">
        <is>
          <t>No</t>
        </is>
      </c>
      <c r="B1377" t="inlineStr">
        <is>
          <t>DS557.7 .L376 2002</t>
        </is>
      </c>
      <c r="C1377" t="inlineStr">
        <is>
          <t>0                      DS 0557700L  376         2002</t>
        </is>
      </c>
      <c r="D1377" t="inlineStr">
        <is>
          <t>The cat from Hué : a Vietnam war story / John Laurence.</t>
        </is>
      </c>
      <c r="F1377" t="inlineStr">
        <is>
          <t>No</t>
        </is>
      </c>
      <c r="G1377" t="inlineStr">
        <is>
          <t>1</t>
        </is>
      </c>
      <c r="H1377" t="inlineStr">
        <is>
          <t>No</t>
        </is>
      </c>
      <c r="I1377" t="inlineStr">
        <is>
          <t>No</t>
        </is>
      </c>
      <c r="J1377" t="inlineStr">
        <is>
          <t>0</t>
        </is>
      </c>
      <c r="K1377" t="inlineStr">
        <is>
          <t>Laurence, John.</t>
        </is>
      </c>
      <c r="L1377" t="inlineStr">
        <is>
          <t>New York : PublicAffairs, c2002.</t>
        </is>
      </c>
      <c r="M1377" t="inlineStr">
        <is>
          <t>2002</t>
        </is>
      </c>
      <c r="O1377" t="inlineStr">
        <is>
          <t>eng</t>
        </is>
      </c>
      <c r="P1377" t="inlineStr">
        <is>
          <t>nyu</t>
        </is>
      </c>
      <c r="R1377" t="inlineStr">
        <is>
          <t xml:space="preserve">DS </t>
        </is>
      </c>
      <c r="S1377" t="n">
        <v>9</v>
      </c>
      <c r="T1377" t="n">
        <v>9</v>
      </c>
      <c r="U1377" t="inlineStr">
        <is>
          <t>2003-02-04</t>
        </is>
      </c>
      <c r="V1377" t="inlineStr">
        <is>
          <t>2003-02-04</t>
        </is>
      </c>
      <c r="W1377" t="inlineStr">
        <is>
          <t>2002-07-10</t>
        </is>
      </c>
      <c r="X1377" t="inlineStr">
        <is>
          <t>2002-07-10</t>
        </is>
      </c>
      <c r="Y1377" t="n">
        <v>1008</v>
      </c>
      <c r="Z1377" t="n">
        <v>948</v>
      </c>
      <c r="AA1377" t="n">
        <v>1021</v>
      </c>
      <c r="AB1377" t="n">
        <v>6</v>
      </c>
      <c r="AC1377" t="n">
        <v>6</v>
      </c>
      <c r="AD1377" t="n">
        <v>30</v>
      </c>
      <c r="AE1377" t="n">
        <v>30</v>
      </c>
      <c r="AF1377" t="n">
        <v>14</v>
      </c>
      <c r="AG1377" t="n">
        <v>14</v>
      </c>
      <c r="AH1377" t="n">
        <v>6</v>
      </c>
      <c r="AI1377" t="n">
        <v>6</v>
      </c>
      <c r="AJ1377" t="n">
        <v>13</v>
      </c>
      <c r="AK1377" t="n">
        <v>13</v>
      </c>
      <c r="AL1377" t="n">
        <v>5</v>
      </c>
      <c r="AM1377" t="n">
        <v>5</v>
      </c>
      <c r="AN1377" t="n">
        <v>0</v>
      </c>
      <c r="AO1377" t="n">
        <v>0</v>
      </c>
      <c r="AP1377" t="inlineStr">
        <is>
          <t>No</t>
        </is>
      </c>
      <c r="AQ1377" t="inlineStr">
        <is>
          <t>Yes</t>
        </is>
      </c>
      <c r="AR1377">
        <f>HYPERLINK("http://catalog.hathitrust.org/Record/004219270","HathiTrust Record")</f>
        <v/>
      </c>
      <c r="AS1377">
        <f>HYPERLINK("https://creighton-primo.hosted.exlibrisgroup.com/primo-explore/search?tab=default_tab&amp;search_scope=EVERYTHING&amp;vid=01CRU&amp;lang=en_US&amp;offset=0&amp;query=any,contains,991003822269702656","Catalog Record")</f>
        <v/>
      </c>
      <c r="AT1377">
        <f>HYPERLINK("http://www.worldcat.org/oclc/45909179","WorldCat Record")</f>
        <v/>
      </c>
      <c r="AU1377" t="inlineStr">
        <is>
          <t>57328:eng</t>
        </is>
      </c>
      <c r="AV1377" t="inlineStr">
        <is>
          <t>45909179</t>
        </is>
      </c>
      <c r="AW1377" t="inlineStr">
        <is>
          <t>991003822269702656</t>
        </is>
      </c>
      <c r="AX1377" t="inlineStr">
        <is>
          <t>991003822269702656</t>
        </is>
      </c>
      <c r="AY1377" t="inlineStr">
        <is>
          <t>2267881230002656</t>
        </is>
      </c>
      <c r="AZ1377" t="inlineStr">
        <is>
          <t>BOOK</t>
        </is>
      </c>
      <c r="BB1377" t="inlineStr">
        <is>
          <t>9781891620317</t>
        </is>
      </c>
      <c r="BC1377" t="inlineStr">
        <is>
          <t>32285004497243</t>
        </is>
      </c>
      <c r="BD1377" t="inlineStr">
        <is>
          <t>893518904</t>
        </is>
      </c>
    </row>
    <row r="1378">
      <c r="A1378" t="inlineStr">
        <is>
          <t>No</t>
        </is>
      </c>
      <c r="B1378" t="inlineStr">
        <is>
          <t>DS557.7 .L559 1985</t>
        </is>
      </c>
      <c r="C1378" t="inlineStr">
        <is>
          <t>0                      DS 0557700L  559         1985</t>
        </is>
      </c>
      <c r="D1378" t="inlineStr">
        <is>
          <t>The false peace, 1972-1974 / by Samuel Lipsman, Stephen Weiss, and the editors of Boston Publishing Company.</t>
        </is>
      </c>
      <c r="F1378" t="inlineStr">
        <is>
          <t>No</t>
        </is>
      </c>
      <c r="G1378" t="inlineStr">
        <is>
          <t>1</t>
        </is>
      </c>
      <c r="H1378" t="inlineStr">
        <is>
          <t>No</t>
        </is>
      </c>
      <c r="I1378" t="inlineStr">
        <is>
          <t>No</t>
        </is>
      </c>
      <c r="J1378" t="inlineStr">
        <is>
          <t>0</t>
        </is>
      </c>
      <c r="K1378" t="inlineStr">
        <is>
          <t>Lipsman, Samuel.</t>
        </is>
      </c>
      <c r="L1378" t="inlineStr">
        <is>
          <t>Boston, MA : Boston Pub. Co., 1985.</t>
        </is>
      </c>
      <c r="M1378" t="inlineStr">
        <is>
          <t>1985</t>
        </is>
      </c>
      <c r="O1378" t="inlineStr">
        <is>
          <t>eng</t>
        </is>
      </c>
      <c r="P1378" t="inlineStr">
        <is>
          <t>mau</t>
        </is>
      </c>
      <c r="Q1378" t="inlineStr">
        <is>
          <t>The Vietnam experience</t>
        </is>
      </c>
      <c r="R1378" t="inlineStr">
        <is>
          <t xml:space="preserve">DS </t>
        </is>
      </c>
      <c r="S1378" t="n">
        <v>4</v>
      </c>
      <c r="T1378" t="n">
        <v>4</v>
      </c>
      <c r="U1378" t="inlineStr">
        <is>
          <t>1995-05-09</t>
        </is>
      </c>
      <c r="V1378" t="inlineStr">
        <is>
          <t>1995-05-09</t>
        </is>
      </c>
      <c r="W1378" t="inlineStr">
        <is>
          <t>1990-10-10</t>
        </is>
      </c>
      <c r="X1378" t="inlineStr">
        <is>
          <t>1990-10-10</t>
        </is>
      </c>
      <c r="Y1378" t="n">
        <v>1393</v>
      </c>
      <c r="Z1378" t="n">
        <v>1331</v>
      </c>
      <c r="AA1378" t="n">
        <v>1336</v>
      </c>
      <c r="AB1378" t="n">
        <v>12</v>
      </c>
      <c r="AC1378" t="n">
        <v>12</v>
      </c>
      <c r="AD1378" t="n">
        <v>17</v>
      </c>
      <c r="AE1378" t="n">
        <v>17</v>
      </c>
      <c r="AF1378" t="n">
        <v>6</v>
      </c>
      <c r="AG1378" t="n">
        <v>6</v>
      </c>
      <c r="AH1378" t="n">
        <v>4</v>
      </c>
      <c r="AI1378" t="n">
        <v>4</v>
      </c>
      <c r="AJ1378" t="n">
        <v>9</v>
      </c>
      <c r="AK1378" t="n">
        <v>9</v>
      </c>
      <c r="AL1378" t="n">
        <v>2</v>
      </c>
      <c r="AM1378" t="n">
        <v>2</v>
      </c>
      <c r="AN1378" t="n">
        <v>0</v>
      </c>
      <c r="AO1378" t="n">
        <v>0</v>
      </c>
      <c r="AP1378" t="inlineStr">
        <is>
          <t>No</t>
        </is>
      </c>
      <c r="AQ1378" t="inlineStr">
        <is>
          <t>Yes</t>
        </is>
      </c>
      <c r="AR1378">
        <f>HYPERLINK("http://catalog.hathitrust.org/Record/012268669","HathiTrust Record")</f>
        <v/>
      </c>
      <c r="AS1378">
        <f>HYPERLINK("https://creighton-primo.hosted.exlibrisgroup.com/primo-explore/search?tab=default_tab&amp;search_scope=EVERYTHING&amp;vid=01CRU&amp;lang=en_US&amp;offset=0&amp;query=any,contains,991000737369702656","Catalog Record")</f>
        <v/>
      </c>
      <c r="AT1378">
        <f>HYPERLINK("http://www.worldcat.org/oclc/12801807","WorldCat Record")</f>
        <v/>
      </c>
      <c r="AU1378" t="inlineStr">
        <is>
          <t>5350038:eng</t>
        </is>
      </c>
      <c r="AV1378" t="inlineStr">
        <is>
          <t>12801807</t>
        </is>
      </c>
      <c r="AW1378" t="inlineStr">
        <is>
          <t>991000737369702656</t>
        </is>
      </c>
      <c r="AX1378" t="inlineStr">
        <is>
          <t>991000737369702656</t>
        </is>
      </c>
      <c r="AY1378" t="inlineStr">
        <is>
          <t>2255133080002656</t>
        </is>
      </c>
      <c r="AZ1378" t="inlineStr">
        <is>
          <t>BOOK</t>
        </is>
      </c>
      <c r="BB1378" t="inlineStr">
        <is>
          <t>9780939526154</t>
        </is>
      </c>
      <c r="BC1378" t="inlineStr">
        <is>
          <t>32285000337468</t>
        </is>
      </c>
      <c r="BD1378" t="inlineStr">
        <is>
          <t>893884714</t>
        </is>
      </c>
    </row>
    <row r="1379">
      <c r="A1379" t="inlineStr">
        <is>
          <t>No</t>
        </is>
      </c>
      <c r="B1379" t="inlineStr">
        <is>
          <t>DS557.7 .L56 1983</t>
        </is>
      </c>
      <c r="C1379" t="inlineStr">
        <is>
          <t>0                      DS 0557700L  56          1983</t>
        </is>
      </c>
      <c r="D1379" t="inlineStr">
        <is>
          <t>Fighting for time / by Samuel Lipsman, Edward Doyle, and the editors of Boston Publishing Company.</t>
        </is>
      </c>
      <c r="F1379" t="inlineStr">
        <is>
          <t>No</t>
        </is>
      </c>
      <c r="G1379" t="inlineStr">
        <is>
          <t>1</t>
        </is>
      </c>
      <c r="H1379" t="inlineStr">
        <is>
          <t>No</t>
        </is>
      </c>
      <c r="I1379" t="inlineStr">
        <is>
          <t>No</t>
        </is>
      </c>
      <c r="J1379" t="inlineStr">
        <is>
          <t>0</t>
        </is>
      </c>
      <c r="K1379" t="inlineStr">
        <is>
          <t>Lipsman, Samuel.</t>
        </is>
      </c>
      <c r="L1379" t="inlineStr">
        <is>
          <t>Boston, MA : Boston Pub. Co., c1983.</t>
        </is>
      </c>
      <c r="M1379" t="inlineStr">
        <is>
          <t>1983</t>
        </is>
      </c>
      <c r="O1379" t="inlineStr">
        <is>
          <t>eng</t>
        </is>
      </c>
      <c r="P1379" t="inlineStr">
        <is>
          <t>mau</t>
        </is>
      </c>
      <c r="Q1379" t="inlineStr">
        <is>
          <t>The Vietnam experience</t>
        </is>
      </c>
      <c r="R1379" t="inlineStr">
        <is>
          <t xml:space="preserve">DS </t>
        </is>
      </c>
      <c r="S1379" t="n">
        <v>7</v>
      </c>
      <c r="T1379" t="n">
        <v>7</v>
      </c>
      <c r="U1379" t="inlineStr">
        <is>
          <t>1994-10-23</t>
        </is>
      </c>
      <c r="V1379" t="inlineStr">
        <is>
          <t>1994-10-23</t>
        </is>
      </c>
      <c r="W1379" t="inlineStr">
        <is>
          <t>1990-10-10</t>
        </is>
      </c>
      <c r="X1379" t="inlineStr">
        <is>
          <t>1990-10-10</t>
        </is>
      </c>
      <c r="Y1379" t="n">
        <v>1722</v>
      </c>
      <c r="Z1379" t="n">
        <v>1639</v>
      </c>
      <c r="AA1379" t="n">
        <v>1655</v>
      </c>
      <c r="AB1379" t="n">
        <v>13</v>
      </c>
      <c r="AC1379" t="n">
        <v>13</v>
      </c>
      <c r="AD1379" t="n">
        <v>22</v>
      </c>
      <c r="AE1379" t="n">
        <v>24</v>
      </c>
      <c r="AF1379" t="n">
        <v>10</v>
      </c>
      <c r="AG1379" t="n">
        <v>11</v>
      </c>
      <c r="AH1379" t="n">
        <v>5</v>
      </c>
      <c r="AI1379" t="n">
        <v>6</v>
      </c>
      <c r="AJ1379" t="n">
        <v>13</v>
      </c>
      <c r="AK1379" t="n">
        <v>13</v>
      </c>
      <c r="AL1379" t="n">
        <v>1</v>
      </c>
      <c r="AM1379" t="n">
        <v>1</v>
      </c>
      <c r="AN1379" t="n">
        <v>0</v>
      </c>
      <c r="AO1379" t="n">
        <v>0</v>
      </c>
      <c r="AP1379" t="inlineStr">
        <is>
          <t>No</t>
        </is>
      </c>
      <c r="AQ1379" t="inlineStr">
        <is>
          <t>Yes</t>
        </is>
      </c>
      <c r="AR1379">
        <f>HYPERLINK("http://catalog.hathitrust.org/Record/000290368","HathiTrust Record")</f>
        <v/>
      </c>
      <c r="AS1379">
        <f>HYPERLINK("https://creighton-primo.hosted.exlibrisgroup.com/primo-explore/search?tab=default_tab&amp;search_scope=EVERYTHING&amp;vid=01CRU&amp;lang=en_US&amp;offset=0&amp;query=any,contains,991000340299702656","Catalog Record")</f>
        <v/>
      </c>
      <c r="AT1379">
        <f>HYPERLINK("http://www.worldcat.org/oclc/10261213","WorldCat Record")</f>
        <v/>
      </c>
      <c r="AU1379" t="inlineStr">
        <is>
          <t>2908654:eng</t>
        </is>
      </c>
      <c r="AV1379" t="inlineStr">
        <is>
          <t>10261213</t>
        </is>
      </c>
      <c r="AW1379" t="inlineStr">
        <is>
          <t>991000340299702656</t>
        </is>
      </c>
      <c r="AX1379" t="inlineStr">
        <is>
          <t>991000340299702656</t>
        </is>
      </c>
      <c r="AY1379" t="inlineStr">
        <is>
          <t>2269760590002656</t>
        </is>
      </c>
      <c r="AZ1379" t="inlineStr">
        <is>
          <t>BOOK</t>
        </is>
      </c>
      <c r="BB1379" t="inlineStr">
        <is>
          <t>9780939526079</t>
        </is>
      </c>
      <c r="BC1379" t="inlineStr">
        <is>
          <t>32285000337476</t>
        </is>
      </c>
      <c r="BD1379" t="inlineStr">
        <is>
          <t>893339474</t>
        </is>
      </c>
    </row>
    <row r="1380">
      <c r="A1380" t="inlineStr">
        <is>
          <t>No</t>
        </is>
      </c>
      <c r="B1380" t="inlineStr">
        <is>
          <t>DS557.7 .M54 1983</t>
        </is>
      </c>
      <c r="C1380" t="inlineStr">
        <is>
          <t>0                      DS 0557700M  54          1983</t>
        </is>
      </c>
      <c r="D1380" t="inlineStr">
        <is>
          <t>Combat photographer / by Nick Mills and the editors of Boston Publishing Company.</t>
        </is>
      </c>
      <c r="F1380" t="inlineStr">
        <is>
          <t>No</t>
        </is>
      </c>
      <c r="G1380" t="inlineStr">
        <is>
          <t>1</t>
        </is>
      </c>
      <c r="H1380" t="inlineStr">
        <is>
          <t>No</t>
        </is>
      </c>
      <c r="I1380" t="inlineStr">
        <is>
          <t>No</t>
        </is>
      </c>
      <c r="J1380" t="inlineStr">
        <is>
          <t>0</t>
        </is>
      </c>
      <c r="K1380" t="inlineStr">
        <is>
          <t>Mills, Nick, 1942-</t>
        </is>
      </c>
      <c r="L1380" t="inlineStr">
        <is>
          <t>Boston, MA ; Boston Pub. Co., c1983.</t>
        </is>
      </c>
      <c r="M1380" t="inlineStr">
        <is>
          <t>1983</t>
        </is>
      </c>
      <c r="O1380" t="inlineStr">
        <is>
          <t>eng</t>
        </is>
      </c>
      <c r="P1380" t="inlineStr">
        <is>
          <t>mau</t>
        </is>
      </c>
      <c r="Q1380" t="inlineStr">
        <is>
          <t>The Vietnam experience</t>
        </is>
      </c>
      <c r="R1380" t="inlineStr">
        <is>
          <t xml:space="preserve">DS </t>
        </is>
      </c>
      <c r="S1380" t="n">
        <v>10</v>
      </c>
      <c r="T1380" t="n">
        <v>10</v>
      </c>
      <c r="U1380" t="inlineStr">
        <is>
          <t>1999-01-06</t>
        </is>
      </c>
      <c r="V1380" t="inlineStr">
        <is>
          <t>1999-01-06</t>
        </is>
      </c>
      <c r="W1380" t="inlineStr">
        <is>
          <t>1990-10-10</t>
        </is>
      </c>
      <c r="X1380" t="inlineStr">
        <is>
          <t>1990-10-10</t>
        </is>
      </c>
      <c r="Y1380" t="n">
        <v>1905</v>
      </c>
      <c r="Z1380" t="n">
        <v>1809</v>
      </c>
      <c r="AA1380" t="n">
        <v>1862</v>
      </c>
      <c r="AB1380" t="n">
        <v>21</v>
      </c>
      <c r="AC1380" t="n">
        <v>21</v>
      </c>
      <c r="AD1380" t="n">
        <v>23</v>
      </c>
      <c r="AE1380" t="n">
        <v>25</v>
      </c>
      <c r="AF1380" t="n">
        <v>10</v>
      </c>
      <c r="AG1380" t="n">
        <v>11</v>
      </c>
      <c r="AH1380" t="n">
        <v>6</v>
      </c>
      <c r="AI1380" t="n">
        <v>7</v>
      </c>
      <c r="AJ1380" t="n">
        <v>12</v>
      </c>
      <c r="AK1380" t="n">
        <v>12</v>
      </c>
      <c r="AL1380" t="n">
        <v>3</v>
      </c>
      <c r="AM1380" t="n">
        <v>3</v>
      </c>
      <c r="AN1380" t="n">
        <v>0</v>
      </c>
      <c r="AO1380" t="n">
        <v>0</v>
      </c>
      <c r="AP1380" t="inlineStr">
        <is>
          <t>No</t>
        </is>
      </c>
      <c r="AQ1380" t="inlineStr">
        <is>
          <t>Yes</t>
        </is>
      </c>
      <c r="AR1380">
        <f>HYPERLINK("http://catalog.hathitrust.org/Record/000290375","HathiTrust Record")</f>
        <v/>
      </c>
      <c r="AS1380">
        <f>HYPERLINK("https://creighton-primo.hosted.exlibrisgroup.com/primo-explore/search?tab=default_tab&amp;search_scope=EVERYTHING&amp;vid=01CRU&amp;lang=en_US&amp;offset=0&amp;query=any,contains,991000333239702656","Catalog Record")</f>
        <v/>
      </c>
      <c r="AT1380">
        <f>HYPERLINK("http://www.worldcat.org/oclc/10208331","WorldCat Record")</f>
        <v/>
      </c>
      <c r="AU1380" t="inlineStr">
        <is>
          <t>2898511:eng</t>
        </is>
      </c>
      <c r="AV1380" t="inlineStr">
        <is>
          <t>10208331</t>
        </is>
      </c>
      <c r="AW1380" t="inlineStr">
        <is>
          <t>991000333239702656</t>
        </is>
      </c>
      <c r="AX1380" t="inlineStr">
        <is>
          <t>991000333239702656</t>
        </is>
      </c>
      <c r="AY1380" t="inlineStr">
        <is>
          <t>2264369450002656</t>
        </is>
      </c>
      <c r="AZ1380" t="inlineStr">
        <is>
          <t>BOOK</t>
        </is>
      </c>
      <c r="BB1380" t="inlineStr">
        <is>
          <t>9780939526086</t>
        </is>
      </c>
      <c r="BC1380" t="inlineStr">
        <is>
          <t>32285000337484</t>
        </is>
      </c>
      <c r="BD1380" t="inlineStr">
        <is>
          <t>893777852</t>
        </is>
      </c>
    </row>
    <row r="1381">
      <c r="A1381" t="inlineStr">
        <is>
          <t>No</t>
        </is>
      </c>
      <c r="B1381" t="inlineStr">
        <is>
          <t>DS557.7 .N378 2002</t>
        </is>
      </c>
      <c r="C1381" t="inlineStr">
        <is>
          <t>0                      DS 0557700N  378         2002</t>
        </is>
      </c>
      <c r="D1381" t="inlineStr">
        <is>
          <t>New perspectives on the Vietnam war : our allies' views / edited by William Schoenl.</t>
        </is>
      </c>
      <c r="F1381" t="inlineStr">
        <is>
          <t>No</t>
        </is>
      </c>
      <c r="G1381" t="inlineStr">
        <is>
          <t>1</t>
        </is>
      </c>
      <c r="H1381" t="inlineStr">
        <is>
          <t>No</t>
        </is>
      </c>
      <c r="I1381" t="inlineStr">
        <is>
          <t>No</t>
        </is>
      </c>
      <c r="J1381" t="inlineStr">
        <is>
          <t>0</t>
        </is>
      </c>
      <c r="L1381" t="inlineStr">
        <is>
          <t>Lanham, Md. : University Press of America, c2002.</t>
        </is>
      </c>
      <c r="M1381" t="inlineStr">
        <is>
          <t>2002</t>
        </is>
      </c>
      <c r="O1381" t="inlineStr">
        <is>
          <t>eng</t>
        </is>
      </c>
      <c r="P1381" t="inlineStr">
        <is>
          <t>mdu</t>
        </is>
      </c>
      <c r="R1381" t="inlineStr">
        <is>
          <t xml:space="preserve">DS </t>
        </is>
      </c>
      <c r="S1381" t="n">
        <v>5</v>
      </c>
      <c r="T1381" t="n">
        <v>5</v>
      </c>
      <c r="U1381" t="inlineStr">
        <is>
          <t>2008-11-10</t>
        </is>
      </c>
      <c r="V1381" t="inlineStr">
        <is>
          <t>2008-11-10</t>
        </is>
      </c>
      <c r="W1381" t="inlineStr">
        <is>
          <t>2002-11-06</t>
        </is>
      </c>
      <c r="X1381" t="inlineStr">
        <is>
          <t>2002-11-06</t>
        </is>
      </c>
      <c r="Y1381" t="n">
        <v>108</v>
      </c>
      <c r="Z1381" t="n">
        <v>85</v>
      </c>
      <c r="AA1381" t="n">
        <v>85</v>
      </c>
      <c r="AB1381" t="n">
        <v>1</v>
      </c>
      <c r="AC1381" t="n">
        <v>1</v>
      </c>
      <c r="AD1381" t="n">
        <v>6</v>
      </c>
      <c r="AE1381" t="n">
        <v>6</v>
      </c>
      <c r="AF1381" t="n">
        <v>2</v>
      </c>
      <c r="AG1381" t="n">
        <v>2</v>
      </c>
      <c r="AH1381" t="n">
        <v>3</v>
      </c>
      <c r="AI1381" t="n">
        <v>3</v>
      </c>
      <c r="AJ1381" t="n">
        <v>4</v>
      </c>
      <c r="AK1381" t="n">
        <v>4</v>
      </c>
      <c r="AL1381" t="n">
        <v>0</v>
      </c>
      <c r="AM1381" t="n">
        <v>0</v>
      </c>
      <c r="AN1381" t="n">
        <v>0</v>
      </c>
      <c r="AO1381" t="n">
        <v>0</v>
      </c>
      <c r="AP1381" t="inlineStr">
        <is>
          <t>No</t>
        </is>
      </c>
      <c r="AQ1381" t="inlineStr">
        <is>
          <t>No</t>
        </is>
      </c>
      <c r="AS1381">
        <f>HYPERLINK("https://creighton-primo.hosted.exlibrisgroup.com/primo-explore/search?tab=default_tab&amp;search_scope=EVERYTHING&amp;vid=01CRU&amp;lang=en_US&amp;offset=0&amp;query=any,contains,991003911829702656","Catalog Record")</f>
        <v/>
      </c>
      <c r="AT1381">
        <f>HYPERLINK("http://www.worldcat.org/oclc/50143470","WorldCat Record")</f>
        <v/>
      </c>
      <c r="AU1381" t="inlineStr">
        <is>
          <t>152265922:eng</t>
        </is>
      </c>
      <c r="AV1381" t="inlineStr">
        <is>
          <t>50143470</t>
        </is>
      </c>
      <c r="AW1381" t="inlineStr">
        <is>
          <t>991003911829702656</t>
        </is>
      </c>
      <c r="AX1381" t="inlineStr">
        <is>
          <t>991003911829702656</t>
        </is>
      </c>
      <c r="AY1381" t="inlineStr">
        <is>
          <t>2270632070002656</t>
        </is>
      </c>
      <c r="AZ1381" t="inlineStr">
        <is>
          <t>BOOK</t>
        </is>
      </c>
      <c r="BB1381" t="inlineStr">
        <is>
          <t>9780761823827</t>
        </is>
      </c>
      <c r="BC1381" t="inlineStr">
        <is>
          <t>32285004661566</t>
        </is>
      </c>
      <c r="BD1381" t="inlineStr">
        <is>
          <t>893330982</t>
        </is>
      </c>
    </row>
    <row r="1382">
      <c r="A1382" t="inlineStr">
        <is>
          <t>No</t>
        </is>
      </c>
      <c r="B1382" t="inlineStr">
        <is>
          <t>DS557.7 .O2 1975</t>
        </is>
      </c>
      <c r="C1382" t="inlineStr">
        <is>
          <t>0                      DS 0557700O  2           1975</t>
        </is>
      </c>
      <c r="D1382" t="inlineStr">
        <is>
          <t>The wars in Vietnam, 1954-1973 / Edgar O'Ballance.</t>
        </is>
      </c>
      <c r="F1382" t="inlineStr">
        <is>
          <t>No</t>
        </is>
      </c>
      <c r="G1382" t="inlineStr">
        <is>
          <t>1</t>
        </is>
      </c>
      <c r="H1382" t="inlineStr">
        <is>
          <t>No</t>
        </is>
      </c>
      <c r="I1382" t="inlineStr">
        <is>
          <t>No</t>
        </is>
      </c>
      <c r="J1382" t="inlineStr">
        <is>
          <t>0</t>
        </is>
      </c>
      <c r="K1382" t="inlineStr">
        <is>
          <t>O'Ballance, Edgar.</t>
        </is>
      </c>
      <c r="L1382" t="inlineStr">
        <is>
          <t>New York : Hippocrene Books, 1975.</t>
        </is>
      </c>
      <c r="M1382" t="inlineStr">
        <is>
          <t>1975</t>
        </is>
      </c>
      <c r="O1382" t="inlineStr">
        <is>
          <t>eng</t>
        </is>
      </c>
      <c r="P1382" t="inlineStr">
        <is>
          <t>nyu</t>
        </is>
      </c>
      <c r="R1382" t="inlineStr">
        <is>
          <t xml:space="preserve">DS </t>
        </is>
      </c>
      <c r="S1382" t="n">
        <v>11</v>
      </c>
      <c r="T1382" t="n">
        <v>11</v>
      </c>
      <c r="U1382" t="inlineStr">
        <is>
          <t>2004-10-27</t>
        </is>
      </c>
      <c r="V1382" t="inlineStr">
        <is>
          <t>2004-10-27</t>
        </is>
      </c>
      <c r="W1382" t="inlineStr">
        <is>
          <t>1995-09-18</t>
        </is>
      </c>
      <c r="X1382" t="inlineStr">
        <is>
          <t>1995-09-18</t>
        </is>
      </c>
      <c r="Y1382" t="n">
        <v>174</v>
      </c>
      <c r="Z1382" t="n">
        <v>144</v>
      </c>
      <c r="AA1382" t="n">
        <v>180</v>
      </c>
      <c r="AB1382" t="n">
        <v>2</v>
      </c>
      <c r="AC1382" t="n">
        <v>4</v>
      </c>
      <c r="AD1382" t="n">
        <v>5</v>
      </c>
      <c r="AE1382" t="n">
        <v>8</v>
      </c>
      <c r="AF1382" t="n">
        <v>3</v>
      </c>
      <c r="AG1382" t="n">
        <v>3</v>
      </c>
      <c r="AH1382" t="n">
        <v>1</v>
      </c>
      <c r="AI1382" t="n">
        <v>1</v>
      </c>
      <c r="AJ1382" t="n">
        <v>1</v>
      </c>
      <c r="AK1382" t="n">
        <v>2</v>
      </c>
      <c r="AL1382" t="n">
        <v>0</v>
      </c>
      <c r="AM1382" t="n">
        <v>2</v>
      </c>
      <c r="AN1382" t="n">
        <v>0</v>
      </c>
      <c r="AO1382" t="n">
        <v>0</v>
      </c>
      <c r="AP1382" t="inlineStr">
        <is>
          <t>No</t>
        </is>
      </c>
      <c r="AQ1382" t="inlineStr">
        <is>
          <t>Yes</t>
        </is>
      </c>
      <c r="AR1382">
        <f>HYPERLINK("http://catalog.hathitrust.org/Record/000044812","HathiTrust Record")</f>
        <v/>
      </c>
      <c r="AS1382">
        <f>HYPERLINK("https://creighton-primo.hosted.exlibrisgroup.com/primo-explore/search?tab=default_tab&amp;search_scope=EVERYTHING&amp;vid=01CRU&amp;lang=en_US&amp;offset=0&amp;query=any,contains,991003801339702656","Catalog Record")</f>
        <v/>
      </c>
      <c r="AT1382">
        <f>HYPERLINK("http://www.worldcat.org/oclc/1527589","WorldCat Record")</f>
        <v/>
      </c>
      <c r="AU1382" t="inlineStr">
        <is>
          <t>542030:eng</t>
        </is>
      </c>
      <c r="AV1382" t="inlineStr">
        <is>
          <t>1527589</t>
        </is>
      </c>
      <c r="AW1382" t="inlineStr">
        <is>
          <t>991003801339702656</t>
        </is>
      </c>
      <c r="AX1382" t="inlineStr">
        <is>
          <t>991003801339702656</t>
        </is>
      </c>
      <c r="AY1382" t="inlineStr">
        <is>
          <t>2258109800002656</t>
        </is>
      </c>
      <c r="AZ1382" t="inlineStr">
        <is>
          <t>BOOK</t>
        </is>
      </c>
      <c r="BB1382" t="inlineStr">
        <is>
          <t>9780882543611</t>
        </is>
      </c>
      <c r="BC1382" t="inlineStr">
        <is>
          <t>32285002023751</t>
        </is>
      </c>
      <c r="BD1382" t="inlineStr">
        <is>
          <t>893525244</t>
        </is>
      </c>
    </row>
    <row r="1383">
      <c r="A1383" t="inlineStr">
        <is>
          <t>No</t>
        </is>
      </c>
      <c r="B1383" t="inlineStr">
        <is>
          <t>DS557.7 .S56 1978</t>
        </is>
      </c>
      <c r="C1383" t="inlineStr">
        <is>
          <t>0                      DS 0557700S  56          1978</t>
        </is>
      </c>
      <c r="D1383" t="inlineStr">
        <is>
          <t>A Short history of the Vietnam War / edited by Allan R. Millett. --</t>
        </is>
      </c>
      <c r="F1383" t="inlineStr">
        <is>
          <t>No</t>
        </is>
      </c>
      <c r="G1383" t="inlineStr">
        <is>
          <t>1</t>
        </is>
      </c>
      <c r="H1383" t="inlineStr">
        <is>
          <t>No</t>
        </is>
      </c>
      <c r="I1383" t="inlineStr">
        <is>
          <t>No</t>
        </is>
      </c>
      <c r="J1383" t="inlineStr">
        <is>
          <t>0</t>
        </is>
      </c>
      <c r="L1383" t="inlineStr">
        <is>
          <t>Bloomington : Indiana University Press, c1978.</t>
        </is>
      </c>
      <c r="M1383" t="inlineStr">
        <is>
          <t>1978</t>
        </is>
      </c>
      <c r="O1383" t="inlineStr">
        <is>
          <t>eng</t>
        </is>
      </c>
      <c r="P1383" t="inlineStr">
        <is>
          <t>inu</t>
        </is>
      </c>
      <c r="R1383" t="inlineStr">
        <is>
          <t xml:space="preserve">DS </t>
        </is>
      </c>
      <c r="S1383" t="n">
        <v>7</v>
      </c>
      <c r="T1383" t="n">
        <v>7</v>
      </c>
      <c r="U1383" t="inlineStr">
        <is>
          <t>2007-04-03</t>
        </is>
      </c>
      <c r="V1383" t="inlineStr">
        <is>
          <t>2007-04-03</t>
        </is>
      </c>
      <c r="W1383" t="inlineStr">
        <is>
          <t>1990-03-06</t>
        </is>
      </c>
      <c r="X1383" t="inlineStr">
        <is>
          <t>1990-03-06</t>
        </is>
      </c>
      <c r="Y1383" t="n">
        <v>911</v>
      </c>
      <c r="Z1383" t="n">
        <v>786</v>
      </c>
      <c r="AA1383" t="n">
        <v>797</v>
      </c>
      <c r="AB1383" t="n">
        <v>7</v>
      </c>
      <c r="AC1383" t="n">
        <v>7</v>
      </c>
      <c r="AD1383" t="n">
        <v>32</v>
      </c>
      <c r="AE1383" t="n">
        <v>32</v>
      </c>
      <c r="AF1383" t="n">
        <v>14</v>
      </c>
      <c r="AG1383" t="n">
        <v>14</v>
      </c>
      <c r="AH1383" t="n">
        <v>8</v>
      </c>
      <c r="AI1383" t="n">
        <v>8</v>
      </c>
      <c r="AJ1383" t="n">
        <v>12</v>
      </c>
      <c r="AK1383" t="n">
        <v>12</v>
      </c>
      <c r="AL1383" t="n">
        <v>5</v>
      </c>
      <c r="AM1383" t="n">
        <v>5</v>
      </c>
      <c r="AN1383" t="n">
        <v>0</v>
      </c>
      <c r="AO1383" t="n">
        <v>0</v>
      </c>
      <c r="AP1383" t="inlineStr">
        <is>
          <t>No</t>
        </is>
      </c>
      <c r="AQ1383" t="inlineStr">
        <is>
          <t>Yes</t>
        </is>
      </c>
      <c r="AR1383">
        <f>HYPERLINK("http://catalog.hathitrust.org/Record/000752846","HathiTrust Record")</f>
        <v/>
      </c>
      <c r="AS1383">
        <f>HYPERLINK("https://creighton-primo.hosted.exlibrisgroup.com/primo-explore/search?tab=default_tab&amp;search_scope=EVERYTHING&amp;vid=01CRU&amp;lang=en_US&amp;offset=0&amp;query=any,contains,991004437369702656","Catalog Record")</f>
        <v/>
      </c>
      <c r="AT1383">
        <f>HYPERLINK("http://www.worldcat.org/oclc/3447155","WorldCat Record")</f>
        <v/>
      </c>
      <c r="AU1383" t="inlineStr">
        <is>
          <t>54194249:eng</t>
        </is>
      </c>
      <c r="AV1383" t="inlineStr">
        <is>
          <t>3447155</t>
        </is>
      </c>
      <c r="AW1383" t="inlineStr">
        <is>
          <t>991004437369702656</t>
        </is>
      </c>
      <c r="AX1383" t="inlineStr">
        <is>
          <t>991004437369702656</t>
        </is>
      </c>
      <c r="AY1383" t="inlineStr">
        <is>
          <t>2268708270002656</t>
        </is>
      </c>
      <c r="AZ1383" t="inlineStr">
        <is>
          <t>BOOK</t>
        </is>
      </c>
      <c r="BB1383" t="inlineStr">
        <is>
          <t>9780253352156</t>
        </is>
      </c>
      <c r="BC1383" t="inlineStr">
        <is>
          <t>32285000077346</t>
        </is>
      </c>
      <c r="BD1383" t="inlineStr">
        <is>
          <t>893506851</t>
        </is>
      </c>
    </row>
    <row r="1384">
      <c r="A1384" t="inlineStr">
        <is>
          <t>No</t>
        </is>
      </c>
      <c r="B1384" t="inlineStr">
        <is>
          <t>DS557.7 .S64 1983</t>
        </is>
      </c>
      <c r="C1384" t="inlineStr">
        <is>
          <t>0                      DS 0557700S  64          1983</t>
        </is>
      </c>
      <c r="D1384" t="inlineStr">
        <is>
          <t>An international history of the Vietnam War / R.B. Smith.</t>
        </is>
      </c>
      <c r="E1384" t="inlineStr">
        <is>
          <t>V.1</t>
        </is>
      </c>
      <c r="F1384" t="inlineStr">
        <is>
          <t>No</t>
        </is>
      </c>
      <c r="G1384" t="inlineStr">
        <is>
          <t>1</t>
        </is>
      </c>
      <c r="H1384" t="inlineStr">
        <is>
          <t>No</t>
        </is>
      </c>
      <c r="I1384" t="inlineStr">
        <is>
          <t>No</t>
        </is>
      </c>
      <c r="J1384" t="inlineStr">
        <is>
          <t>0</t>
        </is>
      </c>
      <c r="K1384" t="inlineStr">
        <is>
          <t>Smith, R. B. (Ralph Bernard), 1939-2000.</t>
        </is>
      </c>
      <c r="L1384" t="inlineStr">
        <is>
          <t>New York : St. Martin's Press, 1983-&lt;1985 &gt;</t>
        </is>
      </c>
      <c r="M1384" t="inlineStr">
        <is>
          <t>1983</t>
        </is>
      </c>
      <c r="O1384" t="inlineStr">
        <is>
          <t>eng</t>
        </is>
      </c>
      <c r="P1384" t="inlineStr">
        <is>
          <t>nyu</t>
        </is>
      </c>
      <c r="R1384" t="inlineStr">
        <is>
          <t xml:space="preserve">DS </t>
        </is>
      </c>
      <c r="S1384" t="n">
        <v>7</v>
      </c>
      <c r="T1384" t="n">
        <v>7</v>
      </c>
      <c r="U1384" t="inlineStr">
        <is>
          <t>2007-03-18</t>
        </is>
      </c>
      <c r="V1384" t="inlineStr">
        <is>
          <t>2007-03-18</t>
        </is>
      </c>
      <c r="W1384" t="inlineStr">
        <is>
          <t>1990-03-06</t>
        </is>
      </c>
      <c r="X1384" t="inlineStr">
        <is>
          <t>1990-03-06</t>
        </is>
      </c>
      <c r="Y1384" t="n">
        <v>850</v>
      </c>
      <c r="Z1384" t="n">
        <v>789</v>
      </c>
      <c r="AA1384" t="n">
        <v>845</v>
      </c>
      <c r="AB1384" t="n">
        <v>4</v>
      </c>
      <c r="AC1384" t="n">
        <v>5</v>
      </c>
      <c r="AD1384" t="n">
        <v>34</v>
      </c>
      <c r="AE1384" t="n">
        <v>36</v>
      </c>
      <c r="AF1384" t="n">
        <v>16</v>
      </c>
      <c r="AG1384" t="n">
        <v>16</v>
      </c>
      <c r="AH1384" t="n">
        <v>7</v>
      </c>
      <c r="AI1384" t="n">
        <v>7</v>
      </c>
      <c r="AJ1384" t="n">
        <v>18</v>
      </c>
      <c r="AK1384" t="n">
        <v>19</v>
      </c>
      <c r="AL1384" t="n">
        <v>3</v>
      </c>
      <c r="AM1384" t="n">
        <v>4</v>
      </c>
      <c r="AN1384" t="n">
        <v>0</v>
      </c>
      <c r="AO1384" t="n">
        <v>0</v>
      </c>
      <c r="AP1384" t="inlineStr">
        <is>
          <t>No</t>
        </is>
      </c>
      <c r="AQ1384" t="inlineStr">
        <is>
          <t>No</t>
        </is>
      </c>
      <c r="AS1384">
        <f>HYPERLINK("https://creighton-primo.hosted.exlibrisgroup.com/primo-explore/search?tab=default_tab&amp;search_scope=EVERYTHING&amp;vid=01CRU&amp;lang=en_US&amp;offset=0&amp;query=any,contains,991000165179702656","Catalog Record")</f>
        <v/>
      </c>
      <c r="AT1384">
        <f>HYPERLINK("http://www.worldcat.org/oclc/9282845","WorldCat Record")</f>
        <v/>
      </c>
      <c r="AU1384" t="inlineStr">
        <is>
          <t>1065819794:eng</t>
        </is>
      </c>
      <c r="AV1384" t="inlineStr">
        <is>
          <t>9282845</t>
        </is>
      </c>
      <c r="AW1384" t="inlineStr">
        <is>
          <t>991000165179702656</t>
        </is>
      </c>
      <c r="AX1384" t="inlineStr">
        <is>
          <t>991000165179702656</t>
        </is>
      </c>
      <c r="AY1384" t="inlineStr">
        <is>
          <t>2259925690002656</t>
        </is>
      </c>
      <c r="AZ1384" t="inlineStr">
        <is>
          <t>BOOK</t>
        </is>
      </c>
      <c r="BB1384" t="inlineStr">
        <is>
          <t>9780312422059</t>
        </is>
      </c>
      <c r="BC1384" t="inlineStr">
        <is>
          <t>32285000077379</t>
        </is>
      </c>
      <c r="BD1384" t="inlineStr">
        <is>
          <t>893777755</t>
        </is>
      </c>
    </row>
    <row r="1385">
      <c r="A1385" t="inlineStr">
        <is>
          <t>No</t>
        </is>
      </c>
      <c r="B1385" t="inlineStr">
        <is>
          <t>DS557.7 .T87 1987</t>
        </is>
      </c>
      <c r="C1385" t="inlineStr">
        <is>
          <t>0                      DS 0557700T  87          1987</t>
        </is>
      </c>
      <c r="D1385" t="inlineStr">
        <is>
          <t>The second Indochina War : a short political and military history, 1954-1975 / William S. Turley.</t>
        </is>
      </c>
      <c r="F1385" t="inlineStr">
        <is>
          <t>No</t>
        </is>
      </c>
      <c r="G1385" t="inlineStr">
        <is>
          <t>1</t>
        </is>
      </c>
      <c r="H1385" t="inlineStr">
        <is>
          <t>No</t>
        </is>
      </c>
      <c r="I1385" t="inlineStr">
        <is>
          <t>No</t>
        </is>
      </c>
      <c r="J1385" t="inlineStr">
        <is>
          <t>0</t>
        </is>
      </c>
      <c r="K1385" t="inlineStr">
        <is>
          <t>Turley, William S.</t>
        </is>
      </c>
      <c r="L1385" t="inlineStr">
        <is>
          <t>New York ; Scarborough, Ontario : New American Library, 1987, c1986.</t>
        </is>
      </c>
      <c r="M1385" t="inlineStr">
        <is>
          <t>1987</t>
        </is>
      </c>
      <c r="O1385" t="inlineStr">
        <is>
          <t>eng</t>
        </is>
      </c>
      <c r="P1385" t="inlineStr">
        <is>
          <t>nyu</t>
        </is>
      </c>
      <c r="R1385" t="inlineStr">
        <is>
          <t xml:space="preserve">DS </t>
        </is>
      </c>
      <c r="S1385" t="n">
        <v>4</v>
      </c>
      <c r="T1385" t="n">
        <v>4</v>
      </c>
      <c r="U1385" t="inlineStr">
        <is>
          <t>1999-08-05</t>
        </is>
      </c>
      <c r="V1385" t="inlineStr">
        <is>
          <t>1999-08-05</t>
        </is>
      </c>
      <c r="W1385" t="inlineStr">
        <is>
          <t>1990-05-07</t>
        </is>
      </c>
      <c r="X1385" t="inlineStr">
        <is>
          <t>1990-05-07</t>
        </is>
      </c>
      <c r="Y1385" t="n">
        <v>98</v>
      </c>
      <c r="Z1385" t="n">
        <v>89</v>
      </c>
      <c r="AA1385" t="n">
        <v>470</v>
      </c>
      <c r="AB1385" t="n">
        <v>1</v>
      </c>
      <c r="AC1385" t="n">
        <v>2</v>
      </c>
      <c r="AD1385" t="n">
        <v>3</v>
      </c>
      <c r="AE1385" t="n">
        <v>15</v>
      </c>
      <c r="AF1385" t="n">
        <v>2</v>
      </c>
      <c r="AG1385" t="n">
        <v>5</v>
      </c>
      <c r="AH1385" t="n">
        <v>0</v>
      </c>
      <c r="AI1385" t="n">
        <v>4</v>
      </c>
      <c r="AJ1385" t="n">
        <v>2</v>
      </c>
      <c r="AK1385" t="n">
        <v>10</v>
      </c>
      <c r="AL1385" t="n">
        <v>0</v>
      </c>
      <c r="AM1385" t="n">
        <v>1</v>
      </c>
      <c r="AN1385" t="n">
        <v>0</v>
      </c>
      <c r="AO1385" t="n">
        <v>0</v>
      </c>
      <c r="AP1385" t="inlineStr">
        <is>
          <t>No</t>
        </is>
      </c>
      <c r="AQ1385" t="inlineStr">
        <is>
          <t>No</t>
        </is>
      </c>
      <c r="AS1385">
        <f>HYPERLINK("https://creighton-primo.hosted.exlibrisgroup.com/primo-explore/search?tab=default_tab&amp;search_scope=EVERYTHING&amp;vid=01CRU&amp;lang=en_US&amp;offset=0&amp;query=any,contains,991001018499702656","Catalog Record")</f>
        <v/>
      </c>
      <c r="AT1385">
        <f>HYPERLINK("http://www.worldcat.org/oclc/15356541","WorldCat Record")</f>
        <v/>
      </c>
      <c r="AU1385" t="inlineStr">
        <is>
          <t>5471501:eng</t>
        </is>
      </c>
      <c r="AV1385" t="inlineStr">
        <is>
          <t>15356541</t>
        </is>
      </c>
      <c r="AW1385" t="inlineStr">
        <is>
          <t>991001018499702656</t>
        </is>
      </c>
      <c r="AX1385" t="inlineStr">
        <is>
          <t>991001018499702656</t>
        </is>
      </c>
      <c r="AY1385" t="inlineStr">
        <is>
          <t>2265164350002656</t>
        </is>
      </c>
      <c r="AZ1385" t="inlineStr">
        <is>
          <t>BOOK</t>
        </is>
      </c>
      <c r="BB1385" t="inlineStr">
        <is>
          <t>9780451625465</t>
        </is>
      </c>
      <c r="BC1385" t="inlineStr">
        <is>
          <t>32285000151000</t>
        </is>
      </c>
      <c r="BD1385" t="inlineStr">
        <is>
          <t>893878547</t>
        </is>
      </c>
    </row>
    <row r="1386">
      <c r="A1386" t="inlineStr">
        <is>
          <t>No</t>
        </is>
      </c>
      <c r="B1386" t="inlineStr">
        <is>
          <t>DS557.7 .V562 1984</t>
        </is>
      </c>
      <c r="C1386" t="inlineStr">
        <is>
          <t>0                      DS 0557700V  562         1984</t>
        </is>
      </c>
      <c r="D1386" t="inlineStr">
        <is>
          <t>Vietnam as history : ten years after the Paris Peace Accords / Peter Braestrup, editor.</t>
        </is>
      </c>
      <c r="F1386" t="inlineStr">
        <is>
          <t>No</t>
        </is>
      </c>
      <c r="G1386" t="inlineStr">
        <is>
          <t>1</t>
        </is>
      </c>
      <c r="H1386" t="inlineStr">
        <is>
          <t>No</t>
        </is>
      </c>
      <c r="I1386" t="inlineStr">
        <is>
          <t>No</t>
        </is>
      </c>
      <c r="J1386" t="inlineStr">
        <is>
          <t>0</t>
        </is>
      </c>
      <c r="L1386" t="inlineStr">
        <is>
          <t>Washington, D.C. : University Press of America, c1984.</t>
        </is>
      </c>
      <c r="M1386" t="inlineStr">
        <is>
          <t>1984</t>
        </is>
      </c>
      <c r="O1386" t="inlineStr">
        <is>
          <t>eng</t>
        </is>
      </c>
      <c r="P1386" t="inlineStr">
        <is>
          <t>dcu</t>
        </is>
      </c>
      <c r="Q1386" t="inlineStr">
        <is>
          <t>A Wilson Center conference report</t>
        </is>
      </c>
      <c r="R1386" t="inlineStr">
        <is>
          <t xml:space="preserve">DS </t>
        </is>
      </c>
      <c r="S1386" t="n">
        <v>4</v>
      </c>
      <c r="T1386" t="n">
        <v>4</v>
      </c>
      <c r="U1386" t="inlineStr">
        <is>
          <t>2007-04-03</t>
        </is>
      </c>
      <c r="V1386" t="inlineStr">
        <is>
          <t>2007-04-03</t>
        </is>
      </c>
      <c r="W1386" t="inlineStr">
        <is>
          <t>1990-03-27</t>
        </is>
      </c>
      <c r="X1386" t="inlineStr">
        <is>
          <t>1990-03-27</t>
        </is>
      </c>
      <c r="Y1386" t="n">
        <v>697</v>
      </c>
      <c r="Z1386" t="n">
        <v>610</v>
      </c>
      <c r="AA1386" t="n">
        <v>627</v>
      </c>
      <c r="AB1386" t="n">
        <v>3</v>
      </c>
      <c r="AC1386" t="n">
        <v>3</v>
      </c>
      <c r="AD1386" t="n">
        <v>28</v>
      </c>
      <c r="AE1386" t="n">
        <v>28</v>
      </c>
      <c r="AF1386" t="n">
        <v>14</v>
      </c>
      <c r="AG1386" t="n">
        <v>14</v>
      </c>
      <c r="AH1386" t="n">
        <v>6</v>
      </c>
      <c r="AI1386" t="n">
        <v>6</v>
      </c>
      <c r="AJ1386" t="n">
        <v>15</v>
      </c>
      <c r="AK1386" t="n">
        <v>15</v>
      </c>
      <c r="AL1386" t="n">
        <v>2</v>
      </c>
      <c r="AM1386" t="n">
        <v>2</v>
      </c>
      <c r="AN1386" t="n">
        <v>0</v>
      </c>
      <c r="AO1386" t="n">
        <v>0</v>
      </c>
      <c r="AP1386" t="inlineStr">
        <is>
          <t>No</t>
        </is>
      </c>
      <c r="AQ1386" t="inlineStr">
        <is>
          <t>Yes</t>
        </is>
      </c>
      <c r="AR1386">
        <f>HYPERLINK("http://catalog.hathitrust.org/Record/002237663","HathiTrust Record")</f>
        <v/>
      </c>
      <c r="AS1386">
        <f>HYPERLINK("https://creighton-primo.hosted.exlibrisgroup.com/primo-explore/search?tab=default_tab&amp;search_scope=EVERYTHING&amp;vid=01CRU&amp;lang=en_US&amp;offset=0&amp;query=any,contains,991000303259702656","Catalog Record")</f>
        <v/>
      </c>
      <c r="AT1386">
        <f>HYPERLINK("http://www.worldcat.org/oclc/10045444","WorldCat Record")</f>
        <v/>
      </c>
      <c r="AU1386" t="inlineStr">
        <is>
          <t>806412961:eng</t>
        </is>
      </c>
      <c r="AV1386" t="inlineStr">
        <is>
          <t>10045444</t>
        </is>
      </c>
      <c r="AW1386" t="inlineStr">
        <is>
          <t>991000303259702656</t>
        </is>
      </c>
      <c r="AX1386" t="inlineStr">
        <is>
          <t>991000303259702656</t>
        </is>
      </c>
      <c r="AY1386" t="inlineStr">
        <is>
          <t>2259047140002656</t>
        </is>
      </c>
      <c r="AZ1386" t="inlineStr">
        <is>
          <t>BOOK</t>
        </is>
      </c>
      <c r="BB1386" t="inlineStr">
        <is>
          <t>9780819136541</t>
        </is>
      </c>
      <c r="BC1386" t="inlineStr">
        <is>
          <t>32285000098771</t>
        </is>
      </c>
      <c r="BD1386" t="inlineStr">
        <is>
          <t>893407078</t>
        </is>
      </c>
    </row>
    <row r="1387">
      <c r="A1387" t="inlineStr">
        <is>
          <t>No</t>
        </is>
      </c>
      <c r="B1387" t="inlineStr">
        <is>
          <t>DS557.7 .V566 1984b</t>
        </is>
      </c>
      <c r="C1387" t="inlineStr">
        <is>
          <t>0                      DS 0557700V  566         1984b</t>
        </is>
      </c>
      <c r="D1387" t="inlineStr">
        <is>
          <t>Vietnam voices : perspectives on the war years, 1941-1982 / compiled by John Clark Pratt.</t>
        </is>
      </c>
      <c r="F1387" t="inlineStr">
        <is>
          <t>No</t>
        </is>
      </c>
      <c r="G1387" t="inlineStr">
        <is>
          <t>1</t>
        </is>
      </c>
      <c r="H1387" t="inlineStr">
        <is>
          <t>No</t>
        </is>
      </c>
      <c r="I1387" t="inlineStr">
        <is>
          <t>No</t>
        </is>
      </c>
      <c r="J1387" t="inlineStr">
        <is>
          <t>0</t>
        </is>
      </c>
      <c r="L1387" t="inlineStr">
        <is>
          <t>New York, N.Y. : Penguin Books, c1984.</t>
        </is>
      </c>
      <c r="M1387" t="inlineStr">
        <is>
          <t>1984</t>
        </is>
      </c>
      <c r="O1387" t="inlineStr">
        <is>
          <t>eng</t>
        </is>
      </c>
      <c r="P1387" t="inlineStr">
        <is>
          <t>nyu</t>
        </is>
      </c>
      <c r="R1387" t="inlineStr">
        <is>
          <t xml:space="preserve">DS </t>
        </is>
      </c>
      <c r="S1387" t="n">
        <v>5</v>
      </c>
      <c r="T1387" t="n">
        <v>5</v>
      </c>
      <c r="U1387" t="inlineStr">
        <is>
          <t>2003-03-24</t>
        </is>
      </c>
      <c r="V1387" t="inlineStr">
        <is>
          <t>2003-03-24</t>
        </is>
      </c>
      <c r="W1387" t="inlineStr">
        <is>
          <t>1990-10-10</t>
        </is>
      </c>
      <c r="X1387" t="inlineStr">
        <is>
          <t>1990-10-10</t>
        </is>
      </c>
      <c r="Y1387" t="n">
        <v>554</v>
      </c>
      <c r="Z1387" t="n">
        <v>484</v>
      </c>
      <c r="AA1387" t="n">
        <v>811</v>
      </c>
      <c r="AB1387" t="n">
        <v>2</v>
      </c>
      <c r="AC1387" t="n">
        <v>5</v>
      </c>
      <c r="AD1387" t="n">
        <v>12</v>
      </c>
      <c r="AE1387" t="n">
        <v>29</v>
      </c>
      <c r="AF1387" t="n">
        <v>5</v>
      </c>
      <c r="AG1387" t="n">
        <v>11</v>
      </c>
      <c r="AH1387" t="n">
        <v>3</v>
      </c>
      <c r="AI1387" t="n">
        <v>7</v>
      </c>
      <c r="AJ1387" t="n">
        <v>6</v>
      </c>
      <c r="AK1387" t="n">
        <v>16</v>
      </c>
      <c r="AL1387" t="n">
        <v>1</v>
      </c>
      <c r="AM1387" t="n">
        <v>4</v>
      </c>
      <c r="AN1387" t="n">
        <v>0</v>
      </c>
      <c r="AO1387" t="n">
        <v>0</v>
      </c>
      <c r="AP1387" t="inlineStr">
        <is>
          <t>No</t>
        </is>
      </c>
      <c r="AQ1387" t="inlineStr">
        <is>
          <t>Yes</t>
        </is>
      </c>
      <c r="AR1387">
        <f>HYPERLINK("http://catalog.hathitrust.org/Record/000404373","HathiTrust Record")</f>
        <v/>
      </c>
      <c r="AS1387">
        <f>HYPERLINK("https://creighton-primo.hosted.exlibrisgroup.com/primo-explore/search?tab=default_tab&amp;search_scope=EVERYTHING&amp;vid=01CRU&amp;lang=en_US&amp;offset=0&amp;query=any,contains,991000437339702656","Catalog Record")</f>
        <v/>
      </c>
      <c r="AT1387">
        <f>HYPERLINK("http://www.worldcat.org/oclc/10799634","WorldCat Record")</f>
        <v/>
      </c>
      <c r="AU1387" t="inlineStr">
        <is>
          <t>836667274:eng</t>
        </is>
      </c>
      <c r="AV1387" t="inlineStr">
        <is>
          <t>10799634</t>
        </is>
      </c>
      <c r="AW1387" t="inlineStr">
        <is>
          <t>991000437339702656</t>
        </is>
      </c>
      <c r="AX1387" t="inlineStr">
        <is>
          <t>991000437339702656</t>
        </is>
      </c>
      <c r="AY1387" t="inlineStr">
        <is>
          <t>2269731110002656</t>
        </is>
      </c>
      <c r="AZ1387" t="inlineStr">
        <is>
          <t>BOOK</t>
        </is>
      </c>
      <c r="BB1387" t="inlineStr">
        <is>
          <t>9780140063592</t>
        </is>
      </c>
      <c r="BC1387" t="inlineStr">
        <is>
          <t>32285000337492</t>
        </is>
      </c>
      <c r="BD1387" t="inlineStr">
        <is>
          <t>893695831</t>
        </is>
      </c>
    </row>
    <row r="1388">
      <c r="A1388" t="inlineStr">
        <is>
          <t>No</t>
        </is>
      </c>
      <c r="B1388" t="inlineStr">
        <is>
          <t>DS557.7 .W37 1978</t>
        </is>
      </c>
      <c r="C1388" t="inlineStr">
        <is>
          <t>0                      DS 0557700W  37          1978</t>
        </is>
      </c>
      <c r="D1388" t="inlineStr">
        <is>
          <t>Certain victory : how Hanoi won the war / Denis Warner.</t>
        </is>
      </c>
      <c r="F1388" t="inlineStr">
        <is>
          <t>No</t>
        </is>
      </c>
      <c r="G1388" t="inlineStr">
        <is>
          <t>1</t>
        </is>
      </c>
      <c r="H1388" t="inlineStr">
        <is>
          <t>No</t>
        </is>
      </c>
      <c r="I1388" t="inlineStr">
        <is>
          <t>No</t>
        </is>
      </c>
      <c r="J1388" t="inlineStr">
        <is>
          <t>0</t>
        </is>
      </c>
      <c r="K1388" t="inlineStr">
        <is>
          <t>Warner, Denis, 1917-2012.</t>
        </is>
      </c>
      <c r="L1388" t="inlineStr">
        <is>
          <t>Kansas City, Kan. : Sheed Andrews and McMeel, c1978.</t>
        </is>
      </c>
      <c r="M1388" t="inlineStr">
        <is>
          <t>1978</t>
        </is>
      </c>
      <c r="O1388" t="inlineStr">
        <is>
          <t>eng</t>
        </is>
      </c>
      <c r="P1388" t="inlineStr">
        <is>
          <t>ksu</t>
        </is>
      </c>
      <c r="R1388" t="inlineStr">
        <is>
          <t xml:space="preserve">DS </t>
        </is>
      </c>
      <c r="S1388" t="n">
        <v>1</v>
      </c>
      <c r="T1388" t="n">
        <v>1</v>
      </c>
      <c r="U1388" t="inlineStr">
        <is>
          <t>2008-10-22</t>
        </is>
      </c>
      <c r="V1388" t="inlineStr">
        <is>
          <t>2008-10-22</t>
        </is>
      </c>
      <c r="W1388" t="inlineStr">
        <is>
          <t>1990-10-10</t>
        </is>
      </c>
      <c r="X1388" t="inlineStr">
        <is>
          <t>1990-10-10</t>
        </is>
      </c>
      <c r="Y1388" t="n">
        <v>331</v>
      </c>
      <c r="Z1388" t="n">
        <v>305</v>
      </c>
      <c r="AA1388" t="n">
        <v>343</v>
      </c>
      <c r="AB1388" t="n">
        <v>1</v>
      </c>
      <c r="AC1388" t="n">
        <v>1</v>
      </c>
      <c r="AD1388" t="n">
        <v>8</v>
      </c>
      <c r="AE1388" t="n">
        <v>10</v>
      </c>
      <c r="AF1388" t="n">
        <v>2</v>
      </c>
      <c r="AG1388" t="n">
        <v>2</v>
      </c>
      <c r="AH1388" t="n">
        <v>3</v>
      </c>
      <c r="AI1388" t="n">
        <v>4</v>
      </c>
      <c r="AJ1388" t="n">
        <v>5</v>
      </c>
      <c r="AK1388" t="n">
        <v>7</v>
      </c>
      <c r="AL1388" t="n">
        <v>0</v>
      </c>
      <c r="AM1388" t="n">
        <v>0</v>
      </c>
      <c r="AN1388" t="n">
        <v>0</v>
      </c>
      <c r="AO1388" t="n">
        <v>0</v>
      </c>
      <c r="AP1388" t="inlineStr">
        <is>
          <t>No</t>
        </is>
      </c>
      <c r="AQ1388" t="inlineStr">
        <is>
          <t>Yes</t>
        </is>
      </c>
      <c r="AR1388">
        <f>HYPERLINK("http://catalog.hathitrust.org/Record/000135489","HathiTrust Record")</f>
        <v/>
      </c>
      <c r="AS1388">
        <f>HYPERLINK("https://creighton-primo.hosted.exlibrisgroup.com/primo-explore/search?tab=default_tab&amp;search_scope=EVERYTHING&amp;vid=01CRU&amp;lang=en_US&amp;offset=0&amp;query=any,contains,991004528839702656","Catalog Record")</f>
        <v/>
      </c>
      <c r="AT1388">
        <f>HYPERLINK("http://www.worldcat.org/oclc/3844472","WorldCat Record")</f>
        <v/>
      </c>
      <c r="AU1388" t="inlineStr">
        <is>
          <t>3943672957:eng</t>
        </is>
      </c>
      <c r="AV1388" t="inlineStr">
        <is>
          <t>3844472</t>
        </is>
      </c>
      <c r="AW1388" t="inlineStr">
        <is>
          <t>991004528839702656</t>
        </is>
      </c>
      <c r="AX1388" t="inlineStr">
        <is>
          <t>991004528839702656</t>
        </is>
      </c>
      <c r="AY1388" t="inlineStr">
        <is>
          <t>2264766030002656</t>
        </is>
      </c>
      <c r="AZ1388" t="inlineStr">
        <is>
          <t>BOOK</t>
        </is>
      </c>
      <c r="BB1388" t="inlineStr">
        <is>
          <t>9780836262018</t>
        </is>
      </c>
      <c r="BC1388" t="inlineStr">
        <is>
          <t>32285000337500</t>
        </is>
      </c>
      <c r="BD1388" t="inlineStr">
        <is>
          <t>893526208</t>
        </is>
      </c>
    </row>
    <row r="1389">
      <c r="A1389" t="inlineStr">
        <is>
          <t>No</t>
        </is>
      </c>
      <c r="B1389" t="inlineStr">
        <is>
          <t>DS557.7 .W38 1988</t>
        </is>
      </c>
      <c r="C1389" t="inlineStr">
        <is>
          <t>0                      DS 0557700W  38          1988</t>
        </is>
      </c>
      <c r="D1389" t="inlineStr">
        <is>
          <t>War in the shadows / by the editors of Boston Publishing Company.</t>
        </is>
      </c>
      <c r="F1389" t="inlineStr">
        <is>
          <t>No</t>
        </is>
      </c>
      <c r="G1389" t="inlineStr">
        <is>
          <t>1</t>
        </is>
      </c>
      <c r="H1389" t="inlineStr">
        <is>
          <t>No</t>
        </is>
      </c>
      <c r="I1389" t="inlineStr">
        <is>
          <t>No</t>
        </is>
      </c>
      <c r="J1389" t="inlineStr">
        <is>
          <t>0</t>
        </is>
      </c>
      <c r="L1389" t="inlineStr">
        <is>
          <t>Boston, MA : Boston Publishing Company, c1988.</t>
        </is>
      </c>
      <c r="M1389" t="inlineStr">
        <is>
          <t>1988</t>
        </is>
      </c>
      <c r="O1389" t="inlineStr">
        <is>
          <t>eng</t>
        </is>
      </c>
      <c r="P1389" t="inlineStr">
        <is>
          <t>mau</t>
        </is>
      </c>
      <c r="Q1389" t="inlineStr">
        <is>
          <t>The Vietnam experience</t>
        </is>
      </c>
      <c r="R1389" t="inlineStr">
        <is>
          <t xml:space="preserve">DS </t>
        </is>
      </c>
      <c r="S1389" t="n">
        <v>14</v>
      </c>
      <c r="T1389" t="n">
        <v>14</v>
      </c>
      <c r="U1389" t="inlineStr">
        <is>
          <t>1998-03-02</t>
        </is>
      </c>
      <c r="V1389" t="inlineStr">
        <is>
          <t>1998-03-02</t>
        </is>
      </c>
      <c r="W1389" t="inlineStr">
        <is>
          <t>1990-10-18</t>
        </is>
      </c>
      <c r="X1389" t="inlineStr">
        <is>
          <t>1990-10-18</t>
        </is>
      </c>
      <c r="Y1389" t="n">
        <v>788</v>
      </c>
      <c r="Z1389" t="n">
        <v>754</v>
      </c>
      <c r="AA1389" t="n">
        <v>762</v>
      </c>
      <c r="AB1389" t="n">
        <v>6</v>
      </c>
      <c r="AC1389" t="n">
        <v>6</v>
      </c>
      <c r="AD1389" t="n">
        <v>8</v>
      </c>
      <c r="AE1389" t="n">
        <v>8</v>
      </c>
      <c r="AF1389" t="n">
        <v>3</v>
      </c>
      <c r="AG1389" t="n">
        <v>3</v>
      </c>
      <c r="AH1389" t="n">
        <v>3</v>
      </c>
      <c r="AI1389" t="n">
        <v>3</v>
      </c>
      <c r="AJ1389" t="n">
        <v>6</v>
      </c>
      <c r="AK1389" t="n">
        <v>6</v>
      </c>
      <c r="AL1389" t="n">
        <v>0</v>
      </c>
      <c r="AM1389" t="n">
        <v>0</v>
      </c>
      <c r="AN1389" t="n">
        <v>0</v>
      </c>
      <c r="AO1389" t="n">
        <v>0</v>
      </c>
      <c r="AP1389" t="inlineStr">
        <is>
          <t>No</t>
        </is>
      </c>
      <c r="AQ1389" t="inlineStr">
        <is>
          <t>Yes</t>
        </is>
      </c>
      <c r="AR1389">
        <f>HYPERLINK("http://catalog.hathitrust.org/Record/012268667","HathiTrust Record")</f>
        <v/>
      </c>
      <c r="AS1389">
        <f>HYPERLINK("https://creighton-primo.hosted.exlibrisgroup.com/primo-explore/search?tab=default_tab&amp;search_scope=EVERYTHING&amp;vid=01CRU&amp;lang=en_US&amp;offset=0&amp;query=any,contains,991001295929702656","Catalog Record")</f>
        <v/>
      </c>
      <c r="AT1389">
        <f>HYPERLINK("http://www.worldcat.org/oclc/18034212","WorldCat Record")</f>
        <v/>
      </c>
      <c r="AU1389" t="inlineStr">
        <is>
          <t>16901615:eng</t>
        </is>
      </c>
      <c r="AV1389" t="inlineStr">
        <is>
          <t>18034212</t>
        </is>
      </c>
      <c r="AW1389" t="inlineStr">
        <is>
          <t>991001295929702656</t>
        </is>
      </c>
      <c r="AX1389" t="inlineStr">
        <is>
          <t>991001295929702656</t>
        </is>
      </c>
      <c r="AY1389" t="inlineStr">
        <is>
          <t>2264771400002656</t>
        </is>
      </c>
      <c r="AZ1389" t="inlineStr">
        <is>
          <t>BOOK</t>
        </is>
      </c>
      <c r="BB1389" t="inlineStr">
        <is>
          <t>9780939526383</t>
        </is>
      </c>
      <c r="BC1389" t="inlineStr">
        <is>
          <t>32285000338490</t>
        </is>
      </c>
      <c r="BD1389" t="inlineStr">
        <is>
          <t>893231889</t>
        </is>
      </c>
    </row>
    <row r="1390">
      <c r="A1390" t="inlineStr">
        <is>
          <t>No</t>
        </is>
      </c>
      <c r="B1390" t="inlineStr">
        <is>
          <t>DS557.7 .W49 2002</t>
        </is>
      </c>
      <c r="C1390" t="inlineStr">
        <is>
          <t>0                      DS 0557700W  49          2002</t>
        </is>
      </c>
      <c r="D1390" t="inlineStr">
        <is>
          <t>Why the North won the Vietnam War / edited by Marc Jason Gilbert.</t>
        </is>
      </c>
      <c r="F1390" t="inlineStr">
        <is>
          <t>No</t>
        </is>
      </c>
      <c r="G1390" t="inlineStr">
        <is>
          <t>1</t>
        </is>
      </c>
      <c r="H1390" t="inlineStr">
        <is>
          <t>No</t>
        </is>
      </c>
      <c r="I1390" t="inlineStr">
        <is>
          <t>No</t>
        </is>
      </c>
      <c r="J1390" t="inlineStr">
        <is>
          <t>0</t>
        </is>
      </c>
      <c r="L1390" t="inlineStr">
        <is>
          <t>New York : Palgrave, 2002.</t>
        </is>
      </c>
      <c r="M1390" t="inlineStr">
        <is>
          <t>2002</t>
        </is>
      </c>
      <c r="N1390" t="inlineStr">
        <is>
          <t>1st ed.</t>
        </is>
      </c>
      <c r="O1390" t="inlineStr">
        <is>
          <t>eng</t>
        </is>
      </c>
      <c r="P1390" t="inlineStr">
        <is>
          <t>nyu</t>
        </is>
      </c>
      <c r="R1390" t="inlineStr">
        <is>
          <t xml:space="preserve">DS </t>
        </is>
      </c>
      <c r="S1390" t="n">
        <v>6</v>
      </c>
      <c r="T1390" t="n">
        <v>6</v>
      </c>
      <c r="U1390" t="inlineStr">
        <is>
          <t>2010-02-21</t>
        </is>
      </c>
      <c r="V1390" t="inlineStr">
        <is>
          <t>2010-02-21</t>
        </is>
      </c>
      <c r="W1390" t="inlineStr">
        <is>
          <t>2003-09-17</t>
        </is>
      </c>
      <c r="X1390" t="inlineStr">
        <is>
          <t>2003-09-17</t>
        </is>
      </c>
      <c r="Y1390" t="n">
        <v>635</v>
      </c>
      <c r="Z1390" t="n">
        <v>527</v>
      </c>
      <c r="AA1390" t="n">
        <v>555</v>
      </c>
      <c r="AB1390" t="n">
        <v>4</v>
      </c>
      <c r="AC1390" t="n">
        <v>4</v>
      </c>
      <c r="AD1390" t="n">
        <v>23</v>
      </c>
      <c r="AE1390" t="n">
        <v>23</v>
      </c>
      <c r="AF1390" t="n">
        <v>10</v>
      </c>
      <c r="AG1390" t="n">
        <v>10</v>
      </c>
      <c r="AH1390" t="n">
        <v>4</v>
      </c>
      <c r="AI1390" t="n">
        <v>4</v>
      </c>
      <c r="AJ1390" t="n">
        <v>13</v>
      </c>
      <c r="AK1390" t="n">
        <v>13</v>
      </c>
      <c r="AL1390" t="n">
        <v>3</v>
      </c>
      <c r="AM1390" t="n">
        <v>3</v>
      </c>
      <c r="AN1390" t="n">
        <v>0</v>
      </c>
      <c r="AO1390" t="n">
        <v>0</v>
      </c>
      <c r="AP1390" t="inlineStr">
        <is>
          <t>No</t>
        </is>
      </c>
      <c r="AQ1390" t="inlineStr">
        <is>
          <t>No</t>
        </is>
      </c>
      <c r="AS1390">
        <f>HYPERLINK("https://creighton-primo.hosted.exlibrisgroup.com/primo-explore/search?tab=default_tab&amp;search_scope=EVERYTHING&amp;vid=01CRU&amp;lang=en_US&amp;offset=0&amp;query=any,contains,991004108449702656","Catalog Record")</f>
        <v/>
      </c>
      <c r="AT1390">
        <f>HYPERLINK("http://www.worldcat.org/oclc/48390660","WorldCat Record")</f>
        <v/>
      </c>
      <c r="AU1390" t="inlineStr">
        <is>
          <t>1005013795:eng</t>
        </is>
      </c>
      <c r="AV1390" t="inlineStr">
        <is>
          <t>48390660</t>
        </is>
      </c>
      <c r="AW1390" t="inlineStr">
        <is>
          <t>991004108449702656</t>
        </is>
      </c>
      <c r="AX1390" t="inlineStr">
        <is>
          <t>991004108449702656</t>
        </is>
      </c>
      <c r="AY1390" t="inlineStr">
        <is>
          <t>2256384170002656</t>
        </is>
      </c>
      <c r="AZ1390" t="inlineStr">
        <is>
          <t>BOOK</t>
        </is>
      </c>
      <c r="BB1390" t="inlineStr">
        <is>
          <t>9780312295264</t>
        </is>
      </c>
      <c r="BC1390" t="inlineStr">
        <is>
          <t>32285004783360</t>
        </is>
      </c>
      <c r="BD1390" t="inlineStr">
        <is>
          <t>893442217</t>
        </is>
      </c>
    </row>
    <row r="1391">
      <c r="A1391" t="inlineStr">
        <is>
          <t>No</t>
        </is>
      </c>
      <c r="B1391" t="inlineStr">
        <is>
          <t>DS557.7.D68 N37 1984</t>
        </is>
      </c>
      <c r="C1391" t="inlineStr">
        <is>
          <t>0                      DS 0557700D  68                 N  37          1984</t>
        </is>
      </c>
      <c r="D1391" t="inlineStr">
        <is>
          <t>A Nation divided / by Clark Dougan, Samuel Lipsman, and the editors of Boston Publishing Company.</t>
        </is>
      </c>
      <c r="F1391" t="inlineStr">
        <is>
          <t>No</t>
        </is>
      </c>
      <c r="G1391" t="inlineStr">
        <is>
          <t>1</t>
        </is>
      </c>
      <c r="H1391" t="inlineStr">
        <is>
          <t>No</t>
        </is>
      </c>
      <c r="I1391" t="inlineStr">
        <is>
          <t>No</t>
        </is>
      </c>
      <c r="J1391" t="inlineStr">
        <is>
          <t>0</t>
        </is>
      </c>
      <c r="K1391" t="inlineStr">
        <is>
          <t>Dougan, Clark.</t>
        </is>
      </c>
      <c r="L1391" t="inlineStr">
        <is>
          <t>Boston, Mass. : Boston Publishing Co., 1984.</t>
        </is>
      </c>
      <c r="M1391" t="inlineStr">
        <is>
          <t>1984</t>
        </is>
      </c>
      <c r="O1391" t="inlineStr">
        <is>
          <t>eng</t>
        </is>
      </c>
      <c r="P1391" t="inlineStr">
        <is>
          <t>mau</t>
        </is>
      </c>
      <c r="Q1391" t="inlineStr">
        <is>
          <t>The Vietnam Experience</t>
        </is>
      </c>
      <c r="R1391" t="inlineStr">
        <is>
          <t xml:space="preserve">DS </t>
        </is>
      </c>
      <c r="S1391" t="n">
        <v>11</v>
      </c>
      <c r="T1391" t="n">
        <v>11</v>
      </c>
      <c r="U1391" t="inlineStr">
        <is>
          <t>1998-03-03</t>
        </is>
      </c>
      <c r="V1391" t="inlineStr">
        <is>
          <t>1998-03-03</t>
        </is>
      </c>
      <c r="W1391" t="inlineStr">
        <is>
          <t>1990-03-21</t>
        </is>
      </c>
      <c r="X1391" t="inlineStr">
        <is>
          <t>1990-03-21</t>
        </is>
      </c>
      <c r="Y1391" t="n">
        <v>1752</v>
      </c>
      <c r="Z1391" t="n">
        <v>1667</v>
      </c>
      <c r="AA1391" t="n">
        <v>1674</v>
      </c>
      <c r="AB1391" t="n">
        <v>15</v>
      </c>
      <c r="AC1391" t="n">
        <v>15</v>
      </c>
      <c r="AD1391" t="n">
        <v>18</v>
      </c>
      <c r="AE1391" t="n">
        <v>18</v>
      </c>
      <c r="AF1391" t="n">
        <v>6</v>
      </c>
      <c r="AG1391" t="n">
        <v>6</v>
      </c>
      <c r="AH1391" t="n">
        <v>5</v>
      </c>
      <c r="AI1391" t="n">
        <v>5</v>
      </c>
      <c r="AJ1391" t="n">
        <v>12</v>
      </c>
      <c r="AK1391" t="n">
        <v>12</v>
      </c>
      <c r="AL1391" t="n">
        <v>1</v>
      </c>
      <c r="AM1391" t="n">
        <v>1</v>
      </c>
      <c r="AN1391" t="n">
        <v>0</v>
      </c>
      <c r="AO1391" t="n">
        <v>0</v>
      </c>
      <c r="AP1391" t="inlineStr">
        <is>
          <t>No</t>
        </is>
      </c>
      <c r="AQ1391" t="inlineStr">
        <is>
          <t>Yes</t>
        </is>
      </c>
      <c r="AR1391">
        <f>HYPERLINK("http://catalog.hathitrust.org/Record/000453754","HathiTrust Record")</f>
        <v/>
      </c>
      <c r="AS1391">
        <f>HYPERLINK("https://creighton-primo.hosted.exlibrisgroup.com/primo-explore/search?tab=default_tab&amp;search_scope=EVERYTHING&amp;vid=01CRU&amp;lang=en_US&amp;offset=0&amp;query=any,contains,991000518479702656","Catalog Record")</f>
        <v/>
      </c>
      <c r="AT1391">
        <f>HYPERLINK("http://www.worldcat.org/oclc/11313827","WorldCat Record")</f>
        <v/>
      </c>
      <c r="AU1391" t="inlineStr">
        <is>
          <t>3798999:eng</t>
        </is>
      </c>
      <c r="AV1391" t="inlineStr">
        <is>
          <t>11313827</t>
        </is>
      </c>
      <c r="AW1391" t="inlineStr">
        <is>
          <t>991000518479702656</t>
        </is>
      </c>
      <c r="AX1391" t="inlineStr">
        <is>
          <t>991000518479702656</t>
        </is>
      </c>
      <c r="AY1391" t="inlineStr">
        <is>
          <t>2257664940002656</t>
        </is>
      </c>
      <c r="AZ1391" t="inlineStr">
        <is>
          <t>BOOK</t>
        </is>
      </c>
      <c r="BB1391" t="inlineStr">
        <is>
          <t>9780939526116</t>
        </is>
      </c>
      <c r="BC1391" t="inlineStr">
        <is>
          <t>32285000089432</t>
        </is>
      </c>
      <c r="BD1391" t="inlineStr">
        <is>
          <t>893802844</t>
        </is>
      </c>
    </row>
    <row r="1392">
      <c r="A1392" t="inlineStr">
        <is>
          <t>No</t>
        </is>
      </c>
      <c r="B1392" t="inlineStr">
        <is>
          <t>DS557.72 .P34 2002</t>
        </is>
      </c>
      <c r="C1392" t="inlineStr">
        <is>
          <t>0                      DS 0557720P  34          2002</t>
        </is>
      </c>
      <c r="D1392" t="inlineStr">
        <is>
          <t>Another Vietnam : pictures of the war from the other side / Tim Page ; edited by Doug Niven and Chris Riley ; foreword by Henry Allen.</t>
        </is>
      </c>
      <c r="F1392" t="inlineStr">
        <is>
          <t>No</t>
        </is>
      </c>
      <c r="G1392" t="inlineStr">
        <is>
          <t>1</t>
        </is>
      </c>
      <c r="H1392" t="inlineStr">
        <is>
          <t>No</t>
        </is>
      </c>
      <c r="I1392" t="inlineStr">
        <is>
          <t>No</t>
        </is>
      </c>
      <c r="J1392" t="inlineStr">
        <is>
          <t>0</t>
        </is>
      </c>
      <c r="K1392" t="inlineStr">
        <is>
          <t>Page, Tim, 1944-</t>
        </is>
      </c>
      <c r="L1392" t="inlineStr">
        <is>
          <t>Washington, D.C. : National Geographic, 2002.</t>
        </is>
      </c>
      <c r="M1392" t="inlineStr">
        <is>
          <t>2002</t>
        </is>
      </c>
      <c r="O1392" t="inlineStr">
        <is>
          <t>eng</t>
        </is>
      </c>
      <c r="P1392" t="inlineStr">
        <is>
          <t>dcu</t>
        </is>
      </c>
      <c r="R1392" t="inlineStr">
        <is>
          <t xml:space="preserve">DS </t>
        </is>
      </c>
      <c r="S1392" t="n">
        <v>9</v>
      </c>
      <c r="T1392" t="n">
        <v>9</v>
      </c>
      <c r="U1392" t="inlineStr">
        <is>
          <t>2006-02-15</t>
        </is>
      </c>
      <c r="V1392" t="inlineStr">
        <is>
          <t>2006-02-15</t>
        </is>
      </c>
      <c r="W1392" t="inlineStr">
        <is>
          <t>2002-08-15</t>
        </is>
      </c>
      <c r="X1392" t="inlineStr">
        <is>
          <t>2002-08-15</t>
        </is>
      </c>
      <c r="Y1392" t="n">
        <v>629</v>
      </c>
      <c r="Z1392" t="n">
        <v>557</v>
      </c>
      <c r="AA1392" t="n">
        <v>564</v>
      </c>
      <c r="AB1392" t="n">
        <v>4</v>
      </c>
      <c r="AC1392" t="n">
        <v>4</v>
      </c>
      <c r="AD1392" t="n">
        <v>11</v>
      </c>
      <c r="AE1392" t="n">
        <v>12</v>
      </c>
      <c r="AF1392" t="n">
        <v>5</v>
      </c>
      <c r="AG1392" t="n">
        <v>5</v>
      </c>
      <c r="AH1392" t="n">
        <v>6</v>
      </c>
      <c r="AI1392" t="n">
        <v>6</v>
      </c>
      <c r="AJ1392" t="n">
        <v>4</v>
      </c>
      <c r="AK1392" t="n">
        <v>5</v>
      </c>
      <c r="AL1392" t="n">
        <v>1</v>
      </c>
      <c r="AM1392" t="n">
        <v>1</v>
      </c>
      <c r="AN1392" t="n">
        <v>0</v>
      </c>
      <c r="AO1392" t="n">
        <v>0</v>
      </c>
      <c r="AP1392" t="inlineStr">
        <is>
          <t>No</t>
        </is>
      </c>
      <c r="AQ1392" t="inlineStr">
        <is>
          <t>Yes</t>
        </is>
      </c>
      <c r="AR1392">
        <f>HYPERLINK("http://catalog.hathitrust.org/Record/004282445","HathiTrust Record")</f>
        <v/>
      </c>
      <c r="AS1392">
        <f>HYPERLINK("https://creighton-primo.hosted.exlibrisgroup.com/primo-explore/search?tab=default_tab&amp;search_scope=EVERYTHING&amp;vid=01CRU&amp;lang=en_US&amp;offset=0&amp;query=any,contains,991003848839702656","Catalog Record")</f>
        <v/>
      </c>
      <c r="AT1392">
        <f>HYPERLINK("http://www.worldcat.org/oclc/48390575","WorldCat Record")</f>
        <v/>
      </c>
      <c r="AU1392" t="inlineStr">
        <is>
          <t>141019511:eng</t>
        </is>
      </c>
      <c r="AV1392" t="inlineStr">
        <is>
          <t>48390575</t>
        </is>
      </c>
      <c r="AW1392" t="inlineStr">
        <is>
          <t>991003848839702656</t>
        </is>
      </c>
      <c r="AX1392" t="inlineStr">
        <is>
          <t>991003848839702656</t>
        </is>
      </c>
      <c r="AY1392" t="inlineStr">
        <is>
          <t>2256350570002656</t>
        </is>
      </c>
      <c r="AZ1392" t="inlineStr">
        <is>
          <t>BOOK</t>
        </is>
      </c>
      <c r="BB1392" t="inlineStr">
        <is>
          <t>9780792264651</t>
        </is>
      </c>
      <c r="BC1392" t="inlineStr">
        <is>
          <t>32285004643499</t>
        </is>
      </c>
      <c r="BD1392" t="inlineStr">
        <is>
          <t>893252856</t>
        </is>
      </c>
    </row>
    <row r="1393">
      <c r="A1393" t="inlineStr">
        <is>
          <t>No</t>
        </is>
      </c>
      <c r="B1393" t="inlineStr">
        <is>
          <t>DS557.73 .M87 1995</t>
        </is>
      </c>
      <c r="C1393" t="inlineStr">
        <is>
          <t>0                      DS 0557730M  87          1995</t>
        </is>
      </c>
      <c r="D1393" t="inlineStr">
        <is>
          <t>The land of Nam : the Vietnam war in American film / Eben J. Muse.</t>
        </is>
      </c>
      <c r="F1393" t="inlineStr">
        <is>
          <t>No</t>
        </is>
      </c>
      <c r="G1393" t="inlineStr">
        <is>
          <t>1</t>
        </is>
      </c>
      <c r="H1393" t="inlineStr">
        <is>
          <t>No</t>
        </is>
      </c>
      <c r="I1393" t="inlineStr">
        <is>
          <t>No</t>
        </is>
      </c>
      <c r="J1393" t="inlineStr">
        <is>
          <t>0</t>
        </is>
      </c>
      <c r="K1393" t="inlineStr">
        <is>
          <t>Muse, Eben J.</t>
        </is>
      </c>
      <c r="L1393" t="inlineStr">
        <is>
          <t>Lanham, Md. : Scarecrow Press, c1995.</t>
        </is>
      </c>
      <c r="M1393" t="inlineStr">
        <is>
          <t>1995</t>
        </is>
      </c>
      <c r="O1393" t="inlineStr">
        <is>
          <t>eng</t>
        </is>
      </c>
      <c r="P1393" t="inlineStr">
        <is>
          <t>nju</t>
        </is>
      </c>
      <c r="R1393" t="inlineStr">
        <is>
          <t xml:space="preserve">DS </t>
        </is>
      </c>
      <c r="S1393" t="n">
        <v>9</v>
      </c>
      <c r="T1393" t="n">
        <v>9</v>
      </c>
      <c r="U1393" t="inlineStr">
        <is>
          <t>2007-10-23</t>
        </is>
      </c>
      <c r="V1393" t="inlineStr">
        <is>
          <t>2007-10-23</t>
        </is>
      </c>
      <c r="W1393" t="inlineStr">
        <is>
          <t>1996-05-31</t>
        </is>
      </c>
      <c r="X1393" t="inlineStr">
        <is>
          <t>1996-05-31</t>
        </is>
      </c>
      <c r="Y1393" t="n">
        <v>360</v>
      </c>
      <c r="Z1393" t="n">
        <v>298</v>
      </c>
      <c r="AA1393" t="n">
        <v>303</v>
      </c>
      <c r="AB1393" t="n">
        <v>3</v>
      </c>
      <c r="AC1393" t="n">
        <v>3</v>
      </c>
      <c r="AD1393" t="n">
        <v>13</v>
      </c>
      <c r="AE1393" t="n">
        <v>13</v>
      </c>
      <c r="AF1393" t="n">
        <v>4</v>
      </c>
      <c r="AG1393" t="n">
        <v>4</v>
      </c>
      <c r="AH1393" t="n">
        <v>7</v>
      </c>
      <c r="AI1393" t="n">
        <v>7</v>
      </c>
      <c r="AJ1393" t="n">
        <v>3</v>
      </c>
      <c r="AK1393" t="n">
        <v>3</v>
      </c>
      <c r="AL1393" t="n">
        <v>2</v>
      </c>
      <c r="AM1393" t="n">
        <v>2</v>
      </c>
      <c r="AN1393" t="n">
        <v>0</v>
      </c>
      <c r="AO1393" t="n">
        <v>0</v>
      </c>
      <c r="AP1393" t="inlineStr">
        <is>
          <t>No</t>
        </is>
      </c>
      <c r="AQ1393" t="inlineStr">
        <is>
          <t>Yes</t>
        </is>
      </c>
      <c r="AR1393">
        <f>HYPERLINK("http://catalog.hathitrust.org/Record/003020804","HathiTrust Record")</f>
        <v/>
      </c>
      <c r="AS1393">
        <f>HYPERLINK("https://creighton-primo.hosted.exlibrisgroup.com/primo-explore/search?tab=default_tab&amp;search_scope=EVERYTHING&amp;vid=01CRU&amp;lang=en_US&amp;offset=0&amp;query=any,contains,991002394069702656","Catalog Record")</f>
        <v/>
      </c>
      <c r="AT1393">
        <f>HYPERLINK("http://www.worldcat.org/oclc/31077484","WorldCat Record")</f>
        <v/>
      </c>
      <c r="AU1393" t="inlineStr">
        <is>
          <t>836949693:eng</t>
        </is>
      </c>
      <c r="AV1393" t="inlineStr">
        <is>
          <t>31077484</t>
        </is>
      </c>
      <c r="AW1393" t="inlineStr">
        <is>
          <t>991002394069702656</t>
        </is>
      </c>
      <c r="AX1393" t="inlineStr">
        <is>
          <t>991002394069702656</t>
        </is>
      </c>
      <c r="AY1393" t="inlineStr">
        <is>
          <t>2272123260002656</t>
        </is>
      </c>
      <c r="AZ1393" t="inlineStr">
        <is>
          <t>BOOK</t>
        </is>
      </c>
      <c r="BB1393" t="inlineStr">
        <is>
          <t>9780810829527</t>
        </is>
      </c>
      <c r="BC1393" t="inlineStr">
        <is>
          <t>32285002185659</t>
        </is>
      </c>
      <c r="BD1393" t="inlineStr">
        <is>
          <t>893427548</t>
        </is>
      </c>
    </row>
    <row r="1394">
      <c r="A1394" t="inlineStr">
        <is>
          <t>No</t>
        </is>
      </c>
      <c r="B1394" t="inlineStr">
        <is>
          <t>DS557.8.A53 T63 2001</t>
        </is>
      </c>
      <c r="C1394" t="inlineStr">
        <is>
          <t>0                      DS 0557800A  53                 T  63          2001</t>
        </is>
      </c>
      <c r="D1394" t="inlineStr">
        <is>
          <t>The battle of Ap Bac, Vietnam : they did everything but learn from it / David M. Toczek ; foreword by W.B. Rosson.</t>
        </is>
      </c>
      <c r="F1394" t="inlineStr">
        <is>
          <t>No</t>
        </is>
      </c>
      <c r="G1394" t="inlineStr">
        <is>
          <t>1</t>
        </is>
      </c>
      <c r="H1394" t="inlineStr">
        <is>
          <t>No</t>
        </is>
      </c>
      <c r="I1394" t="inlineStr">
        <is>
          <t>No</t>
        </is>
      </c>
      <c r="J1394" t="inlineStr">
        <is>
          <t>0</t>
        </is>
      </c>
      <c r="K1394" t="inlineStr">
        <is>
          <t>Toczek, David M., 1966-</t>
        </is>
      </c>
      <c r="L1394" t="inlineStr">
        <is>
          <t>Westport, Conn. : Greenwood Press, 2001.</t>
        </is>
      </c>
      <c r="M1394" t="inlineStr">
        <is>
          <t>2001</t>
        </is>
      </c>
      <c r="O1394" t="inlineStr">
        <is>
          <t>eng</t>
        </is>
      </c>
      <c r="P1394" t="inlineStr">
        <is>
          <t>ctu</t>
        </is>
      </c>
      <c r="Q1394" t="inlineStr">
        <is>
          <t>Contributions in military studies, 0883-6884 ; no. 208</t>
        </is>
      </c>
      <c r="R1394" t="inlineStr">
        <is>
          <t xml:space="preserve">DS </t>
        </is>
      </c>
      <c r="S1394" t="n">
        <v>2</v>
      </c>
      <c r="T1394" t="n">
        <v>2</v>
      </c>
      <c r="U1394" t="inlineStr">
        <is>
          <t>2005-11-18</t>
        </is>
      </c>
      <c r="V1394" t="inlineStr">
        <is>
          <t>2005-11-18</t>
        </is>
      </c>
      <c r="W1394" t="inlineStr">
        <is>
          <t>2005-10-31</t>
        </is>
      </c>
      <c r="X1394" t="inlineStr">
        <is>
          <t>2005-10-31</t>
        </is>
      </c>
      <c r="Y1394" t="n">
        <v>176</v>
      </c>
      <c r="Z1394" t="n">
        <v>154</v>
      </c>
      <c r="AA1394" t="n">
        <v>542</v>
      </c>
      <c r="AB1394" t="n">
        <v>2</v>
      </c>
      <c r="AC1394" t="n">
        <v>5</v>
      </c>
      <c r="AD1394" t="n">
        <v>6</v>
      </c>
      <c r="AE1394" t="n">
        <v>13</v>
      </c>
      <c r="AF1394" t="n">
        <v>1</v>
      </c>
      <c r="AG1394" t="n">
        <v>4</v>
      </c>
      <c r="AH1394" t="n">
        <v>3</v>
      </c>
      <c r="AI1394" t="n">
        <v>3</v>
      </c>
      <c r="AJ1394" t="n">
        <v>4</v>
      </c>
      <c r="AK1394" t="n">
        <v>6</v>
      </c>
      <c r="AL1394" t="n">
        <v>1</v>
      </c>
      <c r="AM1394" t="n">
        <v>4</v>
      </c>
      <c r="AN1394" t="n">
        <v>0</v>
      </c>
      <c r="AO1394" t="n">
        <v>0</v>
      </c>
      <c r="AP1394" t="inlineStr">
        <is>
          <t>No</t>
        </is>
      </c>
      <c r="AQ1394" t="inlineStr">
        <is>
          <t>Yes</t>
        </is>
      </c>
      <c r="AR1394">
        <f>HYPERLINK("http://catalog.hathitrust.org/Record/003551102","HathiTrust Record")</f>
        <v/>
      </c>
      <c r="AS1394">
        <f>HYPERLINK("https://creighton-primo.hosted.exlibrisgroup.com/primo-explore/search?tab=default_tab&amp;search_scope=EVERYTHING&amp;vid=01CRU&amp;lang=en_US&amp;offset=0&amp;query=any,contains,991004611929702656","Catalog Record")</f>
        <v/>
      </c>
      <c r="AT1394">
        <f>HYPERLINK("http://www.worldcat.org/oclc/45655342","WorldCat Record")</f>
        <v/>
      </c>
      <c r="AU1394" t="inlineStr">
        <is>
          <t>2634188:eng</t>
        </is>
      </c>
      <c r="AV1394" t="inlineStr">
        <is>
          <t>45655342</t>
        </is>
      </c>
      <c r="AW1394" t="inlineStr">
        <is>
          <t>991004611929702656</t>
        </is>
      </c>
      <c r="AX1394" t="inlineStr">
        <is>
          <t>991004611929702656</t>
        </is>
      </c>
      <c r="AY1394" t="inlineStr">
        <is>
          <t>2265596710002656</t>
        </is>
      </c>
      <c r="AZ1394" t="inlineStr">
        <is>
          <t>BOOK</t>
        </is>
      </c>
      <c r="BB1394" t="inlineStr">
        <is>
          <t>9780313316753</t>
        </is>
      </c>
      <c r="BC1394" t="inlineStr">
        <is>
          <t>32285005143457</t>
        </is>
      </c>
      <c r="BD1394" t="inlineStr">
        <is>
          <t>893612547</t>
        </is>
      </c>
    </row>
    <row r="1395">
      <c r="A1395" t="inlineStr">
        <is>
          <t>No</t>
        </is>
      </c>
      <c r="B1395" t="inlineStr">
        <is>
          <t>DS557.8.C3 S5</t>
        </is>
      </c>
      <c r="C1395" t="inlineStr">
        <is>
          <t>0                      DS 0557800C  3                  S  5</t>
        </is>
      </c>
      <c r="D1395" t="inlineStr">
        <is>
          <t>Sideshow : Kissinger, Nixon, and the destruction of Cambodia / William Shawcross.</t>
        </is>
      </c>
      <c r="F1395" t="inlineStr">
        <is>
          <t>No</t>
        </is>
      </c>
      <c r="G1395" t="inlineStr">
        <is>
          <t>1</t>
        </is>
      </c>
      <c r="H1395" t="inlineStr">
        <is>
          <t>No</t>
        </is>
      </c>
      <c r="I1395" t="inlineStr">
        <is>
          <t>No</t>
        </is>
      </c>
      <c r="J1395" t="inlineStr">
        <is>
          <t>0</t>
        </is>
      </c>
      <c r="K1395" t="inlineStr">
        <is>
          <t>Shawcross, William.</t>
        </is>
      </c>
      <c r="L1395" t="inlineStr">
        <is>
          <t>New York : Simon and Schuster, c1979.</t>
        </is>
      </c>
      <c r="M1395" t="inlineStr">
        <is>
          <t>1979</t>
        </is>
      </c>
      <c r="O1395" t="inlineStr">
        <is>
          <t>eng</t>
        </is>
      </c>
      <c r="P1395" t="inlineStr">
        <is>
          <t>nyu</t>
        </is>
      </c>
      <c r="R1395" t="inlineStr">
        <is>
          <t xml:space="preserve">DS </t>
        </is>
      </c>
      <c r="S1395" t="n">
        <v>3</v>
      </c>
      <c r="T1395" t="n">
        <v>3</v>
      </c>
      <c r="U1395" t="inlineStr">
        <is>
          <t>2003-11-29</t>
        </is>
      </c>
      <c r="V1395" t="inlineStr">
        <is>
          <t>2003-11-29</t>
        </is>
      </c>
      <c r="W1395" t="inlineStr">
        <is>
          <t>1990-03-21</t>
        </is>
      </c>
      <c r="X1395" t="inlineStr">
        <is>
          <t>1990-03-21</t>
        </is>
      </c>
      <c r="Y1395" t="n">
        <v>1611</v>
      </c>
      <c r="Z1395" t="n">
        <v>1484</v>
      </c>
      <c r="AA1395" t="n">
        <v>1837</v>
      </c>
      <c r="AB1395" t="n">
        <v>16</v>
      </c>
      <c r="AC1395" t="n">
        <v>18</v>
      </c>
      <c r="AD1395" t="n">
        <v>44</v>
      </c>
      <c r="AE1395" t="n">
        <v>60</v>
      </c>
      <c r="AF1395" t="n">
        <v>16</v>
      </c>
      <c r="AG1395" t="n">
        <v>25</v>
      </c>
      <c r="AH1395" t="n">
        <v>9</v>
      </c>
      <c r="AI1395" t="n">
        <v>10</v>
      </c>
      <c r="AJ1395" t="n">
        <v>16</v>
      </c>
      <c r="AK1395" t="n">
        <v>23</v>
      </c>
      <c r="AL1395" t="n">
        <v>10</v>
      </c>
      <c r="AM1395" t="n">
        <v>12</v>
      </c>
      <c r="AN1395" t="n">
        <v>2</v>
      </c>
      <c r="AO1395" t="n">
        <v>3</v>
      </c>
      <c r="AP1395" t="inlineStr">
        <is>
          <t>No</t>
        </is>
      </c>
      <c r="AQ1395" t="inlineStr">
        <is>
          <t>Yes</t>
        </is>
      </c>
      <c r="AR1395">
        <f>HYPERLINK("http://catalog.hathitrust.org/Record/000258655","HathiTrust Record")</f>
        <v/>
      </c>
      <c r="AS1395">
        <f>HYPERLINK("https://creighton-primo.hosted.exlibrisgroup.com/primo-explore/search?tab=default_tab&amp;search_scope=EVERYTHING&amp;vid=01CRU&amp;lang=en_US&amp;offset=0&amp;query=any,contains,991004681249702656","Catalog Record")</f>
        <v/>
      </c>
      <c r="AT1395">
        <f>HYPERLINK("http://www.worldcat.org/oclc/4569931","WorldCat Record")</f>
        <v/>
      </c>
      <c r="AU1395" t="inlineStr">
        <is>
          <t>26706724:eng</t>
        </is>
      </c>
      <c r="AV1395" t="inlineStr">
        <is>
          <t>4569931</t>
        </is>
      </c>
      <c r="AW1395" t="inlineStr">
        <is>
          <t>991004681249702656</t>
        </is>
      </c>
      <c r="AX1395" t="inlineStr">
        <is>
          <t>991004681249702656</t>
        </is>
      </c>
      <c r="AY1395" t="inlineStr">
        <is>
          <t>2256909730002656</t>
        </is>
      </c>
      <c r="AZ1395" t="inlineStr">
        <is>
          <t>BOOK</t>
        </is>
      </c>
      <c r="BB1395" t="inlineStr">
        <is>
          <t>9780671230708</t>
        </is>
      </c>
      <c r="BC1395" t="inlineStr">
        <is>
          <t>32285000089465</t>
        </is>
      </c>
      <c r="BD1395" t="inlineStr">
        <is>
          <t>893706706</t>
        </is>
      </c>
    </row>
    <row r="1396">
      <c r="A1396" t="inlineStr">
        <is>
          <t>No</t>
        </is>
      </c>
      <c r="B1396" t="inlineStr">
        <is>
          <t>DS557.8.M9 B55 1992</t>
        </is>
      </c>
      <c r="C1396" t="inlineStr">
        <is>
          <t>0                      DS 0557800M  9                  B  55          1992</t>
        </is>
      </c>
      <c r="D1396" t="inlineStr">
        <is>
          <t>Four hours in My Lai / Michael Bilton and Kevin Sim.</t>
        </is>
      </c>
      <c r="F1396" t="inlineStr">
        <is>
          <t>No</t>
        </is>
      </c>
      <c r="G1396" t="inlineStr">
        <is>
          <t>1</t>
        </is>
      </c>
      <c r="H1396" t="inlineStr">
        <is>
          <t>No</t>
        </is>
      </c>
      <c r="I1396" t="inlineStr">
        <is>
          <t>No</t>
        </is>
      </c>
      <c r="J1396" t="inlineStr">
        <is>
          <t>0</t>
        </is>
      </c>
      <c r="K1396" t="inlineStr">
        <is>
          <t>Bilton, Michael.</t>
        </is>
      </c>
      <c r="L1396" t="inlineStr">
        <is>
          <t>New York : Viking, 1992.</t>
        </is>
      </c>
      <c r="M1396" t="inlineStr">
        <is>
          <t>1992</t>
        </is>
      </c>
      <c r="O1396" t="inlineStr">
        <is>
          <t>eng</t>
        </is>
      </c>
      <c r="P1396" t="inlineStr">
        <is>
          <t>nyu</t>
        </is>
      </c>
      <c r="R1396" t="inlineStr">
        <is>
          <t xml:space="preserve">DS </t>
        </is>
      </c>
      <c r="S1396" t="n">
        <v>5</v>
      </c>
      <c r="T1396" t="n">
        <v>5</v>
      </c>
      <c r="U1396" t="inlineStr">
        <is>
          <t>2002-10-25</t>
        </is>
      </c>
      <c r="V1396" t="inlineStr">
        <is>
          <t>2002-10-25</t>
        </is>
      </c>
      <c r="W1396" t="inlineStr">
        <is>
          <t>1992-05-26</t>
        </is>
      </c>
      <c r="X1396" t="inlineStr">
        <is>
          <t>1992-05-26</t>
        </is>
      </c>
      <c r="Y1396" t="n">
        <v>1057</v>
      </c>
      <c r="Z1396" t="n">
        <v>1009</v>
      </c>
      <c r="AA1396" t="n">
        <v>1246</v>
      </c>
      <c r="AB1396" t="n">
        <v>6</v>
      </c>
      <c r="AC1396" t="n">
        <v>8</v>
      </c>
      <c r="AD1396" t="n">
        <v>23</v>
      </c>
      <c r="AE1396" t="n">
        <v>33</v>
      </c>
      <c r="AF1396" t="n">
        <v>11</v>
      </c>
      <c r="AG1396" t="n">
        <v>17</v>
      </c>
      <c r="AH1396" t="n">
        <v>3</v>
      </c>
      <c r="AI1396" t="n">
        <v>4</v>
      </c>
      <c r="AJ1396" t="n">
        <v>11</v>
      </c>
      <c r="AK1396" t="n">
        <v>15</v>
      </c>
      <c r="AL1396" t="n">
        <v>3</v>
      </c>
      <c r="AM1396" t="n">
        <v>5</v>
      </c>
      <c r="AN1396" t="n">
        <v>1</v>
      </c>
      <c r="AO1396" t="n">
        <v>1</v>
      </c>
      <c r="AP1396" t="inlineStr">
        <is>
          <t>No</t>
        </is>
      </c>
      <c r="AQ1396" t="inlineStr">
        <is>
          <t>Yes</t>
        </is>
      </c>
      <c r="AR1396">
        <f>HYPERLINK("http://catalog.hathitrust.org/Record/004512464","HathiTrust Record")</f>
        <v/>
      </c>
      <c r="AS1396">
        <f>HYPERLINK("https://creighton-primo.hosted.exlibrisgroup.com/primo-explore/search?tab=default_tab&amp;search_scope=EVERYTHING&amp;vid=01CRU&amp;lang=en_US&amp;offset=0&amp;query=any,contains,991001980499702656","Catalog Record")</f>
        <v/>
      </c>
      <c r="AT1396">
        <f>HYPERLINK("http://www.worldcat.org/oclc/25131070","WorldCat Record")</f>
        <v/>
      </c>
      <c r="AU1396" t="inlineStr">
        <is>
          <t>1060378:eng</t>
        </is>
      </c>
      <c r="AV1396" t="inlineStr">
        <is>
          <t>25131070</t>
        </is>
      </c>
      <c r="AW1396" t="inlineStr">
        <is>
          <t>991001980499702656</t>
        </is>
      </c>
      <c r="AX1396" t="inlineStr">
        <is>
          <t>991001980499702656</t>
        </is>
      </c>
      <c r="AY1396" t="inlineStr">
        <is>
          <t>2271251240002656</t>
        </is>
      </c>
      <c r="AZ1396" t="inlineStr">
        <is>
          <t>BOOK</t>
        </is>
      </c>
      <c r="BB1396" t="inlineStr">
        <is>
          <t>9780670842964</t>
        </is>
      </c>
      <c r="BC1396" t="inlineStr">
        <is>
          <t>32285001118313</t>
        </is>
      </c>
      <c r="BD1396" t="inlineStr">
        <is>
          <t>893316228</t>
        </is>
      </c>
    </row>
    <row r="1397">
      <c r="A1397" t="inlineStr">
        <is>
          <t>No</t>
        </is>
      </c>
      <c r="B1397" t="inlineStr">
        <is>
          <t>DS557.8.M9 O45 1998</t>
        </is>
      </c>
      <c r="C1397" t="inlineStr">
        <is>
          <t>0                      DS 0557800M  9                  O  45          1998</t>
        </is>
      </c>
      <c r="D1397" t="inlineStr">
        <is>
          <t>My Lai : a brief history with documents / James S. Olson and Randy Roberts.</t>
        </is>
      </c>
      <c r="F1397" t="inlineStr">
        <is>
          <t>No</t>
        </is>
      </c>
      <c r="G1397" t="inlineStr">
        <is>
          <t>1</t>
        </is>
      </c>
      <c r="H1397" t="inlineStr">
        <is>
          <t>No</t>
        </is>
      </c>
      <c r="I1397" t="inlineStr">
        <is>
          <t>No</t>
        </is>
      </c>
      <c r="J1397" t="inlineStr">
        <is>
          <t>0</t>
        </is>
      </c>
      <c r="K1397" t="inlineStr">
        <is>
          <t>Olson, James Stuart, 1946-</t>
        </is>
      </c>
      <c r="L1397" t="inlineStr">
        <is>
          <t>Boston : Bedford Books, c1998.</t>
        </is>
      </c>
      <c r="M1397" t="inlineStr">
        <is>
          <t>1998</t>
        </is>
      </c>
      <c r="O1397" t="inlineStr">
        <is>
          <t>eng</t>
        </is>
      </c>
      <c r="P1397" t="inlineStr">
        <is>
          <t>mau</t>
        </is>
      </c>
      <c r="Q1397" t="inlineStr">
        <is>
          <t>Bedford series in history and culture</t>
        </is>
      </c>
      <c r="R1397" t="inlineStr">
        <is>
          <t xml:space="preserve">DS </t>
        </is>
      </c>
      <c r="S1397" t="n">
        <v>4</v>
      </c>
      <c r="T1397" t="n">
        <v>4</v>
      </c>
      <c r="U1397" t="inlineStr">
        <is>
          <t>2003-04-23</t>
        </is>
      </c>
      <c r="V1397" t="inlineStr">
        <is>
          <t>2003-04-23</t>
        </is>
      </c>
      <c r="W1397" t="inlineStr">
        <is>
          <t>1998-07-13</t>
        </is>
      </c>
      <c r="X1397" t="inlineStr">
        <is>
          <t>1998-07-13</t>
        </is>
      </c>
      <c r="Y1397" t="n">
        <v>673</v>
      </c>
      <c r="Z1397" t="n">
        <v>567</v>
      </c>
      <c r="AA1397" t="n">
        <v>576</v>
      </c>
      <c r="AB1397" t="n">
        <v>4</v>
      </c>
      <c r="AC1397" t="n">
        <v>4</v>
      </c>
      <c r="AD1397" t="n">
        <v>29</v>
      </c>
      <c r="AE1397" t="n">
        <v>29</v>
      </c>
      <c r="AF1397" t="n">
        <v>13</v>
      </c>
      <c r="AG1397" t="n">
        <v>13</v>
      </c>
      <c r="AH1397" t="n">
        <v>7</v>
      </c>
      <c r="AI1397" t="n">
        <v>7</v>
      </c>
      <c r="AJ1397" t="n">
        <v>16</v>
      </c>
      <c r="AK1397" t="n">
        <v>16</v>
      </c>
      <c r="AL1397" t="n">
        <v>2</v>
      </c>
      <c r="AM1397" t="n">
        <v>2</v>
      </c>
      <c r="AN1397" t="n">
        <v>0</v>
      </c>
      <c r="AO1397" t="n">
        <v>0</v>
      </c>
      <c r="AP1397" t="inlineStr">
        <is>
          <t>No</t>
        </is>
      </c>
      <c r="AQ1397" t="inlineStr">
        <is>
          <t>No</t>
        </is>
      </c>
      <c r="AS1397">
        <f>HYPERLINK("https://creighton-primo.hosted.exlibrisgroup.com/primo-explore/search?tab=default_tab&amp;search_scope=EVERYTHING&amp;vid=01CRU&amp;lang=en_US&amp;offset=0&amp;query=any,contains,991002912439702656","Catalog Record")</f>
        <v/>
      </c>
      <c r="AT1397">
        <f>HYPERLINK("http://www.worldcat.org/oclc/38505359","WorldCat Record")</f>
        <v/>
      </c>
      <c r="AU1397" t="inlineStr">
        <is>
          <t>837062233:eng</t>
        </is>
      </c>
      <c r="AV1397" t="inlineStr">
        <is>
          <t>38505359</t>
        </is>
      </c>
      <c r="AW1397" t="inlineStr">
        <is>
          <t>991002912439702656</t>
        </is>
      </c>
      <c r="AX1397" t="inlineStr">
        <is>
          <t>991002912439702656</t>
        </is>
      </c>
      <c r="AY1397" t="inlineStr">
        <is>
          <t>2267810920002656</t>
        </is>
      </c>
      <c r="AZ1397" t="inlineStr">
        <is>
          <t>BOOK</t>
        </is>
      </c>
      <c r="BB1397" t="inlineStr">
        <is>
          <t>9780312142278</t>
        </is>
      </c>
      <c r="BC1397" t="inlineStr">
        <is>
          <t>32285003431607</t>
        </is>
      </c>
      <c r="BD1397" t="inlineStr">
        <is>
          <t>893786739</t>
        </is>
      </c>
    </row>
    <row r="1398">
      <c r="A1398" t="inlineStr">
        <is>
          <t>No</t>
        </is>
      </c>
      <c r="B1398" t="inlineStr">
        <is>
          <t>DS557.8.M92 F33 1998</t>
        </is>
      </c>
      <c r="C1398" t="inlineStr">
        <is>
          <t>0                      DS 0557800M  92                 F  33          1998</t>
        </is>
      </c>
      <c r="D1398" t="inlineStr">
        <is>
          <t>Facing My Lai : moving beyond the massacre / edited by David L. Anderson.</t>
        </is>
      </c>
      <c r="F1398" t="inlineStr">
        <is>
          <t>No</t>
        </is>
      </c>
      <c r="G1398" t="inlineStr">
        <is>
          <t>1</t>
        </is>
      </c>
      <c r="H1398" t="inlineStr">
        <is>
          <t>No</t>
        </is>
      </c>
      <c r="I1398" t="inlineStr">
        <is>
          <t>No</t>
        </is>
      </c>
      <c r="J1398" t="inlineStr">
        <is>
          <t>0</t>
        </is>
      </c>
      <c r="L1398" t="inlineStr">
        <is>
          <t>Lawrence, Kan. : University Press of Kansas, 1998.</t>
        </is>
      </c>
      <c r="M1398" t="inlineStr">
        <is>
          <t>1998</t>
        </is>
      </c>
      <c r="O1398" t="inlineStr">
        <is>
          <t>eng</t>
        </is>
      </c>
      <c r="P1398" t="inlineStr">
        <is>
          <t>ksu</t>
        </is>
      </c>
      <c r="Q1398" t="inlineStr">
        <is>
          <t>Modern war studies</t>
        </is>
      </c>
      <c r="R1398" t="inlineStr">
        <is>
          <t xml:space="preserve">DS </t>
        </is>
      </c>
      <c r="S1398" t="n">
        <v>6</v>
      </c>
      <c r="T1398" t="n">
        <v>6</v>
      </c>
      <c r="U1398" t="inlineStr">
        <is>
          <t>2003-10-06</t>
        </is>
      </c>
      <c r="V1398" t="inlineStr">
        <is>
          <t>2003-10-06</t>
        </is>
      </c>
      <c r="W1398" t="inlineStr">
        <is>
          <t>1999-03-02</t>
        </is>
      </c>
      <c r="X1398" t="inlineStr">
        <is>
          <t>1999-03-02</t>
        </is>
      </c>
      <c r="Y1398" t="n">
        <v>764</v>
      </c>
      <c r="Z1398" t="n">
        <v>670</v>
      </c>
      <c r="AA1398" t="n">
        <v>680</v>
      </c>
      <c r="AB1398" t="n">
        <v>4</v>
      </c>
      <c r="AC1398" t="n">
        <v>4</v>
      </c>
      <c r="AD1398" t="n">
        <v>31</v>
      </c>
      <c r="AE1398" t="n">
        <v>31</v>
      </c>
      <c r="AF1398" t="n">
        <v>11</v>
      </c>
      <c r="AG1398" t="n">
        <v>11</v>
      </c>
      <c r="AH1398" t="n">
        <v>7</v>
      </c>
      <c r="AI1398" t="n">
        <v>7</v>
      </c>
      <c r="AJ1398" t="n">
        <v>17</v>
      </c>
      <c r="AK1398" t="n">
        <v>17</v>
      </c>
      <c r="AL1398" t="n">
        <v>3</v>
      </c>
      <c r="AM1398" t="n">
        <v>3</v>
      </c>
      <c r="AN1398" t="n">
        <v>1</v>
      </c>
      <c r="AO1398" t="n">
        <v>1</v>
      </c>
      <c r="AP1398" t="inlineStr">
        <is>
          <t>No</t>
        </is>
      </c>
      <c r="AQ1398" t="inlineStr">
        <is>
          <t>Yes</t>
        </is>
      </c>
      <c r="AR1398">
        <f>HYPERLINK("http://catalog.hathitrust.org/Record/003959994","HathiTrust Record")</f>
        <v/>
      </c>
      <c r="AS1398">
        <f>HYPERLINK("https://creighton-primo.hosted.exlibrisgroup.com/primo-explore/search?tab=default_tab&amp;search_scope=EVERYTHING&amp;vid=01CRU&amp;lang=en_US&amp;offset=0&amp;query=any,contains,991002820309702656","Catalog Record")</f>
        <v/>
      </c>
      <c r="AT1398">
        <f>HYPERLINK("http://www.worldcat.org/oclc/37107150","WorldCat Record")</f>
        <v/>
      </c>
      <c r="AU1398" t="inlineStr">
        <is>
          <t>836968048:eng</t>
        </is>
      </c>
      <c r="AV1398" t="inlineStr">
        <is>
          <t>37107150</t>
        </is>
      </c>
      <c r="AW1398" t="inlineStr">
        <is>
          <t>991002820309702656</t>
        </is>
      </c>
      <c r="AX1398" t="inlineStr">
        <is>
          <t>991002820309702656</t>
        </is>
      </c>
      <c r="AY1398" t="inlineStr">
        <is>
          <t>2268616160002656</t>
        </is>
      </c>
      <c r="AZ1398" t="inlineStr">
        <is>
          <t>BOOK</t>
        </is>
      </c>
      <c r="BB1398" t="inlineStr">
        <is>
          <t>9780700608645</t>
        </is>
      </c>
      <c r="BC1398" t="inlineStr">
        <is>
          <t>32285003528006</t>
        </is>
      </c>
      <c r="BD1398" t="inlineStr">
        <is>
          <t>893530517</t>
        </is>
      </c>
    </row>
    <row r="1399">
      <c r="A1399" t="inlineStr">
        <is>
          <t>No</t>
        </is>
      </c>
      <c r="B1399" t="inlineStr">
        <is>
          <t>DS557.8.S6 S34 1976</t>
        </is>
      </c>
      <c r="C1399" t="inlineStr">
        <is>
          <t>0                      DS 0557800S  6                  S  34          1976</t>
        </is>
      </c>
      <c r="D1399" t="inlineStr">
        <is>
          <t>The raid / Benjamin F. Schemmer.</t>
        </is>
      </c>
      <c r="F1399" t="inlineStr">
        <is>
          <t>No</t>
        </is>
      </c>
      <c r="G1399" t="inlineStr">
        <is>
          <t>1</t>
        </is>
      </c>
      <c r="H1399" t="inlineStr">
        <is>
          <t>No</t>
        </is>
      </c>
      <c r="I1399" t="inlineStr">
        <is>
          <t>No</t>
        </is>
      </c>
      <c r="J1399" t="inlineStr">
        <is>
          <t>0</t>
        </is>
      </c>
      <c r="K1399" t="inlineStr">
        <is>
          <t>Schemmer, Benjamin F.</t>
        </is>
      </c>
      <c r="L1399" t="inlineStr">
        <is>
          <t>New York : Harper &amp; Row, c1976.</t>
        </is>
      </c>
      <c r="M1399" t="inlineStr">
        <is>
          <t>1976</t>
        </is>
      </c>
      <c r="N1399" t="inlineStr">
        <is>
          <t>1st ed.</t>
        </is>
      </c>
      <c r="O1399" t="inlineStr">
        <is>
          <t>eng</t>
        </is>
      </c>
      <c r="P1399" t="inlineStr">
        <is>
          <t>nyu</t>
        </is>
      </c>
      <c r="R1399" t="inlineStr">
        <is>
          <t xml:space="preserve">DS </t>
        </is>
      </c>
      <c r="S1399" t="n">
        <v>0</v>
      </c>
      <c r="T1399" t="n">
        <v>0</v>
      </c>
      <c r="U1399" t="inlineStr">
        <is>
          <t>2002-01-29</t>
        </is>
      </c>
      <c r="V1399" t="inlineStr">
        <is>
          <t>2002-01-29</t>
        </is>
      </c>
      <c r="W1399" t="inlineStr">
        <is>
          <t>1997-03-11</t>
        </is>
      </c>
      <c r="X1399" t="inlineStr">
        <is>
          <t>1997-03-11</t>
        </is>
      </c>
      <c r="Y1399" t="n">
        <v>477</v>
      </c>
      <c r="Z1399" t="n">
        <v>457</v>
      </c>
      <c r="AA1399" t="n">
        <v>647</v>
      </c>
      <c r="AB1399" t="n">
        <v>4</v>
      </c>
      <c r="AC1399" t="n">
        <v>6</v>
      </c>
      <c r="AD1399" t="n">
        <v>8</v>
      </c>
      <c r="AE1399" t="n">
        <v>13</v>
      </c>
      <c r="AF1399" t="n">
        <v>0</v>
      </c>
      <c r="AG1399" t="n">
        <v>5</v>
      </c>
      <c r="AH1399" t="n">
        <v>1</v>
      </c>
      <c r="AI1399" t="n">
        <v>2</v>
      </c>
      <c r="AJ1399" t="n">
        <v>5</v>
      </c>
      <c r="AK1399" t="n">
        <v>6</v>
      </c>
      <c r="AL1399" t="n">
        <v>2</v>
      </c>
      <c r="AM1399" t="n">
        <v>2</v>
      </c>
      <c r="AN1399" t="n">
        <v>1</v>
      </c>
      <c r="AO1399" t="n">
        <v>1</v>
      </c>
      <c r="AP1399" t="inlineStr">
        <is>
          <t>No</t>
        </is>
      </c>
      <c r="AQ1399" t="inlineStr">
        <is>
          <t>Yes</t>
        </is>
      </c>
      <c r="AR1399">
        <f>HYPERLINK("http://catalog.hathitrust.org/Record/000738070","HathiTrust Record")</f>
        <v/>
      </c>
      <c r="AS1399">
        <f>HYPERLINK("https://creighton-primo.hosted.exlibrisgroup.com/primo-explore/search?tab=default_tab&amp;search_scope=EVERYTHING&amp;vid=01CRU&amp;lang=en_US&amp;offset=0&amp;query=any,contains,991004082329702656","Catalog Record")</f>
        <v/>
      </c>
      <c r="AT1399">
        <f>HYPERLINK("http://www.worldcat.org/oclc/2330976","WorldCat Record")</f>
        <v/>
      </c>
      <c r="AU1399" t="inlineStr">
        <is>
          <t>4818342:eng</t>
        </is>
      </c>
      <c r="AV1399" t="inlineStr">
        <is>
          <t>2330976</t>
        </is>
      </c>
      <c r="AW1399" t="inlineStr">
        <is>
          <t>991004082329702656</t>
        </is>
      </c>
      <c r="AX1399" t="inlineStr">
        <is>
          <t>991004082329702656</t>
        </is>
      </c>
      <c r="AY1399" t="inlineStr">
        <is>
          <t>2263849920002656</t>
        </is>
      </c>
      <c r="AZ1399" t="inlineStr">
        <is>
          <t>BOOK</t>
        </is>
      </c>
      <c r="BB1399" t="inlineStr">
        <is>
          <t>9780060138028</t>
        </is>
      </c>
      <c r="BC1399" t="inlineStr">
        <is>
          <t>32285002459914</t>
        </is>
      </c>
      <c r="BD1399" t="inlineStr">
        <is>
          <t>893605603</t>
        </is>
      </c>
    </row>
    <row r="1400">
      <c r="A1400" t="inlineStr">
        <is>
          <t>No</t>
        </is>
      </c>
      <c r="B1400" t="inlineStr">
        <is>
          <t>DS557.8.T4 O24 1984</t>
        </is>
      </c>
      <c r="C1400" t="inlineStr">
        <is>
          <t>0                      DS 0557800T  4                  O  24          1984</t>
        </is>
      </c>
      <c r="D1400" t="inlineStr">
        <is>
          <t>Tet! / by Don Oberdorfer ; new foreword by the author.</t>
        </is>
      </c>
      <c r="F1400" t="inlineStr">
        <is>
          <t>No</t>
        </is>
      </c>
      <c r="G1400" t="inlineStr">
        <is>
          <t>1</t>
        </is>
      </c>
      <c r="H1400" t="inlineStr">
        <is>
          <t>No</t>
        </is>
      </c>
      <c r="I1400" t="inlineStr">
        <is>
          <t>No</t>
        </is>
      </c>
      <c r="J1400" t="inlineStr">
        <is>
          <t>0</t>
        </is>
      </c>
      <c r="K1400" t="inlineStr">
        <is>
          <t>Oberdorfer, Don.</t>
        </is>
      </c>
      <c r="L1400" t="inlineStr">
        <is>
          <t>New York, N.Y. : Da Capo Press, [1984], c1971.</t>
        </is>
      </c>
      <c r="M1400" t="inlineStr">
        <is>
          <t>1984</t>
        </is>
      </c>
      <c r="O1400" t="inlineStr">
        <is>
          <t>eng</t>
        </is>
      </c>
      <c r="P1400" t="inlineStr">
        <is>
          <t>nyu</t>
        </is>
      </c>
      <c r="Q1400" t="inlineStr">
        <is>
          <t>A Da Capo paperback</t>
        </is>
      </c>
      <c r="R1400" t="inlineStr">
        <is>
          <t xml:space="preserve">DS </t>
        </is>
      </c>
      <c r="S1400" t="n">
        <v>18</v>
      </c>
      <c r="T1400" t="n">
        <v>18</v>
      </c>
      <c r="U1400" t="inlineStr">
        <is>
          <t>2005-04-03</t>
        </is>
      </c>
      <c r="V1400" t="inlineStr">
        <is>
          <t>2005-04-03</t>
        </is>
      </c>
      <c r="W1400" t="inlineStr">
        <is>
          <t>1990-03-12</t>
        </is>
      </c>
      <c r="X1400" t="inlineStr">
        <is>
          <t>1990-03-12</t>
        </is>
      </c>
      <c r="Y1400" t="n">
        <v>274</v>
      </c>
      <c r="Z1400" t="n">
        <v>227</v>
      </c>
      <c r="AA1400" t="n">
        <v>1124</v>
      </c>
      <c r="AB1400" t="n">
        <v>2</v>
      </c>
      <c r="AC1400" t="n">
        <v>10</v>
      </c>
      <c r="AD1400" t="n">
        <v>10</v>
      </c>
      <c r="AE1400" t="n">
        <v>39</v>
      </c>
      <c r="AF1400" t="n">
        <v>3</v>
      </c>
      <c r="AG1400" t="n">
        <v>16</v>
      </c>
      <c r="AH1400" t="n">
        <v>3</v>
      </c>
      <c r="AI1400" t="n">
        <v>7</v>
      </c>
      <c r="AJ1400" t="n">
        <v>4</v>
      </c>
      <c r="AK1400" t="n">
        <v>18</v>
      </c>
      <c r="AL1400" t="n">
        <v>1</v>
      </c>
      <c r="AM1400" t="n">
        <v>7</v>
      </c>
      <c r="AN1400" t="n">
        <v>0</v>
      </c>
      <c r="AO1400" t="n">
        <v>0</v>
      </c>
      <c r="AP1400" t="inlineStr">
        <is>
          <t>No</t>
        </is>
      </c>
      <c r="AQ1400" t="inlineStr">
        <is>
          <t>Yes</t>
        </is>
      </c>
      <c r="AR1400">
        <f>HYPERLINK("http://catalog.hathitrust.org/Record/006965552","HathiTrust Record")</f>
        <v/>
      </c>
      <c r="AS1400">
        <f>HYPERLINK("https://creighton-primo.hosted.exlibrisgroup.com/primo-explore/search?tab=default_tab&amp;search_scope=EVERYTHING&amp;vid=01CRU&amp;lang=en_US&amp;offset=0&amp;query=any,contains,991000349689702656","Catalog Record")</f>
        <v/>
      </c>
      <c r="AT1400">
        <f>HYPERLINK("http://www.worldcat.org/oclc/10300683","WorldCat Record")</f>
        <v/>
      </c>
      <c r="AU1400" t="inlineStr">
        <is>
          <t>1366698:eng</t>
        </is>
      </c>
      <c r="AV1400" t="inlineStr">
        <is>
          <t>10300683</t>
        </is>
      </c>
      <c r="AW1400" t="inlineStr">
        <is>
          <t>991000349689702656</t>
        </is>
      </c>
      <c r="AX1400" t="inlineStr">
        <is>
          <t>991000349689702656</t>
        </is>
      </c>
      <c r="AY1400" t="inlineStr">
        <is>
          <t>2269724340002656</t>
        </is>
      </c>
      <c r="AZ1400" t="inlineStr">
        <is>
          <t>BOOK</t>
        </is>
      </c>
      <c r="BB1400" t="inlineStr">
        <is>
          <t>9780306802102</t>
        </is>
      </c>
      <c r="BC1400" t="inlineStr">
        <is>
          <t>32285000079219</t>
        </is>
      </c>
      <c r="BD1400" t="inlineStr">
        <is>
          <t>893249255</t>
        </is>
      </c>
    </row>
    <row r="1401">
      <c r="A1401" t="inlineStr">
        <is>
          <t>No</t>
        </is>
      </c>
      <c r="B1401" t="inlineStr">
        <is>
          <t>DS557.8.T4 S39 2005</t>
        </is>
      </c>
      <c r="C1401" t="inlineStr">
        <is>
          <t>0                      DS 0557800T  4                  S  39          2005</t>
        </is>
      </c>
      <c r="D1401" t="inlineStr">
        <is>
          <t>The Tet Offensive : politics, war, and public opinion / David F. Schmitz.</t>
        </is>
      </c>
      <c r="F1401" t="inlineStr">
        <is>
          <t>No</t>
        </is>
      </c>
      <c r="G1401" t="inlineStr">
        <is>
          <t>1</t>
        </is>
      </c>
      <c r="H1401" t="inlineStr">
        <is>
          <t>No</t>
        </is>
      </c>
      <c r="I1401" t="inlineStr">
        <is>
          <t>No</t>
        </is>
      </c>
      <c r="J1401" t="inlineStr">
        <is>
          <t>0</t>
        </is>
      </c>
      <c r="K1401" t="inlineStr">
        <is>
          <t>Schmitz, David F.</t>
        </is>
      </c>
      <c r="L1401" t="inlineStr">
        <is>
          <t>Lanham : Rowman &amp; Littlefield, c2005.</t>
        </is>
      </c>
      <c r="M1401" t="inlineStr">
        <is>
          <t>2005</t>
        </is>
      </c>
      <c r="O1401" t="inlineStr">
        <is>
          <t>eng</t>
        </is>
      </c>
      <c r="P1401" t="inlineStr">
        <is>
          <t>mdu</t>
        </is>
      </c>
      <c r="Q1401" t="inlineStr">
        <is>
          <t>Vietnam--America in the war years</t>
        </is>
      </c>
      <c r="R1401" t="inlineStr">
        <is>
          <t xml:space="preserve">DS </t>
        </is>
      </c>
      <c r="S1401" t="n">
        <v>3</v>
      </c>
      <c r="T1401" t="n">
        <v>3</v>
      </c>
      <c r="U1401" t="inlineStr">
        <is>
          <t>2006-07-20</t>
        </is>
      </c>
      <c r="V1401" t="inlineStr">
        <is>
          <t>2006-07-20</t>
        </is>
      </c>
      <c r="W1401" t="inlineStr">
        <is>
          <t>2006-07-20</t>
        </is>
      </c>
      <c r="X1401" t="inlineStr">
        <is>
          <t>2006-07-20</t>
        </is>
      </c>
      <c r="Y1401" t="n">
        <v>507</v>
      </c>
      <c r="Z1401" t="n">
        <v>437</v>
      </c>
      <c r="AA1401" t="n">
        <v>456</v>
      </c>
      <c r="AB1401" t="n">
        <v>2</v>
      </c>
      <c r="AC1401" t="n">
        <v>2</v>
      </c>
      <c r="AD1401" t="n">
        <v>20</v>
      </c>
      <c r="AE1401" t="n">
        <v>21</v>
      </c>
      <c r="AF1401" t="n">
        <v>10</v>
      </c>
      <c r="AG1401" t="n">
        <v>11</v>
      </c>
      <c r="AH1401" t="n">
        <v>4</v>
      </c>
      <c r="AI1401" t="n">
        <v>5</v>
      </c>
      <c r="AJ1401" t="n">
        <v>11</v>
      </c>
      <c r="AK1401" t="n">
        <v>11</v>
      </c>
      <c r="AL1401" t="n">
        <v>1</v>
      </c>
      <c r="AM1401" t="n">
        <v>1</v>
      </c>
      <c r="AN1401" t="n">
        <v>0</v>
      </c>
      <c r="AO1401" t="n">
        <v>0</v>
      </c>
      <c r="AP1401" t="inlineStr">
        <is>
          <t>No</t>
        </is>
      </c>
      <c r="AQ1401" t="inlineStr">
        <is>
          <t>Yes</t>
        </is>
      </c>
      <c r="AR1401">
        <f>HYPERLINK("http://catalog.hathitrust.org/Record/005089201","HathiTrust Record")</f>
        <v/>
      </c>
      <c r="AS1401">
        <f>HYPERLINK("https://creighton-primo.hosted.exlibrisgroup.com/primo-explore/search?tab=default_tab&amp;search_scope=EVERYTHING&amp;vid=01CRU&amp;lang=en_US&amp;offset=0&amp;query=any,contains,991004851149702656","Catalog Record")</f>
        <v/>
      </c>
      <c r="AT1401">
        <f>HYPERLINK("http://www.worldcat.org/oclc/59098891","WorldCat Record")</f>
        <v/>
      </c>
      <c r="AU1401" t="inlineStr">
        <is>
          <t>314034353:eng</t>
        </is>
      </c>
      <c r="AV1401" t="inlineStr">
        <is>
          <t>59098891</t>
        </is>
      </c>
      <c r="AW1401" t="inlineStr">
        <is>
          <t>991004851149702656</t>
        </is>
      </c>
      <c r="AX1401" t="inlineStr">
        <is>
          <t>991004851149702656</t>
        </is>
      </c>
      <c r="AY1401" t="inlineStr">
        <is>
          <t>2266202420002656</t>
        </is>
      </c>
      <c r="AZ1401" t="inlineStr">
        <is>
          <t>BOOK</t>
        </is>
      </c>
      <c r="BB1401" t="inlineStr">
        <is>
          <t>9780742544857</t>
        </is>
      </c>
      <c r="BC1401" t="inlineStr">
        <is>
          <t>32285005196703</t>
        </is>
      </c>
      <c r="BD1401" t="inlineStr">
        <is>
          <t>893889368</t>
        </is>
      </c>
    </row>
    <row r="1402">
      <c r="A1402" t="inlineStr">
        <is>
          <t>No</t>
        </is>
      </c>
      <c r="B1402" t="inlineStr">
        <is>
          <t>DS557.A5 B23</t>
        </is>
      </c>
      <c r="C1402" t="inlineStr">
        <is>
          <t>0                      DS 0557000A  5                  B  23</t>
        </is>
      </c>
      <c r="D1402" t="inlineStr">
        <is>
          <t>Vietnam : the roots of conflict / [by] Chester A. Bain.</t>
        </is>
      </c>
      <c r="F1402" t="inlineStr">
        <is>
          <t>No</t>
        </is>
      </c>
      <c r="G1402" t="inlineStr">
        <is>
          <t>1</t>
        </is>
      </c>
      <c r="H1402" t="inlineStr">
        <is>
          <t>No</t>
        </is>
      </c>
      <c r="I1402" t="inlineStr">
        <is>
          <t>No</t>
        </is>
      </c>
      <c r="J1402" t="inlineStr">
        <is>
          <t>0</t>
        </is>
      </c>
      <c r="K1402" t="inlineStr">
        <is>
          <t>Bain, Chester A. (Chester Arthur), 1912-</t>
        </is>
      </c>
      <c r="L1402" t="inlineStr">
        <is>
          <t>Englewood Cliffs, N.J. : Prentice-Hall, [1967]</t>
        </is>
      </c>
      <c r="M1402" t="inlineStr">
        <is>
          <t>1967</t>
        </is>
      </c>
      <c r="O1402" t="inlineStr">
        <is>
          <t>eng</t>
        </is>
      </c>
      <c r="P1402" t="inlineStr">
        <is>
          <t>nju</t>
        </is>
      </c>
      <c r="Q1402" t="inlineStr">
        <is>
          <t>A Spectrum book</t>
        </is>
      </c>
      <c r="R1402" t="inlineStr">
        <is>
          <t xml:space="preserve">DS </t>
        </is>
      </c>
      <c r="S1402" t="n">
        <v>3</v>
      </c>
      <c r="T1402" t="n">
        <v>3</v>
      </c>
      <c r="U1402" t="inlineStr">
        <is>
          <t>1995-10-05</t>
        </is>
      </c>
      <c r="V1402" t="inlineStr">
        <is>
          <t>1995-10-05</t>
        </is>
      </c>
      <c r="W1402" t="inlineStr">
        <is>
          <t>1992-05-11</t>
        </is>
      </c>
      <c r="X1402" t="inlineStr">
        <is>
          <t>1992-05-11</t>
        </is>
      </c>
      <c r="Y1402" t="n">
        <v>988</v>
      </c>
      <c r="Z1402" t="n">
        <v>882</v>
      </c>
      <c r="AA1402" t="n">
        <v>897</v>
      </c>
      <c r="AB1402" t="n">
        <v>7</v>
      </c>
      <c r="AC1402" t="n">
        <v>7</v>
      </c>
      <c r="AD1402" t="n">
        <v>35</v>
      </c>
      <c r="AE1402" t="n">
        <v>36</v>
      </c>
      <c r="AF1402" t="n">
        <v>15</v>
      </c>
      <c r="AG1402" t="n">
        <v>15</v>
      </c>
      <c r="AH1402" t="n">
        <v>7</v>
      </c>
      <c r="AI1402" t="n">
        <v>8</v>
      </c>
      <c r="AJ1402" t="n">
        <v>16</v>
      </c>
      <c r="AK1402" t="n">
        <v>16</v>
      </c>
      <c r="AL1402" t="n">
        <v>6</v>
      </c>
      <c r="AM1402" t="n">
        <v>6</v>
      </c>
      <c r="AN1402" t="n">
        <v>0</v>
      </c>
      <c r="AO1402" t="n">
        <v>0</v>
      </c>
      <c r="AP1402" t="inlineStr">
        <is>
          <t>No</t>
        </is>
      </c>
      <c r="AQ1402" t="inlineStr">
        <is>
          <t>Yes</t>
        </is>
      </c>
      <c r="AR1402">
        <f>HYPERLINK("http://catalog.hathitrust.org/Record/001255315","HathiTrust Record")</f>
        <v/>
      </c>
      <c r="AS1402">
        <f>HYPERLINK("https://creighton-primo.hosted.exlibrisgroup.com/primo-explore/search?tab=default_tab&amp;search_scope=EVERYTHING&amp;vid=01CRU&amp;lang=en_US&amp;offset=0&amp;query=any,contains,991003340819702656","Catalog Record")</f>
        <v/>
      </c>
      <c r="AT1402">
        <f>HYPERLINK("http://www.worldcat.org/oclc/871871","WorldCat Record")</f>
        <v/>
      </c>
      <c r="AU1402" t="inlineStr">
        <is>
          <t>1843317:eng</t>
        </is>
      </c>
      <c r="AV1402" t="inlineStr">
        <is>
          <t>871871</t>
        </is>
      </c>
      <c r="AW1402" t="inlineStr">
        <is>
          <t>991003340819702656</t>
        </is>
      </c>
      <c r="AX1402" t="inlineStr">
        <is>
          <t>991003340819702656</t>
        </is>
      </c>
      <c r="AY1402" t="inlineStr">
        <is>
          <t>2261346160002656</t>
        </is>
      </c>
      <c r="AZ1402" t="inlineStr">
        <is>
          <t>BOOK</t>
        </is>
      </c>
      <c r="BC1402" t="inlineStr">
        <is>
          <t>32285001116705</t>
        </is>
      </c>
      <c r="BD1402" t="inlineStr">
        <is>
          <t>893317901</t>
        </is>
      </c>
    </row>
    <row r="1403">
      <c r="A1403" t="inlineStr">
        <is>
          <t>No</t>
        </is>
      </c>
      <c r="B1403" t="inlineStr">
        <is>
          <t>DS557.A5 B83</t>
        </is>
      </c>
      <c r="C1403" t="inlineStr">
        <is>
          <t>0                      DS 0557000A  5                  B  83</t>
        </is>
      </c>
      <c r="D1403" t="inlineStr">
        <is>
          <t>Vietnam : a dragon embattled.</t>
        </is>
      </c>
      <c r="E1403" t="inlineStr">
        <is>
          <t>V.2</t>
        </is>
      </c>
      <c r="F1403" t="inlineStr">
        <is>
          <t>Yes</t>
        </is>
      </c>
      <c r="G1403" t="inlineStr">
        <is>
          <t>1</t>
        </is>
      </c>
      <c r="H1403" t="inlineStr">
        <is>
          <t>No</t>
        </is>
      </c>
      <c r="I1403" t="inlineStr">
        <is>
          <t>No</t>
        </is>
      </c>
      <c r="J1403" t="inlineStr">
        <is>
          <t>0</t>
        </is>
      </c>
      <c r="K1403" t="inlineStr">
        <is>
          <t>Buttinger, Joseph.</t>
        </is>
      </c>
      <c r="L1403" t="inlineStr">
        <is>
          <t>New York : Praeger, [1967]</t>
        </is>
      </c>
      <c r="M1403" t="inlineStr">
        <is>
          <t>1967</t>
        </is>
      </c>
      <c r="O1403" t="inlineStr">
        <is>
          <t>eng</t>
        </is>
      </c>
      <c r="P1403" t="inlineStr">
        <is>
          <t>nyu</t>
        </is>
      </c>
      <c r="R1403" t="inlineStr">
        <is>
          <t xml:space="preserve">DS </t>
        </is>
      </c>
      <c r="S1403" t="n">
        <v>0</v>
      </c>
      <c r="T1403" t="n">
        <v>1</v>
      </c>
      <c r="V1403" t="inlineStr">
        <is>
          <t>2006-04-04</t>
        </is>
      </c>
      <c r="W1403" t="inlineStr">
        <is>
          <t>1995-04-25</t>
        </is>
      </c>
      <c r="X1403" t="inlineStr">
        <is>
          <t>1995-04-25</t>
        </is>
      </c>
      <c r="Y1403" t="n">
        <v>1124</v>
      </c>
      <c r="Z1403" t="n">
        <v>1048</v>
      </c>
      <c r="AA1403" t="n">
        <v>1077</v>
      </c>
      <c r="AB1403" t="n">
        <v>5</v>
      </c>
      <c r="AC1403" t="n">
        <v>5</v>
      </c>
      <c r="AD1403" t="n">
        <v>39</v>
      </c>
      <c r="AE1403" t="n">
        <v>41</v>
      </c>
      <c r="AF1403" t="n">
        <v>17</v>
      </c>
      <c r="AG1403" t="n">
        <v>18</v>
      </c>
      <c r="AH1403" t="n">
        <v>11</v>
      </c>
      <c r="AI1403" t="n">
        <v>11</v>
      </c>
      <c r="AJ1403" t="n">
        <v>18</v>
      </c>
      <c r="AK1403" t="n">
        <v>20</v>
      </c>
      <c r="AL1403" t="n">
        <v>4</v>
      </c>
      <c r="AM1403" t="n">
        <v>4</v>
      </c>
      <c r="AN1403" t="n">
        <v>0</v>
      </c>
      <c r="AO1403" t="n">
        <v>0</v>
      </c>
      <c r="AP1403" t="inlineStr">
        <is>
          <t>No</t>
        </is>
      </c>
      <c r="AQ1403" t="inlineStr">
        <is>
          <t>Yes</t>
        </is>
      </c>
      <c r="AR1403">
        <f>HYPERLINK("http://catalog.hathitrust.org/Record/001255320","HathiTrust Record")</f>
        <v/>
      </c>
      <c r="AS1403">
        <f>HYPERLINK("https://creighton-primo.hosted.exlibrisgroup.com/primo-explore/search?tab=default_tab&amp;search_scope=EVERYTHING&amp;vid=01CRU&amp;lang=en_US&amp;offset=0&amp;query=any,contains,991002715719702656","Catalog Record")</f>
        <v/>
      </c>
      <c r="AT1403">
        <f>HYPERLINK("http://www.worldcat.org/oclc/411224","WorldCat Record")</f>
        <v/>
      </c>
      <c r="AU1403" t="inlineStr">
        <is>
          <t>1810693263:eng</t>
        </is>
      </c>
      <c r="AV1403" t="inlineStr">
        <is>
          <t>411224</t>
        </is>
      </c>
      <c r="AW1403" t="inlineStr">
        <is>
          <t>991002715719702656</t>
        </is>
      </c>
      <c r="AX1403" t="inlineStr">
        <is>
          <t>991002715719702656</t>
        </is>
      </c>
      <c r="AY1403" t="inlineStr">
        <is>
          <t>2265116990002656</t>
        </is>
      </c>
      <c r="AZ1403" t="inlineStr">
        <is>
          <t>BOOK</t>
        </is>
      </c>
      <c r="BC1403" t="inlineStr">
        <is>
          <t>32285002029030</t>
        </is>
      </c>
      <c r="BD1403" t="inlineStr">
        <is>
          <t>893616478</t>
        </is>
      </c>
    </row>
    <row r="1404">
      <c r="A1404" t="inlineStr">
        <is>
          <t>No</t>
        </is>
      </c>
      <c r="B1404" t="inlineStr">
        <is>
          <t>DS557.A5 B83</t>
        </is>
      </c>
      <c r="C1404" t="inlineStr">
        <is>
          <t>0                      DS 0557000A  5                  B  83</t>
        </is>
      </c>
      <c r="D1404" t="inlineStr">
        <is>
          <t>Vietnam : a dragon embattled.</t>
        </is>
      </c>
      <c r="E1404" t="inlineStr">
        <is>
          <t>V.1</t>
        </is>
      </c>
      <c r="F1404" t="inlineStr">
        <is>
          <t>Yes</t>
        </is>
      </c>
      <c r="G1404" t="inlineStr">
        <is>
          <t>1</t>
        </is>
      </c>
      <c r="H1404" t="inlineStr">
        <is>
          <t>No</t>
        </is>
      </c>
      <c r="I1404" t="inlineStr">
        <is>
          <t>No</t>
        </is>
      </c>
      <c r="J1404" t="inlineStr">
        <is>
          <t>0</t>
        </is>
      </c>
      <c r="K1404" t="inlineStr">
        <is>
          <t>Buttinger, Joseph.</t>
        </is>
      </c>
      <c r="L1404" t="inlineStr">
        <is>
          <t>New York : Praeger, [1967]</t>
        </is>
      </c>
      <c r="M1404" t="inlineStr">
        <is>
          <t>1967</t>
        </is>
      </c>
      <c r="O1404" t="inlineStr">
        <is>
          <t>eng</t>
        </is>
      </c>
      <c r="P1404" t="inlineStr">
        <is>
          <t>nyu</t>
        </is>
      </c>
      <c r="R1404" t="inlineStr">
        <is>
          <t xml:space="preserve">DS </t>
        </is>
      </c>
      <c r="S1404" t="n">
        <v>1</v>
      </c>
      <c r="T1404" t="n">
        <v>1</v>
      </c>
      <c r="U1404" t="inlineStr">
        <is>
          <t>2006-04-04</t>
        </is>
      </c>
      <c r="V1404" t="inlineStr">
        <is>
          <t>2006-04-04</t>
        </is>
      </c>
      <c r="W1404" t="inlineStr">
        <is>
          <t>1995-04-24</t>
        </is>
      </c>
      <c r="X1404" t="inlineStr">
        <is>
          <t>1995-04-25</t>
        </is>
      </c>
      <c r="Y1404" t="n">
        <v>1124</v>
      </c>
      <c r="Z1404" t="n">
        <v>1048</v>
      </c>
      <c r="AA1404" t="n">
        <v>1077</v>
      </c>
      <c r="AB1404" t="n">
        <v>5</v>
      </c>
      <c r="AC1404" t="n">
        <v>5</v>
      </c>
      <c r="AD1404" t="n">
        <v>39</v>
      </c>
      <c r="AE1404" t="n">
        <v>41</v>
      </c>
      <c r="AF1404" t="n">
        <v>17</v>
      </c>
      <c r="AG1404" t="n">
        <v>18</v>
      </c>
      <c r="AH1404" t="n">
        <v>11</v>
      </c>
      <c r="AI1404" t="n">
        <v>11</v>
      </c>
      <c r="AJ1404" t="n">
        <v>18</v>
      </c>
      <c r="AK1404" t="n">
        <v>20</v>
      </c>
      <c r="AL1404" t="n">
        <v>4</v>
      </c>
      <c r="AM1404" t="n">
        <v>4</v>
      </c>
      <c r="AN1404" t="n">
        <v>0</v>
      </c>
      <c r="AO1404" t="n">
        <v>0</v>
      </c>
      <c r="AP1404" t="inlineStr">
        <is>
          <t>No</t>
        </is>
      </c>
      <c r="AQ1404" t="inlineStr">
        <is>
          <t>Yes</t>
        </is>
      </c>
      <c r="AR1404">
        <f>HYPERLINK("http://catalog.hathitrust.org/Record/001255320","HathiTrust Record")</f>
        <v/>
      </c>
      <c r="AS1404">
        <f>HYPERLINK("https://creighton-primo.hosted.exlibrisgroup.com/primo-explore/search?tab=default_tab&amp;search_scope=EVERYTHING&amp;vid=01CRU&amp;lang=en_US&amp;offset=0&amp;query=any,contains,991002715719702656","Catalog Record")</f>
        <v/>
      </c>
      <c r="AT1404">
        <f>HYPERLINK("http://www.worldcat.org/oclc/411224","WorldCat Record")</f>
        <v/>
      </c>
      <c r="AU1404" t="inlineStr">
        <is>
          <t>1810693263:eng</t>
        </is>
      </c>
      <c r="AV1404" t="inlineStr">
        <is>
          <t>411224</t>
        </is>
      </c>
      <c r="AW1404" t="inlineStr">
        <is>
          <t>991002715719702656</t>
        </is>
      </c>
      <c r="AX1404" t="inlineStr">
        <is>
          <t>991002715719702656</t>
        </is>
      </c>
      <c r="AY1404" t="inlineStr">
        <is>
          <t>2265116990002656</t>
        </is>
      </c>
      <c r="AZ1404" t="inlineStr">
        <is>
          <t>BOOK</t>
        </is>
      </c>
      <c r="BC1404" t="inlineStr">
        <is>
          <t>32285002028941</t>
        </is>
      </c>
      <c r="BD1404" t="inlineStr">
        <is>
          <t>893616479</t>
        </is>
      </c>
    </row>
    <row r="1405">
      <c r="A1405" t="inlineStr">
        <is>
          <t>No</t>
        </is>
      </c>
      <c r="B1405" t="inlineStr">
        <is>
          <t>DS557.A5 C32</t>
        </is>
      </c>
      <c r="C1405" t="inlineStr">
        <is>
          <t>0                      DS 0557000A  5                  C  32</t>
        </is>
      </c>
      <c r="D1405" t="inlineStr">
        <is>
          <t>Viet-Nam crisis : a documentary history / edited, with commentary and annotation, by Allan W. Cameron.</t>
        </is>
      </c>
      <c r="F1405" t="inlineStr">
        <is>
          <t>No</t>
        </is>
      </c>
      <c r="G1405" t="inlineStr">
        <is>
          <t>1</t>
        </is>
      </c>
      <c r="H1405" t="inlineStr">
        <is>
          <t>No</t>
        </is>
      </c>
      <c r="I1405" t="inlineStr">
        <is>
          <t>No</t>
        </is>
      </c>
      <c r="J1405" t="inlineStr">
        <is>
          <t>0</t>
        </is>
      </c>
      <c r="K1405" t="inlineStr">
        <is>
          <t>Cameron, Allan W., compiler.</t>
        </is>
      </c>
      <c r="L1405" t="inlineStr">
        <is>
          <t>Ithaca : Cornell University Press, [1971-</t>
        </is>
      </c>
      <c r="M1405" t="inlineStr">
        <is>
          <t>1971</t>
        </is>
      </c>
      <c r="O1405" t="inlineStr">
        <is>
          <t>eng</t>
        </is>
      </c>
      <c r="P1405" t="inlineStr">
        <is>
          <t>nyu</t>
        </is>
      </c>
      <c r="R1405" t="inlineStr">
        <is>
          <t xml:space="preserve">DS </t>
        </is>
      </c>
      <c r="S1405" t="n">
        <v>3</v>
      </c>
      <c r="T1405" t="n">
        <v>3</v>
      </c>
      <c r="U1405" t="inlineStr">
        <is>
          <t>2001-10-02</t>
        </is>
      </c>
      <c r="V1405" t="inlineStr">
        <is>
          <t>2001-10-02</t>
        </is>
      </c>
      <c r="W1405" t="inlineStr">
        <is>
          <t>1991-12-10</t>
        </is>
      </c>
      <c r="X1405" t="inlineStr">
        <is>
          <t>1991-12-10</t>
        </is>
      </c>
      <c r="Y1405" t="n">
        <v>716</v>
      </c>
      <c r="Z1405" t="n">
        <v>620</v>
      </c>
      <c r="AA1405" t="n">
        <v>623</v>
      </c>
      <c r="AB1405" t="n">
        <v>7</v>
      </c>
      <c r="AC1405" t="n">
        <v>7</v>
      </c>
      <c r="AD1405" t="n">
        <v>26</v>
      </c>
      <c r="AE1405" t="n">
        <v>26</v>
      </c>
      <c r="AF1405" t="n">
        <v>5</v>
      </c>
      <c r="AG1405" t="n">
        <v>5</v>
      </c>
      <c r="AH1405" t="n">
        <v>7</v>
      </c>
      <c r="AI1405" t="n">
        <v>7</v>
      </c>
      <c r="AJ1405" t="n">
        <v>13</v>
      </c>
      <c r="AK1405" t="n">
        <v>13</v>
      </c>
      <c r="AL1405" t="n">
        <v>5</v>
      </c>
      <c r="AM1405" t="n">
        <v>5</v>
      </c>
      <c r="AN1405" t="n">
        <v>2</v>
      </c>
      <c r="AO1405" t="n">
        <v>2</v>
      </c>
      <c r="AP1405" t="inlineStr">
        <is>
          <t>No</t>
        </is>
      </c>
      <c r="AQ1405" t="inlineStr">
        <is>
          <t>Yes</t>
        </is>
      </c>
      <c r="AR1405">
        <f>HYPERLINK("http://catalog.hathitrust.org/Record/000236800","HathiTrust Record")</f>
        <v/>
      </c>
      <c r="AS1405">
        <f>HYPERLINK("https://creighton-primo.hosted.exlibrisgroup.com/primo-explore/search?tab=default_tab&amp;search_scope=EVERYTHING&amp;vid=01CRU&amp;lang=en_US&amp;offset=0&amp;query=any,contains,991000815419702656","Catalog Record")</f>
        <v/>
      </c>
      <c r="AT1405">
        <f>HYPERLINK("http://www.worldcat.org/oclc/142326","WorldCat Record")</f>
        <v/>
      </c>
      <c r="AU1405" t="inlineStr">
        <is>
          <t>889210247:eng</t>
        </is>
      </c>
      <c r="AV1405" t="inlineStr">
        <is>
          <t>142326</t>
        </is>
      </c>
      <c r="AW1405" t="inlineStr">
        <is>
          <t>991000815419702656</t>
        </is>
      </c>
      <c r="AX1405" t="inlineStr">
        <is>
          <t>991000815419702656</t>
        </is>
      </c>
      <c r="AY1405" t="inlineStr">
        <is>
          <t>2254727770002656</t>
        </is>
      </c>
      <c r="AZ1405" t="inlineStr">
        <is>
          <t>BOOK</t>
        </is>
      </c>
      <c r="BB1405" t="inlineStr">
        <is>
          <t>9780801405822</t>
        </is>
      </c>
      <c r="BC1405" t="inlineStr">
        <is>
          <t>32285000875392</t>
        </is>
      </c>
      <c r="BD1405" t="inlineStr">
        <is>
          <t>893407544</t>
        </is>
      </c>
    </row>
    <row r="1406">
      <c r="A1406" t="inlineStr">
        <is>
          <t>No</t>
        </is>
      </c>
      <c r="B1406" t="inlineStr">
        <is>
          <t>DS557.A5 D75</t>
        </is>
      </c>
      <c r="C1406" t="inlineStr">
        <is>
          <t>0                      DS 0557000A  5                  D  75</t>
        </is>
      </c>
      <c r="D1406" t="inlineStr">
        <is>
          <t>Government and revolution in Vietnam [by] Dennis J. Duncanson.</t>
        </is>
      </c>
      <c r="F1406" t="inlineStr">
        <is>
          <t>No</t>
        </is>
      </c>
      <c r="G1406" t="inlineStr">
        <is>
          <t>1</t>
        </is>
      </c>
      <c r="H1406" t="inlineStr">
        <is>
          <t>No</t>
        </is>
      </c>
      <c r="I1406" t="inlineStr">
        <is>
          <t>No</t>
        </is>
      </c>
      <c r="J1406" t="inlineStr">
        <is>
          <t>0</t>
        </is>
      </c>
      <c r="K1406" t="inlineStr">
        <is>
          <t>Duncanson, Dennis J.</t>
        </is>
      </c>
      <c r="L1406" t="inlineStr">
        <is>
          <t>London, New York [etc.] issued under the auspices of the Royal Institute of International Affairs [by] Oxford U.P., 1968.</t>
        </is>
      </c>
      <c r="M1406" t="inlineStr">
        <is>
          <t>1968</t>
        </is>
      </c>
      <c r="O1406" t="inlineStr">
        <is>
          <t>eng</t>
        </is>
      </c>
      <c r="P1406" t="inlineStr">
        <is>
          <t>enk</t>
        </is>
      </c>
      <c r="R1406" t="inlineStr">
        <is>
          <t xml:space="preserve">DS </t>
        </is>
      </c>
      <c r="S1406" t="n">
        <v>1</v>
      </c>
      <c r="T1406" t="n">
        <v>1</v>
      </c>
      <c r="U1406" t="inlineStr">
        <is>
          <t>2004-10-27</t>
        </is>
      </c>
      <c r="V1406" t="inlineStr">
        <is>
          <t>2004-10-27</t>
        </is>
      </c>
      <c r="W1406" t="inlineStr">
        <is>
          <t>1992-04-28</t>
        </is>
      </c>
      <c r="X1406" t="inlineStr">
        <is>
          <t>1992-04-28</t>
        </is>
      </c>
      <c r="Y1406" t="n">
        <v>916</v>
      </c>
      <c r="Z1406" t="n">
        <v>752</v>
      </c>
      <c r="AA1406" t="n">
        <v>756</v>
      </c>
      <c r="AB1406" t="n">
        <v>5</v>
      </c>
      <c r="AC1406" t="n">
        <v>6</v>
      </c>
      <c r="AD1406" t="n">
        <v>34</v>
      </c>
      <c r="AE1406" t="n">
        <v>35</v>
      </c>
      <c r="AF1406" t="n">
        <v>12</v>
      </c>
      <c r="AG1406" t="n">
        <v>12</v>
      </c>
      <c r="AH1406" t="n">
        <v>10</v>
      </c>
      <c r="AI1406" t="n">
        <v>10</v>
      </c>
      <c r="AJ1406" t="n">
        <v>17</v>
      </c>
      <c r="AK1406" t="n">
        <v>17</v>
      </c>
      <c r="AL1406" t="n">
        <v>4</v>
      </c>
      <c r="AM1406" t="n">
        <v>5</v>
      </c>
      <c r="AN1406" t="n">
        <v>0</v>
      </c>
      <c r="AO1406" t="n">
        <v>0</v>
      </c>
      <c r="AP1406" t="inlineStr">
        <is>
          <t>No</t>
        </is>
      </c>
      <c r="AQ1406" t="inlineStr">
        <is>
          <t>Yes</t>
        </is>
      </c>
      <c r="AR1406">
        <f>HYPERLINK("http://catalog.hathitrust.org/Record/001255331","HathiTrust Record")</f>
        <v/>
      </c>
      <c r="AS1406">
        <f>HYPERLINK("https://creighton-primo.hosted.exlibrisgroup.com/primo-explore/search?tab=default_tab&amp;search_scope=EVERYTHING&amp;vid=01CRU&amp;lang=en_US&amp;offset=0&amp;query=any,contains,991002715689702656","Catalog Record")</f>
        <v/>
      </c>
      <c r="AT1406">
        <f>HYPERLINK("http://www.worldcat.org/oclc/411221","WorldCat Record")</f>
        <v/>
      </c>
      <c r="AU1406" t="inlineStr">
        <is>
          <t>1457142:eng</t>
        </is>
      </c>
      <c r="AV1406" t="inlineStr">
        <is>
          <t>411221</t>
        </is>
      </c>
      <c r="AW1406" t="inlineStr">
        <is>
          <t>991002715689702656</t>
        </is>
      </c>
      <c r="AX1406" t="inlineStr">
        <is>
          <t>991002715689702656</t>
        </is>
      </c>
      <c r="AY1406" t="inlineStr">
        <is>
          <t>2265117020002656</t>
        </is>
      </c>
      <c r="AZ1406" t="inlineStr">
        <is>
          <t>BOOK</t>
        </is>
      </c>
      <c r="BC1406" t="inlineStr">
        <is>
          <t>32285001095289</t>
        </is>
      </c>
      <c r="BD1406" t="inlineStr">
        <is>
          <t>893780128</t>
        </is>
      </c>
    </row>
    <row r="1407">
      <c r="A1407" t="inlineStr">
        <is>
          <t>No</t>
        </is>
      </c>
      <c r="B1407" t="inlineStr">
        <is>
          <t>DS557.A5 F34 1964</t>
        </is>
      </c>
      <c r="C1407" t="inlineStr">
        <is>
          <t>0                      DS 0557000A  5                  F  34          1964</t>
        </is>
      </c>
      <c r="D1407" t="inlineStr">
        <is>
          <t>The two Viet-Nams : a political and military analysis / by Bernard B. Fall.</t>
        </is>
      </c>
      <c r="F1407" t="inlineStr">
        <is>
          <t>No</t>
        </is>
      </c>
      <c r="G1407" t="inlineStr">
        <is>
          <t>1</t>
        </is>
      </c>
      <c r="H1407" t="inlineStr">
        <is>
          <t>No</t>
        </is>
      </c>
      <c r="I1407" t="inlineStr">
        <is>
          <t>No</t>
        </is>
      </c>
      <c r="J1407" t="inlineStr">
        <is>
          <t>0</t>
        </is>
      </c>
      <c r="K1407" t="inlineStr">
        <is>
          <t>Fall, Bernard B., 1926-1967.</t>
        </is>
      </c>
      <c r="L1407" t="inlineStr">
        <is>
          <t>New York : F. A. Praeger, [1964]</t>
        </is>
      </c>
      <c r="M1407" t="inlineStr">
        <is>
          <t>1964</t>
        </is>
      </c>
      <c r="N1407" t="inlineStr">
        <is>
          <t>Rev. ed.</t>
        </is>
      </c>
      <c r="O1407" t="inlineStr">
        <is>
          <t>eng</t>
        </is>
      </c>
      <c r="P1407" t="inlineStr">
        <is>
          <t>nyu</t>
        </is>
      </c>
      <c r="R1407" t="inlineStr">
        <is>
          <t xml:space="preserve">DS </t>
        </is>
      </c>
      <c r="S1407" t="n">
        <v>5</v>
      </c>
      <c r="T1407" t="n">
        <v>5</v>
      </c>
      <c r="U1407" t="inlineStr">
        <is>
          <t>2008-12-07</t>
        </is>
      </c>
      <c r="V1407" t="inlineStr">
        <is>
          <t>2008-12-07</t>
        </is>
      </c>
      <c r="W1407" t="inlineStr">
        <is>
          <t>1990-09-18</t>
        </is>
      </c>
      <c r="X1407" t="inlineStr">
        <is>
          <t>1990-09-18</t>
        </is>
      </c>
      <c r="Y1407" t="n">
        <v>621</v>
      </c>
      <c r="Z1407" t="n">
        <v>575</v>
      </c>
      <c r="AA1407" t="n">
        <v>1798</v>
      </c>
      <c r="AB1407" t="n">
        <v>3</v>
      </c>
      <c r="AC1407" t="n">
        <v>14</v>
      </c>
      <c r="AD1407" t="n">
        <v>19</v>
      </c>
      <c r="AE1407" t="n">
        <v>55</v>
      </c>
      <c r="AF1407" t="n">
        <v>8</v>
      </c>
      <c r="AG1407" t="n">
        <v>24</v>
      </c>
      <c r="AH1407" t="n">
        <v>5</v>
      </c>
      <c r="AI1407" t="n">
        <v>11</v>
      </c>
      <c r="AJ1407" t="n">
        <v>7</v>
      </c>
      <c r="AK1407" t="n">
        <v>23</v>
      </c>
      <c r="AL1407" t="n">
        <v>1</v>
      </c>
      <c r="AM1407" t="n">
        <v>8</v>
      </c>
      <c r="AN1407" t="n">
        <v>0</v>
      </c>
      <c r="AO1407" t="n">
        <v>2</v>
      </c>
      <c r="AP1407" t="inlineStr">
        <is>
          <t>No</t>
        </is>
      </c>
      <c r="AQ1407" t="inlineStr">
        <is>
          <t>Yes</t>
        </is>
      </c>
      <c r="AR1407">
        <f>HYPERLINK("http://catalog.hathitrust.org/Record/001255334","HathiTrust Record")</f>
        <v/>
      </c>
      <c r="AS1407">
        <f>HYPERLINK("https://creighton-primo.hosted.exlibrisgroup.com/primo-explore/search?tab=default_tab&amp;search_scope=EVERYTHING&amp;vid=01CRU&amp;lang=en_US&amp;offset=0&amp;query=any,contains,991002715659702656","Catalog Record")</f>
        <v/>
      </c>
      <c r="AT1407">
        <f>HYPERLINK("http://www.worldcat.org/oclc/411218","WorldCat Record")</f>
        <v/>
      </c>
      <c r="AU1407" t="inlineStr">
        <is>
          <t>1457128:eng</t>
        </is>
      </c>
      <c r="AV1407" t="inlineStr">
        <is>
          <t>411218</t>
        </is>
      </c>
      <c r="AW1407" t="inlineStr">
        <is>
          <t>991002715659702656</t>
        </is>
      </c>
      <c r="AX1407" t="inlineStr">
        <is>
          <t>991002715659702656</t>
        </is>
      </c>
      <c r="AY1407" t="inlineStr">
        <is>
          <t>2265129010002656</t>
        </is>
      </c>
      <c r="AZ1407" t="inlineStr">
        <is>
          <t>BOOK</t>
        </is>
      </c>
      <c r="BC1407" t="inlineStr">
        <is>
          <t>32285000304427</t>
        </is>
      </c>
      <c r="BD1407" t="inlineStr">
        <is>
          <t>893616476</t>
        </is>
      </c>
    </row>
    <row r="1408">
      <c r="A1408" t="inlineStr">
        <is>
          <t>No</t>
        </is>
      </c>
      <c r="B1408" t="inlineStr">
        <is>
          <t>DS557.A5 H5</t>
        </is>
      </c>
      <c r="C1408" t="inlineStr">
        <is>
          <t>0                      DS 0557000A  5                  H  5</t>
        </is>
      </c>
      <c r="D1408" t="inlineStr">
        <is>
          <t>Village in Vietnam.</t>
        </is>
      </c>
      <c r="F1408" t="inlineStr">
        <is>
          <t>No</t>
        </is>
      </c>
      <c r="G1408" t="inlineStr">
        <is>
          <t>1</t>
        </is>
      </c>
      <c r="H1408" t="inlineStr">
        <is>
          <t>No</t>
        </is>
      </c>
      <c r="I1408" t="inlineStr">
        <is>
          <t>No</t>
        </is>
      </c>
      <c r="J1408" t="inlineStr">
        <is>
          <t>0</t>
        </is>
      </c>
      <c r="K1408" t="inlineStr">
        <is>
          <t>Hickey, Gerald Cannon, 1925-2010.</t>
        </is>
      </c>
      <c r="L1408" t="inlineStr">
        <is>
          <t>New Haven : Yale University Press, 1964.</t>
        </is>
      </c>
      <c r="M1408" t="inlineStr">
        <is>
          <t>1964</t>
        </is>
      </c>
      <c r="O1408" t="inlineStr">
        <is>
          <t>eng</t>
        </is>
      </c>
      <c r="P1408" t="inlineStr">
        <is>
          <t>ctu</t>
        </is>
      </c>
      <c r="R1408" t="inlineStr">
        <is>
          <t xml:space="preserve">DS </t>
        </is>
      </c>
      <c r="S1408" t="n">
        <v>8</v>
      </c>
      <c r="T1408" t="n">
        <v>8</v>
      </c>
      <c r="U1408" t="inlineStr">
        <is>
          <t>2004-11-12</t>
        </is>
      </c>
      <c r="V1408" t="inlineStr">
        <is>
          <t>2004-11-12</t>
        </is>
      </c>
      <c r="W1408" t="inlineStr">
        <is>
          <t>1994-04-29</t>
        </is>
      </c>
      <c r="X1408" t="inlineStr">
        <is>
          <t>1994-04-29</t>
        </is>
      </c>
      <c r="Y1408" t="n">
        <v>1127</v>
      </c>
      <c r="Z1408" t="n">
        <v>1015</v>
      </c>
      <c r="AA1408" t="n">
        <v>1070</v>
      </c>
      <c r="AB1408" t="n">
        <v>8</v>
      </c>
      <c r="AC1408" t="n">
        <v>8</v>
      </c>
      <c r="AD1408" t="n">
        <v>42</v>
      </c>
      <c r="AE1408" t="n">
        <v>43</v>
      </c>
      <c r="AF1408" t="n">
        <v>18</v>
      </c>
      <c r="AG1408" t="n">
        <v>19</v>
      </c>
      <c r="AH1408" t="n">
        <v>9</v>
      </c>
      <c r="AI1408" t="n">
        <v>9</v>
      </c>
      <c r="AJ1408" t="n">
        <v>20</v>
      </c>
      <c r="AK1408" t="n">
        <v>20</v>
      </c>
      <c r="AL1408" t="n">
        <v>7</v>
      </c>
      <c r="AM1408" t="n">
        <v>7</v>
      </c>
      <c r="AN1408" t="n">
        <v>0</v>
      </c>
      <c r="AO1408" t="n">
        <v>0</v>
      </c>
      <c r="AP1408" t="inlineStr">
        <is>
          <t>No</t>
        </is>
      </c>
      <c r="AQ1408" t="inlineStr">
        <is>
          <t>No</t>
        </is>
      </c>
      <c r="AS1408">
        <f>HYPERLINK("https://creighton-primo.hosted.exlibrisgroup.com/primo-explore/search?tab=default_tab&amp;search_scope=EVERYTHING&amp;vid=01CRU&amp;lang=en_US&amp;offset=0&amp;query=any,contains,991002716129702656","Catalog Record")</f>
        <v/>
      </c>
      <c r="AT1408">
        <f>HYPERLINK("http://www.worldcat.org/oclc/411344","WorldCat Record")</f>
        <v/>
      </c>
      <c r="AU1408" t="inlineStr">
        <is>
          <t>1457678:eng</t>
        </is>
      </c>
      <c r="AV1408" t="inlineStr">
        <is>
          <t>411344</t>
        </is>
      </c>
      <c r="AW1408" t="inlineStr">
        <is>
          <t>991002716129702656</t>
        </is>
      </c>
      <c r="AX1408" t="inlineStr">
        <is>
          <t>991002716129702656</t>
        </is>
      </c>
      <c r="AY1408" t="inlineStr">
        <is>
          <t>2265073890002656</t>
        </is>
      </c>
      <c r="AZ1408" t="inlineStr">
        <is>
          <t>BOOK</t>
        </is>
      </c>
      <c r="BC1408" t="inlineStr">
        <is>
          <t>32285001894947</t>
        </is>
      </c>
      <c r="BD1408" t="inlineStr">
        <is>
          <t>893239408</t>
        </is>
      </c>
    </row>
    <row r="1409">
      <c r="A1409" t="inlineStr">
        <is>
          <t>No</t>
        </is>
      </c>
      <c r="B1409" t="inlineStr">
        <is>
          <t>DS557.A5 W6</t>
        </is>
      </c>
      <c r="C1409" t="inlineStr">
        <is>
          <t>0                      DS 0557000A  5                  W  6</t>
        </is>
      </c>
      <c r="D1409" t="inlineStr">
        <is>
          <t>Vietnam and the Chinese model : a comparative study of Nguyẽ̂n and Chʼing civil government in the first half of the nineteenth century.</t>
        </is>
      </c>
      <c r="F1409" t="inlineStr">
        <is>
          <t>No</t>
        </is>
      </c>
      <c r="G1409" t="inlineStr">
        <is>
          <t>1</t>
        </is>
      </c>
      <c r="H1409" t="inlineStr">
        <is>
          <t>No</t>
        </is>
      </c>
      <c r="I1409" t="inlineStr">
        <is>
          <t>No</t>
        </is>
      </c>
      <c r="J1409" t="inlineStr">
        <is>
          <t>0</t>
        </is>
      </c>
      <c r="K1409" t="inlineStr">
        <is>
          <t>Woodside, Alexander.</t>
        </is>
      </c>
      <c r="L1409" t="inlineStr">
        <is>
          <t>Cambridge, Mass. : Harvard University Press, 1971.</t>
        </is>
      </c>
      <c r="M1409" t="inlineStr">
        <is>
          <t>1971</t>
        </is>
      </c>
      <c r="O1409" t="inlineStr">
        <is>
          <t>eng</t>
        </is>
      </c>
      <c r="P1409" t="inlineStr">
        <is>
          <t>mau</t>
        </is>
      </c>
      <c r="Q1409" t="inlineStr">
        <is>
          <t>Harvard East Asian series ; 52</t>
        </is>
      </c>
      <c r="R1409" t="inlineStr">
        <is>
          <t xml:space="preserve">DS </t>
        </is>
      </c>
      <c r="S1409" t="n">
        <v>5</v>
      </c>
      <c r="T1409" t="n">
        <v>5</v>
      </c>
      <c r="U1409" t="inlineStr">
        <is>
          <t>2002-12-06</t>
        </is>
      </c>
      <c r="V1409" t="inlineStr">
        <is>
          <t>2002-12-06</t>
        </is>
      </c>
      <c r="W1409" t="inlineStr">
        <is>
          <t>1993-03-23</t>
        </is>
      </c>
      <c r="X1409" t="inlineStr">
        <is>
          <t>1993-03-23</t>
        </is>
      </c>
      <c r="Y1409" t="n">
        <v>525</v>
      </c>
      <c r="Z1409" t="n">
        <v>419</v>
      </c>
      <c r="AA1409" t="n">
        <v>438</v>
      </c>
      <c r="AB1409" t="n">
        <v>3</v>
      </c>
      <c r="AC1409" t="n">
        <v>3</v>
      </c>
      <c r="AD1409" t="n">
        <v>17</v>
      </c>
      <c r="AE1409" t="n">
        <v>17</v>
      </c>
      <c r="AF1409" t="n">
        <v>5</v>
      </c>
      <c r="AG1409" t="n">
        <v>5</v>
      </c>
      <c r="AH1409" t="n">
        <v>4</v>
      </c>
      <c r="AI1409" t="n">
        <v>4</v>
      </c>
      <c r="AJ1409" t="n">
        <v>9</v>
      </c>
      <c r="AK1409" t="n">
        <v>9</v>
      </c>
      <c r="AL1409" t="n">
        <v>2</v>
      </c>
      <c r="AM1409" t="n">
        <v>2</v>
      </c>
      <c r="AN1409" t="n">
        <v>0</v>
      </c>
      <c r="AO1409" t="n">
        <v>0</v>
      </c>
      <c r="AP1409" t="inlineStr">
        <is>
          <t>No</t>
        </is>
      </c>
      <c r="AQ1409" t="inlineStr">
        <is>
          <t>Yes</t>
        </is>
      </c>
      <c r="AR1409">
        <f>HYPERLINK("http://catalog.hathitrust.org/Record/000383736","HathiTrust Record")</f>
        <v/>
      </c>
      <c r="AS1409">
        <f>HYPERLINK("https://creighton-primo.hosted.exlibrisgroup.com/primo-explore/search?tab=default_tab&amp;search_scope=EVERYTHING&amp;vid=01CRU&amp;lang=en_US&amp;offset=0&amp;query=any,contains,991002749969702656","Catalog Record")</f>
        <v/>
      </c>
      <c r="AT1409">
        <f>HYPERLINK("http://www.worldcat.org/oclc/424154","WorldCat Record")</f>
        <v/>
      </c>
      <c r="AU1409" t="inlineStr">
        <is>
          <t>5266942441:eng</t>
        </is>
      </c>
      <c r="AV1409" t="inlineStr">
        <is>
          <t>424154</t>
        </is>
      </c>
      <c r="AW1409" t="inlineStr">
        <is>
          <t>991002749969702656</t>
        </is>
      </c>
      <c r="AX1409" t="inlineStr">
        <is>
          <t>991002749969702656</t>
        </is>
      </c>
      <c r="AY1409" t="inlineStr">
        <is>
          <t>2268276900002656</t>
        </is>
      </c>
      <c r="AZ1409" t="inlineStr">
        <is>
          <t>BOOK</t>
        </is>
      </c>
      <c r="BB1409" t="inlineStr">
        <is>
          <t>9780674937208</t>
        </is>
      </c>
      <c r="BC1409" t="inlineStr">
        <is>
          <t>32285001578219</t>
        </is>
      </c>
      <c r="BD1409" t="inlineStr">
        <is>
          <t>893798979</t>
        </is>
      </c>
    </row>
    <row r="1410">
      <c r="A1410" t="inlineStr">
        <is>
          <t>No</t>
        </is>
      </c>
      <c r="B1410" t="inlineStr">
        <is>
          <t>DS557.A6 B6</t>
        </is>
      </c>
      <c r="C1410" t="inlineStr">
        <is>
          <t>0                      DS 0557000A  6                  B  6</t>
        </is>
      </c>
      <c r="D1410" t="inlineStr">
        <is>
          <t>The last of the mandarins : Diem of Vietnam.</t>
        </is>
      </c>
      <c r="F1410" t="inlineStr">
        <is>
          <t>No</t>
        </is>
      </c>
      <c r="G1410" t="inlineStr">
        <is>
          <t>1</t>
        </is>
      </c>
      <c r="H1410" t="inlineStr">
        <is>
          <t>No</t>
        </is>
      </c>
      <c r="I1410" t="inlineStr">
        <is>
          <t>No</t>
        </is>
      </c>
      <c r="J1410" t="inlineStr">
        <is>
          <t>0</t>
        </is>
      </c>
      <c r="K1410" t="inlineStr">
        <is>
          <t>Bouscaren, Anthony Trawick.</t>
        </is>
      </c>
      <c r="L1410" t="inlineStr">
        <is>
          <t>Pittsburgh : Duquesne University Press, 1965.</t>
        </is>
      </c>
      <c r="M1410" t="inlineStr">
        <is>
          <t>1965</t>
        </is>
      </c>
      <c r="O1410" t="inlineStr">
        <is>
          <t>eng</t>
        </is>
      </c>
      <c r="P1410" t="inlineStr">
        <is>
          <t>pau</t>
        </is>
      </c>
      <c r="R1410" t="inlineStr">
        <is>
          <t xml:space="preserve">DS </t>
        </is>
      </c>
      <c r="S1410" t="n">
        <v>7</v>
      </c>
      <c r="T1410" t="n">
        <v>7</v>
      </c>
      <c r="U1410" t="inlineStr">
        <is>
          <t>1997-10-07</t>
        </is>
      </c>
      <c r="V1410" t="inlineStr">
        <is>
          <t>1997-10-07</t>
        </is>
      </c>
      <c r="W1410" t="inlineStr">
        <is>
          <t>1990-09-18</t>
        </is>
      </c>
      <c r="X1410" t="inlineStr">
        <is>
          <t>1990-09-18</t>
        </is>
      </c>
      <c r="Y1410" t="n">
        <v>480</v>
      </c>
      <c r="Z1410" t="n">
        <v>428</v>
      </c>
      <c r="AA1410" t="n">
        <v>434</v>
      </c>
      <c r="AB1410" t="n">
        <v>5</v>
      </c>
      <c r="AC1410" t="n">
        <v>5</v>
      </c>
      <c r="AD1410" t="n">
        <v>31</v>
      </c>
      <c r="AE1410" t="n">
        <v>31</v>
      </c>
      <c r="AF1410" t="n">
        <v>10</v>
      </c>
      <c r="AG1410" t="n">
        <v>10</v>
      </c>
      <c r="AH1410" t="n">
        <v>8</v>
      </c>
      <c r="AI1410" t="n">
        <v>8</v>
      </c>
      <c r="AJ1410" t="n">
        <v>18</v>
      </c>
      <c r="AK1410" t="n">
        <v>18</v>
      </c>
      <c r="AL1410" t="n">
        <v>3</v>
      </c>
      <c r="AM1410" t="n">
        <v>3</v>
      </c>
      <c r="AN1410" t="n">
        <v>0</v>
      </c>
      <c r="AO1410" t="n">
        <v>0</v>
      </c>
      <c r="AP1410" t="inlineStr">
        <is>
          <t>No</t>
        </is>
      </c>
      <c r="AQ1410" t="inlineStr">
        <is>
          <t>Yes</t>
        </is>
      </c>
      <c r="AR1410">
        <f>HYPERLINK("http://catalog.hathitrust.org/Record/001255442","HathiTrust Record")</f>
        <v/>
      </c>
      <c r="AS1410">
        <f>HYPERLINK("https://creighton-primo.hosted.exlibrisgroup.com/primo-explore/search?tab=default_tab&amp;search_scope=EVERYTHING&amp;vid=01CRU&amp;lang=en_US&amp;offset=0&amp;query=any,contains,991002715059702656","Catalog Record")</f>
        <v/>
      </c>
      <c r="AT1410">
        <f>HYPERLINK("http://www.worldcat.org/oclc/411037","WorldCat Record")</f>
        <v/>
      </c>
      <c r="AU1410" t="inlineStr">
        <is>
          <t>1456334:eng</t>
        </is>
      </c>
      <c r="AV1410" t="inlineStr">
        <is>
          <t>411037</t>
        </is>
      </c>
      <c r="AW1410" t="inlineStr">
        <is>
          <t>991002715059702656</t>
        </is>
      </c>
      <c r="AX1410" t="inlineStr">
        <is>
          <t>991002715059702656</t>
        </is>
      </c>
      <c r="AY1410" t="inlineStr">
        <is>
          <t>2265078600002656</t>
        </is>
      </c>
      <c r="AZ1410" t="inlineStr">
        <is>
          <t>BOOK</t>
        </is>
      </c>
      <c r="BC1410" t="inlineStr">
        <is>
          <t>32285000304419</t>
        </is>
      </c>
      <c r="BD1410" t="inlineStr">
        <is>
          <t>893616475</t>
        </is>
      </c>
    </row>
    <row r="1411">
      <c r="A1411" t="inlineStr">
        <is>
          <t>No</t>
        </is>
      </c>
      <c r="B1411" t="inlineStr">
        <is>
          <t>DS557.A6 C6 1968</t>
        </is>
      </c>
      <c r="C1411" t="inlineStr">
        <is>
          <t>0                      DS 0557000A  6                  C  6           1968</t>
        </is>
      </c>
      <c r="D1411" t="inlineStr">
        <is>
          <t>The betrayal / [by] William R. Corson.</t>
        </is>
      </c>
      <c r="F1411" t="inlineStr">
        <is>
          <t>No</t>
        </is>
      </c>
      <c r="G1411" t="inlineStr">
        <is>
          <t>1</t>
        </is>
      </c>
      <c r="H1411" t="inlineStr">
        <is>
          <t>No</t>
        </is>
      </c>
      <c r="I1411" t="inlineStr">
        <is>
          <t>No</t>
        </is>
      </c>
      <c r="J1411" t="inlineStr">
        <is>
          <t>0</t>
        </is>
      </c>
      <c r="K1411" t="inlineStr">
        <is>
          <t>Corson, William R.</t>
        </is>
      </c>
      <c r="L1411" t="inlineStr">
        <is>
          <t>New York : W. W. Norton, [1968]</t>
        </is>
      </c>
      <c r="M1411" t="inlineStr">
        <is>
          <t>1968</t>
        </is>
      </c>
      <c r="N1411" t="inlineStr">
        <is>
          <t>[1st ed.]</t>
        </is>
      </c>
      <c r="O1411" t="inlineStr">
        <is>
          <t>eng</t>
        </is>
      </c>
      <c r="P1411" t="inlineStr">
        <is>
          <t>nyu</t>
        </is>
      </c>
      <c r="R1411" t="inlineStr">
        <is>
          <t xml:space="preserve">DS </t>
        </is>
      </c>
      <c r="S1411" t="n">
        <v>1</v>
      </c>
      <c r="T1411" t="n">
        <v>1</v>
      </c>
      <c r="U1411" t="inlineStr">
        <is>
          <t>2010-02-21</t>
        </is>
      </c>
      <c r="V1411" t="inlineStr">
        <is>
          <t>2010-02-21</t>
        </is>
      </c>
      <c r="W1411" t="inlineStr">
        <is>
          <t>1990-09-18</t>
        </is>
      </c>
      <c r="X1411" t="inlineStr">
        <is>
          <t>1990-09-18</t>
        </is>
      </c>
      <c r="Y1411" t="n">
        <v>930</v>
      </c>
      <c r="Z1411" t="n">
        <v>859</v>
      </c>
      <c r="AA1411" t="n">
        <v>878</v>
      </c>
      <c r="AB1411" t="n">
        <v>11</v>
      </c>
      <c r="AC1411" t="n">
        <v>11</v>
      </c>
      <c r="AD1411" t="n">
        <v>35</v>
      </c>
      <c r="AE1411" t="n">
        <v>36</v>
      </c>
      <c r="AF1411" t="n">
        <v>16</v>
      </c>
      <c r="AG1411" t="n">
        <v>16</v>
      </c>
      <c r="AH1411" t="n">
        <v>6</v>
      </c>
      <c r="AI1411" t="n">
        <v>6</v>
      </c>
      <c r="AJ1411" t="n">
        <v>16</v>
      </c>
      <c r="AK1411" t="n">
        <v>17</v>
      </c>
      <c r="AL1411" t="n">
        <v>6</v>
      </c>
      <c r="AM1411" t="n">
        <v>6</v>
      </c>
      <c r="AN1411" t="n">
        <v>0</v>
      </c>
      <c r="AO1411" t="n">
        <v>0</v>
      </c>
      <c r="AP1411" t="inlineStr">
        <is>
          <t>No</t>
        </is>
      </c>
      <c r="AQ1411" t="inlineStr">
        <is>
          <t>Yes</t>
        </is>
      </c>
      <c r="AR1411">
        <f>HYPERLINK("http://catalog.hathitrust.org/Record/001255388","HathiTrust Record")</f>
        <v/>
      </c>
      <c r="AS1411">
        <f>HYPERLINK("https://creighton-primo.hosted.exlibrisgroup.com/primo-explore/search?tab=default_tab&amp;search_scope=EVERYTHING&amp;vid=01CRU&amp;lang=en_US&amp;offset=0&amp;query=any,contains,991002777119702656","Catalog Record")</f>
        <v/>
      </c>
      <c r="AT1411">
        <f>HYPERLINK("http://www.worldcat.org/oclc/439100","WorldCat Record")</f>
        <v/>
      </c>
      <c r="AU1411" t="inlineStr">
        <is>
          <t>1562978:eng</t>
        </is>
      </c>
      <c r="AV1411" t="inlineStr">
        <is>
          <t>439100</t>
        </is>
      </c>
      <c r="AW1411" t="inlineStr">
        <is>
          <t>991002777119702656</t>
        </is>
      </c>
      <c r="AX1411" t="inlineStr">
        <is>
          <t>991002777119702656</t>
        </is>
      </c>
      <c r="AY1411" t="inlineStr">
        <is>
          <t>2267812890002656</t>
        </is>
      </c>
      <c r="AZ1411" t="inlineStr">
        <is>
          <t>BOOK</t>
        </is>
      </c>
      <c r="BC1411" t="inlineStr">
        <is>
          <t>32285000304401</t>
        </is>
      </c>
      <c r="BD1411" t="inlineStr">
        <is>
          <t>893415636</t>
        </is>
      </c>
    </row>
    <row r="1412">
      <c r="A1412" t="inlineStr">
        <is>
          <t>No</t>
        </is>
      </c>
      <c r="B1412" t="inlineStr">
        <is>
          <t>DS557.A6 D37</t>
        </is>
      </c>
      <c r="C1412" t="inlineStr">
        <is>
          <t>0                      DS 0557000A  6                  D  37</t>
        </is>
      </c>
      <c r="D1412" t="inlineStr">
        <is>
          <t>From Vietnam to Cambodia; a background book about the struggle in Southeast Asia.</t>
        </is>
      </c>
      <c r="F1412" t="inlineStr">
        <is>
          <t>No</t>
        </is>
      </c>
      <c r="G1412" t="inlineStr">
        <is>
          <t>1</t>
        </is>
      </c>
      <c r="H1412" t="inlineStr">
        <is>
          <t>No</t>
        </is>
      </c>
      <c r="I1412" t="inlineStr">
        <is>
          <t>No</t>
        </is>
      </c>
      <c r="J1412" t="inlineStr">
        <is>
          <t>0</t>
        </is>
      </c>
      <c r="K1412" t="inlineStr">
        <is>
          <t>Dareff, Hal.</t>
        </is>
      </c>
      <c r="L1412" t="inlineStr">
        <is>
          <t>New York, Parents' Magazine Press [1971]</t>
        </is>
      </c>
      <c r="M1412" t="inlineStr">
        <is>
          <t>1971</t>
        </is>
      </c>
      <c r="O1412" t="inlineStr">
        <is>
          <t>eng</t>
        </is>
      </c>
      <c r="P1412" t="inlineStr">
        <is>
          <t>nyu</t>
        </is>
      </c>
      <c r="Q1412" t="inlineStr">
        <is>
          <t>The Background series</t>
        </is>
      </c>
      <c r="R1412" t="inlineStr">
        <is>
          <t xml:space="preserve">DS </t>
        </is>
      </c>
      <c r="S1412" t="n">
        <v>3</v>
      </c>
      <c r="T1412" t="n">
        <v>3</v>
      </c>
      <c r="U1412" t="inlineStr">
        <is>
          <t>1999-11-29</t>
        </is>
      </c>
      <c r="V1412" t="inlineStr">
        <is>
          <t>1999-11-29</t>
        </is>
      </c>
      <c r="W1412" t="inlineStr">
        <is>
          <t>1997-03-11</t>
        </is>
      </c>
      <c r="X1412" t="inlineStr">
        <is>
          <t>1997-03-11</t>
        </is>
      </c>
      <c r="Y1412" t="n">
        <v>511</v>
      </c>
      <c r="Z1412" t="n">
        <v>479</v>
      </c>
      <c r="AA1412" t="n">
        <v>489</v>
      </c>
      <c r="AB1412" t="n">
        <v>6</v>
      </c>
      <c r="AC1412" t="n">
        <v>6</v>
      </c>
      <c r="AD1412" t="n">
        <v>7</v>
      </c>
      <c r="AE1412" t="n">
        <v>7</v>
      </c>
      <c r="AF1412" t="n">
        <v>3</v>
      </c>
      <c r="AG1412" t="n">
        <v>3</v>
      </c>
      <c r="AH1412" t="n">
        <v>2</v>
      </c>
      <c r="AI1412" t="n">
        <v>2</v>
      </c>
      <c r="AJ1412" t="n">
        <v>2</v>
      </c>
      <c r="AK1412" t="n">
        <v>2</v>
      </c>
      <c r="AL1412" t="n">
        <v>2</v>
      </c>
      <c r="AM1412" t="n">
        <v>2</v>
      </c>
      <c r="AN1412" t="n">
        <v>0</v>
      </c>
      <c r="AO1412" t="n">
        <v>0</v>
      </c>
      <c r="AP1412" t="inlineStr">
        <is>
          <t>No</t>
        </is>
      </c>
      <c r="AQ1412" t="inlineStr">
        <is>
          <t>No</t>
        </is>
      </c>
      <c r="AS1412">
        <f>HYPERLINK("https://creighton-primo.hosted.exlibrisgroup.com/primo-explore/search?tab=default_tab&amp;search_scope=EVERYTHING&amp;vid=01CRU&amp;lang=en_US&amp;offset=0&amp;query=any,contains,991000924219702656","Catalog Record")</f>
        <v/>
      </c>
      <c r="AT1412">
        <f>HYPERLINK("http://www.worldcat.org/oclc/162674","WorldCat Record")</f>
        <v/>
      </c>
      <c r="AU1412" t="inlineStr">
        <is>
          <t>194750931:eng</t>
        </is>
      </c>
      <c r="AV1412" t="inlineStr">
        <is>
          <t>162674</t>
        </is>
      </c>
      <c r="AW1412" t="inlineStr">
        <is>
          <t>991000924219702656</t>
        </is>
      </c>
      <c r="AX1412" t="inlineStr">
        <is>
          <t>991000924219702656</t>
        </is>
      </c>
      <c r="AY1412" t="inlineStr">
        <is>
          <t>2268906800002656</t>
        </is>
      </c>
      <c r="AZ1412" t="inlineStr">
        <is>
          <t>BOOK</t>
        </is>
      </c>
      <c r="BB1412" t="inlineStr">
        <is>
          <t>9780819304766</t>
        </is>
      </c>
      <c r="BC1412" t="inlineStr">
        <is>
          <t>32285002459385</t>
        </is>
      </c>
      <c r="BD1412" t="inlineStr">
        <is>
          <t>893865799</t>
        </is>
      </c>
    </row>
    <row r="1413">
      <c r="A1413" t="inlineStr">
        <is>
          <t>No</t>
        </is>
      </c>
      <c r="B1413" t="inlineStr">
        <is>
          <t>DS557.A6 D8 1965a</t>
        </is>
      </c>
      <c r="C1413" t="inlineStr">
        <is>
          <t>0                      DS 0557000A  6                  D  8           1965a</t>
        </is>
      </c>
      <c r="D1413" t="inlineStr">
        <is>
          <t>Background to betrayal; the tragedy of Vietnam / Hilaire du Berrier.</t>
        </is>
      </c>
      <c r="F1413" t="inlineStr">
        <is>
          <t>No</t>
        </is>
      </c>
      <c r="G1413" t="inlineStr">
        <is>
          <t>1</t>
        </is>
      </c>
      <c r="H1413" t="inlineStr">
        <is>
          <t>No</t>
        </is>
      </c>
      <c r="I1413" t="inlineStr">
        <is>
          <t>No</t>
        </is>
      </c>
      <c r="J1413" t="inlineStr">
        <is>
          <t>0</t>
        </is>
      </c>
      <c r="K1413" t="inlineStr">
        <is>
          <t>Du Berrier, Hilaire, 1906-</t>
        </is>
      </c>
      <c r="L1413" t="inlineStr">
        <is>
          <t>Boston : Western Islands, c1965.</t>
        </is>
      </c>
      <c r="M1413" t="inlineStr">
        <is>
          <t>1965</t>
        </is>
      </c>
      <c r="O1413" t="inlineStr">
        <is>
          <t>eng</t>
        </is>
      </c>
      <c r="P1413" t="inlineStr">
        <is>
          <t>mau</t>
        </is>
      </c>
      <c r="R1413" t="inlineStr">
        <is>
          <t xml:space="preserve">DS </t>
        </is>
      </c>
      <c r="S1413" t="n">
        <v>2</v>
      </c>
      <c r="T1413" t="n">
        <v>2</v>
      </c>
      <c r="U1413" t="inlineStr">
        <is>
          <t>1993-10-21</t>
        </is>
      </c>
      <c r="V1413" t="inlineStr">
        <is>
          <t>1993-10-21</t>
        </is>
      </c>
      <c r="W1413" t="inlineStr">
        <is>
          <t>1990-03-27</t>
        </is>
      </c>
      <c r="X1413" t="inlineStr">
        <is>
          <t>1990-03-27</t>
        </is>
      </c>
      <c r="Y1413" t="n">
        <v>156</v>
      </c>
      <c r="Z1413" t="n">
        <v>148</v>
      </c>
      <c r="AA1413" t="n">
        <v>271</v>
      </c>
      <c r="AB1413" t="n">
        <v>2</v>
      </c>
      <c r="AC1413" t="n">
        <v>3</v>
      </c>
      <c r="AD1413" t="n">
        <v>3</v>
      </c>
      <c r="AE1413" t="n">
        <v>6</v>
      </c>
      <c r="AF1413" t="n">
        <v>1</v>
      </c>
      <c r="AG1413" t="n">
        <v>2</v>
      </c>
      <c r="AH1413" t="n">
        <v>1</v>
      </c>
      <c r="AI1413" t="n">
        <v>1</v>
      </c>
      <c r="AJ1413" t="n">
        <v>1</v>
      </c>
      <c r="AK1413" t="n">
        <v>2</v>
      </c>
      <c r="AL1413" t="n">
        <v>0</v>
      </c>
      <c r="AM1413" t="n">
        <v>1</v>
      </c>
      <c r="AN1413" t="n">
        <v>0</v>
      </c>
      <c r="AO1413" t="n">
        <v>0</v>
      </c>
      <c r="AP1413" t="inlineStr">
        <is>
          <t>No</t>
        </is>
      </c>
      <c r="AQ1413" t="inlineStr">
        <is>
          <t>No</t>
        </is>
      </c>
      <c r="AS1413">
        <f>HYPERLINK("https://creighton-primo.hosted.exlibrisgroup.com/primo-explore/search?tab=default_tab&amp;search_scope=EVERYTHING&amp;vid=01CRU&amp;lang=en_US&amp;offset=0&amp;query=any,contains,991004785819702656","Catalog Record")</f>
        <v/>
      </c>
      <c r="AT1413">
        <f>HYPERLINK("http://www.worldcat.org/oclc/5143315","WorldCat Record")</f>
        <v/>
      </c>
      <c r="AU1413" t="inlineStr">
        <is>
          <t>1650438:eng</t>
        </is>
      </c>
      <c r="AV1413" t="inlineStr">
        <is>
          <t>5143315</t>
        </is>
      </c>
      <c r="AW1413" t="inlineStr">
        <is>
          <t>991004785819702656</t>
        </is>
      </c>
      <c r="AX1413" t="inlineStr">
        <is>
          <t>991004785819702656</t>
        </is>
      </c>
      <c r="AY1413" t="inlineStr">
        <is>
          <t>2271414300002656</t>
        </is>
      </c>
      <c r="AZ1413" t="inlineStr">
        <is>
          <t>BOOK</t>
        </is>
      </c>
      <c r="BC1413" t="inlineStr">
        <is>
          <t>32285000097385</t>
        </is>
      </c>
      <c r="BD1413" t="inlineStr">
        <is>
          <t>893722611</t>
        </is>
      </c>
    </row>
    <row r="1414">
      <c r="A1414" t="inlineStr">
        <is>
          <t>No</t>
        </is>
      </c>
      <c r="B1414" t="inlineStr">
        <is>
          <t>DS557.A6 F48</t>
        </is>
      </c>
      <c r="C1414" t="inlineStr">
        <is>
          <t>0                      DS 0557000A  6                  F  48</t>
        </is>
      </c>
      <c r="D1414" t="inlineStr">
        <is>
          <t>Vietnam: anatomy of a conflict. Edited by Wesley R. Fishel. Contributors: Hanson Baldwin [and others]</t>
        </is>
      </c>
      <c r="F1414" t="inlineStr">
        <is>
          <t>No</t>
        </is>
      </c>
      <c r="G1414" t="inlineStr">
        <is>
          <t>1</t>
        </is>
      </c>
      <c r="H1414" t="inlineStr">
        <is>
          <t>No</t>
        </is>
      </c>
      <c r="I1414" t="inlineStr">
        <is>
          <t>No</t>
        </is>
      </c>
      <c r="J1414" t="inlineStr">
        <is>
          <t>0</t>
        </is>
      </c>
      <c r="K1414" t="inlineStr">
        <is>
          <t>Fishel, Wesley R., compiler.</t>
        </is>
      </c>
      <c r="L1414" t="inlineStr">
        <is>
          <t>Itasca, Ill., F. E. Peacock [1968]</t>
        </is>
      </c>
      <c r="M1414" t="inlineStr">
        <is>
          <t>1968</t>
        </is>
      </c>
      <c r="O1414" t="inlineStr">
        <is>
          <t>eng</t>
        </is>
      </c>
      <c r="P1414" t="inlineStr">
        <is>
          <t>ilu</t>
        </is>
      </c>
      <c r="R1414" t="inlineStr">
        <is>
          <t xml:space="preserve">DS </t>
        </is>
      </c>
      <c r="S1414" t="n">
        <v>3</v>
      </c>
      <c r="T1414" t="n">
        <v>3</v>
      </c>
      <c r="U1414" t="inlineStr">
        <is>
          <t>2004-10-27</t>
        </is>
      </c>
      <c r="V1414" t="inlineStr">
        <is>
          <t>2004-10-27</t>
        </is>
      </c>
      <c r="W1414" t="inlineStr">
        <is>
          <t>1997-03-11</t>
        </is>
      </c>
      <c r="X1414" t="inlineStr">
        <is>
          <t>1997-03-11</t>
        </is>
      </c>
      <c r="Y1414" t="n">
        <v>663</v>
      </c>
      <c r="Z1414" t="n">
        <v>563</v>
      </c>
      <c r="AA1414" t="n">
        <v>570</v>
      </c>
      <c r="AB1414" t="n">
        <v>5</v>
      </c>
      <c r="AC1414" t="n">
        <v>5</v>
      </c>
      <c r="AD1414" t="n">
        <v>34</v>
      </c>
      <c r="AE1414" t="n">
        <v>34</v>
      </c>
      <c r="AF1414" t="n">
        <v>13</v>
      </c>
      <c r="AG1414" t="n">
        <v>13</v>
      </c>
      <c r="AH1414" t="n">
        <v>8</v>
      </c>
      <c r="AI1414" t="n">
        <v>8</v>
      </c>
      <c r="AJ1414" t="n">
        <v>16</v>
      </c>
      <c r="AK1414" t="n">
        <v>16</v>
      </c>
      <c r="AL1414" t="n">
        <v>4</v>
      </c>
      <c r="AM1414" t="n">
        <v>4</v>
      </c>
      <c r="AN1414" t="n">
        <v>0</v>
      </c>
      <c r="AO1414" t="n">
        <v>0</v>
      </c>
      <c r="AP1414" t="inlineStr">
        <is>
          <t>No</t>
        </is>
      </c>
      <c r="AQ1414" t="inlineStr">
        <is>
          <t>Yes</t>
        </is>
      </c>
      <c r="AR1414">
        <f>HYPERLINK("http://catalog.hathitrust.org/Record/001255396","HathiTrust Record")</f>
        <v/>
      </c>
      <c r="AS1414">
        <f>HYPERLINK("https://creighton-primo.hosted.exlibrisgroup.com/primo-explore/search?tab=default_tab&amp;search_scope=EVERYTHING&amp;vid=01CRU&amp;lang=en_US&amp;offset=0&amp;query=any,contains,991002715029702656","Catalog Record")</f>
        <v/>
      </c>
      <c r="AT1414">
        <f>HYPERLINK("http://www.worldcat.org/oclc/411033","WorldCat Record")</f>
        <v/>
      </c>
      <c r="AU1414" t="inlineStr">
        <is>
          <t>1456312:eng</t>
        </is>
      </c>
      <c r="AV1414" t="inlineStr">
        <is>
          <t>411033</t>
        </is>
      </c>
      <c r="AW1414" t="inlineStr">
        <is>
          <t>991002715029702656</t>
        </is>
      </c>
      <c r="AX1414" t="inlineStr">
        <is>
          <t>991002715029702656</t>
        </is>
      </c>
      <c r="AY1414" t="inlineStr">
        <is>
          <t>2265078490002656</t>
        </is>
      </c>
      <c r="AZ1414" t="inlineStr">
        <is>
          <t>BOOK</t>
        </is>
      </c>
      <c r="BC1414" t="inlineStr">
        <is>
          <t>32285002459393</t>
        </is>
      </c>
      <c r="BD1414" t="inlineStr">
        <is>
          <t>893603918</t>
        </is>
      </c>
    </row>
    <row r="1415">
      <c r="A1415" t="inlineStr">
        <is>
          <t>No</t>
        </is>
      </c>
      <c r="B1415" t="inlineStr">
        <is>
          <t>DS557.A6 F53</t>
        </is>
      </c>
      <c r="C1415" t="inlineStr">
        <is>
          <t>0                      DS 0557000A  6                  F  53</t>
        </is>
      </c>
      <c r="D1415" t="inlineStr">
        <is>
          <t>Fire in the lake; the Vietnamese and the Americans in Vietnam.</t>
        </is>
      </c>
      <c r="F1415" t="inlineStr">
        <is>
          <t>No</t>
        </is>
      </c>
      <c r="G1415" t="inlineStr">
        <is>
          <t>1</t>
        </is>
      </c>
      <c r="H1415" t="inlineStr">
        <is>
          <t>No</t>
        </is>
      </c>
      <c r="I1415" t="inlineStr">
        <is>
          <t>No</t>
        </is>
      </c>
      <c r="J1415" t="inlineStr">
        <is>
          <t>0</t>
        </is>
      </c>
      <c r="K1415" t="inlineStr">
        <is>
          <t>FitzGerald, Frances, 1940-</t>
        </is>
      </c>
      <c r="L1415" t="inlineStr">
        <is>
          <t>Boston, Little, Brown [1972]</t>
        </is>
      </c>
      <c r="M1415" t="inlineStr">
        <is>
          <t>1972</t>
        </is>
      </c>
      <c r="N1415" t="inlineStr">
        <is>
          <t>[1st ed.]</t>
        </is>
      </c>
      <c r="O1415" t="inlineStr">
        <is>
          <t>eng</t>
        </is>
      </c>
      <c r="P1415" t="inlineStr">
        <is>
          <t>mau</t>
        </is>
      </c>
      <c r="R1415" t="inlineStr">
        <is>
          <t xml:space="preserve">DS </t>
        </is>
      </c>
      <c r="S1415" t="n">
        <v>1</v>
      </c>
      <c r="T1415" t="n">
        <v>1</v>
      </c>
      <c r="U1415" t="inlineStr">
        <is>
          <t>2002-03-22</t>
        </is>
      </c>
      <c r="V1415" t="inlineStr">
        <is>
          <t>2002-03-22</t>
        </is>
      </c>
      <c r="W1415" t="inlineStr">
        <is>
          <t>1997-03-11</t>
        </is>
      </c>
      <c r="X1415" t="inlineStr">
        <is>
          <t>1997-03-11</t>
        </is>
      </c>
      <c r="Y1415" t="n">
        <v>2267</v>
      </c>
      <c r="Z1415" t="n">
        <v>2097</v>
      </c>
      <c r="AA1415" t="n">
        <v>2730</v>
      </c>
      <c r="AB1415" t="n">
        <v>21</v>
      </c>
      <c r="AC1415" t="n">
        <v>27</v>
      </c>
      <c r="AD1415" t="n">
        <v>51</v>
      </c>
      <c r="AE1415" t="n">
        <v>65</v>
      </c>
      <c r="AF1415" t="n">
        <v>23</v>
      </c>
      <c r="AG1415" t="n">
        <v>27</v>
      </c>
      <c r="AH1415" t="n">
        <v>7</v>
      </c>
      <c r="AI1415" t="n">
        <v>10</v>
      </c>
      <c r="AJ1415" t="n">
        <v>21</v>
      </c>
      <c r="AK1415" t="n">
        <v>28</v>
      </c>
      <c r="AL1415" t="n">
        <v>9</v>
      </c>
      <c r="AM1415" t="n">
        <v>13</v>
      </c>
      <c r="AN1415" t="n">
        <v>1</v>
      </c>
      <c r="AO1415" t="n">
        <v>1</v>
      </c>
      <c r="AP1415" t="inlineStr">
        <is>
          <t>No</t>
        </is>
      </c>
      <c r="AQ1415" t="inlineStr">
        <is>
          <t>Yes</t>
        </is>
      </c>
      <c r="AR1415">
        <f>HYPERLINK("http://catalog.hathitrust.org/Record/001255397","HathiTrust Record")</f>
        <v/>
      </c>
      <c r="AS1415">
        <f>HYPERLINK("https://creighton-primo.hosted.exlibrisgroup.com/primo-explore/search?tab=default_tab&amp;search_scope=EVERYTHING&amp;vid=01CRU&amp;lang=en_US&amp;offset=0&amp;query=any,contains,991002591239702656","Catalog Record")</f>
        <v/>
      </c>
      <c r="AT1415">
        <f>HYPERLINK("http://www.worldcat.org/oclc/375867","WorldCat Record")</f>
        <v/>
      </c>
      <c r="AU1415" t="inlineStr">
        <is>
          <t>447767:eng</t>
        </is>
      </c>
      <c r="AV1415" t="inlineStr">
        <is>
          <t>375867</t>
        </is>
      </c>
      <c r="AW1415" t="inlineStr">
        <is>
          <t>991002591239702656</t>
        </is>
      </c>
      <c r="AX1415" t="inlineStr">
        <is>
          <t>991002591239702656</t>
        </is>
      </c>
      <c r="AY1415" t="inlineStr">
        <is>
          <t>2264210120002656</t>
        </is>
      </c>
      <c r="AZ1415" t="inlineStr">
        <is>
          <t>BOOK</t>
        </is>
      </c>
      <c r="BC1415" t="inlineStr">
        <is>
          <t>32285002459401</t>
        </is>
      </c>
      <c r="BD1415" t="inlineStr">
        <is>
          <t>893440300</t>
        </is>
      </c>
    </row>
    <row r="1416">
      <c r="A1416" t="inlineStr">
        <is>
          <t>No</t>
        </is>
      </c>
      <c r="B1416" t="inlineStr">
        <is>
          <t>DS557.A6 G4513 1970</t>
        </is>
      </c>
      <c r="C1416" t="inlineStr">
        <is>
          <t>0                      DS 0557000A  6                  G  4513        1970</t>
        </is>
      </c>
      <c r="D1416" t="inlineStr">
        <is>
          <t>The cross and the Bo-tree : Catholics and Buddhists in Vietnam / Translated by Charles Underhill Quinn.</t>
        </is>
      </c>
      <c r="F1416" t="inlineStr">
        <is>
          <t>No</t>
        </is>
      </c>
      <c r="G1416" t="inlineStr">
        <is>
          <t>1</t>
        </is>
      </c>
      <c r="H1416" t="inlineStr">
        <is>
          <t>No</t>
        </is>
      </c>
      <c r="I1416" t="inlineStr">
        <is>
          <t>No</t>
        </is>
      </c>
      <c r="J1416" t="inlineStr">
        <is>
          <t>0</t>
        </is>
      </c>
      <c r="K1416" t="inlineStr">
        <is>
          <t>Gheddo, Piero.</t>
        </is>
      </c>
      <c r="L1416" t="inlineStr">
        <is>
          <t>New York : Sheed and Ward, [c1970]</t>
        </is>
      </c>
      <c r="M1416" t="inlineStr">
        <is>
          <t>1970</t>
        </is>
      </c>
      <c r="O1416" t="inlineStr">
        <is>
          <t>eng</t>
        </is>
      </c>
      <c r="P1416" t="inlineStr">
        <is>
          <t>nyu</t>
        </is>
      </c>
      <c r="R1416" t="inlineStr">
        <is>
          <t xml:space="preserve">DS </t>
        </is>
      </c>
      <c r="S1416" t="n">
        <v>5</v>
      </c>
      <c r="T1416" t="n">
        <v>5</v>
      </c>
      <c r="U1416" t="inlineStr">
        <is>
          <t>2001-03-22</t>
        </is>
      </c>
      <c r="V1416" t="inlineStr">
        <is>
          <t>2001-03-22</t>
        </is>
      </c>
      <c r="W1416" t="inlineStr">
        <is>
          <t>1990-10-10</t>
        </is>
      </c>
      <c r="X1416" t="inlineStr">
        <is>
          <t>1990-10-10</t>
        </is>
      </c>
      <c r="Y1416" t="n">
        <v>538</v>
      </c>
      <c r="Z1416" t="n">
        <v>464</v>
      </c>
      <c r="AA1416" t="n">
        <v>468</v>
      </c>
      <c r="AB1416" t="n">
        <v>6</v>
      </c>
      <c r="AC1416" t="n">
        <v>6</v>
      </c>
      <c r="AD1416" t="n">
        <v>39</v>
      </c>
      <c r="AE1416" t="n">
        <v>39</v>
      </c>
      <c r="AF1416" t="n">
        <v>15</v>
      </c>
      <c r="AG1416" t="n">
        <v>15</v>
      </c>
      <c r="AH1416" t="n">
        <v>9</v>
      </c>
      <c r="AI1416" t="n">
        <v>9</v>
      </c>
      <c r="AJ1416" t="n">
        <v>24</v>
      </c>
      <c r="AK1416" t="n">
        <v>24</v>
      </c>
      <c r="AL1416" t="n">
        <v>4</v>
      </c>
      <c r="AM1416" t="n">
        <v>4</v>
      </c>
      <c r="AN1416" t="n">
        <v>0</v>
      </c>
      <c r="AO1416" t="n">
        <v>0</v>
      </c>
      <c r="AP1416" t="inlineStr">
        <is>
          <t>No</t>
        </is>
      </c>
      <c r="AQ1416" t="inlineStr">
        <is>
          <t>Yes</t>
        </is>
      </c>
      <c r="AR1416">
        <f>HYPERLINK("http://catalog.hathitrust.org/Record/001255310","HathiTrust Record")</f>
        <v/>
      </c>
      <c r="AS1416">
        <f>HYPERLINK("https://creighton-primo.hosted.exlibrisgroup.com/primo-explore/search?tab=default_tab&amp;search_scope=EVERYTHING&amp;vid=01CRU&amp;lang=en_US&amp;offset=0&amp;query=any,contains,991002377149702656","Catalog Record")</f>
        <v/>
      </c>
      <c r="AT1416">
        <f>HYPERLINK("http://www.worldcat.org/oclc/327415","WorldCat Record")</f>
        <v/>
      </c>
      <c r="AU1416" t="inlineStr">
        <is>
          <t>855536760:eng</t>
        </is>
      </c>
      <c r="AV1416" t="inlineStr">
        <is>
          <t>327415</t>
        </is>
      </c>
      <c r="AW1416" t="inlineStr">
        <is>
          <t>991002377149702656</t>
        </is>
      </c>
      <c r="AX1416" t="inlineStr">
        <is>
          <t>991002377149702656</t>
        </is>
      </c>
      <c r="AY1416" t="inlineStr">
        <is>
          <t>2272638200002656</t>
        </is>
      </c>
      <c r="AZ1416" t="inlineStr">
        <is>
          <t>BOOK</t>
        </is>
      </c>
      <c r="BC1416" t="inlineStr">
        <is>
          <t>32285000337419</t>
        </is>
      </c>
      <c r="BD1416" t="inlineStr">
        <is>
          <t>893415124</t>
        </is>
      </c>
    </row>
    <row r="1417">
      <c r="A1417" t="inlineStr">
        <is>
          <t>No</t>
        </is>
      </c>
      <c r="B1417" t="inlineStr">
        <is>
          <t>DS557.A6 L44</t>
        </is>
      </c>
      <c r="C1417" t="inlineStr">
        <is>
          <t>0                      DS 0557000A  6                  L  44</t>
        </is>
      </c>
      <c r="D1417" t="inlineStr">
        <is>
          <t>The Vietnam conflict : its geographical dimensions, political traumas, &amp; military developments / Milton Leitenberg &amp; Richard Dean Burns, compilers. Assisted by Janice Roswell, Judith Roswell, &amp; Lillemor Lindh.</t>
        </is>
      </c>
      <c r="F1417" t="inlineStr">
        <is>
          <t>No</t>
        </is>
      </c>
      <c r="G1417" t="inlineStr">
        <is>
          <t>1</t>
        </is>
      </c>
      <c r="H1417" t="inlineStr">
        <is>
          <t>No</t>
        </is>
      </c>
      <c r="I1417" t="inlineStr">
        <is>
          <t>No</t>
        </is>
      </c>
      <c r="J1417" t="inlineStr">
        <is>
          <t>0</t>
        </is>
      </c>
      <c r="K1417" t="inlineStr">
        <is>
          <t>Leitenberg, Milton.</t>
        </is>
      </c>
      <c r="L1417" t="inlineStr">
        <is>
          <t>Santa Barbara, Calif. : ABC-Clio, [c1973]</t>
        </is>
      </c>
      <c r="M1417" t="inlineStr">
        <is>
          <t>1973</t>
        </is>
      </c>
      <c r="O1417" t="inlineStr">
        <is>
          <t>eng</t>
        </is>
      </c>
      <c r="P1417" t="inlineStr">
        <is>
          <t>cau</t>
        </is>
      </c>
      <c r="Q1417" t="inlineStr">
        <is>
          <t>War/peace bibliography series</t>
        </is>
      </c>
      <c r="R1417" t="inlineStr">
        <is>
          <t xml:space="preserve">DS </t>
        </is>
      </c>
      <c r="S1417" t="n">
        <v>2</v>
      </c>
      <c r="T1417" t="n">
        <v>2</v>
      </c>
      <c r="U1417" t="inlineStr">
        <is>
          <t>1998-03-03</t>
        </is>
      </c>
      <c r="V1417" t="inlineStr">
        <is>
          <t>1998-03-03</t>
        </is>
      </c>
      <c r="W1417" t="inlineStr">
        <is>
          <t>1996-12-30</t>
        </is>
      </c>
      <c r="X1417" t="inlineStr">
        <is>
          <t>1996-12-30</t>
        </is>
      </c>
      <c r="Y1417" t="n">
        <v>464</v>
      </c>
      <c r="Z1417" t="n">
        <v>364</v>
      </c>
      <c r="AA1417" t="n">
        <v>366</v>
      </c>
      <c r="AB1417" t="n">
        <v>3</v>
      </c>
      <c r="AC1417" t="n">
        <v>3</v>
      </c>
      <c r="AD1417" t="n">
        <v>13</v>
      </c>
      <c r="AE1417" t="n">
        <v>13</v>
      </c>
      <c r="AF1417" t="n">
        <v>4</v>
      </c>
      <c r="AG1417" t="n">
        <v>4</v>
      </c>
      <c r="AH1417" t="n">
        <v>3</v>
      </c>
      <c r="AI1417" t="n">
        <v>3</v>
      </c>
      <c r="AJ1417" t="n">
        <v>7</v>
      </c>
      <c r="AK1417" t="n">
        <v>7</v>
      </c>
      <c r="AL1417" t="n">
        <v>2</v>
      </c>
      <c r="AM1417" t="n">
        <v>2</v>
      </c>
      <c r="AN1417" t="n">
        <v>0</v>
      </c>
      <c r="AO1417" t="n">
        <v>0</v>
      </c>
      <c r="AP1417" t="inlineStr">
        <is>
          <t>No</t>
        </is>
      </c>
      <c r="AQ1417" t="inlineStr">
        <is>
          <t>Yes</t>
        </is>
      </c>
      <c r="AR1417">
        <f>HYPERLINK("http://catalog.hathitrust.org/Record/001170570","HathiTrust Record")</f>
        <v/>
      </c>
      <c r="AS1417">
        <f>HYPERLINK("https://creighton-primo.hosted.exlibrisgroup.com/primo-explore/search?tab=default_tab&amp;search_scope=EVERYTHING&amp;vid=01CRU&amp;lang=en_US&amp;offset=0&amp;query=any,contains,991003328359702656","Catalog Record")</f>
        <v/>
      </c>
      <c r="AT1417">
        <f>HYPERLINK("http://www.worldcat.org/oclc/858396","WorldCat Record")</f>
        <v/>
      </c>
      <c r="AU1417" t="inlineStr">
        <is>
          <t>504310761:eng</t>
        </is>
      </c>
      <c r="AV1417" t="inlineStr">
        <is>
          <t>858396</t>
        </is>
      </c>
      <c r="AW1417" t="inlineStr">
        <is>
          <t>991003328359702656</t>
        </is>
      </c>
      <c r="AX1417" t="inlineStr">
        <is>
          <t>991003328359702656</t>
        </is>
      </c>
      <c r="AY1417" t="inlineStr">
        <is>
          <t>2267090200002656</t>
        </is>
      </c>
      <c r="AZ1417" t="inlineStr">
        <is>
          <t>BOOK</t>
        </is>
      </c>
      <c r="BB1417" t="inlineStr">
        <is>
          <t>9780874361209</t>
        </is>
      </c>
      <c r="BC1417" t="inlineStr">
        <is>
          <t>32285002404183</t>
        </is>
      </c>
      <c r="BD1417" t="inlineStr">
        <is>
          <t>893258321</t>
        </is>
      </c>
    </row>
    <row r="1418">
      <c r="A1418" t="inlineStr">
        <is>
          <t>No</t>
        </is>
      </c>
      <c r="B1418" t="inlineStr">
        <is>
          <t>DS557.A6 M22</t>
        </is>
      </c>
      <c r="C1418" t="inlineStr">
        <is>
          <t>0                      DS 0557000A  6                  M  22</t>
        </is>
      </c>
      <c r="D1418" t="inlineStr">
        <is>
          <t>Visions of victory : selected Vietnamese Communist military writings, 1964-1968 / with an analytical introd. by Patrick J. McGarvey.</t>
        </is>
      </c>
      <c r="F1418" t="inlineStr">
        <is>
          <t>No</t>
        </is>
      </c>
      <c r="G1418" t="inlineStr">
        <is>
          <t>1</t>
        </is>
      </c>
      <c r="H1418" t="inlineStr">
        <is>
          <t>No</t>
        </is>
      </c>
      <c r="I1418" t="inlineStr">
        <is>
          <t>No</t>
        </is>
      </c>
      <c r="J1418" t="inlineStr">
        <is>
          <t>0</t>
        </is>
      </c>
      <c r="K1418" t="inlineStr">
        <is>
          <t>McGarvey, Patrick J., compiler.</t>
        </is>
      </c>
      <c r="L1418" t="inlineStr">
        <is>
          <t>Stanford, Calif. : Hoover Institution on War, Revolution and Peace, Stanford University, [1969]</t>
        </is>
      </c>
      <c r="M1418" t="inlineStr">
        <is>
          <t>1969</t>
        </is>
      </c>
      <c r="O1418" t="inlineStr">
        <is>
          <t>eng</t>
        </is>
      </c>
      <c r="P1418" t="inlineStr">
        <is>
          <t>cau</t>
        </is>
      </c>
      <c r="Q1418" t="inlineStr">
        <is>
          <t>Hoover Institution publications, 81</t>
        </is>
      </c>
      <c r="R1418" t="inlineStr">
        <is>
          <t xml:space="preserve">DS </t>
        </is>
      </c>
      <c r="S1418" t="n">
        <v>2</v>
      </c>
      <c r="T1418" t="n">
        <v>2</v>
      </c>
      <c r="U1418" t="inlineStr">
        <is>
          <t>1992-02-12</t>
        </is>
      </c>
      <c r="V1418" t="inlineStr">
        <is>
          <t>1992-02-12</t>
        </is>
      </c>
      <c r="W1418" t="inlineStr">
        <is>
          <t>1991-01-22</t>
        </is>
      </c>
      <c r="X1418" t="inlineStr">
        <is>
          <t>1991-01-22</t>
        </is>
      </c>
      <c r="Y1418" t="n">
        <v>527</v>
      </c>
      <c r="Z1418" t="n">
        <v>457</v>
      </c>
      <c r="AA1418" t="n">
        <v>460</v>
      </c>
      <c r="AB1418" t="n">
        <v>3</v>
      </c>
      <c r="AC1418" t="n">
        <v>3</v>
      </c>
      <c r="AD1418" t="n">
        <v>22</v>
      </c>
      <c r="AE1418" t="n">
        <v>22</v>
      </c>
      <c r="AF1418" t="n">
        <v>6</v>
      </c>
      <c r="AG1418" t="n">
        <v>6</v>
      </c>
      <c r="AH1418" t="n">
        <v>6</v>
      </c>
      <c r="AI1418" t="n">
        <v>6</v>
      </c>
      <c r="AJ1418" t="n">
        <v>13</v>
      </c>
      <c r="AK1418" t="n">
        <v>13</v>
      </c>
      <c r="AL1418" t="n">
        <v>2</v>
      </c>
      <c r="AM1418" t="n">
        <v>2</v>
      </c>
      <c r="AN1418" t="n">
        <v>0</v>
      </c>
      <c r="AO1418" t="n">
        <v>0</v>
      </c>
      <c r="AP1418" t="inlineStr">
        <is>
          <t>No</t>
        </is>
      </c>
      <c r="AQ1418" t="inlineStr">
        <is>
          <t>Yes</t>
        </is>
      </c>
      <c r="AR1418">
        <f>HYPERLINK("http://catalog.hathitrust.org/Record/001685959","HathiTrust Record")</f>
        <v/>
      </c>
      <c r="AS1418">
        <f>HYPERLINK("https://creighton-primo.hosted.exlibrisgroup.com/primo-explore/search?tab=default_tab&amp;search_scope=EVERYTHING&amp;vid=01CRU&amp;lang=en_US&amp;offset=0&amp;query=any,contains,991000055799702656","Catalog Record")</f>
        <v/>
      </c>
      <c r="AT1418">
        <f>HYPERLINK("http://www.worldcat.org/oclc/23476","WorldCat Record")</f>
        <v/>
      </c>
      <c r="AU1418" t="inlineStr">
        <is>
          <t>231181123:eng</t>
        </is>
      </c>
      <c r="AV1418" t="inlineStr">
        <is>
          <t>23476</t>
        </is>
      </c>
      <c r="AW1418" t="inlineStr">
        <is>
          <t>991000055799702656</t>
        </is>
      </c>
      <c r="AX1418" t="inlineStr">
        <is>
          <t>991000055799702656</t>
        </is>
      </c>
      <c r="AY1418" t="inlineStr">
        <is>
          <t>2265515140002656</t>
        </is>
      </c>
      <c r="AZ1418" t="inlineStr">
        <is>
          <t>BOOK</t>
        </is>
      </c>
      <c r="BC1418" t="inlineStr">
        <is>
          <t>32285000430933</t>
        </is>
      </c>
      <c r="BD1418" t="inlineStr">
        <is>
          <t>893413034</t>
        </is>
      </c>
    </row>
    <row r="1419">
      <c r="A1419" t="inlineStr">
        <is>
          <t>No</t>
        </is>
      </c>
      <c r="B1419" t="inlineStr">
        <is>
          <t>DS557.A6 M435</t>
        </is>
      </c>
      <c r="C1419" t="inlineStr">
        <is>
          <t>0                      DS 0557000A  6                  M  435</t>
        </is>
      </c>
      <c r="D1419" t="inlineStr">
        <is>
          <t>Moral argument and the war in Vietnam; a collection of essays. Edited and introduced by Paul T. Menzel.</t>
        </is>
      </c>
      <c r="F1419" t="inlineStr">
        <is>
          <t>No</t>
        </is>
      </c>
      <c r="G1419" t="inlineStr">
        <is>
          <t>1</t>
        </is>
      </c>
      <c r="H1419" t="inlineStr">
        <is>
          <t>No</t>
        </is>
      </c>
      <c r="I1419" t="inlineStr">
        <is>
          <t>No</t>
        </is>
      </c>
      <c r="J1419" t="inlineStr">
        <is>
          <t>0</t>
        </is>
      </c>
      <c r="K1419" t="inlineStr">
        <is>
          <t>Menzel, Paul T., 1942- compiler.</t>
        </is>
      </c>
      <c r="L1419" t="inlineStr">
        <is>
          <t>Nashville, Aurora [1971]</t>
        </is>
      </c>
      <c r="M1419" t="inlineStr">
        <is>
          <t>1971</t>
        </is>
      </c>
      <c r="O1419" t="inlineStr">
        <is>
          <t>eng</t>
        </is>
      </c>
      <c r="P1419" t="inlineStr">
        <is>
          <t>tnu</t>
        </is>
      </c>
      <c r="R1419" t="inlineStr">
        <is>
          <t xml:space="preserve">DS </t>
        </is>
      </c>
      <c r="S1419" t="n">
        <v>2</v>
      </c>
      <c r="T1419" t="n">
        <v>2</v>
      </c>
      <c r="U1419" t="inlineStr">
        <is>
          <t>1998-12-03</t>
        </is>
      </c>
      <c r="V1419" t="inlineStr">
        <is>
          <t>1998-12-03</t>
        </is>
      </c>
      <c r="W1419" t="inlineStr">
        <is>
          <t>1997-03-11</t>
        </is>
      </c>
      <c r="X1419" t="inlineStr">
        <is>
          <t>1997-03-11</t>
        </is>
      </c>
      <c r="Y1419" t="n">
        <v>741</v>
      </c>
      <c r="Z1419" t="n">
        <v>684</v>
      </c>
      <c r="AA1419" t="n">
        <v>692</v>
      </c>
      <c r="AB1419" t="n">
        <v>9</v>
      </c>
      <c r="AC1419" t="n">
        <v>9</v>
      </c>
      <c r="AD1419" t="n">
        <v>24</v>
      </c>
      <c r="AE1419" t="n">
        <v>24</v>
      </c>
      <c r="AF1419" t="n">
        <v>9</v>
      </c>
      <c r="AG1419" t="n">
        <v>9</v>
      </c>
      <c r="AH1419" t="n">
        <v>4</v>
      </c>
      <c r="AI1419" t="n">
        <v>4</v>
      </c>
      <c r="AJ1419" t="n">
        <v>8</v>
      </c>
      <c r="AK1419" t="n">
        <v>8</v>
      </c>
      <c r="AL1419" t="n">
        <v>7</v>
      </c>
      <c r="AM1419" t="n">
        <v>7</v>
      </c>
      <c r="AN1419" t="n">
        <v>1</v>
      </c>
      <c r="AO1419" t="n">
        <v>1</v>
      </c>
      <c r="AP1419" t="inlineStr">
        <is>
          <t>No</t>
        </is>
      </c>
      <c r="AQ1419" t="inlineStr">
        <is>
          <t>Yes</t>
        </is>
      </c>
      <c r="AR1419">
        <f>HYPERLINK("http://catalog.hathitrust.org/Record/001255434","HathiTrust Record")</f>
        <v/>
      </c>
      <c r="AS1419">
        <f>HYPERLINK("https://creighton-primo.hosted.exlibrisgroup.com/primo-explore/search?tab=default_tab&amp;search_scope=EVERYTHING&amp;vid=01CRU&amp;lang=en_US&amp;offset=0&amp;query=any,contains,991000924589702656","Catalog Record")</f>
        <v/>
      </c>
      <c r="AT1419">
        <f>HYPERLINK("http://www.worldcat.org/oclc/162790","WorldCat Record")</f>
        <v/>
      </c>
      <c r="AU1419" t="inlineStr">
        <is>
          <t>285734657:eng</t>
        </is>
      </c>
      <c r="AV1419" t="inlineStr">
        <is>
          <t>162790</t>
        </is>
      </c>
      <c r="AW1419" t="inlineStr">
        <is>
          <t>991000924589702656</t>
        </is>
      </c>
      <c r="AX1419" t="inlineStr">
        <is>
          <t>991000924589702656</t>
        </is>
      </c>
      <c r="AY1419" t="inlineStr">
        <is>
          <t>2268926730002656</t>
        </is>
      </c>
      <c r="AZ1419" t="inlineStr">
        <is>
          <t>BOOK</t>
        </is>
      </c>
      <c r="BB1419" t="inlineStr">
        <is>
          <t>9780876951231</t>
        </is>
      </c>
      <c r="BC1419" t="inlineStr">
        <is>
          <t>32285002459476</t>
        </is>
      </c>
      <c r="BD1419" t="inlineStr">
        <is>
          <t>893231537</t>
        </is>
      </c>
    </row>
    <row r="1420">
      <c r="A1420" t="inlineStr">
        <is>
          <t>No</t>
        </is>
      </c>
      <c r="B1420" t="inlineStr">
        <is>
          <t>DS557.A6 M485</t>
        </is>
      </c>
      <c r="C1420" t="inlineStr">
        <is>
          <t>0                      DS 0557000A  6                  M  485</t>
        </is>
      </c>
      <c r="D1420" t="inlineStr">
        <is>
          <t>Dynamics of the Vietnam war : a quantitative analysis and predictive computer simulation / [by] Jeffrey S. Milstein.</t>
        </is>
      </c>
      <c r="F1420" t="inlineStr">
        <is>
          <t>No</t>
        </is>
      </c>
      <c r="G1420" t="inlineStr">
        <is>
          <t>1</t>
        </is>
      </c>
      <c r="H1420" t="inlineStr">
        <is>
          <t>No</t>
        </is>
      </c>
      <c r="I1420" t="inlineStr">
        <is>
          <t>No</t>
        </is>
      </c>
      <c r="J1420" t="inlineStr">
        <is>
          <t>0</t>
        </is>
      </c>
      <c r="K1420" t="inlineStr">
        <is>
          <t>Milstein, Jeffrey S.</t>
        </is>
      </c>
      <c r="L1420" t="inlineStr">
        <is>
          <t>Columbus : Ohio State University Press, [1974]</t>
        </is>
      </c>
      <c r="M1420" t="inlineStr">
        <is>
          <t>1974</t>
        </is>
      </c>
      <c r="O1420" t="inlineStr">
        <is>
          <t>eng</t>
        </is>
      </c>
      <c r="P1420" t="inlineStr">
        <is>
          <t>ohu</t>
        </is>
      </c>
      <c r="R1420" t="inlineStr">
        <is>
          <t xml:space="preserve">DS </t>
        </is>
      </c>
      <c r="S1420" t="n">
        <v>2</v>
      </c>
      <c r="T1420" t="n">
        <v>2</v>
      </c>
      <c r="U1420" t="inlineStr">
        <is>
          <t>1993-11-29</t>
        </is>
      </c>
      <c r="V1420" t="inlineStr">
        <is>
          <t>1993-11-29</t>
        </is>
      </c>
      <c r="W1420" t="inlineStr">
        <is>
          <t>1991-01-22</t>
        </is>
      </c>
      <c r="X1420" t="inlineStr">
        <is>
          <t>1991-01-22</t>
        </is>
      </c>
      <c r="Y1420" t="n">
        <v>366</v>
      </c>
      <c r="Z1420" t="n">
        <v>316</v>
      </c>
      <c r="AA1420" t="n">
        <v>327</v>
      </c>
      <c r="AB1420" t="n">
        <v>4</v>
      </c>
      <c r="AC1420" t="n">
        <v>4</v>
      </c>
      <c r="AD1420" t="n">
        <v>11</v>
      </c>
      <c r="AE1420" t="n">
        <v>11</v>
      </c>
      <c r="AF1420" t="n">
        <v>1</v>
      </c>
      <c r="AG1420" t="n">
        <v>1</v>
      </c>
      <c r="AH1420" t="n">
        <v>3</v>
      </c>
      <c r="AI1420" t="n">
        <v>3</v>
      </c>
      <c r="AJ1420" t="n">
        <v>6</v>
      </c>
      <c r="AK1420" t="n">
        <v>6</v>
      </c>
      <c r="AL1420" t="n">
        <v>3</v>
      </c>
      <c r="AM1420" t="n">
        <v>3</v>
      </c>
      <c r="AN1420" t="n">
        <v>0</v>
      </c>
      <c r="AO1420" t="n">
        <v>0</v>
      </c>
      <c r="AP1420" t="inlineStr">
        <is>
          <t>No</t>
        </is>
      </c>
      <c r="AQ1420" t="inlineStr">
        <is>
          <t>Yes</t>
        </is>
      </c>
      <c r="AR1420">
        <f>HYPERLINK("http://catalog.hathitrust.org/Record/001255436","HathiTrust Record")</f>
        <v/>
      </c>
      <c r="AS1420">
        <f>HYPERLINK("https://creighton-primo.hosted.exlibrisgroup.com/primo-explore/search?tab=default_tab&amp;search_scope=EVERYTHING&amp;vid=01CRU&amp;lang=en_US&amp;offset=0&amp;query=any,contains,991003200499702656","Catalog Record")</f>
        <v/>
      </c>
      <c r="AT1420">
        <f>HYPERLINK("http://www.worldcat.org/oclc/724415","WorldCat Record")</f>
        <v/>
      </c>
      <c r="AU1420" t="inlineStr">
        <is>
          <t>225337474:eng</t>
        </is>
      </c>
      <c r="AV1420" t="inlineStr">
        <is>
          <t>724415</t>
        </is>
      </c>
      <c r="AW1420" t="inlineStr">
        <is>
          <t>991003200499702656</t>
        </is>
      </c>
      <c r="AX1420" t="inlineStr">
        <is>
          <t>991003200499702656</t>
        </is>
      </c>
      <c r="AY1420" t="inlineStr">
        <is>
          <t>2254869900002656</t>
        </is>
      </c>
      <c r="AZ1420" t="inlineStr">
        <is>
          <t>BOOK</t>
        </is>
      </c>
      <c r="BB1420" t="inlineStr">
        <is>
          <t>9780814201909</t>
        </is>
      </c>
      <c r="BC1420" t="inlineStr">
        <is>
          <t>32285000430925</t>
        </is>
      </c>
      <c r="BD1420" t="inlineStr">
        <is>
          <t>893874521</t>
        </is>
      </c>
    </row>
    <row r="1421">
      <c r="A1421" t="inlineStr">
        <is>
          <t>No</t>
        </is>
      </c>
      <c r="B1421" t="inlineStr">
        <is>
          <t>DS557.A6 P38 1969</t>
        </is>
      </c>
      <c r="C1421" t="inlineStr">
        <is>
          <t>0                      DS 0557000A  6                  P  38          1969</t>
        </is>
      </c>
      <c r="D1421" t="inlineStr">
        <is>
          <t>Vietnam : some basic issues and alternatives / edited by Walter Isard. Essays by Peter Archibald [and others]</t>
        </is>
      </c>
      <c r="F1421" t="inlineStr">
        <is>
          <t>No</t>
        </is>
      </c>
      <c r="G1421" t="inlineStr">
        <is>
          <t>1</t>
        </is>
      </c>
      <c r="H1421" t="inlineStr">
        <is>
          <t>No</t>
        </is>
      </c>
      <c r="I1421" t="inlineStr">
        <is>
          <t>No</t>
        </is>
      </c>
      <c r="J1421" t="inlineStr">
        <is>
          <t>0</t>
        </is>
      </c>
      <c r="K1421" t="inlineStr">
        <is>
          <t>Peace Research Society (International)</t>
        </is>
      </c>
      <c r="L1421" t="inlineStr">
        <is>
          <t>Cambridge, Mass. : Schenkman Pub. Co., [1969]</t>
        </is>
      </c>
      <c r="M1421" t="inlineStr">
        <is>
          <t>1969</t>
        </is>
      </c>
      <c r="O1421" t="inlineStr">
        <is>
          <t>eng</t>
        </is>
      </c>
      <c r="P1421" t="inlineStr">
        <is>
          <t>mau</t>
        </is>
      </c>
      <c r="R1421" t="inlineStr">
        <is>
          <t xml:space="preserve">DS </t>
        </is>
      </c>
      <c r="S1421" t="n">
        <v>3</v>
      </c>
      <c r="T1421" t="n">
        <v>3</v>
      </c>
      <c r="U1421" t="inlineStr">
        <is>
          <t>1998-12-03</t>
        </is>
      </c>
      <c r="V1421" t="inlineStr">
        <is>
          <t>1998-12-03</t>
        </is>
      </c>
      <c r="W1421" t="inlineStr">
        <is>
          <t>1990-04-04</t>
        </is>
      </c>
      <c r="X1421" t="inlineStr">
        <is>
          <t>1990-04-04</t>
        </is>
      </c>
      <c r="Y1421" t="n">
        <v>525</v>
      </c>
      <c r="Z1421" t="n">
        <v>478</v>
      </c>
      <c r="AA1421" t="n">
        <v>488</v>
      </c>
      <c r="AB1421" t="n">
        <v>7</v>
      </c>
      <c r="AC1421" t="n">
        <v>7</v>
      </c>
      <c r="AD1421" t="n">
        <v>26</v>
      </c>
      <c r="AE1421" t="n">
        <v>27</v>
      </c>
      <c r="AF1421" t="n">
        <v>11</v>
      </c>
      <c r="AG1421" t="n">
        <v>11</v>
      </c>
      <c r="AH1421" t="n">
        <v>4</v>
      </c>
      <c r="AI1421" t="n">
        <v>5</v>
      </c>
      <c r="AJ1421" t="n">
        <v>9</v>
      </c>
      <c r="AK1421" t="n">
        <v>9</v>
      </c>
      <c r="AL1421" t="n">
        <v>6</v>
      </c>
      <c r="AM1421" t="n">
        <v>6</v>
      </c>
      <c r="AN1421" t="n">
        <v>0</v>
      </c>
      <c r="AO1421" t="n">
        <v>0</v>
      </c>
      <c r="AP1421" t="inlineStr">
        <is>
          <t>No</t>
        </is>
      </c>
      <c r="AQ1421" t="inlineStr">
        <is>
          <t>No</t>
        </is>
      </c>
      <c r="AS1421">
        <f>HYPERLINK("https://creighton-primo.hosted.exlibrisgroup.com/primo-explore/search?tab=default_tab&amp;search_scope=EVERYTHING&amp;vid=01CRU&amp;lang=en_US&amp;offset=0&amp;query=any,contains,991003187649702656","Catalog Record")</f>
        <v/>
      </c>
      <c r="AT1421">
        <f>HYPERLINK("http://www.worldcat.org/oclc/713885","WorldCat Record")</f>
        <v/>
      </c>
      <c r="AU1421" t="inlineStr">
        <is>
          <t>1808888107:eng</t>
        </is>
      </c>
      <c r="AV1421" t="inlineStr">
        <is>
          <t>713885</t>
        </is>
      </c>
      <c r="AW1421" t="inlineStr">
        <is>
          <t>991003187649702656</t>
        </is>
      </c>
      <c r="AX1421" t="inlineStr">
        <is>
          <t>991003187649702656</t>
        </is>
      </c>
      <c r="AY1421" t="inlineStr">
        <is>
          <t>2255328580002656</t>
        </is>
      </c>
      <c r="AZ1421" t="inlineStr">
        <is>
          <t>BOOK</t>
        </is>
      </c>
      <c r="BC1421" t="inlineStr">
        <is>
          <t>32285000101930</t>
        </is>
      </c>
      <c r="BD1421" t="inlineStr">
        <is>
          <t>893793394</t>
        </is>
      </c>
    </row>
    <row r="1422">
      <c r="A1422" t="inlineStr">
        <is>
          <t>No</t>
        </is>
      </c>
      <c r="B1422" t="inlineStr">
        <is>
          <t>DS557.A6 P54</t>
        </is>
      </c>
      <c r="C1422" t="inlineStr">
        <is>
          <t>0                      DS 0557000A  6                  P  54</t>
        </is>
      </c>
      <c r="D1422" t="inlineStr">
        <is>
          <t>Viet Cong : the organization and techniques of the National Liberation Front of South Vietnam.</t>
        </is>
      </c>
      <c r="F1422" t="inlineStr">
        <is>
          <t>No</t>
        </is>
      </c>
      <c r="G1422" t="inlineStr">
        <is>
          <t>1</t>
        </is>
      </c>
      <c r="H1422" t="inlineStr">
        <is>
          <t>No</t>
        </is>
      </c>
      <c r="I1422" t="inlineStr">
        <is>
          <t>No</t>
        </is>
      </c>
      <c r="J1422" t="inlineStr">
        <is>
          <t>0</t>
        </is>
      </c>
      <c r="K1422" t="inlineStr">
        <is>
          <t>Pike, Douglas, 1924-2002.</t>
        </is>
      </c>
      <c r="L1422" t="inlineStr">
        <is>
          <t>Cambridge, Mass. : M.I.T. Press, [1966]</t>
        </is>
      </c>
      <c r="M1422" t="inlineStr">
        <is>
          <t>1966</t>
        </is>
      </c>
      <c r="O1422" t="inlineStr">
        <is>
          <t>eng</t>
        </is>
      </c>
      <c r="P1422" t="inlineStr">
        <is>
          <t>mau</t>
        </is>
      </c>
      <c r="Q1422" t="inlineStr">
        <is>
          <t>Massachusetts Institute of Technology. Center for International Studies. Studies in international communism no. 7</t>
        </is>
      </c>
      <c r="R1422" t="inlineStr">
        <is>
          <t xml:space="preserve">DS </t>
        </is>
      </c>
      <c r="S1422" t="n">
        <v>2</v>
      </c>
      <c r="T1422" t="n">
        <v>2</v>
      </c>
      <c r="U1422" t="inlineStr">
        <is>
          <t>2004-06-03</t>
        </is>
      </c>
      <c r="V1422" t="inlineStr">
        <is>
          <t>2004-06-03</t>
        </is>
      </c>
      <c r="W1422" t="inlineStr">
        <is>
          <t>1990-09-18</t>
        </is>
      </c>
      <c r="X1422" t="inlineStr">
        <is>
          <t>1990-09-18</t>
        </is>
      </c>
      <c r="Y1422" t="n">
        <v>1485</v>
      </c>
      <c r="Z1422" t="n">
        <v>1295</v>
      </c>
      <c r="AA1422" t="n">
        <v>1326</v>
      </c>
      <c r="AB1422" t="n">
        <v>8</v>
      </c>
      <c r="AC1422" t="n">
        <v>8</v>
      </c>
      <c r="AD1422" t="n">
        <v>48</v>
      </c>
      <c r="AE1422" t="n">
        <v>48</v>
      </c>
      <c r="AF1422" t="n">
        <v>20</v>
      </c>
      <c r="AG1422" t="n">
        <v>20</v>
      </c>
      <c r="AH1422" t="n">
        <v>10</v>
      </c>
      <c r="AI1422" t="n">
        <v>10</v>
      </c>
      <c r="AJ1422" t="n">
        <v>23</v>
      </c>
      <c r="AK1422" t="n">
        <v>23</v>
      </c>
      <c r="AL1422" t="n">
        <v>7</v>
      </c>
      <c r="AM1422" t="n">
        <v>7</v>
      </c>
      <c r="AN1422" t="n">
        <v>0</v>
      </c>
      <c r="AO1422" t="n">
        <v>0</v>
      </c>
      <c r="AP1422" t="inlineStr">
        <is>
          <t>No</t>
        </is>
      </c>
      <c r="AQ1422" t="inlineStr">
        <is>
          <t>Yes</t>
        </is>
      </c>
      <c r="AR1422">
        <f>HYPERLINK("http://catalog.hathitrust.org/Record/001255447","HathiTrust Record")</f>
        <v/>
      </c>
      <c r="AS1422">
        <f>HYPERLINK("https://creighton-primo.hosted.exlibrisgroup.com/primo-explore/search?tab=default_tab&amp;search_scope=EVERYTHING&amp;vid=01CRU&amp;lang=en_US&amp;offset=0&amp;query=any,contains,991001918599702656","Catalog Record")</f>
        <v/>
      </c>
      <c r="AT1422">
        <f>HYPERLINK("http://www.worldcat.org/oclc/244430","WorldCat Record")</f>
        <v/>
      </c>
      <c r="AU1422" t="inlineStr">
        <is>
          <t>105074220:eng</t>
        </is>
      </c>
      <c r="AV1422" t="inlineStr">
        <is>
          <t>244430</t>
        </is>
      </c>
      <c r="AW1422" t="inlineStr">
        <is>
          <t>991001918599702656</t>
        </is>
      </c>
      <c r="AX1422" t="inlineStr">
        <is>
          <t>991001918599702656</t>
        </is>
      </c>
      <c r="AY1422" t="inlineStr">
        <is>
          <t>2270003410002656</t>
        </is>
      </c>
      <c r="AZ1422" t="inlineStr">
        <is>
          <t>BOOK</t>
        </is>
      </c>
      <c r="BC1422" t="inlineStr">
        <is>
          <t>32285000304385</t>
        </is>
      </c>
      <c r="BD1422" t="inlineStr">
        <is>
          <t>893703451</t>
        </is>
      </c>
    </row>
    <row r="1423">
      <c r="A1423" t="inlineStr">
        <is>
          <t>No</t>
        </is>
      </c>
      <c r="B1423" t="inlineStr">
        <is>
          <t>DS557.A6 P553</t>
        </is>
      </c>
      <c r="C1423" t="inlineStr">
        <is>
          <t>0                      DS 0557000A  6                  P  553</t>
        </is>
      </c>
      <c r="D1423" t="inlineStr">
        <is>
          <t>War, peace, and the Viet Cong.</t>
        </is>
      </c>
      <c r="F1423" t="inlineStr">
        <is>
          <t>No</t>
        </is>
      </c>
      <c r="G1423" t="inlineStr">
        <is>
          <t>1</t>
        </is>
      </c>
      <c r="H1423" t="inlineStr">
        <is>
          <t>No</t>
        </is>
      </c>
      <c r="I1423" t="inlineStr">
        <is>
          <t>No</t>
        </is>
      </c>
      <c r="J1423" t="inlineStr">
        <is>
          <t>0</t>
        </is>
      </c>
      <c r="K1423" t="inlineStr">
        <is>
          <t>Pike, Douglas, 1924-2002.</t>
        </is>
      </c>
      <c r="L1423" t="inlineStr">
        <is>
          <t>Cambridge, Mass. : M.I.T. Press, [1969]</t>
        </is>
      </c>
      <c r="M1423" t="inlineStr">
        <is>
          <t>1969</t>
        </is>
      </c>
      <c r="O1423" t="inlineStr">
        <is>
          <t>eng</t>
        </is>
      </c>
      <c r="P1423" t="inlineStr">
        <is>
          <t>miu</t>
        </is>
      </c>
      <c r="R1423" t="inlineStr">
        <is>
          <t xml:space="preserve">DS </t>
        </is>
      </c>
      <c r="S1423" t="n">
        <v>2</v>
      </c>
      <c r="T1423" t="n">
        <v>2</v>
      </c>
      <c r="U1423" t="inlineStr">
        <is>
          <t>1995-10-05</t>
        </is>
      </c>
      <c r="V1423" t="inlineStr">
        <is>
          <t>1995-10-05</t>
        </is>
      </c>
      <c r="W1423" t="inlineStr">
        <is>
          <t>1990-02-19</t>
        </is>
      </c>
      <c r="X1423" t="inlineStr">
        <is>
          <t>1990-02-19</t>
        </is>
      </c>
      <c r="Y1423" t="n">
        <v>909</v>
      </c>
      <c r="Z1423" t="n">
        <v>788</v>
      </c>
      <c r="AA1423" t="n">
        <v>796</v>
      </c>
      <c r="AB1423" t="n">
        <v>8</v>
      </c>
      <c r="AC1423" t="n">
        <v>8</v>
      </c>
      <c r="AD1423" t="n">
        <v>36</v>
      </c>
      <c r="AE1423" t="n">
        <v>36</v>
      </c>
      <c r="AF1423" t="n">
        <v>12</v>
      </c>
      <c r="AG1423" t="n">
        <v>12</v>
      </c>
      <c r="AH1423" t="n">
        <v>7</v>
      </c>
      <c r="AI1423" t="n">
        <v>7</v>
      </c>
      <c r="AJ1423" t="n">
        <v>17</v>
      </c>
      <c r="AK1423" t="n">
        <v>17</v>
      </c>
      <c r="AL1423" t="n">
        <v>7</v>
      </c>
      <c r="AM1423" t="n">
        <v>7</v>
      </c>
      <c r="AN1423" t="n">
        <v>0</v>
      </c>
      <c r="AO1423" t="n">
        <v>0</v>
      </c>
      <c r="AP1423" t="inlineStr">
        <is>
          <t>No</t>
        </is>
      </c>
      <c r="AQ1423" t="inlineStr">
        <is>
          <t>Yes</t>
        </is>
      </c>
      <c r="AR1423">
        <f>HYPERLINK("http://catalog.hathitrust.org/Record/001255448","HathiTrust Record")</f>
        <v/>
      </c>
      <c r="AS1423">
        <f>HYPERLINK("https://creighton-primo.hosted.exlibrisgroup.com/primo-explore/search?tab=default_tab&amp;search_scope=EVERYTHING&amp;vid=01CRU&amp;lang=en_US&amp;offset=0&amp;query=any,contains,991000008379702656","Catalog Record")</f>
        <v/>
      </c>
      <c r="AT1423">
        <f>HYPERLINK("http://www.worldcat.org/oclc/13825","WorldCat Record")</f>
        <v/>
      </c>
      <c r="AU1423" t="inlineStr">
        <is>
          <t>1136575:eng</t>
        </is>
      </c>
      <c r="AV1423" t="inlineStr">
        <is>
          <t>13825</t>
        </is>
      </c>
      <c r="AW1423" t="inlineStr">
        <is>
          <t>991000008379702656</t>
        </is>
      </c>
      <c r="AX1423" t="inlineStr">
        <is>
          <t>991000008379702656</t>
        </is>
      </c>
      <c r="AY1423" t="inlineStr">
        <is>
          <t>2264412900002656</t>
        </is>
      </c>
      <c r="AZ1423" t="inlineStr">
        <is>
          <t>BOOK</t>
        </is>
      </c>
      <c r="BC1423" t="inlineStr">
        <is>
          <t>32285000048107</t>
        </is>
      </c>
      <c r="BD1423" t="inlineStr">
        <is>
          <t>893406818</t>
        </is>
      </c>
    </row>
    <row r="1424">
      <c r="A1424" t="inlineStr">
        <is>
          <t>No</t>
        </is>
      </c>
      <c r="B1424" t="inlineStr">
        <is>
          <t>DS557.A6 R3</t>
        </is>
      </c>
      <c r="C1424" t="inlineStr">
        <is>
          <t>0                      DS 0557000A  6                  R  3</t>
        </is>
      </c>
      <c r="D1424" t="inlineStr">
        <is>
          <t>The Viet-Nam reader; articles and documents on American foreign policy and the Viet-Nam crisis. Edited by Marcus G. Raskin and Bernard B. Fall.</t>
        </is>
      </c>
      <c r="F1424" t="inlineStr">
        <is>
          <t>No</t>
        </is>
      </c>
      <c r="G1424" t="inlineStr">
        <is>
          <t>1</t>
        </is>
      </c>
      <c r="H1424" t="inlineStr">
        <is>
          <t>No</t>
        </is>
      </c>
      <c r="I1424" t="inlineStr">
        <is>
          <t>No</t>
        </is>
      </c>
      <c r="J1424" t="inlineStr">
        <is>
          <t>0</t>
        </is>
      </c>
      <c r="K1424" t="inlineStr">
        <is>
          <t>Raskin, Marcus G. editor.</t>
        </is>
      </c>
      <c r="L1424" t="inlineStr">
        <is>
          <t>New York, Random House [1965]</t>
        </is>
      </c>
      <c r="M1424" t="inlineStr">
        <is>
          <t>1965</t>
        </is>
      </c>
      <c r="O1424" t="inlineStr">
        <is>
          <t>eng</t>
        </is>
      </c>
      <c r="P1424" t="inlineStr">
        <is>
          <t>nyu</t>
        </is>
      </c>
      <c r="R1424" t="inlineStr">
        <is>
          <t xml:space="preserve">DS </t>
        </is>
      </c>
      <c r="S1424" t="n">
        <v>3</v>
      </c>
      <c r="T1424" t="n">
        <v>3</v>
      </c>
      <c r="U1424" t="inlineStr">
        <is>
          <t>1997-04-05</t>
        </is>
      </c>
      <c r="V1424" t="inlineStr">
        <is>
          <t>1997-04-05</t>
        </is>
      </c>
      <c r="W1424" t="inlineStr">
        <is>
          <t>1997-03-11</t>
        </is>
      </c>
      <c r="X1424" t="inlineStr">
        <is>
          <t>1997-03-11</t>
        </is>
      </c>
      <c r="Y1424" t="n">
        <v>967</v>
      </c>
      <c r="Z1424" t="n">
        <v>898</v>
      </c>
      <c r="AA1424" t="n">
        <v>1276</v>
      </c>
      <c r="AB1424" t="n">
        <v>7</v>
      </c>
      <c r="AC1424" t="n">
        <v>10</v>
      </c>
      <c r="AD1424" t="n">
        <v>29</v>
      </c>
      <c r="AE1424" t="n">
        <v>42</v>
      </c>
      <c r="AF1424" t="n">
        <v>8</v>
      </c>
      <c r="AG1424" t="n">
        <v>14</v>
      </c>
      <c r="AH1424" t="n">
        <v>7</v>
      </c>
      <c r="AI1424" t="n">
        <v>7</v>
      </c>
      <c r="AJ1424" t="n">
        <v>12</v>
      </c>
      <c r="AK1424" t="n">
        <v>16</v>
      </c>
      <c r="AL1424" t="n">
        <v>6</v>
      </c>
      <c r="AM1424" t="n">
        <v>9</v>
      </c>
      <c r="AN1424" t="n">
        <v>3</v>
      </c>
      <c r="AO1424" t="n">
        <v>4</v>
      </c>
      <c r="AP1424" t="inlineStr">
        <is>
          <t>No</t>
        </is>
      </c>
      <c r="AQ1424" t="inlineStr">
        <is>
          <t>Yes</t>
        </is>
      </c>
      <c r="AR1424">
        <f>HYPERLINK("http://catalog.hathitrust.org/Record/001255450","HathiTrust Record")</f>
        <v/>
      </c>
      <c r="AS1424">
        <f>HYPERLINK("https://creighton-primo.hosted.exlibrisgroup.com/primo-explore/search?tab=default_tab&amp;search_scope=EVERYTHING&amp;vid=01CRU&amp;lang=en_US&amp;offset=0&amp;query=any,contains,991000960079702656","Catalog Record")</f>
        <v/>
      </c>
      <c r="AT1424">
        <f>HYPERLINK("http://www.worldcat.org/oclc/169102","WorldCat Record")</f>
        <v/>
      </c>
      <c r="AU1424" t="inlineStr">
        <is>
          <t>1291358:eng</t>
        </is>
      </c>
      <c r="AV1424" t="inlineStr">
        <is>
          <t>169102</t>
        </is>
      </c>
      <c r="AW1424" t="inlineStr">
        <is>
          <t>991000960079702656</t>
        </is>
      </c>
      <c r="AX1424" t="inlineStr">
        <is>
          <t>991000960079702656</t>
        </is>
      </c>
      <c r="AY1424" t="inlineStr">
        <is>
          <t>2261890280002656</t>
        </is>
      </c>
      <c r="AZ1424" t="inlineStr">
        <is>
          <t>BOOK</t>
        </is>
      </c>
      <c r="BC1424" t="inlineStr">
        <is>
          <t>32285002459492</t>
        </is>
      </c>
      <c r="BD1424" t="inlineStr">
        <is>
          <t>893225484</t>
        </is>
      </c>
    </row>
    <row r="1425">
      <c r="A1425" t="inlineStr">
        <is>
          <t>No</t>
        </is>
      </c>
      <c r="B1425" t="inlineStr">
        <is>
          <t>DS557.A6 S22</t>
        </is>
      </c>
      <c r="C1425" t="inlineStr">
        <is>
          <t>0                      DS 0557000A  6                  S  22</t>
        </is>
      </c>
      <c r="D1425" t="inlineStr">
        <is>
          <t>South Vietnam: nation under stress.</t>
        </is>
      </c>
      <c r="F1425" t="inlineStr">
        <is>
          <t>No</t>
        </is>
      </c>
      <c r="G1425" t="inlineStr">
        <is>
          <t>1</t>
        </is>
      </c>
      <c r="H1425" t="inlineStr">
        <is>
          <t>No</t>
        </is>
      </c>
      <c r="I1425" t="inlineStr">
        <is>
          <t>No</t>
        </is>
      </c>
      <c r="J1425" t="inlineStr">
        <is>
          <t>0</t>
        </is>
      </c>
      <c r="K1425" t="inlineStr">
        <is>
          <t>Scigliano, Robert.</t>
        </is>
      </c>
      <c r="L1425" t="inlineStr">
        <is>
          <t>Boston, Houghton Mifflin [c1963]</t>
        </is>
      </c>
      <c r="M1425" t="inlineStr">
        <is>
          <t>1963</t>
        </is>
      </c>
      <c r="O1425" t="inlineStr">
        <is>
          <t>eng</t>
        </is>
      </c>
      <c r="P1425" t="inlineStr">
        <is>
          <t>mau</t>
        </is>
      </c>
      <c r="R1425" t="inlineStr">
        <is>
          <t xml:space="preserve">DS </t>
        </is>
      </c>
      <c r="S1425" t="n">
        <v>2</v>
      </c>
      <c r="T1425" t="n">
        <v>2</v>
      </c>
      <c r="U1425" t="inlineStr">
        <is>
          <t>1994-11-22</t>
        </is>
      </c>
      <c r="V1425" t="inlineStr">
        <is>
          <t>1994-11-22</t>
        </is>
      </c>
      <c r="W1425" t="inlineStr">
        <is>
          <t>1992-04-28</t>
        </is>
      </c>
      <c r="X1425" t="inlineStr">
        <is>
          <t>1992-04-28</t>
        </is>
      </c>
      <c r="Y1425" t="n">
        <v>543</v>
      </c>
      <c r="Z1425" t="n">
        <v>496</v>
      </c>
      <c r="AA1425" t="n">
        <v>760</v>
      </c>
      <c r="AB1425" t="n">
        <v>4</v>
      </c>
      <c r="AC1425" t="n">
        <v>5</v>
      </c>
      <c r="AD1425" t="n">
        <v>25</v>
      </c>
      <c r="AE1425" t="n">
        <v>39</v>
      </c>
      <c r="AF1425" t="n">
        <v>6</v>
      </c>
      <c r="AG1425" t="n">
        <v>16</v>
      </c>
      <c r="AH1425" t="n">
        <v>6</v>
      </c>
      <c r="AI1425" t="n">
        <v>8</v>
      </c>
      <c r="AJ1425" t="n">
        <v>14</v>
      </c>
      <c r="AK1425" t="n">
        <v>19</v>
      </c>
      <c r="AL1425" t="n">
        <v>3</v>
      </c>
      <c r="AM1425" t="n">
        <v>4</v>
      </c>
      <c r="AN1425" t="n">
        <v>0</v>
      </c>
      <c r="AO1425" t="n">
        <v>0</v>
      </c>
      <c r="AP1425" t="inlineStr">
        <is>
          <t>No</t>
        </is>
      </c>
      <c r="AQ1425" t="inlineStr">
        <is>
          <t>Yes</t>
        </is>
      </c>
      <c r="AR1425">
        <f>HYPERLINK("http://catalog.hathitrust.org/Record/001267070","HathiTrust Record")</f>
        <v/>
      </c>
      <c r="AS1425">
        <f>HYPERLINK("https://creighton-primo.hosted.exlibrisgroup.com/primo-explore/search?tab=default_tab&amp;search_scope=EVERYTHING&amp;vid=01CRU&amp;lang=en_US&amp;offset=0&amp;query=any,contains,991004069319702656","Catalog Record")</f>
        <v/>
      </c>
      <c r="AT1425">
        <f>HYPERLINK("http://www.worldcat.org/oclc/2294565","WorldCat Record")</f>
        <v/>
      </c>
      <c r="AU1425" t="inlineStr">
        <is>
          <t>1461828:eng</t>
        </is>
      </c>
      <c r="AV1425" t="inlineStr">
        <is>
          <t>2294565</t>
        </is>
      </c>
      <c r="AW1425" t="inlineStr">
        <is>
          <t>991004069319702656</t>
        </is>
      </c>
      <c r="AX1425" t="inlineStr">
        <is>
          <t>991004069319702656</t>
        </is>
      </c>
      <c r="AY1425" t="inlineStr">
        <is>
          <t>2266183250002656</t>
        </is>
      </c>
      <c r="AZ1425" t="inlineStr">
        <is>
          <t>BOOK</t>
        </is>
      </c>
      <c r="BC1425" t="inlineStr">
        <is>
          <t>32285001095297</t>
        </is>
      </c>
      <c r="BD1425" t="inlineStr">
        <is>
          <t>893611884</t>
        </is>
      </c>
    </row>
    <row r="1426">
      <c r="A1426" t="inlineStr">
        <is>
          <t>No</t>
        </is>
      </c>
      <c r="B1426" t="inlineStr">
        <is>
          <t>DS557.A6 W45 1970</t>
        </is>
      </c>
      <c r="C1426" t="inlineStr">
        <is>
          <t>0                      DS 0557000A  6                  W  45          1970</t>
        </is>
      </c>
      <c r="D1426" t="inlineStr">
        <is>
          <t>Nobody wanted war : misperception in Vietnam and other wars.</t>
        </is>
      </c>
      <c r="F1426" t="inlineStr">
        <is>
          <t>No</t>
        </is>
      </c>
      <c r="G1426" t="inlineStr">
        <is>
          <t>1</t>
        </is>
      </c>
      <c r="H1426" t="inlineStr">
        <is>
          <t>No</t>
        </is>
      </c>
      <c r="I1426" t="inlineStr">
        <is>
          <t>No</t>
        </is>
      </c>
      <c r="J1426" t="inlineStr">
        <is>
          <t>0</t>
        </is>
      </c>
      <c r="K1426" t="inlineStr">
        <is>
          <t>White, Ralph K.</t>
        </is>
      </c>
      <c r="L1426" t="inlineStr">
        <is>
          <t>Garden City, N.Y. : Anchor Books, 1970.</t>
        </is>
      </c>
      <c r="M1426" t="inlineStr">
        <is>
          <t>1970</t>
        </is>
      </c>
      <c r="N1426" t="inlineStr">
        <is>
          <t>Rev. ed.</t>
        </is>
      </c>
      <c r="O1426" t="inlineStr">
        <is>
          <t>eng</t>
        </is>
      </c>
      <c r="P1426" t="inlineStr">
        <is>
          <t>nyu</t>
        </is>
      </c>
      <c r="R1426" t="inlineStr">
        <is>
          <t xml:space="preserve">DS </t>
        </is>
      </c>
      <c r="S1426" t="n">
        <v>1</v>
      </c>
      <c r="T1426" t="n">
        <v>1</v>
      </c>
      <c r="U1426" t="inlineStr">
        <is>
          <t>2003-04-22</t>
        </is>
      </c>
      <c r="V1426" t="inlineStr">
        <is>
          <t>2003-04-22</t>
        </is>
      </c>
      <c r="W1426" t="inlineStr">
        <is>
          <t>1995-06-06</t>
        </is>
      </c>
      <c r="X1426" t="inlineStr">
        <is>
          <t>1995-06-06</t>
        </is>
      </c>
      <c r="Y1426" t="n">
        <v>230</v>
      </c>
      <c r="Z1426" t="n">
        <v>201</v>
      </c>
      <c r="AA1426" t="n">
        <v>808</v>
      </c>
      <c r="AB1426" t="n">
        <v>1</v>
      </c>
      <c r="AC1426" t="n">
        <v>3</v>
      </c>
      <c r="AD1426" t="n">
        <v>3</v>
      </c>
      <c r="AE1426" t="n">
        <v>26</v>
      </c>
      <c r="AF1426" t="n">
        <v>2</v>
      </c>
      <c r="AG1426" t="n">
        <v>11</v>
      </c>
      <c r="AH1426" t="n">
        <v>0</v>
      </c>
      <c r="AI1426" t="n">
        <v>4</v>
      </c>
      <c r="AJ1426" t="n">
        <v>1</v>
      </c>
      <c r="AK1426" t="n">
        <v>14</v>
      </c>
      <c r="AL1426" t="n">
        <v>0</v>
      </c>
      <c r="AM1426" t="n">
        <v>2</v>
      </c>
      <c r="AN1426" t="n">
        <v>0</v>
      </c>
      <c r="AO1426" t="n">
        <v>0</v>
      </c>
      <c r="AP1426" t="inlineStr">
        <is>
          <t>No</t>
        </is>
      </c>
      <c r="AQ1426" t="inlineStr">
        <is>
          <t>Yes</t>
        </is>
      </c>
      <c r="AR1426">
        <f>HYPERLINK("http://catalog.hathitrust.org/Record/006665948","HathiTrust Record")</f>
        <v/>
      </c>
      <c r="AS1426">
        <f>HYPERLINK("https://creighton-primo.hosted.exlibrisgroup.com/primo-explore/search?tab=default_tab&amp;search_scope=EVERYTHING&amp;vid=01CRU&amp;lang=en_US&amp;offset=0&amp;query=any,contains,991001233289702656","Catalog Record")</f>
        <v/>
      </c>
      <c r="AT1426">
        <f>HYPERLINK("http://www.worldcat.org/oclc/204204","WorldCat Record")</f>
        <v/>
      </c>
      <c r="AU1426" t="inlineStr">
        <is>
          <t>1261778:eng</t>
        </is>
      </c>
      <c r="AV1426" t="inlineStr">
        <is>
          <t>204204</t>
        </is>
      </c>
      <c r="AW1426" t="inlineStr">
        <is>
          <t>991001233289702656</t>
        </is>
      </c>
      <c r="AX1426" t="inlineStr">
        <is>
          <t>991001233289702656</t>
        </is>
      </c>
      <c r="AY1426" t="inlineStr">
        <is>
          <t>2255541370002656</t>
        </is>
      </c>
      <c r="AZ1426" t="inlineStr">
        <is>
          <t>BOOK</t>
        </is>
      </c>
      <c r="BC1426" t="inlineStr">
        <is>
          <t>32285002060217</t>
        </is>
      </c>
      <c r="BD1426" t="inlineStr">
        <is>
          <t>893509492</t>
        </is>
      </c>
    </row>
    <row r="1427">
      <c r="A1427" t="inlineStr">
        <is>
          <t>No</t>
        </is>
      </c>
      <c r="B1427" t="inlineStr">
        <is>
          <t>DS557.A63 C48 1973b</t>
        </is>
      </c>
      <c r="C1427" t="inlineStr">
        <is>
          <t>0                      DS 0557000A  63                 C  48          1973b</t>
        </is>
      </c>
      <c r="D1427" t="inlineStr">
        <is>
          <t>For reasons of state.</t>
        </is>
      </c>
      <c r="F1427" t="inlineStr">
        <is>
          <t>No</t>
        </is>
      </c>
      <c r="G1427" t="inlineStr">
        <is>
          <t>1</t>
        </is>
      </c>
      <c r="H1427" t="inlineStr">
        <is>
          <t>No</t>
        </is>
      </c>
      <c r="I1427" t="inlineStr">
        <is>
          <t>No</t>
        </is>
      </c>
      <c r="J1427" t="inlineStr">
        <is>
          <t>0</t>
        </is>
      </c>
      <c r="K1427" t="inlineStr">
        <is>
          <t>Chomsky, Noam.</t>
        </is>
      </c>
      <c r="L1427" t="inlineStr">
        <is>
          <t>New York : Pantheon Books, [1973]</t>
        </is>
      </c>
      <c r="M1427" t="inlineStr">
        <is>
          <t>1973</t>
        </is>
      </c>
      <c r="N1427" t="inlineStr">
        <is>
          <t>[1st ed.]</t>
        </is>
      </c>
      <c r="O1427" t="inlineStr">
        <is>
          <t>eng</t>
        </is>
      </c>
      <c r="P1427" t="inlineStr">
        <is>
          <t>nyu</t>
        </is>
      </c>
      <c r="R1427" t="inlineStr">
        <is>
          <t xml:space="preserve">DS </t>
        </is>
      </c>
      <c r="S1427" t="n">
        <v>2</v>
      </c>
      <c r="T1427" t="n">
        <v>2</v>
      </c>
      <c r="U1427" t="inlineStr">
        <is>
          <t>1999-03-03</t>
        </is>
      </c>
      <c r="V1427" t="inlineStr">
        <is>
          <t>1999-03-03</t>
        </is>
      </c>
      <c r="W1427" t="inlineStr">
        <is>
          <t>1990-04-11</t>
        </is>
      </c>
      <c r="X1427" t="inlineStr">
        <is>
          <t>1990-04-11</t>
        </is>
      </c>
      <c r="Y1427" t="n">
        <v>718</v>
      </c>
      <c r="Z1427" t="n">
        <v>642</v>
      </c>
      <c r="AA1427" t="n">
        <v>937</v>
      </c>
      <c r="AB1427" t="n">
        <v>6</v>
      </c>
      <c r="AC1427" t="n">
        <v>7</v>
      </c>
      <c r="AD1427" t="n">
        <v>20</v>
      </c>
      <c r="AE1427" t="n">
        <v>31</v>
      </c>
      <c r="AF1427" t="n">
        <v>5</v>
      </c>
      <c r="AG1427" t="n">
        <v>10</v>
      </c>
      <c r="AH1427" t="n">
        <v>6</v>
      </c>
      <c r="AI1427" t="n">
        <v>8</v>
      </c>
      <c r="AJ1427" t="n">
        <v>8</v>
      </c>
      <c r="AK1427" t="n">
        <v>15</v>
      </c>
      <c r="AL1427" t="n">
        <v>5</v>
      </c>
      <c r="AM1427" t="n">
        <v>6</v>
      </c>
      <c r="AN1427" t="n">
        <v>0</v>
      </c>
      <c r="AO1427" t="n">
        <v>0</v>
      </c>
      <c r="AP1427" t="inlineStr">
        <is>
          <t>No</t>
        </is>
      </c>
      <c r="AQ1427" t="inlineStr">
        <is>
          <t>Yes</t>
        </is>
      </c>
      <c r="AR1427">
        <f>HYPERLINK("http://catalog.hathitrust.org/Record/001255510","HathiTrust Record")</f>
        <v/>
      </c>
      <c r="AS1427">
        <f>HYPERLINK("https://creighton-primo.hosted.exlibrisgroup.com/primo-explore/search?tab=default_tab&amp;search_scope=EVERYTHING&amp;vid=01CRU&amp;lang=en_US&amp;offset=0&amp;query=any,contains,991002970149702656","Catalog Record")</f>
        <v/>
      </c>
      <c r="AT1427">
        <f>HYPERLINK("http://www.worldcat.org/oclc/548096","WorldCat Record")</f>
        <v/>
      </c>
      <c r="AU1427" t="inlineStr">
        <is>
          <t>778427:eng</t>
        </is>
      </c>
      <c r="AV1427" t="inlineStr">
        <is>
          <t>548096</t>
        </is>
      </c>
      <c r="AW1427" t="inlineStr">
        <is>
          <t>991002970149702656</t>
        </is>
      </c>
      <c r="AX1427" t="inlineStr">
        <is>
          <t>991002970149702656</t>
        </is>
      </c>
      <c r="AY1427" t="inlineStr">
        <is>
          <t>2262628020002656</t>
        </is>
      </c>
      <c r="AZ1427" t="inlineStr">
        <is>
          <t>BOOK</t>
        </is>
      </c>
      <c r="BB1427" t="inlineStr">
        <is>
          <t>9780394483986</t>
        </is>
      </c>
      <c r="BC1427" t="inlineStr">
        <is>
          <t>32285000115336</t>
        </is>
      </c>
      <c r="BD1427" t="inlineStr">
        <is>
          <t>893721735</t>
        </is>
      </c>
    </row>
    <row r="1428">
      <c r="A1428" t="inlineStr">
        <is>
          <t>No</t>
        </is>
      </c>
      <c r="B1428" t="inlineStr">
        <is>
          <t>DS557.A63 J6</t>
        </is>
      </c>
      <c r="C1428" t="inlineStr">
        <is>
          <t>0                      DS 0557000A  63                 J  6</t>
        </is>
      </c>
      <c r="D1428" t="inlineStr">
        <is>
          <t>Cracks in the empire : state politics in the Vietnam War / Paul Joseph.</t>
        </is>
      </c>
      <c r="F1428" t="inlineStr">
        <is>
          <t>No</t>
        </is>
      </c>
      <c r="G1428" t="inlineStr">
        <is>
          <t>1</t>
        </is>
      </c>
      <c r="H1428" t="inlineStr">
        <is>
          <t>No</t>
        </is>
      </c>
      <c r="I1428" t="inlineStr">
        <is>
          <t>No</t>
        </is>
      </c>
      <c r="J1428" t="inlineStr">
        <is>
          <t>0</t>
        </is>
      </c>
      <c r="K1428" t="inlineStr">
        <is>
          <t>Joseph, Paul, 1948-</t>
        </is>
      </c>
      <c r="L1428" t="inlineStr">
        <is>
          <t>Boston, Mass. : South End Press, 1981.</t>
        </is>
      </c>
      <c r="M1428" t="inlineStr">
        <is>
          <t>1981</t>
        </is>
      </c>
      <c r="N1428" t="inlineStr">
        <is>
          <t>1st ed.</t>
        </is>
      </c>
      <c r="O1428" t="inlineStr">
        <is>
          <t>eng</t>
        </is>
      </c>
      <c r="P1428" t="inlineStr">
        <is>
          <t>mau</t>
        </is>
      </c>
      <c r="R1428" t="inlineStr">
        <is>
          <t xml:space="preserve">DS </t>
        </is>
      </c>
      <c r="S1428" t="n">
        <v>4</v>
      </c>
      <c r="T1428" t="n">
        <v>4</v>
      </c>
      <c r="U1428" t="inlineStr">
        <is>
          <t>1999-04-06</t>
        </is>
      </c>
      <c r="V1428" t="inlineStr">
        <is>
          <t>1999-04-06</t>
        </is>
      </c>
      <c r="W1428" t="inlineStr">
        <is>
          <t>1991-06-28</t>
        </is>
      </c>
      <c r="X1428" t="inlineStr">
        <is>
          <t>1991-06-28</t>
        </is>
      </c>
      <c r="Y1428" t="n">
        <v>288</v>
      </c>
      <c r="Z1428" t="n">
        <v>253</v>
      </c>
      <c r="AA1428" t="n">
        <v>329</v>
      </c>
      <c r="AB1428" t="n">
        <v>2</v>
      </c>
      <c r="AC1428" t="n">
        <v>2</v>
      </c>
      <c r="AD1428" t="n">
        <v>12</v>
      </c>
      <c r="AE1428" t="n">
        <v>13</v>
      </c>
      <c r="AF1428" t="n">
        <v>3</v>
      </c>
      <c r="AG1428" t="n">
        <v>3</v>
      </c>
      <c r="AH1428" t="n">
        <v>3</v>
      </c>
      <c r="AI1428" t="n">
        <v>3</v>
      </c>
      <c r="AJ1428" t="n">
        <v>8</v>
      </c>
      <c r="AK1428" t="n">
        <v>9</v>
      </c>
      <c r="AL1428" t="n">
        <v>1</v>
      </c>
      <c r="AM1428" t="n">
        <v>1</v>
      </c>
      <c r="AN1428" t="n">
        <v>0</v>
      </c>
      <c r="AO1428" t="n">
        <v>0</v>
      </c>
      <c r="AP1428" t="inlineStr">
        <is>
          <t>No</t>
        </is>
      </c>
      <c r="AQ1428" t="inlineStr">
        <is>
          <t>Yes</t>
        </is>
      </c>
      <c r="AR1428">
        <f>HYPERLINK("http://catalog.hathitrust.org/Record/000261504","HathiTrust Record")</f>
        <v/>
      </c>
      <c r="AS1428">
        <f>HYPERLINK("https://creighton-primo.hosted.exlibrisgroup.com/primo-explore/search?tab=default_tab&amp;search_scope=EVERYTHING&amp;vid=01CRU&amp;lang=en_US&amp;offset=0&amp;query=any,contains,991005206989702656","Catalog Record")</f>
        <v/>
      </c>
      <c r="AT1428">
        <f>HYPERLINK("http://www.worldcat.org/oclc/8126153","WorldCat Record")</f>
        <v/>
      </c>
      <c r="AU1428" t="inlineStr">
        <is>
          <t>819951537:eng</t>
        </is>
      </c>
      <c r="AV1428" t="inlineStr">
        <is>
          <t>8126153</t>
        </is>
      </c>
      <c r="AW1428" t="inlineStr">
        <is>
          <t>991005206989702656</t>
        </is>
      </c>
      <c r="AX1428" t="inlineStr">
        <is>
          <t>991005206989702656</t>
        </is>
      </c>
      <c r="AY1428" t="inlineStr">
        <is>
          <t>2255237200002656</t>
        </is>
      </c>
      <c r="AZ1428" t="inlineStr">
        <is>
          <t>BOOK</t>
        </is>
      </c>
      <c r="BC1428" t="inlineStr">
        <is>
          <t>32285000672443</t>
        </is>
      </c>
      <c r="BD1428" t="inlineStr">
        <is>
          <t>893719978</t>
        </is>
      </c>
    </row>
    <row r="1429">
      <c r="A1429" t="inlineStr">
        <is>
          <t>No</t>
        </is>
      </c>
      <c r="B1429" t="inlineStr">
        <is>
          <t>DS557.A64 C28</t>
        </is>
      </c>
      <c r="C1429" t="inlineStr">
        <is>
          <t>0                      DS 0557000A  64                 C  28</t>
        </is>
      </c>
      <c r="D1429" t="inlineStr">
        <is>
          <t>Cambodia &amp; the Vietnam war / edited by Hal Kosut.</t>
        </is>
      </c>
      <c r="F1429" t="inlineStr">
        <is>
          <t>No</t>
        </is>
      </c>
      <c r="G1429" t="inlineStr">
        <is>
          <t>1</t>
        </is>
      </c>
      <c r="H1429" t="inlineStr">
        <is>
          <t>No</t>
        </is>
      </c>
      <c r="I1429" t="inlineStr">
        <is>
          <t>No</t>
        </is>
      </c>
      <c r="J1429" t="inlineStr">
        <is>
          <t>0</t>
        </is>
      </c>
      <c r="K1429" t="inlineStr">
        <is>
          <t>Kosut, Hal.</t>
        </is>
      </c>
      <c r="L1429" t="inlineStr">
        <is>
          <t>New York : Facts on File, [1971]</t>
        </is>
      </c>
      <c r="M1429" t="inlineStr">
        <is>
          <t>1971</t>
        </is>
      </c>
      <c r="O1429" t="inlineStr">
        <is>
          <t>eng</t>
        </is>
      </c>
      <c r="P1429" t="inlineStr">
        <is>
          <t>nyu</t>
        </is>
      </c>
      <c r="Q1429" t="inlineStr">
        <is>
          <t>A Facts on File publication</t>
        </is>
      </c>
      <c r="R1429" t="inlineStr">
        <is>
          <t xml:space="preserve">DS </t>
        </is>
      </c>
      <c r="S1429" t="n">
        <v>4</v>
      </c>
      <c r="T1429" t="n">
        <v>4</v>
      </c>
      <c r="U1429" t="inlineStr">
        <is>
          <t>1993-03-27</t>
        </is>
      </c>
      <c r="V1429" t="inlineStr">
        <is>
          <t>1993-03-27</t>
        </is>
      </c>
      <c r="W1429" t="inlineStr">
        <is>
          <t>1992-11-02</t>
        </is>
      </c>
      <c r="X1429" t="inlineStr">
        <is>
          <t>1992-11-02</t>
        </is>
      </c>
      <c r="Y1429" t="n">
        <v>300</v>
      </c>
      <c r="Z1429" t="n">
        <v>265</v>
      </c>
      <c r="AA1429" t="n">
        <v>271</v>
      </c>
      <c r="AB1429" t="n">
        <v>3</v>
      </c>
      <c r="AC1429" t="n">
        <v>3</v>
      </c>
      <c r="AD1429" t="n">
        <v>7</v>
      </c>
      <c r="AE1429" t="n">
        <v>7</v>
      </c>
      <c r="AF1429" t="n">
        <v>0</v>
      </c>
      <c r="AG1429" t="n">
        <v>0</v>
      </c>
      <c r="AH1429" t="n">
        <v>4</v>
      </c>
      <c r="AI1429" t="n">
        <v>4</v>
      </c>
      <c r="AJ1429" t="n">
        <v>3</v>
      </c>
      <c r="AK1429" t="n">
        <v>3</v>
      </c>
      <c r="AL1429" t="n">
        <v>2</v>
      </c>
      <c r="AM1429" t="n">
        <v>2</v>
      </c>
      <c r="AN1429" t="n">
        <v>0</v>
      </c>
      <c r="AO1429" t="n">
        <v>0</v>
      </c>
      <c r="AP1429" t="inlineStr">
        <is>
          <t>No</t>
        </is>
      </c>
      <c r="AQ1429" t="inlineStr">
        <is>
          <t>No</t>
        </is>
      </c>
      <c r="AS1429">
        <f>HYPERLINK("https://creighton-primo.hosted.exlibrisgroup.com/primo-explore/search?tab=default_tab&amp;search_scope=EVERYTHING&amp;vid=01CRU&amp;lang=en_US&amp;offset=0&amp;query=any,contains,991001363329702656","Catalog Record")</f>
        <v/>
      </c>
      <c r="AT1429">
        <f>HYPERLINK("http://www.worldcat.org/oclc/222055","WorldCat Record")</f>
        <v/>
      </c>
      <c r="AU1429" t="inlineStr">
        <is>
          <t>1327203:eng</t>
        </is>
      </c>
      <c r="AV1429" t="inlineStr">
        <is>
          <t>222055</t>
        </is>
      </c>
      <c r="AW1429" t="inlineStr">
        <is>
          <t>991001363329702656</t>
        </is>
      </c>
      <c r="AX1429" t="inlineStr">
        <is>
          <t>991001363329702656</t>
        </is>
      </c>
      <c r="AY1429" t="inlineStr">
        <is>
          <t>2262134780002656</t>
        </is>
      </c>
      <c r="AZ1429" t="inlineStr">
        <is>
          <t>BOOK</t>
        </is>
      </c>
      <c r="BB1429" t="inlineStr">
        <is>
          <t>9780871962089</t>
        </is>
      </c>
      <c r="BC1429" t="inlineStr">
        <is>
          <t>32285001380368</t>
        </is>
      </c>
      <c r="BD1429" t="inlineStr">
        <is>
          <t>893340373</t>
        </is>
      </c>
    </row>
    <row r="1430">
      <c r="A1430" t="inlineStr">
        <is>
          <t>No</t>
        </is>
      </c>
      <c r="B1430" t="inlineStr">
        <is>
          <t>DS557.A67 C33 1971</t>
        </is>
      </c>
      <c r="C1430" t="inlineStr">
        <is>
          <t>0                      DS 0557000A  67                 C  33          1971</t>
        </is>
      </c>
      <c r="D1430" t="inlineStr">
        <is>
          <t>Lieutenant Calley : his own story / [as told to] John Sack.</t>
        </is>
      </c>
      <c r="F1430" t="inlineStr">
        <is>
          <t>No</t>
        </is>
      </c>
      <c r="G1430" t="inlineStr">
        <is>
          <t>1</t>
        </is>
      </c>
      <c r="H1430" t="inlineStr">
        <is>
          <t>No</t>
        </is>
      </c>
      <c r="I1430" t="inlineStr">
        <is>
          <t>No</t>
        </is>
      </c>
      <c r="J1430" t="inlineStr">
        <is>
          <t>0</t>
        </is>
      </c>
      <c r="K1430" t="inlineStr">
        <is>
          <t>Calley, William Laws, Jr., 1943-</t>
        </is>
      </c>
      <c r="L1430" t="inlineStr">
        <is>
          <t>New York : Viking Press, [1971]</t>
        </is>
      </c>
      <c r="M1430" t="inlineStr">
        <is>
          <t>1971</t>
        </is>
      </c>
      <c r="O1430" t="inlineStr">
        <is>
          <t>eng</t>
        </is>
      </c>
      <c r="P1430" t="inlineStr">
        <is>
          <t>nyu</t>
        </is>
      </c>
      <c r="R1430" t="inlineStr">
        <is>
          <t xml:space="preserve">DS </t>
        </is>
      </c>
      <c r="S1430" t="n">
        <v>1</v>
      </c>
      <c r="T1430" t="n">
        <v>1</v>
      </c>
      <c r="U1430" t="inlineStr">
        <is>
          <t>1993-03-09</t>
        </is>
      </c>
      <c r="V1430" t="inlineStr">
        <is>
          <t>1993-03-09</t>
        </is>
      </c>
      <c r="W1430" t="inlineStr">
        <is>
          <t>1992-08-19</t>
        </is>
      </c>
      <c r="X1430" t="inlineStr">
        <is>
          <t>1992-08-19</t>
        </is>
      </c>
      <c r="Y1430" t="n">
        <v>817</v>
      </c>
      <c r="Z1430" t="n">
        <v>783</v>
      </c>
      <c r="AA1430" t="n">
        <v>806</v>
      </c>
      <c r="AB1430" t="n">
        <v>7</v>
      </c>
      <c r="AC1430" t="n">
        <v>7</v>
      </c>
      <c r="AD1430" t="n">
        <v>15</v>
      </c>
      <c r="AE1430" t="n">
        <v>15</v>
      </c>
      <c r="AF1430" t="n">
        <v>3</v>
      </c>
      <c r="AG1430" t="n">
        <v>3</v>
      </c>
      <c r="AH1430" t="n">
        <v>3</v>
      </c>
      <c r="AI1430" t="n">
        <v>3</v>
      </c>
      <c r="AJ1430" t="n">
        <v>7</v>
      </c>
      <c r="AK1430" t="n">
        <v>7</v>
      </c>
      <c r="AL1430" t="n">
        <v>1</v>
      </c>
      <c r="AM1430" t="n">
        <v>1</v>
      </c>
      <c r="AN1430" t="n">
        <v>3</v>
      </c>
      <c r="AO1430" t="n">
        <v>3</v>
      </c>
      <c r="AP1430" t="inlineStr">
        <is>
          <t>No</t>
        </is>
      </c>
      <c r="AQ1430" t="inlineStr">
        <is>
          <t>Yes</t>
        </is>
      </c>
      <c r="AR1430">
        <f>HYPERLINK("http://catalog.hathitrust.org/Record/001255555","HathiTrust Record")</f>
        <v/>
      </c>
      <c r="AS1430">
        <f>HYPERLINK("https://creighton-primo.hosted.exlibrisgroup.com/primo-explore/search?tab=default_tab&amp;search_scope=EVERYTHING&amp;vid=01CRU&amp;lang=en_US&amp;offset=0&amp;query=any,contains,991001045689702656","Catalog Record")</f>
        <v/>
      </c>
      <c r="AT1430">
        <f>HYPERLINK("http://www.worldcat.org/oclc/176043","WorldCat Record")</f>
        <v/>
      </c>
      <c r="AU1430" t="inlineStr">
        <is>
          <t>2316283:eng</t>
        </is>
      </c>
      <c r="AV1430" t="inlineStr">
        <is>
          <t>176043</t>
        </is>
      </c>
      <c r="AW1430" t="inlineStr">
        <is>
          <t>991001045689702656</t>
        </is>
      </c>
      <c r="AX1430" t="inlineStr">
        <is>
          <t>991001045689702656</t>
        </is>
      </c>
      <c r="AY1430" t="inlineStr">
        <is>
          <t>2267657700002656</t>
        </is>
      </c>
      <c r="AZ1430" t="inlineStr">
        <is>
          <t>BOOK</t>
        </is>
      </c>
      <c r="BB1430" t="inlineStr">
        <is>
          <t>9780670428212</t>
        </is>
      </c>
      <c r="BC1430" t="inlineStr">
        <is>
          <t>32285001246742</t>
        </is>
      </c>
      <c r="BD1430" t="inlineStr">
        <is>
          <t>893334007</t>
        </is>
      </c>
    </row>
    <row r="1431">
      <c r="A1431" t="inlineStr">
        <is>
          <t>No</t>
        </is>
      </c>
      <c r="B1431" t="inlineStr">
        <is>
          <t>DS557.A67 H467</t>
        </is>
      </c>
      <c r="C1431" t="inlineStr">
        <is>
          <t>0                      DS 0557000A  67                 H  467</t>
        </is>
      </c>
      <c r="D1431" t="inlineStr">
        <is>
          <t>Cover-up : [the Army's secret investigation of the massacre at My lai 4 / by] Seymour M. Hersh.</t>
        </is>
      </c>
      <c r="F1431" t="inlineStr">
        <is>
          <t>No</t>
        </is>
      </c>
      <c r="G1431" t="inlineStr">
        <is>
          <t>1</t>
        </is>
      </c>
      <c r="H1431" t="inlineStr">
        <is>
          <t>No</t>
        </is>
      </c>
      <c r="I1431" t="inlineStr">
        <is>
          <t>No</t>
        </is>
      </c>
      <c r="J1431" t="inlineStr">
        <is>
          <t>0</t>
        </is>
      </c>
      <c r="K1431" t="inlineStr">
        <is>
          <t>Hersh, Seymour M.</t>
        </is>
      </c>
      <c r="L1431" t="inlineStr">
        <is>
          <t>New York : Random House, [1972]</t>
        </is>
      </c>
      <c r="M1431" t="inlineStr">
        <is>
          <t>1972</t>
        </is>
      </c>
      <c r="N1431" t="inlineStr">
        <is>
          <t>[1st ed.]</t>
        </is>
      </c>
      <c r="O1431" t="inlineStr">
        <is>
          <t>eng</t>
        </is>
      </c>
      <c r="P1431" t="inlineStr">
        <is>
          <t>nyu</t>
        </is>
      </c>
      <c r="R1431" t="inlineStr">
        <is>
          <t xml:space="preserve">DS </t>
        </is>
      </c>
      <c r="S1431" t="n">
        <v>4</v>
      </c>
      <c r="T1431" t="n">
        <v>4</v>
      </c>
      <c r="U1431" t="inlineStr">
        <is>
          <t>1999-04-14</t>
        </is>
      </c>
      <c r="V1431" t="inlineStr">
        <is>
          <t>1999-04-14</t>
        </is>
      </c>
      <c r="W1431" t="inlineStr">
        <is>
          <t>1992-08-19</t>
        </is>
      </c>
      <c r="X1431" t="inlineStr">
        <is>
          <t>1992-08-19</t>
        </is>
      </c>
      <c r="Y1431" t="n">
        <v>831</v>
      </c>
      <c r="Z1431" t="n">
        <v>781</v>
      </c>
      <c r="AA1431" t="n">
        <v>874</v>
      </c>
      <c r="AB1431" t="n">
        <v>6</v>
      </c>
      <c r="AC1431" t="n">
        <v>7</v>
      </c>
      <c r="AD1431" t="n">
        <v>30</v>
      </c>
      <c r="AE1431" t="n">
        <v>32</v>
      </c>
      <c r="AF1431" t="n">
        <v>13</v>
      </c>
      <c r="AG1431" t="n">
        <v>13</v>
      </c>
      <c r="AH1431" t="n">
        <v>7</v>
      </c>
      <c r="AI1431" t="n">
        <v>7</v>
      </c>
      <c r="AJ1431" t="n">
        <v>11</v>
      </c>
      <c r="AK1431" t="n">
        <v>12</v>
      </c>
      <c r="AL1431" t="n">
        <v>4</v>
      </c>
      <c r="AM1431" t="n">
        <v>5</v>
      </c>
      <c r="AN1431" t="n">
        <v>1</v>
      </c>
      <c r="AO1431" t="n">
        <v>1</v>
      </c>
      <c r="AP1431" t="inlineStr">
        <is>
          <t>No</t>
        </is>
      </c>
      <c r="AQ1431" t="inlineStr">
        <is>
          <t>Yes</t>
        </is>
      </c>
      <c r="AR1431">
        <f>HYPERLINK("http://catalog.hathitrust.org/Record/001255562","HathiTrust Record")</f>
        <v/>
      </c>
      <c r="AS1431">
        <f>HYPERLINK("https://creighton-primo.hosted.exlibrisgroup.com/primo-explore/search?tab=default_tab&amp;search_scope=EVERYTHING&amp;vid=01CRU&amp;lang=en_US&amp;offset=0&amp;query=any,contains,991001267679702656","Catalog Record")</f>
        <v/>
      </c>
      <c r="AT1431">
        <f>HYPERLINK("http://www.worldcat.org/oclc/210189","WorldCat Record")</f>
        <v/>
      </c>
      <c r="AU1431" t="inlineStr">
        <is>
          <t>1475162:eng</t>
        </is>
      </c>
      <c r="AV1431" t="inlineStr">
        <is>
          <t>210189</t>
        </is>
      </c>
      <c r="AW1431" t="inlineStr">
        <is>
          <t>991001267679702656</t>
        </is>
      </c>
      <c r="AX1431" t="inlineStr">
        <is>
          <t>991001267679702656</t>
        </is>
      </c>
      <c r="AY1431" t="inlineStr">
        <is>
          <t>2262068870002656</t>
        </is>
      </c>
      <c r="AZ1431" t="inlineStr">
        <is>
          <t>BOOK</t>
        </is>
      </c>
      <c r="BB1431" t="inlineStr">
        <is>
          <t>9780394474601</t>
        </is>
      </c>
      <c r="BC1431" t="inlineStr">
        <is>
          <t>32285001246734</t>
        </is>
      </c>
      <c r="BD1431" t="inlineStr">
        <is>
          <t>893621218</t>
        </is>
      </c>
    </row>
    <row r="1432">
      <c r="A1432" t="inlineStr">
        <is>
          <t>No</t>
        </is>
      </c>
      <c r="B1432" t="inlineStr">
        <is>
          <t>DS557.A68 H35 1972</t>
        </is>
      </c>
      <c r="C1432" t="inlineStr">
        <is>
          <t>0                      DS 0557000A  68                 H  35          1972</t>
        </is>
      </c>
      <c r="D1432" t="inlineStr">
        <is>
          <t>Harvest of death : chemical warfare in Vietnam and Cambodia / [by] J. B. Neilands [and others] With a foreword by Gunnar Myrdal.</t>
        </is>
      </c>
      <c r="F1432" t="inlineStr">
        <is>
          <t>No</t>
        </is>
      </c>
      <c r="G1432" t="inlineStr">
        <is>
          <t>1</t>
        </is>
      </c>
      <c r="H1432" t="inlineStr">
        <is>
          <t>No</t>
        </is>
      </c>
      <c r="I1432" t="inlineStr">
        <is>
          <t>No</t>
        </is>
      </c>
      <c r="J1432" t="inlineStr">
        <is>
          <t>0</t>
        </is>
      </c>
      <c r="L1432" t="inlineStr">
        <is>
          <t>New York : Free Press, [1971, c1972]</t>
        </is>
      </c>
      <c r="M1432" t="inlineStr">
        <is>
          <t>1971</t>
        </is>
      </c>
      <c r="O1432" t="inlineStr">
        <is>
          <t>eng</t>
        </is>
      </c>
      <c r="P1432" t="inlineStr">
        <is>
          <t>nyu</t>
        </is>
      </c>
      <c r="R1432" t="inlineStr">
        <is>
          <t xml:space="preserve">DS </t>
        </is>
      </c>
      <c r="S1432" t="n">
        <v>4</v>
      </c>
      <c r="T1432" t="n">
        <v>4</v>
      </c>
      <c r="U1432" t="inlineStr">
        <is>
          <t>1999-11-29</t>
        </is>
      </c>
      <c r="V1432" t="inlineStr">
        <is>
          <t>1999-11-29</t>
        </is>
      </c>
      <c r="W1432" t="inlineStr">
        <is>
          <t>1990-03-12</t>
        </is>
      </c>
      <c r="X1432" t="inlineStr">
        <is>
          <t>1990-03-12</t>
        </is>
      </c>
      <c r="Y1432" t="n">
        <v>830</v>
      </c>
      <c r="Z1432" t="n">
        <v>765</v>
      </c>
      <c r="AA1432" t="n">
        <v>841</v>
      </c>
      <c r="AB1432" t="n">
        <v>9</v>
      </c>
      <c r="AC1432" t="n">
        <v>9</v>
      </c>
      <c r="AD1432" t="n">
        <v>24</v>
      </c>
      <c r="AE1432" t="n">
        <v>25</v>
      </c>
      <c r="AF1432" t="n">
        <v>8</v>
      </c>
      <c r="AG1432" t="n">
        <v>9</v>
      </c>
      <c r="AH1432" t="n">
        <v>4</v>
      </c>
      <c r="AI1432" t="n">
        <v>5</v>
      </c>
      <c r="AJ1432" t="n">
        <v>9</v>
      </c>
      <c r="AK1432" t="n">
        <v>9</v>
      </c>
      <c r="AL1432" t="n">
        <v>7</v>
      </c>
      <c r="AM1432" t="n">
        <v>7</v>
      </c>
      <c r="AN1432" t="n">
        <v>0</v>
      </c>
      <c r="AO1432" t="n">
        <v>0</v>
      </c>
      <c r="AP1432" t="inlineStr">
        <is>
          <t>No</t>
        </is>
      </c>
      <c r="AQ1432" t="inlineStr">
        <is>
          <t>Yes</t>
        </is>
      </c>
      <c r="AR1432">
        <f>HYPERLINK("http://catalog.hathitrust.org/Record/001255588","HathiTrust Record")</f>
        <v/>
      </c>
      <c r="AS1432">
        <f>HYPERLINK("https://creighton-primo.hosted.exlibrisgroup.com/primo-explore/search?tab=default_tab&amp;search_scope=EVERYTHING&amp;vid=01CRU&amp;lang=en_US&amp;offset=0&amp;query=any,contains,991001926599702656","Catalog Record")</f>
        <v/>
      </c>
      <c r="AT1432">
        <f>HYPERLINK("http://www.worldcat.org/oclc/246905","WorldCat Record")</f>
        <v/>
      </c>
      <c r="AU1432" t="inlineStr">
        <is>
          <t>887890835:eng</t>
        </is>
      </c>
      <c r="AV1432" t="inlineStr">
        <is>
          <t>246905</t>
        </is>
      </c>
      <c r="AW1432" t="inlineStr">
        <is>
          <t>991001926599702656</t>
        </is>
      </c>
      <c r="AX1432" t="inlineStr">
        <is>
          <t>991001926599702656</t>
        </is>
      </c>
      <c r="AY1432" t="inlineStr">
        <is>
          <t>2257515600002656</t>
        </is>
      </c>
      <c r="AZ1432" t="inlineStr">
        <is>
          <t>BOOK</t>
        </is>
      </c>
      <c r="BC1432" t="inlineStr">
        <is>
          <t>32285000081355</t>
        </is>
      </c>
      <c r="BD1432" t="inlineStr">
        <is>
          <t>893238465</t>
        </is>
      </c>
    </row>
    <row r="1433">
      <c r="A1433" t="inlineStr">
        <is>
          <t>No</t>
        </is>
      </c>
      <c r="B1433" t="inlineStr">
        <is>
          <t>DS557.A68 P55</t>
        </is>
      </c>
      <c r="C1433" t="inlineStr">
        <is>
          <t>0                      DS 0557000A  68                 P  55</t>
        </is>
      </c>
      <c r="D1433" t="inlineStr">
        <is>
          <t>No victory parades : the return of the Vietnam veteran.</t>
        </is>
      </c>
      <c r="F1433" t="inlineStr">
        <is>
          <t>No</t>
        </is>
      </c>
      <c r="G1433" t="inlineStr">
        <is>
          <t>1</t>
        </is>
      </c>
      <c r="H1433" t="inlineStr">
        <is>
          <t>No</t>
        </is>
      </c>
      <c r="I1433" t="inlineStr">
        <is>
          <t>No</t>
        </is>
      </c>
      <c r="J1433" t="inlineStr">
        <is>
          <t>0</t>
        </is>
      </c>
      <c r="K1433" t="inlineStr">
        <is>
          <t>Polner, Murray.</t>
        </is>
      </c>
      <c r="L1433" t="inlineStr">
        <is>
          <t>New York : Holt, Rinehart and Winston, [1971]</t>
        </is>
      </c>
      <c r="M1433" t="inlineStr">
        <is>
          <t>1971</t>
        </is>
      </c>
      <c r="N1433" t="inlineStr">
        <is>
          <t>[1st ed.]</t>
        </is>
      </c>
      <c r="O1433" t="inlineStr">
        <is>
          <t>eng</t>
        </is>
      </c>
      <c r="P1433" t="inlineStr">
        <is>
          <t>nyu</t>
        </is>
      </c>
      <c r="R1433" t="inlineStr">
        <is>
          <t xml:space="preserve">DS </t>
        </is>
      </c>
      <c r="S1433" t="n">
        <v>4</v>
      </c>
      <c r="T1433" t="n">
        <v>4</v>
      </c>
      <c r="U1433" t="inlineStr">
        <is>
          <t>2000-10-01</t>
        </is>
      </c>
      <c r="V1433" t="inlineStr">
        <is>
          <t>2000-10-01</t>
        </is>
      </c>
      <c r="W1433" t="inlineStr">
        <is>
          <t>1990-03-28</t>
        </is>
      </c>
      <c r="X1433" t="inlineStr">
        <is>
          <t>1990-03-28</t>
        </is>
      </c>
      <c r="Y1433" t="n">
        <v>807</v>
      </c>
      <c r="Z1433" t="n">
        <v>760</v>
      </c>
      <c r="AA1433" t="n">
        <v>772</v>
      </c>
      <c r="AB1433" t="n">
        <v>7</v>
      </c>
      <c r="AC1433" t="n">
        <v>7</v>
      </c>
      <c r="AD1433" t="n">
        <v>18</v>
      </c>
      <c r="AE1433" t="n">
        <v>18</v>
      </c>
      <c r="AF1433" t="n">
        <v>5</v>
      </c>
      <c r="AG1433" t="n">
        <v>5</v>
      </c>
      <c r="AH1433" t="n">
        <v>3</v>
      </c>
      <c r="AI1433" t="n">
        <v>3</v>
      </c>
      <c r="AJ1433" t="n">
        <v>6</v>
      </c>
      <c r="AK1433" t="n">
        <v>6</v>
      </c>
      <c r="AL1433" t="n">
        <v>5</v>
      </c>
      <c r="AM1433" t="n">
        <v>5</v>
      </c>
      <c r="AN1433" t="n">
        <v>0</v>
      </c>
      <c r="AO1433" t="n">
        <v>0</v>
      </c>
      <c r="AP1433" t="inlineStr">
        <is>
          <t>No</t>
        </is>
      </c>
      <c r="AQ1433" t="inlineStr">
        <is>
          <t>Yes</t>
        </is>
      </c>
      <c r="AR1433">
        <f>HYPERLINK("http://catalog.hathitrust.org/Record/001255597","HathiTrust Record")</f>
        <v/>
      </c>
      <c r="AS1433">
        <f>HYPERLINK("https://creighton-primo.hosted.exlibrisgroup.com/primo-explore/search?tab=default_tab&amp;search_scope=EVERYTHING&amp;vid=01CRU&amp;lang=en_US&amp;offset=0&amp;query=any,contains,991000794399702656","Catalog Record")</f>
        <v/>
      </c>
      <c r="AT1433">
        <f>HYPERLINK("http://www.worldcat.org/oclc/136515","WorldCat Record")</f>
        <v/>
      </c>
      <c r="AU1433" t="inlineStr">
        <is>
          <t>1286866:eng</t>
        </is>
      </c>
      <c r="AV1433" t="inlineStr">
        <is>
          <t>136515</t>
        </is>
      </c>
      <c r="AW1433" t="inlineStr">
        <is>
          <t>991000794399702656</t>
        </is>
      </c>
      <c r="AX1433" t="inlineStr">
        <is>
          <t>991000794399702656</t>
        </is>
      </c>
      <c r="AY1433" t="inlineStr">
        <is>
          <t>2263918860002656</t>
        </is>
      </c>
      <c r="AZ1433" t="inlineStr">
        <is>
          <t>BOOK</t>
        </is>
      </c>
      <c r="BB1433" t="inlineStr">
        <is>
          <t>9780030860119</t>
        </is>
      </c>
      <c r="BC1433" t="inlineStr">
        <is>
          <t>32285000094341</t>
        </is>
      </c>
      <c r="BD1433" t="inlineStr">
        <is>
          <t>893426043</t>
        </is>
      </c>
    </row>
    <row r="1434">
      <c r="A1434" t="inlineStr">
        <is>
          <t>No</t>
        </is>
      </c>
      <c r="B1434" t="inlineStr">
        <is>
          <t>DS557.A68 V64 1974</t>
        </is>
      </c>
      <c r="C1434" t="inlineStr">
        <is>
          <t>0                      DS 0557000A  68                 V  64          1974</t>
        </is>
      </c>
      <c r="D1434" t="inlineStr">
        <is>
          <t>The long dark night of the soul : the American intellectual left and the Vietnam war.</t>
        </is>
      </c>
      <c r="F1434" t="inlineStr">
        <is>
          <t>No</t>
        </is>
      </c>
      <c r="G1434" t="inlineStr">
        <is>
          <t>1</t>
        </is>
      </c>
      <c r="H1434" t="inlineStr">
        <is>
          <t>No</t>
        </is>
      </c>
      <c r="I1434" t="inlineStr">
        <is>
          <t>No</t>
        </is>
      </c>
      <c r="J1434" t="inlineStr">
        <is>
          <t>0</t>
        </is>
      </c>
      <c r="K1434" t="inlineStr">
        <is>
          <t>Vogelgesang, Sandy.</t>
        </is>
      </c>
      <c r="L1434" t="inlineStr">
        <is>
          <t>New York : Harper &amp; Row, [1974]</t>
        </is>
      </c>
      <c r="M1434" t="inlineStr">
        <is>
          <t>1974</t>
        </is>
      </c>
      <c r="N1434" t="inlineStr">
        <is>
          <t>[1st ed.]</t>
        </is>
      </c>
      <c r="O1434" t="inlineStr">
        <is>
          <t>eng</t>
        </is>
      </c>
      <c r="P1434" t="inlineStr">
        <is>
          <t>nyu</t>
        </is>
      </c>
      <c r="R1434" t="inlineStr">
        <is>
          <t xml:space="preserve">DS </t>
        </is>
      </c>
      <c r="S1434" t="n">
        <v>3</v>
      </c>
      <c r="T1434" t="n">
        <v>3</v>
      </c>
      <c r="U1434" t="inlineStr">
        <is>
          <t>1999-10-14</t>
        </is>
      </c>
      <c r="V1434" t="inlineStr">
        <is>
          <t>1999-10-14</t>
        </is>
      </c>
      <c r="W1434" t="inlineStr">
        <is>
          <t>1990-03-12</t>
        </is>
      </c>
      <c r="X1434" t="inlineStr">
        <is>
          <t>1990-03-12</t>
        </is>
      </c>
      <c r="Y1434" t="n">
        <v>533</v>
      </c>
      <c r="Z1434" t="n">
        <v>473</v>
      </c>
      <c r="AA1434" t="n">
        <v>480</v>
      </c>
      <c r="AB1434" t="n">
        <v>4</v>
      </c>
      <c r="AC1434" t="n">
        <v>4</v>
      </c>
      <c r="AD1434" t="n">
        <v>21</v>
      </c>
      <c r="AE1434" t="n">
        <v>21</v>
      </c>
      <c r="AF1434" t="n">
        <v>7</v>
      </c>
      <c r="AG1434" t="n">
        <v>7</v>
      </c>
      <c r="AH1434" t="n">
        <v>6</v>
      </c>
      <c r="AI1434" t="n">
        <v>6</v>
      </c>
      <c r="AJ1434" t="n">
        <v>12</v>
      </c>
      <c r="AK1434" t="n">
        <v>12</v>
      </c>
      <c r="AL1434" t="n">
        <v>3</v>
      </c>
      <c r="AM1434" t="n">
        <v>3</v>
      </c>
      <c r="AN1434" t="n">
        <v>0</v>
      </c>
      <c r="AO1434" t="n">
        <v>0</v>
      </c>
      <c r="AP1434" t="inlineStr">
        <is>
          <t>No</t>
        </is>
      </c>
      <c r="AQ1434" t="inlineStr">
        <is>
          <t>Yes</t>
        </is>
      </c>
      <c r="AR1434">
        <f>HYPERLINK("http://catalog.hathitrust.org/Record/001267092","HathiTrust Record")</f>
        <v/>
      </c>
      <c r="AS1434">
        <f>HYPERLINK("https://creighton-primo.hosted.exlibrisgroup.com/primo-explore/search?tab=default_tab&amp;search_scope=EVERYTHING&amp;vid=01CRU&amp;lang=en_US&amp;offset=0&amp;query=any,contains,991003364759702656","Catalog Record")</f>
        <v/>
      </c>
      <c r="AT1434">
        <f>HYPERLINK("http://www.worldcat.org/oclc/900981","WorldCat Record")</f>
        <v/>
      </c>
      <c r="AU1434" t="inlineStr">
        <is>
          <t>498016503:eng</t>
        </is>
      </c>
      <c r="AV1434" t="inlineStr">
        <is>
          <t>900981</t>
        </is>
      </c>
      <c r="AW1434" t="inlineStr">
        <is>
          <t>991003364759702656</t>
        </is>
      </c>
      <c r="AX1434" t="inlineStr">
        <is>
          <t>991003364759702656</t>
        </is>
      </c>
      <c r="AY1434" t="inlineStr">
        <is>
          <t>2266310510002656</t>
        </is>
      </c>
      <c r="AZ1434" t="inlineStr">
        <is>
          <t>BOOK</t>
        </is>
      </c>
      <c r="BB1434" t="inlineStr">
        <is>
          <t>9780060145125</t>
        </is>
      </c>
      <c r="BC1434" t="inlineStr">
        <is>
          <t>32285000081348</t>
        </is>
      </c>
      <c r="BD1434" t="inlineStr">
        <is>
          <t>893592465</t>
        </is>
      </c>
    </row>
    <row r="1435">
      <c r="A1435" t="inlineStr">
        <is>
          <t>No</t>
        </is>
      </c>
      <c r="B1435" t="inlineStr">
        <is>
          <t>DS557.A69 H36</t>
        </is>
      </c>
      <c r="C1435" t="inlineStr">
        <is>
          <t>0                      DS 0557000A  69                 H  36</t>
        </is>
      </c>
      <c r="D1435" t="inlineStr">
        <is>
          <t>Soldier [by] Anthony B. Herbert, with James T. Wooten.</t>
        </is>
      </c>
      <c r="F1435" t="inlineStr">
        <is>
          <t>No</t>
        </is>
      </c>
      <c r="G1435" t="inlineStr">
        <is>
          <t>1</t>
        </is>
      </c>
      <c r="H1435" t="inlineStr">
        <is>
          <t>No</t>
        </is>
      </c>
      <c r="I1435" t="inlineStr">
        <is>
          <t>No</t>
        </is>
      </c>
      <c r="J1435" t="inlineStr">
        <is>
          <t>0</t>
        </is>
      </c>
      <c r="K1435" t="inlineStr">
        <is>
          <t>Herbert, Anthony.</t>
        </is>
      </c>
      <c r="L1435" t="inlineStr">
        <is>
          <t>New York, Holt, Rinehart and Winston [1973]</t>
        </is>
      </c>
      <c r="M1435" t="inlineStr">
        <is>
          <t>1973</t>
        </is>
      </c>
      <c r="N1435" t="inlineStr">
        <is>
          <t>[1st ed.]</t>
        </is>
      </c>
      <c r="O1435" t="inlineStr">
        <is>
          <t>eng</t>
        </is>
      </c>
      <c r="P1435" t="inlineStr">
        <is>
          <t>nyu</t>
        </is>
      </c>
      <c r="R1435" t="inlineStr">
        <is>
          <t xml:space="preserve">DS </t>
        </is>
      </c>
      <c r="S1435" t="n">
        <v>1</v>
      </c>
      <c r="T1435" t="n">
        <v>1</v>
      </c>
      <c r="U1435" t="inlineStr">
        <is>
          <t>1998-02-02</t>
        </is>
      </c>
      <c r="V1435" t="inlineStr">
        <is>
          <t>1998-02-02</t>
        </is>
      </c>
      <c r="W1435" t="inlineStr">
        <is>
          <t>1997-03-11</t>
        </is>
      </c>
      <c r="X1435" t="inlineStr">
        <is>
          <t>1997-03-11</t>
        </is>
      </c>
      <c r="Y1435" t="n">
        <v>1054</v>
      </c>
      <c r="Z1435" t="n">
        <v>995</v>
      </c>
      <c r="AA1435" t="n">
        <v>1024</v>
      </c>
      <c r="AB1435" t="n">
        <v>7</v>
      </c>
      <c r="AC1435" t="n">
        <v>7</v>
      </c>
      <c r="AD1435" t="n">
        <v>19</v>
      </c>
      <c r="AE1435" t="n">
        <v>21</v>
      </c>
      <c r="AF1435" t="n">
        <v>6</v>
      </c>
      <c r="AG1435" t="n">
        <v>8</v>
      </c>
      <c r="AH1435" t="n">
        <v>4</v>
      </c>
      <c r="AI1435" t="n">
        <v>4</v>
      </c>
      <c r="AJ1435" t="n">
        <v>9</v>
      </c>
      <c r="AK1435" t="n">
        <v>10</v>
      </c>
      <c r="AL1435" t="n">
        <v>3</v>
      </c>
      <c r="AM1435" t="n">
        <v>3</v>
      </c>
      <c r="AN1435" t="n">
        <v>0</v>
      </c>
      <c r="AO1435" t="n">
        <v>0</v>
      </c>
      <c r="AP1435" t="inlineStr">
        <is>
          <t>No</t>
        </is>
      </c>
      <c r="AQ1435" t="inlineStr">
        <is>
          <t>Yes</t>
        </is>
      </c>
      <c r="AR1435">
        <f>HYPERLINK("http://catalog.hathitrust.org/Record/000507467","HathiTrust Record")</f>
        <v/>
      </c>
      <c r="AS1435">
        <f>HYPERLINK("https://creighton-primo.hosted.exlibrisgroup.com/primo-explore/search?tab=default_tab&amp;search_scope=EVERYTHING&amp;vid=01CRU&amp;lang=en_US&amp;offset=0&amp;query=any,contains,991003007129702656","Catalog Record")</f>
        <v/>
      </c>
      <c r="AT1435">
        <f>HYPERLINK("http://www.worldcat.org/oclc/574033","WorldCat Record")</f>
        <v/>
      </c>
      <c r="AU1435" t="inlineStr">
        <is>
          <t>1695910:eng</t>
        </is>
      </c>
      <c r="AV1435" t="inlineStr">
        <is>
          <t>574033</t>
        </is>
      </c>
      <c r="AW1435" t="inlineStr">
        <is>
          <t>991003007129702656</t>
        </is>
      </c>
      <c r="AX1435" t="inlineStr">
        <is>
          <t>991003007129702656</t>
        </is>
      </c>
      <c r="AY1435" t="inlineStr">
        <is>
          <t>2271625210002656</t>
        </is>
      </c>
      <c r="AZ1435" t="inlineStr">
        <is>
          <t>BOOK</t>
        </is>
      </c>
      <c r="BB1435" t="inlineStr">
        <is>
          <t>9780030914560</t>
        </is>
      </c>
      <c r="BC1435" t="inlineStr">
        <is>
          <t>32285002459757</t>
        </is>
      </c>
      <c r="BD1435" t="inlineStr">
        <is>
          <t>893710952</t>
        </is>
      </c>
    </row>
    <row r="1436">
      <c r="A1436" t="inlineStr">
        <is>
          <t>No</t>
        </is>
      </c>
      <c r="B1436" t="inlineStr">
        <is>
          <t>DS557.A69 L8</t>
        </is>
      </c>
      <c r="C1436" t="inlineStr">
        <is>
          <t>0                      DS 0557000A  69                 L  8</t>
        </is>
      </c>
      <c r="D1436" t="inlineStr">
        <is>
          <t>Viet Nam; the unheard voices, by Don Luce and John Sommer. Foreword by Edward M. Kennedy.</t>
        </is>
      </c>
      <c r="F1436" t="inlineStr">
        <is>
          <t>No</t>
        </is>
      </c>
      <c r="G1436" t="inlineStr">
        <is>
          <t>1</t>
        </is>
      </c>
      <c r="H1436" t="inlineStr">
        <is>
          <t>No</t>
        </is>
      </c>
      <c r="I1436" t="inlineStr">
        <is>
          <t>No</t>
        </is>
      </c>
      <c r="J1436" t="inlineStr">
        <is>
          <t>0</t>
        </is>
      </c>
      <c r="K1436" t="inlineStr">
        <is>
          <t>Luce, Don.</t>
        </is>
      </c>
      <c r="L1436" t="inlineStr">
        <is>
          <t>Ithaca [N.Y.] Cornell University Press [1969]</t>
        </is>
      </c>
      <c r="M1436" t="inlineStr">
        <is>
          <t>1969</t>
        </is>
      </c>
      <c r="O1436" t="inlineStr">
        <is>
          <t>eng</t>
        </is>
      </c>
      <c r="P1436" t="inlineStr">
        <is>
          <t>nyu</t>
        </is>
      </c>
      <c r="R1436" t="inlineStr">
        <is>
          <t xml:space="preserve">DS </t>
        </is>
      </c>
      <c r="S1436" t="n">
        <v>2</v>
      </c>
      <c r="T1436" t="n">
        <v>2</v>
      </c>
      <c r="U1436" t="inlineStr">
        <is>
          <t>1995-04-02</t>
        </is>
      </c>
      <c r="V1436" t="inlineStr">
        <is>
          <t>1995-04-02</t>
        </is>
      </c>
      <c r="W1436" t="inlineStr">
        <is>
          <t>1992-04-28</t>
        </is>
      </c>
      <c r="X1436" t="inlineStr">
        <is>
          <t>1992-04-28</t>
        </is>
      </c>
      <c r="Y1436" t="n">
        <v>1111</v>
      </c>
      <c r="Z1436" t="n">
        <v>1006</v>
      </c>
      <c r="AA1436" t="n">
        <v>1051</v>
      </c>
      <c r="AB1436" t="n">
        <v>9</v>
      </c>
      <c r="AC1436" t="n">
        <v>10</v>
      </c>
      <c r="AD1436" t="n">
        <v>40</v>
      </c>
      <c r="AE1436" t="n">
        <v>42</v>
      </c>
      <c r="AF1436" t="n">
        <v>16</v>
      </c>
      <c r="AG1436" t="n">
        <v>16</v>
      </c>
      <c r="AH1436" t="n">
        <v>9</v>
      </c>
      <c r="AI1436" t="n">
        <v>9</v>
      </c>
      <c r="AJ1436" t="n">
        <v>17</v>
      </c>
      <c r="AK1436" t="n">
        <v>18</v>
      </c>
      <c r="AL1436" t="n">
        <v>8</v>
      </c>
      <c r="AM1436" t="n">
        <v>9</v>
      </c>
      <c r="AN1436" t="n">
        <v>0</v>
      </c>
      <c r="AO1436" t="n">
        <v>0</v>
      </c>
      <c r="AP1436" t="inlineStr">
        <is>
          <t>No</t>
        </is>
      </c>
      <c r="AQ1436" t="inlineStr">
        <is>
          <t>Yes</t>
        </is>
      </c>
      <c r="AR1436">
        <f>HYPERLINK("http://catalog.hathitrust.org/Record/001255623","HathiTrust Record")</f>
        <v/>
      </c>
      <c r="AS1436">
        <f>HYPERLINK("https://creighton-primo.hosted.exlibrisgroup.com/primo-explore/search?tab=default_tab&amp;search_scope=EVERYTHING&amp;vid=01CRU&amp;lang=en_US&amp;offset=0&amp;query=any,contains,991005438479702656","Catalog Record")</f>
        <v/>
      </c>
      <c r="AT1436">
        <f>HYPERLINK("http://www.worldcat.org/oclc/6052","WorldCat Record")</f>
        <v/>
      </c>
      <c r="AU1436" t="inlineStr">
        <is>
          <t>350497528:eng</t>
        </is>
      </c>
      <c r="AV1436" t="inlineStr">
        <is>
          <t>6052</t>
        </is>
      </c>
      <c r="AW1436" t="inlineStr">
        <is>
          <t>991005438479702656</t>
        </is>
      </c>
      <c r="AX1436" t="inlineStr">
        <is>
          <t>991005438479702656</t>
        </is>
      </c>
      <c r="AY1436" t="inlineStr">
        <is>
          <t>2265146470002656</t>
        </is>
      </c>
      <c r="AZ1436" t="inlineStr">
        <is>
          <t>BOOK</t>
        </is>
      </c>
      <c r="BC1436" t="inlineStr">
        <is>
          <t>32285001095354</t>
        </is>
      </c>
      <c r="BD1436" t="inlineStr">
        <is>
          <t>893533869</t>
        </is>
      </c>
    </row>
    <row r="1437">
      <c r="A1437" t="inlineStr">
        <is>
          <t>No</t>
        </is>
      </c>
      <c r="B1437" t="inlineStr">
        <is>
          <t>DS557.A69 S46</t>
        </is>
      </c>
      <c r="C1437" t="inlineStr">
        <is>
          <t>0                      DS 0557000A  69                 S  46</t>
        </is>
      </c>
      <c r="D1437" t="inlineStr">
        <is>
          <t>Ten Vietnamese.</t>
        </is>
      </c>
      <c r="F1437" t="inlineStr">
        <is>
          <t>No</t>
        </is>
      </c>
      <c r="G1437" t="inlineStr">
        <is>
          <t>1</t>
        </is>
      </c>
      <c r="H1437" t="inlineStr">
        <is>
          <t>No</t>
        </is>
      </c>
      <c r="I1437" t="inlineStr">
        <is>
          <t>No</t>
        </is>
      </c>
      <c r="J1437" t="inlineStr">
        <is>
          <t>0</t>
        </is>
      </c>
      <c r="K1437" t="inlineStr">
        <is>
          <t>Sheehan, Susan, 1937-</t>
        </is>
      </c>
      <c r="L1437" t="inlineStr">
        <is>
          <t>New York, Knopf, 1967.</t>
        </is>
      </c>
      <c r="M1437" t="inlineStr">
        <is>
          <t>1967</t>
        </is>
      </c>
      <c r="N1437" t="inlineStr">
        <is>
          <t>[1st ed.]</t>
        </is>
      </c>
      <c r="O1437" t="inlineStr">
        <is>
          <t>eng</t>
        </is>
      </c>
      <c r="P1437" t="inlineStr">
        <is>
          <t>nyu</t>
        </is>
      </c>
      <c r="R1437" t="inlineStr">
        <is>
          <t xml:space="preserve">DS </t>
        </is>
      </c>
      <c r="S1437" t="n">
        <v>5</v>
      </c>
      <c r="T1437" t="n">
        <v>5</v>
      </c>
      <c r="U1437" t="inlineStr">
        <is>
          <t>2000-02-26</t>
        </is>
      </c>
      <c r="V1437" t="inlineStr">
        <is>
          <t>2000-02-26</t>
        </is>
      </c>
      <c r="W1437" t="inlineStr">
        <is>
          <t>1997-03-11</t>
        </is>
      </c>
      <c r="X1437" t="inlineStr">
        <is>
          <t>1997-03-11</t>
        </is>
      </c>
      <c r="Y1437" t="n">
        <v>858</v>
      </c>
      <c r="Z1437" t="n">
        <v>808</v>
      </c>
      <c r="AA1437" t="n">
        <v>818</v>
      </c>
      <c r="AB1437" t="n">
        <v>9</v>
      </c>
      <c r="AC1437" t="n">
        <v>9</v>
      </c>
      <c r="AD1437" t="n">
        <v>28</v>
      </c>
      <c r="AE1437" t="n">
        <v>28</v>
      </c>
      <c r="AF1437" t="n">
        <v>7</v>
      </c>
      <c r="AG1437" t="n">
        <v>7</v>
      </c>
      <c r="AH1437" t="n">
        <v>6</v>
      </c>
      <c r="AI1437" t="n">
        <v>6</v>
      </c>
      <c r="AJ1437" t="n">
        <v>14</v>
      </c>
      <c r="AK1437" t="n">
        <v>14</v>
      </c>
      <c r="AL1437" t="n">
        <v>6</v>
      </c>
      <c r="AM1437" t="n">
        <v>6</v>
      </c>
      <c r="AN1437" t="n">
        <v>0</v>
      </c>
      <c r="AO1437" t="n">
        <v>0</v>
      </c>
      <c r="AP1437" t="inlineStr">
        <is>
          <t>No</t>
        </is>
      </c>
      <c r="AQ1437" t="inlineStr">
        <is>
          <t>Yes</t>
        </is>
      </c>
      <c r="AR1437">
        <f>HYPERLINK("http://catalog.hathitrust.org/Record/001255631","HathiTrust Record")</f>
        <v/>
      </c>
      <c r="AS1437">
        <f>HYPERLINK("https://creighton-primo.hosted.exlibrisgroup.com/primo-explore/search?tab=default_tab&amp;search_scope=EVERYTHING&amp;vid=01CRU&amp;lang=en_US&amp;offset=0&amp;query=any,contains,991002714049702656","Catalog Record")</f>
        <v/>
      </c>
      <c r="AT1437">
        <f>HYPERLINK("http://www.worldcat.org/oclc/410765","WorldCat Record")</f>
        <v/>
      </c>
      <c r="AU1437" t="inlineStr">
        <is>
          <t>4785545:eng</t>
        </is>
      </c>
      <c r="AV1437" t="inlineStr">
        <is>
          <t>410765</t>
        </is>
      </c>
      <c r="AW1437" t="inlineStr">
        <is>
          <t>991002714049702656</t>
        </is>
      </c>
      <c r="AX1437" t="inlineStr">
        <is>
          <t>991002714049702656</t>
        </is>
      </c>
      <c r="AY1437" t="inlineStr">
        <is>
          <t>2262562910002656</t>
        </is>
      </c>
      <c r="AZ1437" t="inlineStr">
        <is>
          <t>BOOK</t>
        </is>
      </c>
      <c r="BC1437" t="inlineStr">
        <is>
          <t>32285002459773</t>
        </is>
      </c>
      <c r="BD1437" t="inlineStr">
        <is>
          <t>893421708</t>
        </is>
      </c>
    </row>
    <row r="1438">
      <c r="A1438" t="inlineStr">
        <is>
          <t>No</t>
        </is>
      </c>
      <c r="B1438" t="inlineStr">
        <is>
          <t>DS557.A7 V6</t>
        </is>
      </c>
      <c r="C1438" t="inlineStr">
        <is>
          <t>0                      DS 0557000A  7                  V  6</t>
        </is>
      </c>
      <c r="D1438" t="inlineStr">
        <is>
          <t>People's war, People's Army; the Viet Công insurrection manual for underdeveloped countries. Foreword by Roger Hilsman. Profile of Giap by Bernard B. Fall.</t>
        </is>
      </c>
      <c r="F1438" t="inlineStr">
        <is>
          <t>No</t>
        </is>
      </c>
      <c r="G1438" t="inlineStr">
        <is>
          <t>1</t>
        </is>
      </c>
      <c r="H1438" t="inlineStr">
        <is>
          <t>No</t>
        </is>
      </c>
      <c r="I1438" t="inlineStr">
        <is>
          <t>No</t>
        </is>
      </c>
      <c r="J1438" t="inlineStr">
        <is>
          <t>0</t>
        </is>
      </c>
      <c r="K1438" t="inlineStr">
        <is>
          <t>Võ, Nguyên Giáp, 1911-2013</t>
        </is>
      </c>
      <c r="L1438" t="inlineStr">
        <is>
          <t>New York, Praeger [1962]</t>
        </is>
      </c>
      <c r="M1438" t="inlineStr">
        <is>
          <t>1962</t>
        </is>
      </c>
      <c r="O1438" t="inlineStr">
        <is>
          <t>eng</t>
        </is>
      </c>
      <c r="P1438" t="inlineStr">
        <is>
          <t>nyu</t>
        </is>
      </c>
      <c r="Q1438" t="inlineStr">
        <is>
          <t>Books that matter</t>
        </is>
      </c>
      <c r="R1438" t="inlineStr">
        <is>
          <t xml:space="preserve">DS </t>
        </is>
      </c>
      <c r="S1438" t="n">
        <v>2</v>
      </c>
      <c r="T1438" t="n">
        <v>2</v>
      </c>
      <c r="U1438" t="inlineStr">
        <is>
          <t>2008-12-07</t>
        </is>
      </c>
      <c r="V1438" t="inlineStr">
        <is>
          <t>2008-12-07</t>
        </is>
      </c>
      <c r="W1438" t="inlineStr">
        <is>
          <t>1996-08-09</t>
        </is>
      </c>
      <c r="X1438" t="inlineStr">
        <is>
          <t>1996-08-09</t>
        </is>
      </c>
      <c r="Y1438" t="n">
        <v>756</v>
      </c>
      <c r="Z1438" t="n">
        <v>653</v>
      </c>
      <c r="AA1438" t="n">
        <v>716</v>
      </c>
      <c r="AB1438" t="n">
        <v>6</v>
      </c>
      <c r="AC1438" t="n">
        <v>6</v>
      </c>
      <c r="AD1438" t="n">
        <v>31</v>
      </c>
      <c r="AE1438" t="n">
        <v>33</v>
      </c>
      <c r="AF1438" t="n">
        <v>14</v>
      </c>
      <c r="AG1438" t="n">
        <v>15</v>
      </c>
      <c r="AH1438" t="n">
        <v>6</v>
      </c>
      <c r="AI1438" t="n">
        <v>6</v>
      </c>
      <c r="AJ1438" t="n">
        <v>16</v>
      </c>
      <c r="AK1438" t="n">
        <v>17</v>
      </c>
      <c r="AL1438" t="n">
        <v>4</v>
      </c>
      <c r="AM1438" t="n">
        <v>4</v>
      </c>
      <c r="AN1438" t="n">
        <v>0</v>
      </c>
      <c r="AO1438" t="n">
        <v>0</v>
      </c>
      <c r="AP1438" t="inlineStr">
        <is>
          <t>No</t>
        </is>
      </c>
      <c r="AQ1438" t="inlineStr">
        <is>
          <t>No</t>
        </is>
      </c>
      <c r="AR1438">
        <f>HYPERLINK("http://catalog.hathitrust.org/Record/001255663","HathiTrust Record")</f>
        <v/>
      </c>
      <c r="AS1438">
        <f>HYPERLINK("https://creighton-primo.hosted.exlibrisgroup.com/primo-explore/search?tab=default_tab&amp;search_scope=EVERYTHING&amp;vid=01CRU&amp;lang=en_US&amp;offset=0&amp;query=any,contains,991002718469702656","Catalog Record")</f>
        <v/>
      </c>
      <c r="AT1438">
        <f>HYPERLINK("http://www.worldcat.org/oclc/411937","WorldCat Record")</f>
        <v/>
      </c>
      <c r="AU1438" t="inlineStr">
        <is>
          <t>5584970743:eng</t>
        </is>
      </c>
      <c r="AV1438" t="inlineStr">
        <is>
          <t>411937</t>
        </is>
      </c>
      <c r="AW1438" t="inlineStr">
        <is>
          <t>991002718469702656</t>
        </is>
      </c>
      <c r="AX1438" t="inlineStr">
        <is>
          <t>991002718469702656</t>
        </is>
      </c>
      <c r="AY1438" t="inlineStr">
        <is>
          <t>2264641580002656</t>
        </is>
      </c>
      <c r="AZ1438" t="inlineStr">
        <is>
          <t>BOOK</t>
        </is>
      </c>
      <c r="BC1438" t="inlineStr">
        <is>
          <t>32285002273430</t>
        </is>
      </c>
      <c r="BD1438" t="inlineStr">
        <is>
          <t>893347837</t>
        </is>
      </c>
    </row>
    <row r="1439">
      <c r="A1439" t="inlineStr">
        <is>
          <t>No</t>
        </is>
      </c>
      <c r="B1439" t="inlineStr">
        <is>
          <t>DS557.C2 S6</t>
        </is>
      </c>
      <c r="C1439" t="inlineStr">
        <is>
          <t>0                      DS 0557000C  2                  S  6</t>
        </is>
      </c>
      <c r="D1439" t="inlineStr">
        <is>
          <t>Cambodia's foreign policy / by Roger M. Smith.</t>
        </is>
      </c>
      <c r="F1439" t="inlineStr">
        <is>
          <t>No</t>
        </is>
      </c>
      <c r="G1439" t="inlineStr">
        <is>
          <t>1</t>
        </is>
      </c>
      <c r="H1439" t="inlineStr">
        <is>
          <t>No</t>
        </is>
      </c>
      <c r="I1439" t="inlineStr">
        <is>
          <t>No</t>
        </is>
      </c>
      <c r="J1439" t="inlineStr">
        <is>
          <t>0</t>
        </is>
      </c>
      <c r="K1439" t="inlineStr">
        <is>
          <t>Smith, Roger M., 1930-</t>
        </is>
      </c>
      <c r="L1439" t="inlineStr">
        <is>
          <t>Ithaca, N.Y. : Cornell University Press, [1965]</t>
        </is>
      </c>
      <c r="M1439" t="inlineStr">
        <is>
          <t>1965</t>
        </is>
      </c>
      <c r="O1439" t="inlineStr">
        <is>
          <t>eng</t>
        </is>
      </c>
      <c r="P1439" t="inlineStr">
        <is>
          <t>nyu</t>
        </is>
      </c>
      <c r="R1439" t="inlineStr">
        <is>
          <t xml:space="preserve">DS </t>
        </is>
      </c>
      <c r="S1439" t="n">
        <v>3</v>
      </c>
      <c r="T1439" t="n">
        <v>3</v>
      </c>
      <c r="U1439" t="inlineStr">
        <is>
          <t>1996-04-22</t>
        </is>
      </c>
      <c r="V1439" t="inlineStr">
        <is>
          <t>1996-04-22</t>
        </is>
      </c>
      <c r="W1439" t="inlineStr">
        <is>
          <t>1991-02-06</t>
        </is>
      </c>
      <c r="X1439" t="inlineStr">
        <is>
          <t>1991-02-06</t>
        </is>
      </c>
      <c r="Y1439" t="n">
        <v>615</v>
      </c>
      <c r="Z1439" t="n">
        <v>511</v>
      </c>
      <c r="AA1439" t="n">
        <v>519</v>
      </c>
      <c r="AB1439" t="n">
        <v>3</v>
      </c>
      <c r="AC1439" t="n">
        <v>3</v>
      </c>
      <c r="AD1439" t="n">
        <v>26</v>
      </c>
      <c r="AE1439" t="n">
        <v>26</v>
      </c>
      <c r="AF1439" t="n">
        <v>9</v>
      </c>
      <c r="AG1439" t="n">
        <v>9</v>
      </c>
      <c r="AH1439" t="n">
        <v>8</v>
      </c>
      <c r="AI1439" t="n">
        <v>8</v>
      </c>
      <c r="AJ1439" t="n">
        <v>15</v>
      </c>
      <c r="AK1439" t="n">
        <v>15</v>
      </c>
      <c r="AL1439" t="n">
        <v>2</v>
      </c>
      <c r="AM1439" t="n">
        <v>2</v>
      </c>
      <c r="AN1439" t="n">
        <v>0</v>
      </c>
      <c r="AO1439" t="n">
        <v>0</v>
      </c>
      <c r="AP1439" t="inlineStr">
        <is>
          <t>No</t>
        </is>
      </c>
      <c r="AQ1439" t="inlineStr">
        <is>
          <t>Yes</t>
        </is>
      </c>
      <c r="AR1439">
        <f>HYPERLINK("http://catalog.hathitrust.org/Record/001255704","HathiTrust Record")</f>
        <v/>
      </c>
      <c r="AS1439">
        <f>HYPERLINK("https://creighton-primo.hosted.exlibrisgroup.com/primo-explore/search?tab=default_tab&amp;search_scope=EVERYTHING&amp;vid=01CRU&amp;lang=en_US&amp;offset=0&amp;query=any,contains,991002714139702656","Catalog Record")</f>
        <v/>
      </c>
      <c r="AT1439">
        <f>HYPERLINK("http://www.worldcat.org/oclc/410775","WorldCat Record")</f>
        <v/>
      </c>
      <c r="AU1439" t="inlineStr">
        <is>
          <t>1455120:eng</t>
        </is>
      </c>
      <c r="AV1439" t="inlineStr">
        <is>
          <t>410775</t>
        </is>
      </c>
      <c r="AW1439" t="inlineStr">
        <is>
          <t>991002714139702656</t>
        </is>
      </c>
      <c r="AX1439" t="inlineStr">
        <is>
          <t>991002714139702656</t>
        </is>
      </c>
      <c r="AY1439" t="inlineStr">
        <is>
          <t>2262586800002656</t>
        </is>
      </c>
      <c r="AZ1439" t="inlineStr">
        <is>
          <t>BOOK</t>
        </is>
      </c>
      <c r="BC1439" t="inlineStr">
        <is>
          <t>32285000473552</t>
        </is>
      </c>
      <c r="BD1439" t="inlineStr">
        <is>
          <t>893603915</t>
        </is>
      </c>
    </row>
    <row r="1440">
      <c r="A1440" t="inlineStr">
        <is>
          <t>No</t>
        </is>
      </c>
      <c r="B1440" t="inlineStr">
        <is>
          <t>DS557.C28 S56</t>
        </is>
      </c>
      <c r="C1440" t="inlineStr">
        <is>
          <t>0                      DS 0557000C  28                 S  56</t>
        </is>
      </c>
      <c r="D1440" t="inlineStr">
        <is>
          <t>War and politics in Cambodia : a communications analysis / [by] Sheldon W. Simon.</t>
        </is>
      </c>
      <c r="F1440" t="inlineStr">
        <is>
          <t>No</t>
        </is>
      </c>
      <c r="G1440" t="inlineStr">
        <is>
          <t>1</t>
        </is>
      </c>
      <c r="H1440" t="inlineStr">
        <is>
          <t>No</t>
        </is>
      </c>
      <c r="I1440" t="inlineStr">
        <is>
          <t>No</t>
        </is>
      </c>
      <c r="J1440" t="inlineStr">
        <is>
          <t>0</t>
        </is>
      </c>
      <c r="K1440" t="inlineStr">
        <is>
          <t>Simon, Sheldon W., 1937-</t>
        </is>
      </c>
      <c r="L1440" t="inlineStr">
        <is>
          <t>Durham, N.C. : Duke University Press, 1974.</t>
        </is>
      </c>
      <c r="M1440" t="inlineStr">
        <is>
          <t>1974</t>
        </is>
      </c>
      <c r="O1440" t="inlineStr">
        <is>
          <t>eng</t>
        </is>
      </c>
      <c r="P1440" t="inlineStr">
        <is>
          <t>ncu</t>
        </is>
      </c>
      <c r="R1440" t="inlineStr">
        <is>
          <t xml:space="preserve">DS </t>
        </is>
      </c>
      <c r="S1440" t="n">
        <v>8</v>
      </c>
      <c r="T1440" t="n">
        <v>8</v>
      </c>
      <c r="U1440" t="inlineStr">
        <is>
          <t>2005-01-19</t>
        </is>
      </c>
      <c r="V1440" t="inlineStr">
        <is>
          <t>2005-01-19</t>
        </is>
      </c>
      <c r="W1440" t="inlineStr">
        <is>
          <t>1990-04-18</t>
        </is>
      </c>
      <c r="X1440" t="inlineStr">
        <is>
          <t>1990-04-18</t>
        </is>
      </c>
      <c r="Y1440" t="n">
        <v>470</v>
      </c>
      <c r="Z1440" t="n">
        <v>376</v>
      </c>
      <c r="AA1440" t="n">
        <v>386</v>
      </c>
      <c r="AB1440" t="n">
        <v>3</v>
      </c>
      <c r="AC1440" t="n">
        <v>3</v>
      </c>
      <c r="AD1440" t="n">
        <v>15</v>
      </c>
      <c r="AE1440" t="n">
        <v>15</v>
      </c>
      <c r="AF1440" t="n">
        <v>4</v>
      </c>
      <c r="AG1440" t="n">
        <v>4</v>
      </c>
      <c r="AH1440" t="n">
        <v>4</v>
      </c>
      <c r="AI1440" t="n">
        <v>4</v>
      </c>
      <c r="AJ1440" t="n">
        <v>9</v>
      </c>
      <c r="AK1440" t="n">
        <v>9</v>
      </c>
      <c r="AL1440" t="n">
        <v>2</v>
      </c>
      <c r="AM1440" t="n">
        <v>2</v>
      </c>
      <c r="AN1440" t="n">
        <v>0</v>
      </c>
      <c r="AO1440" t="n">
        <v>0</v>
      </c>
      <c r="AP1440" t="inlineStr">
        <is>
          <t>No</t>
        </is>
      </c>
      <c r="AQ1440" t="inlineStr">
        <is>
          <t>Yes</t>
        </is>
      </c>
      <c r="AR1440">
        <f>HYPERLINK("http://catalog.hathitrust.org/Record/001255703","HathiTrust Record")</f>
        <v/>
      </c>
      <c r="AS1440">
        <f>HYPERLINK("https://creighton-primo.hosted.exlibrisgroup.com/primo-explore/search?tab=default_tab&amp;search_scope=EVERYTHING&amp;vid=01CRU&amp;lang=en_US&amp;offset=0&amp;query=any,contains,991003361329702656","Catalog Record")</f>
        <v/>
      </c>
      <c r="AT1440">
        <f>HYPERLINK("http://www.worldcat.org/oclc/897598","WorldCat Record")</f>
        <v/>
      </c>
      <c r="AU1440" t="inlineStr">
        <is>
          <t>1884396:eng</t>
        </is>
      </c>
      <c r="AV1440" t="inlineStr">
        <is>
          <t>897598</t>
        </is>
      </c>
      <c r="AW1440" t="inlineStr">
        <is>
          <t>991003361329702656</t>
        </is>
      </c>
      <c r="AX1440" t="inlineStr">
        <is>
          <t>991003361329702656</t>
        </is>
      </c>
      <c r="AY1440" t="inlineStr">
        <is>
          <t>2257442880002656</t>
        </is>
      </c>
      <c r="AZ1440" t="inlineStr">
        <is>
          <t>BOOK</t>
        </is>
      </c>
      <c r="BB1440" t="inlineStr">
        <is>
          <t>9780822303138</t>
        </is>
      </c>
      <c r="BC1440" t="inlineStr">
        <is>
          <t>32285000118454</t>
        </is>
      </c>
      <c r="BD1440" t="inlineStr">
        <is>
          <t>893330242</t>
        </is>
      </c>
    </row>
    <row r="1441">
      <c r="A1441" t="inlineStr">
        <is>
          <t>No</t>
        </is>
      </c>
      <c r="B1441" t="inlineStr">
        <is>
          <t>DS558 .A44 1985</t>
        </is>
      </c>
      <c r="C1441" t="inlineStr">
        <is>
          <t>0                      DS 0558000A  44          1985</t>
        </is>
      </c>
      <c r="D1441" t="inlineStr">
        <is>
          <t>America in Vietnam : a documentary history / edited with commentaries by William Appleman Williams ... [et al.].</t>
        </is>
      </c>
      <c r="F1441" t="inlineStr">
        <is>
          <t>No</t>
        </is>
      </c>
      <c r="G1441" t="inlineStr">
        <is>
          <t>1</t>
        </is>
      </c>
      <c r="H1441" t="inlineStr">
        <is>
          <t>No</t>
        </is>
      </c>
      <c r="I1441" t="inlineStr">
        <is>
          <t>No</t>
        </is>
      </c>
      <c r="J1441" t="inlineStr">
        <is>
          <t>0</t>
        </is>
      </c>
      <c r="L1441" t="inlineStr">
        <is>
          <t>Garden City, N.Y. : Anchor Press/Doubleday, 1985.</t>
        </is>
      </c>
      <c r="M1441" t="inlineStr">
        <is>
          <t>1985</t>
        </is>
      </c>
      <c r="N1441" t="inlineStr">
        <is>
          <t>1st ed.</t>
        </is>
      </c>
      <c r="O1441" t="inlineStr">
        <is>
          <t>eng</t>
        </is>
      </c>
      <c r="P1441" t="inlineStr">
        <is>
          <t>nyu</t>
        </is>
      </c>
      <c r="R1441" t="inlineStr">
        <is>
          <t xml:space="preserve">DS </t>
        </is>
      </c>
      <c r="S1441" t="n">
        <v>8</v>
      </c>
      <c r="T1441" t="n">
        <v>8</v>
      </c>
      <c r="U1441" t="inlineStr">
        <is>
          <t>2004-05-03</t>
        </is>
      </c>
      <c r="V1441" t="inlineStr">
        <is>
          <t>2004-05-03</t>
        </is>
      </c>
      <c r="W1441" t="inlineStr">
        <is>
          <t>1991-06-28</t>
        </is>
      </c>
      <c r="X1441" t="inlineStr">
        <is>
          <t>1991-06-28</t>
        </is>
      </c>
      <c r="Y1441" t="n">
        <v>948</v>
      </c>
      <c r="Z1441" t="n">
        <v>867</v>
      </c>
      <c r="AA1441" t="n">
        <v>1028</v>
      </c>
      <c r="AB1441" t="n">
        <v>5</v>
      </c>
      <c r="AC1441" t="n">
        <v>5</v>
      </c>
      <c r="AD1441" t="n">
        <v>23</v>
      </c>
      <c r="AE1441" t="n">
        <v>29</v>
      </c>
      <c r="AF1441" t="n">
        <v>10</v>
      </c>
      <c r="AG1441" t="n">
        <v>16</v>
      </c>
      <c r="AH1441" t="n">
        <v>5</v>
      </c>
      <c r="AI1441" t="n">
        <v>5</v>
      </c>
      <c r="AJ1441" t="n">
        <v>9</v>
      </c>
      <c r="AK1441" t="n">
        <v>12</v>
      </c>
      <c r="AL1441" t="n">
        <v>2</v>
      </c>
      <c r="AM1441" t="n">
        <v>2</v>
      </c>
      <c r="AN1441" t="n">
        <v>0</v>
      </c>
      <c r="AO1441" t="n">
        <v>0</v>
      </c>
      <c r="AP1441" t="inlineStr">
        <is>
          <t>No</t>
        </is>
      </c>
      <c r="AQ1441" t="inlineStr">
        <is>
          <t>Yes</t>
        </is>
      </c>
      <c r="AR1441">
        <f>HYPERLINK("http://catalog.hathitrust.org/Record/000340032","HathiTrust Record")</f>
        <v/>
      </c>
      <c r="AS1441">
        <f>HYPERLINK("https://creighton-primo.hosted.exlibrisgroup.com/primo-explore/search?tab=default_tab&amp;search_scope=EVERYTHING&amp;vid=01CRU&amp;lang=en_US&amp;offset=0&amp;query=any,contains,991000423929702656","Catalog Record")</f>
        <v/>
      </c>
      <c r="AT1441">
        <f>HYPERLINK("http://www.worldcat.org/oclc/10751902","WorldCat Record")</f>
        <v/>
      </c>
      <c r="AU1441" t="inlineStr">
        <is>
          <t>836732988:eng</t>
        </is>
      </c>
      <c r="AV1441" t="inlineStr">
        <is>
          <t>10751902</t>
        </is>
      </c>
      <c r="AW1441" t="inlineStr">
        <is>
          <t>991000423929702656</t>
        </is>
      </c>
      <c r="AX1441" t="inlineStr">
        <is>
          <t>991000423929702656</t>
        </is>
      </c>
      <c r="AY1441" t="inlineStr">
        <is>
          <t>2266231860002656</t>
        </is>
      </c>
      <c r="AZ1441" t="inlineStr">
        <is>
          <t>BOOK</t>
        </is>
      </c>
      <c r="BB1441" t="inlineStr">
        <is>
          <t>9780385192019</t>
        </is>
      </c>
      <c r="BC1441" t="inlineStr">
        <is>
          <t>32285000337526</t>
        </is>
      </c>
      <c r="BD1441" t="inlineStr">
        <is>
          <t>893683399</t>
        </is>
      </c>
    </row>
    <row r="1442">
      <c r="A1442" t="inlineStr">
        <is>
          <t>No</t>
        </is>
      </c>
      <c r="B1442" t="inlineStr">
        <is>
          <t>DS558 .A445 1989</t>
        </is>
      </c>
      <c r="C1442" t="inlineStr">
        <is>
          <t>0                      DS 0558000A  445         1989</t>
        </is>
      </c>
      <c r="D1442" t="inlineStr">
        <is>
          <t>The American experience in Vietnam : a reader / edited by Grace Sevy.</t>
        </is>
      </c>
      <c r="F1442" t="inlineStr">
        <is>
          <t>No</t>
        </is>
      </c>
      <c r="G1442" t="inlineStr">
        <is>
          <t>1</t>
        </is>
      </c>
      <c r="H1442" t="inlineStr">
        <is>
          <t>No</t>
        </is>
      </c>
      <c r="I1442" t="inlineStr">
        <is>
          <t>No</t>
        </is>
      </c>
      <c r="J1442" t="inlineStr">
        <is>
          <t>0</t>
        </is>
      </c>
      <c r="L1442" t="inlineStr">
        <is>
          <t>Norman : University of Oklahoma Press, 1989.</t>
        </is>
      </c>
      <c r="M1442" t="inlineStr">
        <is>
          <t>1989</t>
        </is>
      </c>
      <c r="O1442" t="inlineStr">
        <is>
          <t>eng</t>
        </is>
      </c>
      <c r="P1442" t="inlineStr">
        <is>
          <t>oku</t>
        </is>
      </c>
      <c r="R1442" t="inlineStr">
        <is>
          <t xml:space="preserve">DS </t>
        </is>
      </c>
      <c r="S1442" t="n">
        <v>20</v>
      </c>
      <c r="T1442" t="n">
        <v>20</v>
      </c>
      <c r="U1442" t="inlineStr">
        <is>
          <t>2003-10-06</t>
        </is>
      </c>
      <c r="V1442" t="inlineStr">
        <is>
          <t>2003-10-06</t>
        </is>
      </c>
      <c r="W1442" t="inlineStr">
        <is>
          <t>1990-01-09</t>
        </is>
      </c>
      <c r="X1442" t="inlineStr">
        <is>
          <t>1990-01-09</t>
        </is>
      </c>
      <c r="Y1442" t="n">
        <v>887</v>
      </c>
      <c r="Z1442" t="n">
        <v>822</v>
      </c>
      <c r="AA1442" t="n">
        <v>1278</v>
      </c>
      <c r="AB1442" t="n">
        <v>5</v>
      </c>
      <c r="AC1442" t="n">
        <v>7</v>
      </c>
      <c r="AD1442" t="n">
        <v>22</v>
      </c>
      <c r="AE1442" t="n">
        <v>29</v>
      </c>
      <c r="AF1442" t="n">
        <v>10</v>
      </c>
      <c r="AG1442" t="n">
        <v>13</v>
      </c>
      <c r="AH1442" t="n">
        <v>4</v>
      </c>
      <c r="AI1442" t="n">
        <v>5</v>
      </c>
      <c r="AJ1442" t="n">
        <v>9</v>
      </c>
      <c r="AK1442" t="n">
        <v>11</v>
      </c>
      <c r="AL1442" t="n">
        <v>4</v>
      </c>
      <c r="AM1442" t="n">
        <v>6</v>
      </c>
      <c r="AN1442" t="n">
        <v>0</v>
      </c>
      <c r="AO1442" t="n">
        <v>0</v>
      </c>
      <c r="AP1442" t="inlineStr">
        <is>
          <t>No</t>
        </is>
      </c>
      <c r="AQ1442" t="inlineStr">
        <is>
          <t>No</t>
        </is>
      </c>
      <c r="AS1442">
        <f>HYPERLINK("https://creighton-primo.hosted.exlibrisgroup.com/primo-explore/search?tab=default_tab&amp;search_scope=EVERYTHING&amp;vid=01CRU&amp;lang=en_US&amp;offset=0&amp;query=any,contains,991001514119702656","Catalog Record")</f>
        <v/>
      </c>
      <c r="AT1442">
        <f>HYPERLINK("http://www.worldcat.org/oclc/19921121","WorldCat Record")</f>
        <v/>
      </c>
      <c r="AU1442" t="inlineStr">
        <is>
          <t>799703637:eng</t>
        </is>
      </c>
      <c r="AV1442" t="inlineStr">
        <is>
          <t>19921121</t>
        </is>
      </c>
      <c r="AW1442" t="inlineStr">
        <is>
          <t>991001514119702656</t>
        </is>
      </c>
      <c r="AX1442" t="inlineStr">
        <is>
          <t>991001514119702656</t>
        </is>
      </c>
      <c r="AY1442" t="inlineStr">
        <is>
          <t>2269395570002656</t>
        </is>
      </c>
      <c r="AZ1442" t="inlineStr">
        <is>
          <t>BOOK</t>
        </is>
      </c>
      <c r="BB1442" t="inlineStr">
        <is>
          <t>9780806122113</t>
        </is>
      </c>
      <c r="BC1442" t="inlineStr">
        <is>
          <t>32285000026764</t>
        </is>
      </c>
      <c r="BD1442" t="inlineStr">
        <is>
          <t>893709332</t>
        </is>
      </c>
    </row>
    <row r="1443">
      <c r="A1443" t="inlineStr">
        <is>
          <t>No</t>
        </is>
      </c>
      <c r="B1443" t="inlineStr">
        <is>
          <t>DS558 .A94 2002</t>
        </is>
      </c>
      <c r="C1443" t="inlineStr">
        <is>
          <t>0                      DS 0558000A  94          2002</t>
        </is>
      </c>
      <c r="D1443" t="inlineStr">
        <is>
          <t>The rhetoric of war : language, argument, and policy during the Vietnam War / Harvey Averch.</t>
        </is>
      </c>
      <c r="F1443" t="inlineStr">
        <is>
          <t>No</t>
        </is>
      </c>
      <c r="G1443" t="inlineStr">
        <is>
          <t>1</t>
        </is>
      </c>
      <c r="H1443" t="inlineStr">
        <is>
          <t>No</t>
        </is>
      </c>
      <c r="I1443" t="inlineStr">
        <is>
          <t>No</t>
        </is>
      </c>
      <c r="J1443" t="inlineStr">
        <is>
          <t>0</t>
        </is>
      </c>
      <c r="K1443" t="inlineStr">
        <is>
          <t>Averch, Harvey A.</t>
        </is>
      </c>
      <c r="L1443" t="inlineStr">
        <is>
          <t>Lanham, Md. : University Press of America, c2002.</t>
        </is>
      </c>
      <c r="M1443" t="inlineStr">
        <is>
          <t>2002</t>
        </is>
      </c>
      <c r="O1443" t="inlineStr">
        <is>
          <t>eng</t>
        </is>
      </c>
      <c r="P1443" t="inlineStr">
        <is>
          <t>mdu</t>
        </is>
      </c>
      <c r="R1443" t="inlineStr">
        <is>
          <t xml:space="preserve">DS </t>
        </is>
      </c>
      <c r="S1443" t="n">
        <v>4</v>
      </c>
      <c r="T1443" t="n">
        <v>4</v>
      </c>
      <c r="U1443" t="inlineStr">
        <is>
          <t>2006-10-03</t>
        </is>
      </c>
      <c r="V1443" t="inlineStr">
        <is>
          <t>2006-10-03</t>
        </is>
      </c>
      <c r="W1443" t="inlineStr">
        <is>
          <t>2003-09-26</t>
        </is>
      </c>
      <c r="X1443" t="inlineStr">
        <is>
          <t>2003-09-26</t>
        </is>
      </c>
      <c r="Y1443" t="n">
        <v>147</v>
      </c>
      <c r="Z1443" t="n">
        <v>126</v>
      </c>
      <c r="AA1443" t="n">
        <v>128</v>
      </c>
      <c r="AB1443" t="n">
        <v>1</v>
      </c>
      <c r="AC1443" t="n">
        <v>1</v>
      </c>
      <c r="AD1443" t="n">
        <v>8</v>
      </c>
      <c r="AE1443" t="n">
        <v>8</v>
      </c>
      <c r="AF1443" t="n">
        <v>3</v>
      </c>
      <c r="AG1443" t="n">
        <v>3</v>
      </c>
      <c r="AH1443" t="n">
        <v>2</v>
      </c>
      <c r="AI1443" t="n">
        <v>2</v>
      </c>
      <c r="AJ1443" t="n">
        <v>6</v>
      </c>
      <c r="AK1443" t="n">
        <v>6</v>
      </c>
      <c r="AL1443" t="n">
        <v>0</v>
      </c>
      <c r="AM1443" t="n">
        <v>0</v>
      </c>
      <c r="AN1443" t="n">
        <v>0</v>
      </c>
      <c r="AO1443" t="n">
        <v>0</v>
      </c>
      <c r="AP1443" t="inlineStr">
        <is>
          <t>No</t>
        </is>
      </c>
      <c r="AQ1443" t="inlineStr">
        <is>
          <t>Yes</t>
        </is>
      </c>
      <c r="AR1443">
        <f>HYPERLINK("http://catalog.hathitrust.org/Record/004295005","HathiTrust Record")</f>
        <v/>
      </c>
      <c r="AS1443">
        <f>HYPERLINK("https://creighton-primo.hosted.exlibrisgroup.com/primo-explore/search?tab=default_tab&amp;search_scope=EVERYTHING&amp;vid=01CRU&amp;lang=en_US&amp;offset=0&amp;query=any,contains,991004137869702656","Catalog Record")</f>
        <v/>
      </c>
      <c r="AT1443">
        <f>HYPERLINK("http://www.worldcat.org/oclc/50479320","WorldCat Record")</f>
        <v/>
      </c>
      <c r="AU1443" t="inlineStr">
        <is>
          <t>6301283:eng</t>
        </is>
      </c>
      <c r="AV1443" t="inlineStr">
        <is>
          <t>50479320</t>
        </is>
      </c>
      <c r="AW1443" t="inlineStr">
        <is>
          <t>991004137869702656</t>
        </is>
      </c>
      <c r="AX1443" t="inlineStr">
        <is>
          <t>991004137869702656</t>
        </is>
      </c>
      <c r="AY1443" t="inlineStr">
        <is>
          <t>2258116080002656</t>
        </is>
      </c>
      <c r="AZ1443" t="inlineStr">
        <is>
          <t>BOOK</t>
        </is>
      </c>
      <c r="BB1443" t="inlineStr">
        <is>
          <t>9780761824213</t>
        </is>
      </c>
      <c r="BC1443" t="inlineStr">
        <is>
          <t>32285004794086</t>
        </is>
      </c>
      <c r="BD1443" t="inlineStr">
        <is>
          <t>893718526</t>
        </is>
      </c>
    </row>
    <row r="1444">
      <c r="A1444" t="inlineStr">
        <is>
          <t>No</t>
        </is>
      </c>
      <c r="B1444" t="inlineStr">
        <is>
          <t>DS558 .B37 1985</t>
        </is>
      </c>
      <c r="C1444" t="inlineStr">
        <is>
          <t>0                      DS 0558000B  37          1985</t>
        </is>
      </c>
      <c r="D1444" t="inlineStr">
        <is>
          <t>Backfire : a history of how American culture led us into Vietnam and made us fight the way we did / Loren Baritz.</t>
        </is>
      </c>
      <c r="F1444" t="inlineStr">
        <is>
          <t>No</t>
        </is>
      </c>
      <c r="G1444" t="inlineStr">
        <is>
          <t>1</t>
        </is>
      </c>
      <c r="H1444" t="inlineStr">
        <is>
          <t>No</t>
        </is>
      </c>
      <c r="I1444" t="inlineStr">
        <is>
          <t>No</t>
        </is>
      </c>
      <c r="J1444" t="inlineStr">
        <is>
          <t>0</t>
        </is>
      </c>
      <c r="K1444" t="inlineStr">
        <is>
          <t>Baritz, Loren, 1928-</t>
        </is>
      </c>
      <c r="L1444" t="inlineStr">
        <is>
          <t>New York : W. Morrow, c1985.</t>
        </is>
      </c>
      <c r="M1444" t="inlineStr">
        <is>
          <t>1985</t>
        </is>
      </c>
      <c r="N1444" t="inlineStr">
        <is>
          <t>1st ed.</t>
        </is>
      </c>
      <c r="O1444" t="inlineStr">
        <is>
          <t>eng</t>
        </is>
      </c>
      <c r="P1444" t="inlineStr">
        <is>
          <t>nyu</t>
        </is>
      </c>
      <c r="R1444" t="inlineStr">
        <is>
          <t xml:space="preserve">DS </t>
        </is>
      </c>
      <c r="S1444" t="n">
        <v>4</v>
      </c>
      <c r="T1444" t="n">
        <v>4</v>
      </c>
      <c r="U1444" t="inlineStr">
        <is>
          <t>2004-11-15</t>
        </is>
      </c>
      <c r="V1444" t="inlineStr">
        <is>
          <t>2004-11-15</t>
        </is>
      </c>
      <c r="W1444" t="inlineStr">
        <is>
          <t>1990-06-01</t>
        </is>
      </c>
      <c r="X1444" t="inlineStr">
        <is>
          <t>1990-06-01</t>
        </is>
      </c>
      <c r="Y1444" t="n">
        <v>1492</v>
      </c>
      <c r="Z1444" t="n">
        <v>1394</v>
      </c>
      <c r="AA1444" t="n">
        <v>1552</v>
      </c>
      <c r="AB1444" t="n">
        <v>12</v>
      </c>
      <c r="AC1444" t="n">
        <v>14</v>
      </c>
      <c r="AD1444" t="n">
        <v>40</v>
      </c>
      <c r="AE1444" t="n">
        <v>47</v>
      </c>
      <c r="AF1444" t="n">
        <v>16</v>
      </c>
      <c r="AG1444" t="n">
        <v>20</v>
      </c>
      <c r="AH1444" t="n">
        <v>6</v>
      </c>
      <c r="AI1444" t="n">
        <v>7</v>
      </c>
      <c r="AJ1444" t="n">
        <v>17</v>
      </c>
      <c r="AK1444" t="n">
        <v>19</v>
      </c>
      <c r="AL1444" t="n">
        <v>8</v>
      </c>
      <c r="AM1444" t="n">
        <v>10</v>
      </c>
      <c r="AN1444" t="n">
        <v>0</v>
      </c>
      <c r="AO1444" t="n">
        <v>0</v>
      </c>
      <c r="AP1444" t="inlineStr">
        <is>
          <t>No</t>
        </is>
      </c>
      <c r="AQ1444" t="inlineStr">
        <is>
          <t>Yes</t>
        </is>
      </c>
      <c r="AR1444">
        <f>HYPERLINK("http://catalog.hathitrust.org/Record/000454590","HathiTrust Record")</f>
        <v/>
      </c>
      <c r="AS1444">
        <f>HYPERLINK("https://creighton-primo.hosted.exlibrisgroup.com/primo-explore/search?tab=default_tab&amp;search_scope=EVERYTHING&amp;vid=01CRU&amp;lang=en_US&amp;offset=0&amp;query=any,contains,991000519409702656","Catalog Record")</f>
        <v/>
      </c>
      <c r="AT1444">
        <f>HYPERLINK("http://www.worldcat.org/oclc/11316746","WorldCat Record")</f>
        <v/>
      </c>
      <c r="AU1444" t="inlineStr">
        <is>
          <t>610655:eng</t>
        </is>
      </c>
      <c r="AV1444" t="inlineStr">
        <is>
          <t>11316746</t>
        </is>
      </c>
      <c r="AW1444" t="inlineStr">
        <is>
          <t>991000519409702656</t>
        </is>
      </c>
      <c r="AX1444" t="inlineStr">
        <is>
          <t>991000519409702656</t>
        </is>
      </c>
      <c r="AY1444" t="inlineStr">
        <is>
          <t>2256751930002656</t>
        </is>
      </c>
      <c r="AZ1444" t="inlineStr">
        <is>
          <t>BOOK</t>
        </is>
      </c>
      <c r="BB1444" t="inlineStr">
        <is>
          <t>9780688041854</t>
        </is>
      </c>
      <c r="BC1444" t="inlineStr">
        <is>
          <t>32285000169689</t>
        </is>
      </c>
      <c r="BD1444" t="inlineStr">
        <is>
          <t>893249420</t>
        </is>
      </c>
    </row>
    <row r="1445">
      <c r="A1445" t="inlineStr">
        <is>
          <t>No</t>
        </is>
      </c>
      <c r="B1445" t="inlineStr">
        <is>
          <t>DS558 .B467 2001</t>
        </is>
      </c>
      <c r="C1445" t="inlineStr">
        <is>
          <t>0                      DS 0558000B  467         2001</t>
        </is>
      </c>
      <c r="D1445" t="inlineStr">
        <is>
          <t>No peace, no honor : Nixon, Kissinger, and betrayal in Vietnam / Larry Berman.</t>
        </is>
      </c>
      <c r="F1445" t="inlineStr">
        <is>
          <t>No</t>
        </is>
      </c>
      <c r="G1445" t="inlineStr">
        <is>
          <t>1</t>
        </is>
      </c>
      <c r="H1445" t="inlineStr">
        <is>
          <t>No</t>
        </is>
      </c>
      <c r="I1445" t="inlineStr">
        <is>
          <t>No</t>
        </is>
      </c>
      <c r="J1445" t="inlineStr">
        <is>
          <t>0</t>
        </is>
      </c>
      <c r="K1445" t="inlineStr">
        <is>
          <t>Berman, Larry.</t>
        </is>
      </c>
      <c r="L1445" t="inlineStr">
        <is>
          <t>New York : Free Press, 2001.</t>
        </is>
      </c>
      <c r="M1445" t="inlineStr">
        <is>
          <t>2001</t>
        </is>
      </c>
      <c r="O1445" t="inlineStr">
        <is>
          <t>eng</t>
        </is>
      </c>
      <c r="P1445" t="inlineStr">
        <is>
          <t>nyu</t>
        </is>
      </c>
      <c r="R1445" t="inlineStr">
        <is>
          <t xml:space="preserve">DS </t>
        </is>
      </c>
      <c r="S1445" t="n">
        <v>3</v>
      </c>
      <c r="T1445" t="n">
        <v>3</v>
      </c>
      <c r="U1445" t="inlineStr">
        <is>
          <t>2004-05-03</t>
        </is>
      </c>
      <c r="V1445" t="inlineStr">
        <is>
          <t>2004-05-03</t>
        </is>
      </c>
      <c r="W1445" t="inlineStr">
        <is>
          <t>2001-08-22</t>
        </is>
      </c>
      <c r="X1445" t="inlineStr">
        <is>
          <t>2001-08-22</t>
        </is>
      </c>
      <c r="Y1445" t="n">
        <v>1298</v>
      </c>
      <c r="Z1445" t="n">
        <v>1193</v>
      </c>
      <c r="AA1445" t="n">
        <v>1272</v>
      </c>
      <c r="AB1445" t="n">
        <v>12</v>
      </c>
      <c r="AC1445" t="n">
        <v>13</v>
      </c>
      <c r="AD1445" t="n">
        <v>47</v>
      </c>
      <c r="AE1445" t="n">
        <v>48</v>
      </c>
      <c r="AF1445" t="n">
        <v>16</v>
      </c>
      <c r="AG1445" t="n">
        <v>16</v>
      </c>
      <c r="AH1445" t="n">
        <v>8</v>
      </c>
      <c r="AI1445" t="n">
        <v>8</v>
      </c>
      <c r="AJ1445" t="n">
        <v>22</v>
      </c>
      <c r="AK1445" t="n">
        <v>22</v>
      </c>
      <c r="AL1445" t="n">
        <v>9</v>
      </c>
      <c r="AM1445" t="n">
        <v>10</v>
      </c>
      <c r="AN1445" t="n">
        <v>0</v>
      </c>
      <c r="AO1445" t="n">
        <v>0</v>
      </c>
      <c r="AP1445" t="inlineStr">
        <is>
          <t>No</t>
        </is>
      </c>
      <c r="AQ1445" t="inlineStr">
        <is>
          <t>No</t>
        </is>
      </c>
      <c r="AS1445">
        <f>HYPERLINK("https://creighton-primo.hosted.exlibrisgroup.com/primo-explore/search?tab=default_tab&amp;search_scope=EVERYTHING&amp;vid=01CRU&amp;lang=en_US&amp;offset=0&amp;query=any,contains,991003585389702656","Catalog Record")</f>
        <v/>
      </c>
      <c r="AT1445">
        <f>HYPERLINK("http://www.worldcat.org/oclc/46565109","WorldCat Record")</f>
        <v/>
      </c>
      <c r="AU1445" t="inlineStr">
        <is>
          <t>2717486:eng</t>
        </is>
      </c>
      <c r="AV1445" t="inlineStr">
        <is>
          <t>46565109</t>
        </is>
      </c>
      <c r="AW1445" t="inlineStr">
        <is>
          <t>991003585389702656</t>
        </is>
      </c>
      <c r="AX1445" t="inlineStr">
        <is>
          <t>991003585389702656</t>
        </is>
      </c>
      <c r="AY1445" t="inlineStr">
        <is>
          <t>2264051910002656</t>
        </is>
      </c>
      <c r="AZ1445" t="inlineStr">
        <is>
          <t>BOOK</t>
        </is>
      </c>
      <c r="BB1445" t="inlineStr">
        <is>
          <t>9780684849683</t>
        </is>
      </c>
      <c r="BC1445" t="inlineStr">
        <is>
          <t>32285004379342</t>
        </is>
      </c>
      <c r="BD1445" t="inlineStr">
        <is>
          <t>893793771</t>
        </is>
      </c>
    </row>
    <row r="1446">
      <c r="A1446" t="inlineStr">
        <is>
          <t>No</t>
        </is>
      </c>
      <c r="B1446" t="inlineStr">
        <is>
          <t>DS558 .B64 1985</t>
        </is>
      </c>
      <c r="C1446" t="inlineStr">
        <is>
          <t>0                      DS 0558000B  64          1985</t>
        </is>
      </c>
      <c r="D1446" t="inlineStr">
        <is>
          <t>Vietnam : the valor and the sorrow : from the home front to the front lines in words and pictures / Thomas D. Boettcher.</t>
        </is>
      </c>
      <c r="F1446" t="inlineStr">
        <is>
          <t>No</t>
        </is>
      </c>
      <c r="G1446" t="inlineStr">
        <is>
          <t>1</t>
        </is>
      </c>
      <c r="H1446" t="inlineStr">
        <is>
          <t>No</t>
        </is>
      </c>
      <c r="I1446" t="inlineStr">
        <is>
          <t>No</t>
        </is>
      </c>
      <c r="J1446" t="inlineStr">
        <is>
          <t>0</t>
        </is>
      </c>
      <c r="K1446" t="inlineStr">
        <is>
          <t>Boettcher, Thomas D., 1944-</t>
        </is>
      </c>
      <c r="L1446" t="inlineStr">
        <is>
          <t>Boston : Little, Brown, c1985.</t>
        </is>
      </c>
      <c r="M1446" t="inlineStr">
        <is>
          <t>1985</t>
        </is>
      </c>
      <c r="N1446" t="inlineStr">
        <is>
          <t>1st ed.</t>
        </is>
      </c>
      <c r="O1446" t="inlineStr">
        <is>
          <t>eng</t>
        </is>
      </c>
      <c r="P1446" t="inlineStr">
        <is>
          <t>mau</t>
        </is>
      </c>
      <c r="R1446" t="inlineStr">
        <is>
          <t xml:space="preserve">DS </t>
        </is>
      </c>
      <c r="S1446" t="n">
        <v>9</v>
      </c>
      <c r="T1446" t="n">
        <v>9</v>
      </c>
      <c r="U1446" t="inlineStr">
        <is>
          <t>2006-11-12</t>
        </is>
      </c>
      <c r="V1446" t="inlineStr">
        <is>
          <t>2006-11-12</t>
        </is>
      </c>
      <c r="W1446" t="inlineStr">
        <is>
          <t>1990-03-21</t>
        </is>
      </c>
      <c r="X1446" t="inlineStr">
        <is>
          <t>1990-03-21</t>
        </is>
      </c>
      <c r="Y1446" t="n">
        <v>878</v>
      </c>
      <c r="Z1446" t="n">
        <v>833</v>
      </c>
      <c r="AA1446" t="n">
        <v>842</v>
      </c>
      <c r="AB1446" t="n">
        <v>6</v>
      </c>
      <c r="AC1446" t="n">
        <v>6</v>
      </c>
      <c r="AD1446" t="n">
        <v>19</v>
      </c>
      <c r="AE1446" t="n">
        <v>19</v>
      </c>
      <c r="AF1446" t="n">
        <v>7</v>
      </c>
      <c r="AG1446" t="n">
        <v>7</v>
      </c>
      <c r="AH1446" t="n">
        <v>4</v>
      </c>
      <c r="AI1446" t="n">
        <v>4</v>
      </c>
      <c r="AJ1446" t="n">
        <v>12</v>
      </c>
      <c r="AK1446" t="n">
        <v>12</v>
      </c>
      <c r="AL1446" t="n">
        <v>1</v>
      </c>
      <c r="AM1446" t="n">
        <v>1</v>
      </c>
      <c r="AN1446" t="n">
        <v>0</v>
      </c>
      <c r="AO1446" t="n">
        <v>0</v>
      </c>
      <c r="AP1446" t="inlineStr">
        <is>
          <t>No</t>
        </is>
      </c>
      <c r="AQ1446" t="inlineStr">
        <is>
          <t>No</t>
        </is>
      </c>
      <c r="AS1446">
        <f>HYPERLINK("https://creighton-primo.hosted.exlibrisgroup.com/primo-explore/search?tab=default_tab&amp;search_scope=EVERYTHING&amp;vid=01CRU&amp;lang=en_US&amp;offset=0&amp;query=any,contains,991000592819702656","Catalog Record")</f>
        <v/>
      </c>
      <c r="AT1446">
        <f>HYPERLINK("http://www.worldcat.org/oclc/11785937","WorldCat Record")</f>
        <v/>
      </c>
      <c r="AU1446" t="inlineStr">
        <is>
          <t>324140:eng</t>
        </is>
      </c>
      <c r="AV1446" t="inlineStr">
        <is>
          <t>11785937</t>
        </is>
      </c>
      <c r="AW1446" t="inlineStr">
        <is>
          <t>991000592819702656</t>
        </is>
      </c>
      <c r="AX1446" t="inlineStr">
        <is>
          <t>991000592819702656</t>
        </is>
      </c>
      <c r="AY1446" t="inlineStr">
        <is>
          <t>2255635000002656</t>
        </is>
      </c>
      <c r="AZ1446" t="inlineStr">
        <is>
          <t>BOOK</t>
        </is>
      </c>
      <c r="BB1446" t="inlineStr">
        <is>
          <t>9780316100816</t>
        </is>
      </c>
      <c r="BC1446" t="inlineStr">
        <is>
          <t>32285000089457</t>
        </is>
      </c>
      <c r="BD1446" t="inlineStr">
        <is>
          <t>893521818</t>
        </is>
      </c>
    </row>
    <row r="1447">
      <c r="A1447" t="inlineStr">
        <is>
          <t>No</t>
        </is>
      </c>
      <c r="B1447" t="inlineStr">
        <is>
          <t>DS558 .B67 1999</t>
        </is>
      </c>
      <c r="C1447" t="inlineStr">
        <is>
          <t>0                      DS 0558000B  67          1999</t>
        </is>
      </c>
      <c r="D1447" t="inlineStr">
        <is>
          <t>Superpowers defeated : Vietnam and Afghanistan compared / Douglas A. Borer.</t>
        </is>
      </c>
      <c r="F1447" t="inlineStr">
        <is>
          <t>No</t>
        </is>
      </c>
      <c r="G1447" t="inlineStr">
        <is>
          <t>1</t>
        </is>
      </c>
      <c r="H1447" t="inlineStr">
        <is>
          <t>No</t>
        </is>
      </c>
      <c r="I1447" t="inlineStr">
        <is>
          <t>No</t>
        </is>
      </c>
      <c r="J1447" t="inlineStr">
        <is>
          <t>0</t>
        </is>
      </c>
      <c r="K1447" t="inlineStr">
        <is>
          <t>Borer, Douglas A., 1962-</t>
        </is>
      </c>
      <c r="L1447" t="inlineStr">
        <is>
          <t>London ; Portland, Ore. : F. Cass, 1999.</t>
        </is>
      </c>
      <c r="M1447" t="inlineStr">
        <is>
          <t>1999</t>
        </is>
      </c>
      <c r="O1447" t="inlineStr">
        <is>
          <t>eng</t>
        </is>
      </c>
      <c r="P1447" t="inlineStr">
        <is>
          <t>enk</t>
        </is>
      </c>
      <c r="R1447" t="inlineStr">
        <is>
          <t xml:space="preserve">DS </t>
        </is>
      </c>
      <c r="S1447" t="n">
        <v>2</v>
      </c>
      <c r="T1447" t="n">
        <v>2</v>
      </c>
      <c r="U1447" t="inlineStr">
        <is>
          <t>2004-08-16</t>
        </is>
      </c>
      <c r="V1447" t="inlineStr">
        <is>
          <t>2004-08-16</t>
        </is>
      </c>
      <c r="W1447" t="inlineStr">
        <is>
          <t>2004-08-16</t>
        </is>
      </c>
      <c r="X1447" t="inlineStr">
        <is>
          <t>2004-08-16</t>
        </is>
      </c>
      <c r="Y1447" t="n">
        <v>316</v>
      </c>
      <c r="Z1447" t="n">
        <v>227</v>
      </c>
      <c r="AA1447" t="n">
        <v>250</v>
      </c>
      <c r="AB1447" t="n">
        <v>2</v>
      </c>
      <c r="AC1447" t="n">
        <v>2</v>
      </c>
      <c r="AD1447" t="n">
        <v>14</v>
      </c>
      <c r="AE1447" t="n">
        <v>14</v>
      </c>
      <c r="AF1447" t="n">
        <v>4</v>
      </c>
      <c r="AG1447" t="n">
        <v>4</v>
      </c>
      <c r="AH1447" t="n">
        <v>3</v>
      </c>
      <c r="AI1447" t="n">
        <v>3</v>
      </c>
      <c r="AJ1447" t="n">
        <v>9</v>
      </c>
      <c r="AK1447" t="n">
        <v>9</v>
      </c>
      <c r="AL1447" t="n">
        <v>1</v>
      </c>
      <c r="AM1447" t="n">
        <v>1</v>
      </c>
      <c r="AN1447" t="n">
        <v>0</v>
      </c>
      <c r="AO1447" t="n">
        <v>0</v>
      </c>
      <c r="AP1447" t="inlineStr">
        <is>
          <t>No</t>
        </is>
      </c>
      <c r="AQ1447" t="inlineStr">
        <is>
          <t>No</t>
        </is>
      </c>
      <c r="AS1447">
        <f>HYPERLINK("https://creighton-primo.hosted.exlibrisgroup.com/primo-explore/search?tab=default_tab&amp;search_scope=EVERYTHING&amp;vid=01CRU&amp;lang=en_US&amp;offset=0&amp;query=any,contains,991004346229702656","Catalog Record")</f>
        <v/>
      </c>
      <c r="AT1447">
        <f>HYPERLINK("http://www.worldcat.org/oclc/39963326","WorldCat Record")</f>
        <v/>
      </c>
      <c r="AU1447" t="inlineStr">
        <is>
          <t>808974783:eng</t>
        </is>
      </c>
      <c r="AV1447" t="inlineStr">
        <is>
          <t>39963326</t>
        </is>
      </c>
      <c r="AW1447" t="inlineStr">
        <is>
          <t>991004346229702656</t>
        </is>
      </c>
      <c r="AX1447" t="inlineStr">
        <is>
          <t>991004346229702656</t>
        </is>
      </c>
      <c r="AY1447" t="inlineStr">
        <is>
          <t>2271786120002656</t>
        </is>
      </c>
      <c r="AZ1447" t="inlineStr">
        <is>
          <t>BOOK</t>
        </is>
      </c>
      <c r="BB1447" t="inlineStr">
        <is>
          <t>9780714644097</t>
        </is>
      </c>
      <c r="BC1447" t="inlineStr">
        <is>
          <t>32285004981238</t>
        </is>
      </c>
      <c r="BD1447" t="inlineStr">
        <is>
          <t>893706291</t>
        </is>
      </c>
    </row>
    <row r="1448">
      <c r="A1448" t="inlineStr">
        <is>
          <t>No</t>
        </is>
      </c>
      <c r="B1448" t="inlineStr">
        <is>
          <t>DS558 .C33 1986</t>
        </is>
      </c>
      <c r="C1448" t="inlineStr">
        <is>
          <t>0                      DS 0558000C  33          1986</t>
        </is>
      </c>
      <c r="D1448" t="inlineStr">
        <is>
          <t>Conflict of myths : the development of American counterinsurgency doctrine and the Vietnam War / Larry E. Cable.</t>
        </is>
      </c>
      <c r="F1448" t="inlineStr">
        <is>
          <t>No</t>
        </is>
      </c>
      <c r="G1448" t="inlineStr">
        <is>
          <t>1</t>
        </is>
      </c>
      <c r="H1448" t="inlineStr">
        <is>
          <t>No</t>
        </is>
      </c>
      <c r="I1448" t="inlineStr">
        <is>
          <t>No</t>
        </is>
      </c>
      <c r="J1448" t="inlineStr">
        <is>
          <t>0</t>
        </is>
      </c>
      <c r="K1448" t="inlineStr">
        <is>
          <t>Cable, Larry E., 1942-</t>
        </is>
      </c>
      <c r="L1448" t="inlineStr">
        <is>
          <t>New York : New York University Press, 1986.</t>
        </is>
      </c>
      <c r="M1448" t="inlineStr">
        <is>
          <t>1986</t>
        </is>
      </c>
      <c r="O1448" t="inlineStr">
        <is>
          <t>eng</t>
        </is>
      </c>
      <c r="P1448" t="inlineStr">
        <is>
          <t>nyu</t>
        </is>
      </c>
      <c r="R1448" t="inlineStr">
        <is>
          <t xml:space="preserve">DS </t>
        </is>
      </c>
      <c r="S1448" t="n">
        <v>3</v>
      </c>
      <c r="T1448" t="n">
        <v>3</v>
      </c>
      <c r="U1448" t="inlineStr">
        <is>
          <t>2001-02-22</t>
        </is>
      </c>
      <c r="V1448" t="inlineStr">
        <is>
          <t>2001-02-22</t>
        </is>
      </c>
      <c r="W1448" t="inlineStr">
        <is>
          <t>1990-10-10</t>
        </is>
      </c>
      <c r="X1448" t="inlineStr">
        <is>
          <t>1990-10-10</t>
        </is>
      </c>
      <c r="Y1448" t="n">
        <v>596</v>
      </c>
      <c r="Z1448" t="n">
        <v>500</v>
      </c>
      <c r="AA1448" t="n">
        <v>505</v>
      </c>
      <c r="AB1448" t="n">
        <v>4</v>
      </c>
      <c r="AC1448" t="n">
        <v>4</v>
      </c>
      <c r="AD1448" t="n">
        <v>24</v>
      </c>
      <c r="AE1448" t="n">
        <v>25</v>
      </c>
      <c r="AF1448" t="n">
        <v>7</v>
      </c>
      <c r="AG1448" t="n">
        <v>8</v>
      </c>
      <c r="AH1448" t="n">
        <v>7</v>
      </c>
      <c r="AI1448" t="n">
        <v>7</v>
      </c>
      <c r="AJ1448" t="n">
        <v>13</v>
      </c>
      <c r="AK1448" t="n">
        <v>13</v>
      </c>
      <c r="AL1448" t="n">
        <v>3</v>
      </c>
      <c r="AM1448" t="n">
        <v>3</v>
      </c>
      <c r="AN1448" t="n">
        <v>1</v>
      </c>
      <c r="AO1448" t="n">
        <v>1</v>
      </c>
      <c r="AP1448" t="inlineStr">
        <is>
          <t>No</t>
        </is>
      </c>
      <c r="AQ1448" t="inlineStr">
        <is>
          <t>No</t>
        </is>
      </c>
      <c r="AS1448">
        <f>HYPERLINK("https://creighton-primo.hosted.exlibrisgroup.com/primo-explore/search?tab=default_tab&amp;search_scope=EVERYTHING&amp;vid=01CRU&amp;lang=en_US&amp;offset=0&amp;query=any,contains,991000795959702656","Catalog Record")</f>
        <v/>
      </c>
      <c r="AT1448">
        <f>HYPERLINK("http://www.worldcat.org/oclc/13186234","WorldCat Record")</f>
        <v/>
      </c>
      <c r="AU1448" t="inlineStr">
        <is>
          <t>836621204:eng</t>
        </is>
      </c>
      <c r="AV1448" t="inlineStr">
        <is>
          <t>13186234</t>
        </is>
      </c>
      <c r="AW1448" t="inlineStr">
        <is>
          <t>991000795959702656</t>
        </is>
      </c>
      <c r="AX1448" t="inlineStr">
        <is>
          <t>991000795959702656</t>
        </is>
      </c>
      <c r="AY1448" t="inlineStr">
        <is>
          <t>2255650360002656</t>
        </is>
      </c>
      <c r="AZ1448" t="inlineStr">
        <is>
          <t>BOOK</t>
        </is>
      </c>
      <c r="BB1448" t="inlineStr">
        <is>
          <t>9780814714010</t>
        </is>
      </c>
      <c r="BC1448" t="inlineStr">
        <is>
          <t>32285000337534</t>
        </is>
      </c>
      <c r="BD1448" t="inlineStr">
        <is>
          <t>893589744</t>
        </is>
      </c>
    </row>
    <row r="1449">
      <c r="A1449" t="inlineStr">
        <is>
          <t>No</t>
        </is>
      </c>
      <c r="B1449" t="inlineStr">
        <is>
          <t>DS558 .C47 1978</t>
        </is>
      </c>
      <c r="C1449" t="inlineStr">
        <is>
          <t>0                      DS 0558000C  47          1978</t>
        </is>
      </c>
      <c r="D1449" t="inlineStr">
        <is>
          <t>Many reasons why : the American involvement in Vietnam / Michael Charlton &amp; Anthony Moncrieff.</t>
        </is>
      </c>
      <c r="F1449" t="inlineStr">
        <is>
          <t>No</t>
        </is>
      </c>
      <c r="G1449" t="inlineStr">
        <is>
          <t>1</t>
        </is>
      </c>
      <c r="H1449" t="inlineStr">
        <is>
          <t>No</t>
        </is>
      </c>
      <c r="I1449" t="inlineStr">
        <is>
          <t>No</t>
        </is>
      </c>
      <c r="J1449" t="inlineStr">
        <is>
          <t>0</t>
        </is>
      </c>
      <c r="K1449" t="inlineStr">
        <is>
          <t>Charlton, Michael.</t>
        </is>
      </c>
      <c r="L1449" t="inlineStr">
        <is>
          <t>New York : Hill and Wang, 1978.</t>
        </is>
      </c>
      <c r="M1449" t="inlineStr">
        <is>
          <t>1978</t>
        </is>
      </c>
      <c r="N1449" t="inlineStr">
        <is>
          <t>1st American ed. --</t>
        </is>
      </c>
      <c r="O1449" t="inlineStr">
        <is>
          <t>eng</t>
        </is>
      </c>
      <c r="P1449" t="inlineStr">
        <is>
          <t>nyu</t>
        </is>
      </c>
      <c r="R1449" t="inlineStr">
        <is>
          <t xml:space="preserve">DS </t>
        </is>
      </c>
      <c r="S1449" t="n">
        <v>3</v>
      </c>
      <c r="T1449" t="n">
        <v>3</v>
      </c>
      <c r="U1449" t="inlineStr">
        <is>
          <t>1994-05-13</t>
        </is>
      </c>
      <c r="V1449" t="inlineStr">
        <is>
          <t>1994-05-13</t>
        </is>
      </c>
      <c r="W1449" t="inlineStr">
        <is>
          <t>1990-04-10</t>
        </is>
      </c>
      <c r="X1449" t="inlineStr">
        <is>
          <t>1990-04-10</t>
        </is>
      </c>
      <c r="Y1449" t="n">
        <v>644</v>
      </c>
      <c r="Z1449" t="n">
        <v>610</v>
      </c>
      <c r="AA1449" t="n">
        <v>720</v>
      </c>
      <c r="AB1449" t="n">
        <v>5</v>
      </c>
      <c r="AC1449" t="n">
        <v>5</v>
      </c>
      <c r="AD1449" t="n">
        <v>13</v>
      </c>
      <c r="AE1449" t="n">
        <v>16</v>
      </c>
      <c r="AF1449" t="n">
        <v>1</v>
      </c>
      <c r="AG1449" t="n">
        <v>2</v>
      </c>
      <c r="AH1449" t="n">
        <v>3</v>
      </c>
      <c r="AI1449" t="n">
        <v>4</v>
      </c>
      <c r="AJ1449" t="n">
        <v>5</v>
      </c>
      <c r="AK1449" t="n">
        <v>7</v>
      </c>
      <c r="AL1449" t="n">
        <v>4</v>
      </c>
      <c r="AM1449" t="n">
        <v>4</v>
      </c>
      <c r="AN1449" t="n">
        <v>0</v>
      </c>
      <c r="AO1449" t="n">
        <v>0</v>
      </c>
      <c r="AP1449" t="inlineStr">
        <is>
          <t>No</t>
        </is>
      </c>
      <c r="AQ1449" t="inlineStr">
        <is>
          <t>No</t>
        </is>
      </c>
      <c r="AS1449">
        <f>HYPERLINK("https://creighton-primo.hosted.exlibrisgroup.com/primo-explore/search?tab=default_tab&amp;search_scope=EVERYTHING&amp;vid=01CRU&amp;lang=en_US&amp;offset=0&amp;query=any,contains,991004668119702656","Catalog Record")</f>
        <v/>
      </c>
      <c r="AT1449">
        <f>HYPERLINK("http://www.worldcat.org/oclc/4511556","WorldCat Record")</f>
        <v/>
      </c>
      <c r="AU1449" t="inlineStr">
        <is>
          <t>14816004:eng</t>
        </is>
      </c>
      <c r="AV1449" t="inlineStr">
        <is>
          <t>4511556</t>
        </is>
      </c>
      <c r="AW1449" t="inlineStr">
        <is>
          <t>991004668119702656</t>
        </is>
      </c>
      <c r="AX1449" t="inlineStr">
        <is>
          <t>991004668119702656</t>
        </is>
      </c>
      <c r="AY1449" t="inlineStr">
        <is>
          <t>2271430140002656</t>
        </is>
      </c>
      <c r="AZ1449" t="inlineStr">
        <is>
          <t>BOOK</t>
        </is>
      </c>
      <c r="BB1449" t="inlineStr">
        <is>
          <t>9780809067527</t>
        </is>
      </c>
      <c r="BC1449" t="inlineStr">
        <is>
          <t>32285000114115</t>
        </is>
      </c>
      <c r="BD1449" t="inlineStr">
        <is>
          <t>893325619</t>
        </is>
      </c>
    </row>
    <row r="1450">
      <c r="A1450" t="inlineStr">
        <is>
          <t>No</t>
        </is>
      </c>
      <c r="B1450" t="inlineStr">
        <is>
          <t>DS558 .C5 1993</t>
        </is>
      </c>
      <c r="C1450" t="inlineStr">
        <is>
          <t>0                      DS 0558000C  5           1993</t>
        </is>
      </c>
      <c r="D1450" t="inlineStr">
        <is>
          <t>Rethinking Camelot : JFK, the Vietnam War, and U.S. political culture / Noam Chomsky.</t>
        </is>
      </c>
      <c r="F1450" t="inlineStr">
        <is>
          <t>No</t>
        </is>
      </c>
      <c r="G1450" t="inlineStr">
        <is>
          <t>1</t>
        </is>
      </c>
      <c r="H1450" t="inlineStr">
        <is>
          <t>No</t>
        </is>
      </c>
      <c r="I1450" t="inlineStr">
        <is>
          <t>Yes</t>
        </is>
      </c>
      <c r="J1450" t="inlineStr">
        <is>
          <t>0</t>
        </is>
      </c>
      <c r="K1450" t="inlineStr">
        <is>
          <t>Chomsky, Noam.</t>
        </is>
      </c>
      <c r="L1450" t="inlineStr">
        <is>
          <t>Boston, MA : South End Press, c1993.</t>
        </is>
      </c>
      <c r="M1450" t="inlineStr">
        <is>
          <t>1993</t>
        </is>
      </c>
      <c r="O1450" t="inlineStr">
        <is>
          <t>eng</t>
        </is>
      </c>
      <c r="P1450" t="inlineStr">
        <is>
          <t>mau</t>
        </is>
      </c>
      <c r="R1450" t="inlineStr">
        <is>
          <t xml:space="preserve">DS </t>
        </is>
      </c>
      <c r="S1450" t="n">
        <v>8</v>
      </c>
      <c r="T1450" t="n">
        <v>8</v>
      </c>
      <c r="U1450" t="inlineStr">
        <is>
          <t>2004-03-25</t>
        </is>
      </c>
      <c r="V1450" t="inlineStr">
        <is>
          <t>2004-03-25</t>
        </is>
      </c>
      <c r="W1450" t="inlineStr">
        <is>
          <t>1994-04-21</t>
        </is>
      </c>
      <c r="X1450" t="inlineStr">
        <is>
          <t>1994-04-21</t>
        </is>
      </c>
      <c r="Y1450" t="n">
        <v>869</v>
      </c>
      <c r="Z1450" t="n">
        <v>771</v>
      </c>
      <c r="AA1450" t="n">
        <v>1099</v>
      </c>
      <c r="AB1450" t="n">
        <v>8</v>
      </c>
      <c r="AC1450" t="n">
        <v>9</v>
      </c>
      <c r="AD1450" t="n">
        <v>41</v>
      </c>
      <c r="AE1450" t="n">
        <v>52</v>
      </c>
      <c r="AF1450" t="n">
        <v>18</v>
      </c>
      <c r="AG1450" t="n">
        <v>22</v>
      </c>
      <c r="AH1450" t="n">
        <v>7</v>
      </c>
      <c r="AI1450" t="n">
        <v>10</v>
      </c>
      <c r="AJ1450" t="n">
        <v>19</v>
      </c>
      <c r="AK1450" t="n">
        <v>23</v>
      </c>
      <c r="AL1450" t="n">
        <v>6</v>
      </c>
      <c r="AM1450" t="n">
        <v>6</v>
      </c>
      <c r="AN1450" t="n">
        <v>0</v>
      </c>
      <c r="AO1450" t="n">
        <v>2</v>
      </c>
      <c r="AP1450" t="inlineStr">
        <is>
          <t>No</t>
        </is>
      </c>
      <c r="AQ1450" t="inlineStr">
        <is>
          <t>Yes</t>
        </is>
      </c>
      <c r="AR1450">
        <f>HYPERLINK("http://catalog.hathitrust.org/Record/002706787","HathiTrust Record")</f>
        <v/>
      </c>
      <c r="AS1450">
        <f>HYPERLINK("https://creighton-primo.hosted.exlibrisgroup.com/primo-explore/search?tab=default_tab&amp;search_scope=EVERYTHING&amp;vid=01CRU&amp;lang=en_US&amp;offset=0&amp;query=any,contains,991002145899702656","Catalog Record")</f>
        <v/>
      </c>
      <c r="AT1450">
        <f>HYPERLINK("http://www.worldcat.org/oclc/27642924","WorldCat Record")</f>
        <v/>
      </c>
      <c r="AU1450" t="inlineStr">
        <is>
          <t>379614:eng</t>
        </is>
      </c>
      <c r="AV1450" t="inlineStr">
        <is>
          <t>27642924</t>
        </is>
      </c>
      <c r="AW1450" t="inlineStr">
        <is>
          <t>991002145899702656</t>
        </is>
      </c>
      <c r="AX1450" t="inlineStr">
        <is>
          <t>991002145899702656</t>
        </is>
      </c>
      <c r="AY1450" t="inlineStr">
        <is>
          <t>2256086740002656</t>
        </is>
      </c>
      <c r="AZ1450" t="inlineStr">
        <is>
          <t>BOOK</t>
        </is>
      </c>
      <c r="BB1450" t="inlineStr">
        <is>
          <t>9780896084582</t>
        </is>
      </c>
      <c r="BC1450" t="inlineStr">
        <is>
          <t>32285001876738</t>
        </is>
      </c>
      <c r="BD1450" t="inlineStr">
        <is>
          <t>893238680</t>
        </is>
      </c>
    </row>
    <row r="1451">
      <c r="A1451" t="inlineStr">
        <is>
          <t>No</t>
        </is>
      </c>
      <c r="B1451" t="inlineStr">
        <is>
          <t>DS558 .D69 1982</t>
        </is>
      </c>
      <c r="C1451" t="inlineStr">
        <is>
          <t>0                      DS 0558000D  69          1982</t>
        </is>
      </c>
      <c r="D1451" t="inlineStr">
        <is>
          <t>America takes over / by Edward Doyle, Samuel Lipsman, and the editors of Boston Publishing Company.</t>
        </is>
      </c>
      <c r="F1451" t="inlineStr">
        <is>
          <t>No</t>
        </is>
      </c>
      <c r="G1451" t="inlineStr">
        <is>
          <t>1</t>
        </is>
      </c>
      <c r="H1451" t="inlineStr">
        <is>
          <t>No</t>
        </is>
      </c>
      <c r="I1451" t="inlineStr">
        <is>
          <t>No</t>
        </is>
      </c>
      <c r="J1451" t="inlineStr">
        <is>
          <t>0</t>
        </is>
      </c>
      <c r="K1451" t="inlineStr">
        <is>
          <t>Doyle, Edward, 1949-</t>
        </is>
      </c>
      <c r="L1451" t="inlineStr">
        <is>
          <t>Boston, MA : Boston Pub. Co., c1982.</t>
        </is>
      </c>
      <c r="M1451" t="inlineStr">
        <is>
          <t>1982</t>
        </is>
      </c>
      <c r="O1451" t="inlineStr">
        <is>
          <t>eng</t>
        </is>
      </c>
      <c r="P1451" t="inlineStr">
        <is>
          <t>mau</t>
        </is>
      </c>
      <c r="Q1451" t="inlineStr">
        <is>
          <t>The Vietnam experience</t>
        </is>
      </c>
      <c r="R1451" t="inlineStr">
        <is>
          <t xml:space="preserve">DS </t>
        </is>
      </c>
      <c r="S1451" t="n">
        <v>8</v>
      </c>
      <c r="T1451" t="n">
        <v>8</v>
      </c>
      <c r="U1451" t="inlineStr">
        <is>
          <t>1997-12-02</t>
        </is>
      </c>
      <c r="V1451" t="inlineStr">
        <is>
          <t>1997-12-02</t>
        </is>
      </c>
      <c r="W1451" t="inlineStr">
        <is>
          <t>1990-10-10</t>
        </is>
      </c>
      <c r="X1451" t="inlineStr">
        <is>
          <t>1990-10-10</t>
        </is>
      </c>
      <c r="Y1451" t="n">
        <v>1675</v>
      </c>
      <c r="Z1451" t="n">
        <v>1621</v>
      </c>
      <c r="AA1451" t="n">
        <v>1628</v>
      </c>
      <c r="AB1451" t="n">
        <v>17</v>
      </c>
      <c r="AC1451" t="n">
        <v>18</v>
      </c>
      <c r="AD1451" t="n">
        <v>28</v>
      </c>
      <c r="AE1451" t="n">
        <v>28</v>
      </c>
      <c r="AF1451" t="n">
        <v>11</v>
      </c>
      <c r="AG1451" t="n">
        <v>11</v>
      </c>
      <c r="AH1451" t="n">
        <v>6</v>
      </c>
      <c r="AI1451" t="n">
        <v>6</v>
      </c>
      <c r="AJ1451" t="n">
        <v>17</v>
      </c>
      <c r="AK1451" t="n">
        <v>17</v>
      </c>
      <c r="AL1451" t="n">
        <v>2</v>
      </c>
      <c r="AM1451" t="n">
        <v>2</v>
      </c>
      <c r="AN1451" t="n">
        <v>0</v>
      </c>
      <c r="AO1451" t="n">
        <v>0</v>
      </c>
      <c r="AP1451" t="inlineStr">
        <is>
          <t>No</t>
        </is>
      </c>
      <c r="AQ1451" t="inlineStr">
        <is>
          <t>No</t>
        </is>
      </c>
      <c r="AS1451">
        <f>HYPERLINK("https://creighton-primo.hosted.exlibrisgroup.com/primo-explore/search?tab=default_tab&amp;search_scope=EVERYTHING&amp;vid=01CRU&amp;lang=en_US&amp;offset=0&amp;query=any,contains,991000114279702656","Catalog Record")</f>
        <v/>
      </c>
      <c r="AT1451">
        <f>HYPERLINK("http://www.worldcat.org/oclc/9024069","WorldCat Record")</f>
        <v/>
      </c>
      <c r="AU1451" t="inlineStr">
        <is>
          <t>3769021210:eng</t>
        </is>
      </c>
      <c r="AV1451" t="inlineStr">
        <is>
          <t>9024069</t>
        </is>
      </c>
      <c r="AW1451" t="inlineStr">
        <is>
          <t>991000114279702656</t>
        </is>
      </c>
      <c r="AX1451" t="inlineStr">
        <is>
          <t>991000114279702656</t>
        </is>
      </c>
      <c r="AY1451" t="inlineStr">
        <is>
          <t>2259888400002656</t>
        </is>
      </c>
      <c r="AZ1451" t="inlineStr">
        <is>
          <t>BOOK</t>
        </is>
      </c>
      <c r="BB1451" t="inlineStr">
        <is>
          <t>9780939526031</t>
        </is>
      </c>
      <c r="BC1451" t="inlineStr">
        <is>
          <t>32285000337542</t>
        </is>
      </c>
      <c r="BD1451" t="inlineStr">
        <is>
          <t>893255194</t>
        </is>
      </c>
    </row>
    <row r="1452">
      <c r="A1452" t="inlineStr">
        <is>
          <t>No</t>
        </is>
      </c>
      <c r="B1452" t="inlineStr">
        <is>
          <t>DS558 .E29 1998</t>
        </is>
      </c>
      <c r="C1452" t="inlineStr">
        <is>
          <t>0                      DS 0558000E  29          1998</t>
        </is>
      </c>
      <c r="D1452" t="inlineStr">
        <is>
          <t>The war in Vietnam / Anthony O. Edmonds.</t>
        </is>
      </c>
      <c r="F1452" t="inlineStr">
        <is>
          <t>No</t>
        </is>
      </c>
      <c r="G1452" t="inlineStr">
        <is>
          <t>1</t>
        </is>
      </c>
      <c r="H1452" t="inlineStr">
        <is>
          <t>No</t>
        </is>
      </c>
      <c r="I1452" t="inlineStr">
        <is>
          <t>No</t>
        </is>
      </c>
      <c r="J1452" t="inlineStr">
        <is>
          <t>0</t>
        </is>
      </c>
      <c r="K1452" t="inlineStr">
        <is>
          <t>Edmonds, Anthony O.</t>
        </is>
      </c>
      <c r="L1452" t="inlineStr">
        <is>
          <t>Westport, Conn. : Greenwood Press, 1998.</t>
        </is>
      </c>
      <c r="M1452" t="inlineStr">
        <is>
          <t>1998</t>
        </is>
      </c>
      <c r="O1452" t="inlineStr">
        <is>
          <t>eng</t>
        </is>
      </c>
      <c r="P1452" t="inlineStr">
        <is>
          <t>ctu</t>
        </is>
      </c>
      <c r="Q1452" t="inlineStr">
        <is>
          <t>Greenwood Press guides to historic events of the twentieth century, 1092-177X</t>
        </is>
      </c>
      <c r="R1452" t="inlineStr">
        <is>
          <t xml:space="preserve">DS </t>
        </is>
      </c>
      <c r="S1452" t="n">
        <v>12</v>
      </c>
      <c r="T1452" t="n">
        <v>12</v>
      </c>
      <c r="U1452" t="inlineStr">
        <is>
          <t>2008-11-24</t>
        </is>
      </c>
      <c r="V1452" t="inlineStr">
        <is>
          <t>2008-11-24</t>
        </is>
      </c>
      <c r="W1452" t="inlineStr">
        <is>
          <t>1999-11-09</t>
        </is>
      </c>
      <c r="X1452" t="inlineStr">
        <is>
          <t>1999-11-09</t>
        </is>
      </c>
      <c r="Y1452" t="n">
        <v>742</v>
      </c>
      <c r="Z1452" t="n">
        <v>669</v>
      </c>
      <c r="AA1452" t="n">
        <v>675</v>
      </c>
      <c r="AB1452" t="n">
        <v>5</v>
      </c>
      <c r="AC1452" t="n">
        <v>5</v>
      </c>
      <c r="AD1452" t="n">
        <v>30</v>
      </c>
      <c r="AE1452" t="n">
        <v>30</v>
      </c>
      <c r="AF1452" t="n">
        <v>12</v>
      </c>
      <c r="AG1452" t="n">
        <v>12</v>
      </c>
      <c r="AH1452" t="n">
        <v>10</v>
      </c>
      <c r="AI1452" t="n">
        <v>10</v>
      </c>
      <c r="AJ1452" t="n">
        <v>14</v>
      </c>
      <c r="AK1452" t="n">
        <v>14</v>
      </c>
      <c r="AL1452" t="n">
        <v>3</v>
      </c>
      <c r="AM1452" t="n">
        <v>3</v>
      </c>
      <c r="AN1452" t="n">
        <v>0</v>
      </c>
      <c r="AO1452" t="n">
        <v>0</v>
      </c>
      <c r="AP1452" t="inlineStr">
        <is>
          <t>No</t>
        </is>
      </c>
      <c r="AQ1452" t="inlineStr">
        <is>
          <t>Yes</t>
        </is>
      </c>
      <c r="AR1452">
        <f>HYPERLINK("http://catalog.hathitrust.org/Record/004013378","HathiTrust Record")</f>
        <v/>
      </c>
      <c r="AS1452">
        <f>HYPERLINK("https://creighton-primo.hosted.exlibrisgroup.com/primo-explore/search?tab=default_tab&amp;search_scope=EVERYTHING&amp;vid=01CRU&amp;lang=en_US&amp;offset=0&amp;query=any,contains,991002922569702656","Catalog Record")</f>
        <v/>
      </c>
      <c r="AT1452">
        <f>HYPERLINK("http://www.worldcat.org/oclc/38842099","WorldCat Record")</f>
        <v/>
      </c>
      <c r="AU1452" t="inlineStr">
        <is>
          <t>2628692:eng</t>
        </is>
      </c>
      <c r="AV1452" t="inlineStr">
        <is>
          <t>38842099</t>
        </is>
      </c>
      <c r="AW1452" t="inlineStr">
        <is>
          <t>991002922569702656</t>
        </is>
      </c>
      <c r="AX1452" t="inlineStr">
        <is>
          <t>991002922569702656</t>
        </is>
      </c>
      <c r="AY1452" t="inlineStr">
        <is>
          <t>2256973850002656</t>
        </is>
      </c>
      <c r="AZ1452" t="inlineStr">
        <is>
          <t>BOOK</t>
        </is>
      </c>
      <c r="BB1452" t="inlineStr">
        <is>
          <t>9780313298479</t>
        </is>
      </c>
      <c r="BC1452" t="inlineStr">
        <is>
          <t>32285003619813</t>
        </is>
      </c>
      <c r="BD1452" t="inlineStr">
        <is>
          <t>893535253</t>
        </is>
      </c>
    </row>
    <row r="1453">
      <c r="A1453" t="inlineStr">
        <is>
          <t>No</t>
        </is>
      </c>
      <c r="B1453" t="inlineStr">
        <is>
          <t>DS558 .E34 1985</t>
        </is>
      </c>
      <c r="C1453" t="inlineStr">
        <is>
          <t>0                      DS 0558000E  34          1985</t>
        </is>
      </c>
      <c r="D1453" t="inlineStr">
        <is>
          <t>Healing from the war : trauma and transformation after Vietnam / Arthur Egendorf.</t>
        </is>
      </c>
      <c r="F1453" t="inlineStr">
        <is>
          <t>No</t>
        </is>
      </c>
      <c r="G1453" t="inlineStr">
        <is>
          <t>1</t>
        </is>
      </c>
      <c r="H1453" t="inlineStr">
        <is>
          <t>No</t>
        </is>
      </c>
      <c r="I1453" t="inlineStr">
        <is>
          <t>No</t>
        </is>
      </c>
      <c r="J1453" t="inlineStr">
        <is>
          <t>0</t>
        </is>
      </c>
      <c r="K1453" t="inlineStr">
        <is>
          <t>Egendorf, Arthur.</t>
        </is>
      </c>
      <c r="L1453" t="inlineStr">
        <is>
          <t>Boston : Houghton Mifflin, 1985.</t>
        </is>
      </c>
      <c r="M1453" t="inlineStr">
        <is>
          <t>1985</t>
        </is>
      </c>
      <c r="O1453" t="inlineStr">
        <is>
          <t>eng</t>
        </is>
      </c>
      <c r="P1453" t="inlineStr">
        <is>
          <t>mau</t>
        </is>
      </c>
      <c r="R1453" t="inlineStr">
        <is>
          <t xml:space="preserve">DS </t>
        </is>
      </c>
      <c r="S1453" t="n">
        <v>6</v>
      </c>
      <c r="T1453" t="n">
        <v>6</v>
      </c>
      <c r="U1453" t="inlineStr">
        <is>
          <t>2000-10-01</t>
        </is>
      </c>
      <c r="V1453" t="inlineStr">
        <is>
          <t>2000-10-01</t>
        </is>
      </c>
      <c r="W1453" t="inlineStr">
        <is>
          <t>1990-10-10</t>
        </is>
      </c>
      <c r="X1453" t="inlineStr">
        <is>
          <t>1990-10-10</t>
        </is>
      </c>
      <c r="Y1453" t="n">
        <v>671</v>
      </c>
      <c r="Z1453" t="n">
        <v>631</v>
      </c>
      <c r="AA1453" t="n">
        <v>736</v>
      </c>
      <c r="AB1453" t="n">
        <v>3</v>
      </c>
      <c r="AC1453" t="n">
        <v>3</v>
      </c>
      <c r="AD1453" t="n">
        <v>10</v>
      </c>
      <c r="AE1453" t="n">
        <v>11</v>
      </c>
      <c r="AF1453" t="n">
        <v>3</v>
      </c>
      <c r="AG1453" t="n">
        <v>3</v>
      </c>
      <c r="AH1453" t="n">
        <v>3</v>
      </c>
      <c r="AI1453" t="n">
        <v>3</v>
      </c>
      <c r="AJ1453" t="n">
        <v>6</v>
      </c>
      <c r="AK1453" t="n">
        <v>7</v>
      </c>
      <c r="AL1453" t="n">
        <v>1</v>
      </c>
      <c r="AM1453" t="n">
        <v>1</v>
      </c>
      <c r="AN1453" t="n">
        <v>0</v>
      </c>
      <c r="AO1453" t="n">
        <v>0</v>
      </c>
      <c r="AP1453" t="inlineStr">
        <is>
          <t>No</t>
        </is>
      </c>
      <c r="AQ1453" t="inlineStr">
        <is>
          <t>Yes</t>
        </is>
      </c>
      <c r="AR1453">
        <f>HYPERLINK("http://catalog.hathitrust.org/Record/000349534","HathiTrust Record")</f>
        <v/>
      </c>
      <c r="AS1453">
        <f>HYPERLINK("https://creighton-primo.hosted.exlibrisgroup.com/primo-explore/search?tab=default_tab&amp;search_scope=EVERYTHING&amp;vid=01CRU&amp;lang=en_US&amp;offset=0&amp;query=any,contains,991000645969702656","Catalog Record")</f>
        <v/>
      </c>
      <c r="AT1453">
        <f>HYPERLINK("http://www.worldcat.org/oclc/12133308","WorldCat Record")</f>
        <v/>
      </c>
      <c r="AU1453" t="inlineStr">
        <is>
          <t>5148477:eng</t>
        </is>
      </c>
      <c r="AV1453" t="inlineStr">
        <is>
          <t>12133308</t>
        </is>
      </c>
      <c r="AW1453" t="inlineStr">
        <is>
          <t>991000645969702656</t>
        </is>
      </c>
      <c r="AX1453" t="inlineStr">
        <is>
          <t>991000645969702656</t>
        </is>
      </c>
      <c r="AY1453" t="inlineStr">
        <is>
          <t>2263109180002656</t>
        </is>
      </c>
      <c r="AZ1453" t="inlineStr">
        <is>
          <t>BOOK</t>
        </is>
      </c>
      <c r="BB1453" t="inlineStr">
        <is>
          <t>9780395377017</t>
        </is>
      </c>
      <c r="BC1453" t="inlineStr">
        <is>
          <t>32285000337559</t>
        </is>
      </c>
      <c r="BD1453" t="inlineStr">
        <is>
          <t>893778102</t>
        </is>
      </c>
    </row>
    <row r="1454">
      <c r="A1454" t="inlineStr">
        <is>
          <t>No</t>
        </is>
      </c>
      <c r="B1454" t="inlineStr">
        <is>
          <t>DS558 .E44 2002</t>
        </is>
      </c>
      <c r="C1454" t="inlineStr">
        <is>
          <t>0                      DS 0558000E  44          2002</t>
        </is>
      </c>
      <c r="D1454" t="inlineStr">
        <is>
          <t>Secrets : a memoir of Vietnam and the Pentagon papers / Daniel Ellsberg.</t>
        </is>
      </c>
      <c r="F1454" t="inlineStr">
        <is>
          <t>No</t>
        </is>
      </c>
      <c r="G1454" t="inlineStr">
        <is>
          <t>1</t>
        </is>
      </c>
      <c r="H1454" t="inlineStr">
        <is>
          <t>No</t>
        </is>
      </c>
      <c r="I1454" t="inlineStr">
        <is>
          <t>No</t>
        </is>
      </c>
      <c r="J1454" t="inlineStr">
        <is>
          <t>0</t>
        </is>
      </c>
      <c r="K1454" t="inlineStr">
        <is>
          <t>Ellsberg, Daniel.</t>
        </is>
      </c>
      <c r="L1454" t="inlineStr">
        <is>
          <t>New York : Viking, 2002.</t>
        </is>
      </c>
      <c r="M1454" t="inlineStr">
        <is>
          <t>2002</t>
        </is>
      </c>
      <c r="O1454" t="inlineStr">
        <is>
          <t>eng</t>
        </is>
      </c>
      <c r="P1454" t="inlineStr">
        <is>
          <t>nyu</t>
        </is>
      </c>
      <c r="R1454" t="inlineStr">
        <is>
          <t xml:space="preserve">DS </t>
        </is>
      </c>
      <c r="S1454" t="n">
        <v>3</v>
      </c>
      <c r="T1454" t="n">
        <v>3</v>
      </c>
      <c r="U1454" t="inlineStr">
        <is>
          <t>2004-05-03</t>
        </is>
      </c>
      <c r="V1454" t="inlineStr">
        <is>
          <t>2004-05-03</t>
        </is>
      </c>
      <c r="W1454" t="inlineStr">
        <is>
          <t>2002-10-23</t>
        </is>
      </c>
      <c r="X1454" t="inlineStr">
        <is>
          <t>2002-10-23</t>
        </is>
      </c>
      <c r="Y1454" t="n">
        <v>1725</v>
      </c>
      <c r="Z1454" t="n">
        <v>1588</v>
      </c>
      <c r="AA1454" t="n">
        <v>1804</v>
      </c>
      <c r="AB1454" t="n">
        <v>13</v>
      </c>
      <c r="AC1454" t="n">
        <v>14</v>
      </c>
      <c r="AD1454" t="n">
        <v>39</v>
      </c>
      <c r="AE1454" t="n">
        <v>42</v>
      </c>
      <c r="AF1454" t="n">
        <v>17</v>
      </c>
      <c r="AG1454" t="n">
        <v>18</v>
      </c>
      <c r="AH1454" t="n">
        <v>10</v>
      </c>
      <c r="AI1454" t="n">
        <v>10</v>
      </c>
      <c r="AJ1454" t="n">
        <v>16</v>
      </c>
      <c r="AK1454" t="n">
        <v>17</v>
      </c>
      <c r="AL1454" t="n">
        <v>6</v>
      </c>
      <c r="AM1454" t="n">
        <v>7</v>
      </c>
      <c r="AN1454" t="n">
        <v>0</v>
      </c>
      <c r="AO1454" t="n">
        <v>0</v>
      </c>
      <c r="AP1454" t="inlineStr">
        <is>
          <t>No</t>
        </is>
      </c>
      <c r="AQ1454" t="inlineStr">
        <is>
          <t>Yes</t>
        </is>
      </c>
      <c r="AR1454">
        <f>HYPERLINK("http://catalog.hathitrust.org/Record/004285644","HathiTrust Record")</f>
        <v/>
      </c>
      <c r="AS1454">
        <f>HYPERLINK("https://creighton-primo.hosted.exlibrisgroup.com/primo-explore/search?tab=default_tab&amp;search_scope=EVERYTHING&amp;vid=01CRU&amp;lang=en_US&amp;offset=0&amp;query=any,contains,991003899399702656","Catalog Record")</f>
        <v/>
      </c>
      <c r="AT1454">
        <f>HYPERLINK("http://www.worldcat.org/oclc/49386042","WorldCat Record")</f>
        <v/>
      </c>
      <c r="AU1454" t="inlineStr">
        <is>
          <t>658899:eng</t>
        </is>
      </c>
      <c r="AV1454" t="inlineStr">
        <is>
          <t>49386042</t>
        </is>
      </c>
      <c r="AW1454" t="inlineStr">
        <is>
          <t>991003899399702656</t>
        </is>
      </c>
      <c r="AX1454" t="inlineStr">
        <is>
          <t>991003899399702656</t>
        </is>
      </c>
      <c r="AY1454" t="inlineStr">
        <is>
          <t>2270761340002656</t>
        </is>
      </c>
      <c r="AZ1454" t="inlineStr">
        <is>
          <t>BOOK</t>
        </is>
      </c>
      <c r="BB1454" t="inlineStr">
        <is>
          <t>9780670030309</t>
        </is>
      </c>
      <c r="BC1454" t="inlineStr">
        <is>
          <t>32285004657333</t>
        </is>
      </c>
      <c r="BD1454" t="inlineStr">
        <is>
          <t>893499866</t>
        </is>
      </c>
    </row>
    <row r="1455">
      <c r="A1455" t="inlineStr">
        <is>
          <t>No</t>
        </is>
      </c>
      <c r="B1455" t="inlineStr">
        <is>
          <t>DS558 .F79 2006</t>
        </is>
      </c>
      <c r="C1455" t="inlineStr">
        <is>
          <t>0                      DS 0558000F  79          2006</t>
        </is>
      </c>
      <c r="D1455" t="inlineStr">
        <is>
          <t>Debating Vietnam : Fulbright, Stennis, and their Senate hearings / Joseph A. Fry.</t>
        </is>
      </c>
      <c r="F1455" t="inlineStr">
        <is>
          <t>No</t>
        </is>
      </c>
      <c r="G1455" t="inlineStr">
        <is>
          <t>1</t>
        </is>
      </c>
      <c r="H1455" t="inlineStr">
        <is>
          <t>No</t>
        </is>
      </c>
      <c r="I1455" t="inlineStr">
        <is>
          <t>No</t>
        </is>
      </c>
      <c r="J1455" t="inlineStr">
        <is>
          <t>0</t>
        </is>
      </c>
      <c r="K1455" t="inlineStr">
        <is>
          <t>Fry, Joseph A., 1947-</t>
        </is>
      </c>
      <c r="L1455" t="inlineStr">
        <is>
          <t>Lanham : Rowman &amp; Littlefield, c2006.</t>
        </is>
      </c>
      <c r="M1455" t="inlineStr">
        <is>
          <t>2006</t>
        </is>
      </c>
      <c r="O1455" t="inlineStr">
        <is>
          <t>eng</t>
        </is>
      </c>
      <c r="P1455" t="inlineStr">
        <is>
          <t>mdu</t>
        </is>
      </c>
      <c r="Q1455" t="inlineStr">
        <is>
          <t>Vietnam--America in the war years</t>
        </is>
      </c>
      <c r="R1455" t="inlineStr">
        <is>
          <t xml:space="preserve">DS </t>
        </is>
      </c>
      <c r="S1455" t="n">
        <v>1</v>
      </c>
      <c r="T1455" t="n">
        <v>1</v>
      </c>
      <c r="U1455" t="inlineStr">
        <is>
          <t>2006-10-31</t>
        </is>
      </c>
      <c r="V1455" t="inlineStr">
        <is>
          <t>2006-10-31</t>
        </is>
      </c>
      <c r="W1455" t="inlineStr">
        <is>
          <t>2006-10-31</t>
        </is>
      </c>
      <c r="X1455" t="inlineStr">
        <is>
          <t>2006-10-31</t>
        </is>
      </c>
      <c r="Y1455" t="n">
        <v>631</v>
      </c>
      <c r="Z1455" t="n">
        <v>559</v>
      </c>
      <c r="AA1455" t="n">
        <v>594</v>
      </c>
      <c r="AB1455" t="n">
        <v>3</v>
      </c>
      <c r="AC1455" t="n">
        <v>4</v>
      </c>
      <c r="AD1455" t="n">
        <v>21</v>
      </c>
      <c r="AE1455" t="n">
        <v>24</v>
      </c>
      <c r="AF1455" t="n">
        <v>11</v>
      </c>
      <c r="AG1455" t="n">
        <v>12</v>
      </c>
      <c r="AH1455" t="n">
        <v>3</v>
      </c>
      <c r="AI1455" t="n">
        <v>5</v>
      </c>
      <c r="AJ1455" t="n">
        <v>10</v>
      </c>
      <c r="AK1455" t="n">
        <v>10</v>
      </c>
      <c r="AL1455" t="n">
        <v>2</v>
      </c>
      <c r="AM1455" t="n">
        <v>3</v>
      </c>
      <c r="AN1455" t="n">
        <v>0</v>
      </c>
      <c r="AO1455" t="n">
        <v>0</v>
      </c>
      <c r="AP1455" t="inlineStr">
        <is>
          <t>No</t>
        </is>
      </c>
      <c r="AQ1455" t="inlineStr">
        <is>
          <t>Yes</t>
        </is>
      </c>
      <c r="AR1455">
        <f>HYPERLINK("http://catalog.hathitrust.org/Record/005345236","HathiTrust Record")</f>
        <v/>
      </c>
      <c r="AS1455">
        <f>HYPERLINK("https://creighton-primo.hosted.exlibrisgroup.com/primo-explore/search?tab=default_tab&amp;search_scope=EVERYTHING&amp;vid=01CRU&amp;lang=en_US&amp;offset=0&amp;query=any,contains,991004906079702656","Catalog Record")</f>
        <v/>
      </c>
      <c r="AT1455">
        <f>HYPERLINK("http://www.worldcat.org/oclc/65820147","WorldCat Record")</f>
        <v/>
      </c>
      <c r="AU1455" t="inlineStr">
        <is>
          <t>891211927:eng</t>
        </is>
      </c>
      <c r="AV1455" t="inlineStr">
        <is>
          <t>65820147</t>
        </is>
      </c>
      <c r="AW1455" t="inlineStr">
        <is>
          <t>991004906079702656</t>
        </is>
      </c>
      <c r="AX1455" t="inlineStr">
        <is>
          <t>991004906079702656</t>
        </is>
      </c>
      <c r="AY1455" t="inlineStr">
        <is>
          <t>2260517620002656</t>
        </is>
      </c>
      <c r="AZ1455" t="inlineStr">
        <is>
          <t>BOOK</t>
        </is>
      </c>
      <c r="BB1455" t="inlineStr">
        <is>
          <t>9780742544352</t>
        </is>
      </c>
      <c r="BC1455" t="inlineStr">
        <is>
          <t>32285005234090</t>
        </is>
      </c>
      <c r="BD1455" t="inlineStr">
        <is>
          <t>893801479</t>
        </is>
      </c>
    </row>
    <row r="1456">
      <c r="A1456" t="inlineStr">
        <is>
          <t>No</t>
        </is>
      </c>
      <c r="B1456" t="inlineStr">
        <is>
          <t>DS558 .G37 1995</t>
        </is>
      </c>
      <c r="C1456" t="inlineStr">
        <is>
          <t>0                      DS 0558000G  37          1995</t>
        </is>
      </c>
      <c r="D1456" t="inlineStr">
        <is>
          <t>Pay any price : Lyndon Johnson and the wars for Vietnam / Lloyd C. Gardner.</t>
        </is>
      </c>
      <c r="F1456" t="inlineStr">
        <is>
          <t>No</t>
        </is>
      </c>
      <c r="G1456" t="inlineStr">
        <is>
          <t>1</t>
        </is>
      </c>
      <c r="H1456" t="inlineStr">
        <is>
          <t>No</t>
        </is>
      </c>
      <c r="I1456" t="inlineStr">
        <is>
          <t>No</t>
        </is>
      </c>
      <c r="J1456" t="inlineStr">
        <is>
          <t>0</t>
        </is>
      </c>
      <c r="K1456" t="inlineStr">
        <is>
          <t>Gardner, Lloyd C., 1934-</t>
        </is>
      </c>
      <c r="L1456" t="inlineStr">
        <is>
          <t>Chicago : I.R. Dee, 1995.</t>
        </is>
      </c>
      <c r="M1456" t="inlineStr">
        <is>
          <t>1995</t>
        </is>
      </c>
      <c r="O1456" t="inlineStr">
        <is>
          <t>eng</t>
        </is>
      </c>
      <c r="P1456" t="inlineStr">
        <is>
          <t>ilu</t>
        </is>
      </c>
      <c r="R1456" t="inlineStr">
        <is>
          <t xml:space="preserve">DS </t>
        </is>
      </c>
      <c r="S1456" t="n">
        <v>1</v>
      </c>
      <c r="T1456" t="n">
        <v>1</v>
      </c>
      <c r="U1456" t="inlineStr">
        <is>
          <t>2001-04-30</t>
        </is>
      </c>
      <c r="V1456" t="inlineStr">
        <is>
          <t>2001-04-30</t>
        </is>
      </c>
      <c r="W1456" t="inlineStr">
        <is>
          <t>1999-10-11</t>
        </is>
      </c>
      <c r="X1456" t="inlineStr">
        <is>
          <t>1999-10-11</t>
        </is>
      </c>
      <c r="Y1456" t="n">
        <v>995</v>
      </c>
      <c r="Z1456" t="n">
        <v>896</v>
      </c>
      <c r="AA1456" t="n">
        <v>1000</v>
      </c>
      <c r="AB1456" t="n">
        <v>10</v>
      </c>
      <c r="AC1456" t="n">
        <v>11</v>
      </c>
      <c r="AD1456" t="n">
        <v>30</v>
      </c>
      <c r="AE1456" t="n">
        <v>35</v>
      </c>
      <c r="AF1456" t="n">
        <v>11</v>
      </c>
      <c r="AG1456" t="n">
        <v>14</v>
      </c>
      <c r="AH1456" t="n">
        <v>7</v>
      </c>
      <c r="AI1456" t="n">
        <v>8</v>
      </c>
      <c r="AJ1456" t="n">
        <v>12</v>
      </c>
      <c r="AK1456" t="n">
        <v>14</v>
      </c>
      <c r="AL1456" t="n">
        <v>6</v>
      </c>
      <c r="AM1456" t="n">
        <v>7</v>
      </c>
      <c r="AN1456" t="n">
        <v>0</v>
      </c>
      <c r="AO1456" t="n">
        <v>0</v>
      </c>
      <c r="AP1456" t="inlineStr">
        <is>
          <t>No</t>
        </is>
      </c>
      <c r="AQ1456" t="inlineStr">
        <is>
          <t>Yes</t>
        </is>
      </c>
      <c r="AR1456">
        <f>HYPERLINK("http://catalog.hathitrust.org/Record/002991292","HathiTrust Record")</f>
        <v/>
      </c>
      <c r="AS1456">
        <f>HYPERLINK("https://creighton-primo.hosted.exlibrisgroup.com/primo-explore/search?tab=default_tab&amp;search_scope=EVERYTHING&amp;vid=01CRU&amp;lang=en_US&amp;offset=0&amp;query=any,contains,991002475639702656","Catalog Record")</f>
        <v/>
      </c>
      <c r="AT1456">
        <f>HYPERLINK("http://www.worldcat.org/oclc/32237168","WorldCat Record")</f>
        <v/>
      </c>
      <c r="AU1456" t="inlineStr">
        <is>
          <t>891200667:eng</t>
        </is>
      </c>
      <c r="AV1456" t="inlineStr">
        <is>
          <t>32237168</t>
        </is>
      </c>
      <c r="AW1456" t="inlineStr">
        <is>
          <t>991002475639702656</t>
        </is>
      </c>
      <c r="AX1456" t="inlineStr">
        <is>
          <t>991002475639702656</t>
        </is>
      </c>
      <c r="AY1456" t="inlineStr">
        <is>
          <t>2267842100002656</t>
        </is>
      </c>
      <c r="AZ1456" t="inlineStr">
        <is>
          <t>BOOK</t>
        </is>
      </c>
      <c r="BB1456" t="inlineStr">
        <is>
          <t>9781566630870</t>
        </is>
      </c>
      <c r="BC1456" t="inlineStr">
        <is>
          <t>32285003594172</t>
        </is>
      </c>
      <c r="BD1456" t="inlineStr">
        <is>
          <t>893245228</t>
        </is>
      </c>
    </row>
    <row r="1457">
      <c r="A1457" t="inlineStr">
        <is>
          <t>No</t>
        </is>
      </c>
      <c r="B1457" t="inlineStr">
        <is>
          <t>DS558 .H445 1996</t>
        </is>
      </c>
      <c r="C1457" t="inlineStr">
        <is>
          <t>0                      DS 0558000H  445         1996</t>
        </is>
      </c>
      <c r="D1457" t="inlineStr">
        <is>
          <t>The living and the dead : Robert McNamara and five lives of a lost war / Paul Hendrickson.</t>
        </is>
      </c>
      <c r="F1457" t="inlineStr">
        <is>
          <t>No</t>
        </is>
      </c>
      <c r="G1457" t="inlineStr">
        <is>
          <t>1</t>
        </is>
      </c>
      <c r="H1457" t="inlineStr">
        <is>
          <t>No</t>
        </is>
      </c>
      <c r="I1457" t="inlineStr">
        <is>
          <t>No</t>
        </is>
      </c>
      <c r="J1457" t="inlineStr">
        <is>
          <t>0</t>
        </is>
      </c>
      <c r="K1457" t="inlineStr">
        <is>
          <t>Hendrickson, Paul, 1944-</t>
        </is>
      </c>
      <c r="L1457" t="inlineStr">
        <is>
          <t>New York : Alfred A. Knopf, 1996.</t>
        </is>
      </c>
      <c r="M1457" t="inlineStr">
        <is>
          <t>1996</t>
        </is>
      </c>
      <c r="N1457" t="inlineStr">
        <is>
          <t>1st ed.</t>
        </is>
      </c>
      <c r="O1457" t="inlineStr">
        <is>
          <t>eng</t>
        </is>
      </c>
      <c r="P1457" t="inlineStr">
        <is>
          <t>nyu</t>
        </is>
      </c>
      <c r="R1457" t="inlineStr">
        <is>
          <t xml:space="preserve">DS </t>
        </is>
      </c>
      <c r="S1457" t="n">
        <v>2</v>
      </c>
      <c r="T1457" t="n">
        <v>2</v>
      </c>
      <c r="U1457" t="inlineStr">
        <is>
          <t>2009-10-09</t>
        </is>
      </c>
      <c r="V1457" t="inlineStr">
        <is>
          <t>2009-10-09</t>
        </is>
      </c>
      <c r="W1457" t="inlineStr">
        <is>
          <t>1996-09-23</t>
        </is>
      </c>
      <c r="X1457" t="inlineStr">
        <is>
          <t>1996-09-23</t>
        </is>
      </c>
      <c r="Y1457" t="n">
        <v>1396</v>
      </c>
      <c r="Z1457" t="n">
        <v>1320</v>
      </c>
      <c r="AA1457" t="n">
        <v>1497</v>
      </c>
      <c r="AB1457" t="n">
        <v>14</v>
      </c>
      <c r="AC1457" t="n">
        <v>15</v>
      </c>
      <c r="AD1457" t="n">
        <v>37</v>
      </c>
      <c r="AE1457" t="n">
        <v>40</v>
      </c>
      <c r="AF1457" t="n">
        <v>16</v>
      </c>
      <c r="AG1457" t="n">
        <v>17</v>
      </c>
      <c r="AH1457" t="n">
        <v>7</v>
      </c>
      <c r="AI1457" t="n">
        <v>7</v>
      </c>
      <c r="AJ1457" t="n">
        <v>16</v>
      </c>
      <c r="AK1457" t="n">
        <v>17</v>
      </c>
      <c r="AL1457" t="n">
        <v>6</v>
      </c>
      <c r="AM1457" t="n">
        <v>7</v>
      </c>
      <c r="AN1457" t="n">
        <v>0</v>
      </c>
      <c r="AO1457" t="n">
        <v>0</v>
      </c>
      <c r="AP1457" t="inlineStr">
        <is>
          <t>No</t>
        </is>
      </c>
      <c r="AQ1457" t="inlineStr">
        <is>
          <t>Yes</t>
        </is>
      </c>
      <c r="AR1457">
        <f>HYPERLINK("http://catalog.hathitrust.org/Record/003094530","HathiTrust Record")</f>
        <v/>
      </c>
      <c r="AS1457">
        <f>HYPERLINK("https://creighton-primo.hosted.exlibrisgroup.com/primo-explore/search?tab=default_tab&amp;search_scope=EVERYTHING&amp;vid=01CRU&amp;lang=en_US&amp;offset=0&amp;query=any,contains,991002622549702656","Catalog Record")</f>
        <v/>
      </c>
      <c r="AT1457">
        <f>HYPERLINK("http://www.worldcat.org/oclc/34356653","WorldCat Record")</f>
        <v/>
      </c>
      <c r="AU1457" t="inlineStr">
        <is>
          <t>570926:eng</t>
        </is>
      </c>
      <c r="AV1457" t="inlineStr">
        <is>
          <t>34356653</t>
        </is>
      </c>
      <c r="AW1457" t="inlineStr">
        <is>
          <t>991002622549702656</t>
        </is>
      </c>
      <c r="AX1457" t="inlineStr">
        <is>
          <t>991002622549702656</t>
        </is>
      </c>
      <c r="AY1457" t="inlineStr">
        <is>
          <t>2266952470002656</t>
        </is>
      </c>
      <c r="AZ1457" t="inlineStr">
        <is>
          <t>BOOK</t>
        </is>
      </c>
      <c r="BB1457" t="inlineStr">
        <is>
          <t>9780679427612</t>
        </is>
      </c>
      <c r="BC1457" t="inlineStr">
        <is>
          <t>32285002318466</t>
        </is>
      </c>
      <c r="BD1457" t="inlineStr">
        <is>
          <t>893335515</t>
        </is>
      </c>
    </row>
    <row r="1458">
      <c r="A1458" t="inlineStr">
        <is>
          <t>No</t>
        </is>
      </c>
      <c r="B1458" t="inlineStr">
        <is>
          <t>DS558 .K34 1986</t>
        </is>
      </c>
      <c r="C1458" t="inlineStr">
        <is>
          <t>0                      DS 0558000K  34          1986</t>
        </is>
      </c>
      <c r="D1458" t="inlineStr">
        <is>
          <t>Intervention : how America became involved in Vietnam / by George McT. Kahin.</t>
        </is>
      </c>
      <c r="F1458" t="inlineStr">
        <is>
          <t>No</t>
        </is>
      </c>
      <c r="G1458" t="inlineStr">
        <is>
          <t>1</t>
        </is>
      </c>
      <c r="H1458" t="inlineStr">
        <is>
          <t>No</t>
        </is>
      </c>
      <c r="I1458" t="inlineStr">
        <is>
          <t>No</t>
        </is>
      </c>
      <c r="J1458" t="inlineStr">
        <is>
          <t>0</t>
        </is>
      </c>
      <c r="K1458" t="inlineStr">
        <is>
          <t>Kahin, George McTurnan.</t>
        </is>
      </c>
      <c r="L1458" t="inlineStr">
        <is>
          <t>New York : Knopf, c1986.</t>
        </is>
      </c>
      <c r="M1458" t="inlineStr">
        <is>
          <t>1986</t>
        </is>
      </c>
      <c r="N1458" t="inlineStr">
        <is>
          <t>1st ed.</t>
        </is>
      </c>
      <c r="O1458" t="inlineStr">
        <is>
          <t>eng</t>
        </is>
      </c>
      <c r="P1458" t="inlineStr">
        <is>
          <t>nyu</t>
        </is>
      </c>
      <c r="R1458" t="inlineStr">
        <is>
          <t xml:space="preserve">DS </t>
        </is>
      </c>
      <c r="S1458" t="n">
        <v>7</v>
      </c>
      <c r="T1458" t="n">
        <v>7</v>
      </c>
      <c r="U1458" t="inlineStr">
        <is>
          <t>1995-01-28</t>
        </is>
      </c>
      <c r="V1458" t="inlineStr">
        <is>
          <t>1995-01-28</t>
        </is>
      </c>
      <c r="W1458" t="inlineStr">
        <is>
          <t>1990-10-10</t>
        </is>
      </c>
      <c r="X1458" t="inlineStr">
        <is>
          <t>1990-10-10</t>
        </is>
      </c>
      <c r="Y1458" t="n">
        <v>1302</v>
      </c>
      <c r="Z1458" t="n">
        <v>1179</v>
      </c>
      <c r="AA1458" t="n">
        <v>1403</v>
      </c>
      <c r="AB1458" t="n">
        <v>10</v>
      </c>
      <c r="AC1458" t="n">
        <v>12</v>
      </c>
      <c r="AD1458" t="n">
        <v>49</v>
      </c>
      <c r="AE1458" t="n">
        <v>57</v>
      </c>
      <c r="AF1458" t="n">
        <v>23</v>
      </c>
      <c r="AG1458" t="n">
        <v>26</v>
      </c>
      <c r="AH1458" t="n">
        <v>10</v>
      </c>
      <c r="AI1458" t="n">
        <v>10</v>
      </c>
      <c r="AJ1458" t="n">
        <v>20</v>
      </c>
      <c r="AK1458" t="n">
        <v>25</v>
      </c>
      <c r="AL1458" t="n">
        <v>7</v>
      </c>
      <c r="AM1458" t="n">
        <v>9</v>
      </c>
      <c r="AN1458" t="n">
        <v>1</v>
      </c>
      <c r="AO1458" t="n">
        <v>1</v>
      </c>
      <c r="AP1458" t="inlineStr">
        <is>
          <t>No</t>
        </is>
      </c>
      <c r="AQ1458" t="inlineStr">
        <is>
          <t>Yes</t>
        </is>
      </c>
      <c r="AR1458">
        <f>HYPERLINK("http://catalog.hathitrust.org/Record/000623897","HathiTrust Record")</f>
        <v/>
      </c>
      <c r="AS1458">
        <f>HYPERLINK("https://creighton-primo.hosted.exlibrisgroup.com/primo-explore/search?tab=default_tab&amp;search_scope=EVERYTHING&amp;vid=01CRU&amp;lang=en_US&amp;offset=0&amp;query=any,contains,991000762769702656","Catalog Record")</f>
        <v/>
      </c>
      <c r="AT1458">
        <f>HYPERLINK("http://www.worldcat.org/oclc/12974988","WorldCat Record")</f>
        <v/>
      </c>
      <c r="AU1458" t="inlineStr">
        <is>
          <t>5636462:eng</t>
        </is>
      </c>
      <c r="AV1458" t="inlineStr">
        <is>
          <t>12974988</t>
        </is>
      </c>
      <c r="AW1458" t="inlineStr">
        <is>
          <t>991000762769702656</t>
        </is>
      </c>
      <c r="AX1458" t="inlineStr">
        <is>
          <t>991000762769702656</t>
        </is>
      </c>
      <c r="AY1458" t="inlineStr">
        <is>
          <t>2262329760002656</t>
        </is>
      </c>
      <c r="AZ1458" t="inlineStr">
        <is>
          <t>BOOK</t>
        </is>
      </c>
      <c r="BB1458" t="inlineStr">
        <is>
          <t>9780394543673</t>
        </is>
      </c>
      <c r="BC1458" t="inlineStr">
        <is>
          <t>32285000337575</t>
        </is>
      </c>
      <c r="BD1458" t="inlineStr">
        <is>
          <t>893614482</t>
        </is>
      </c>
    </row>
    <row r="1459">
      <c r="A1459" t="inlineStr">
        <is>
          <t>No</t>
        </is>
      </c>
      <c r="B1459" t="inlineStr">
        <is>
          <t>DS558 .K35 2000</t>
        </is>
      </c>
      <c r="C1459" t="inlineStr">
        <is>
          <t>0                      DS 0558000K  35          2000</t>
        </is>
      </c>
      <c r="D1459" t="inlineStr">
        <is>
          <t>American tragedy : Kennedy, Johnson, and the origins of the Vietnam War / David Kaiser.</t>
        </is>
      </c>
      <c r="F1459" t="inlineStr">
        <is>
          <t>No</t>
        </is>
      </c>
      <c r="G1459" t="inlineStr">
        <is>
          <t>1</t>
        </is>
      </c>
      <c r="H1459" t="inlineStr">
        <is>
          <t>No</t>
        </is>
      </c>
      <c r="I1459" t="inlineStr">
        <is>
          <t>No</t>
        </is>
      </c>
      <c r="J1459" t="inlineStr">
        <is>
          <t>0</t>
        </is>
      </c>
      <c r="K1459" t="inlineStr">
        <is>
          <t>Kaiser, David E., 1947-</t>
        </is>
      </c>
      <c r="L1459" t="inlineStr">
        <is>
          <t>Cambridge, Mass. : Belknap Press of Harvard University Press, 2000.</t>
        </is>
      </c>
      <c r="M1459" t="inlineStr">
        <is>
          <t>2000</t>
        </is>
      </c>
      <c r="O1459" t="inlineStr">
        <is>
          <t>eng</t>
        </is>
      </c>
      <c r="P1459" t="inlineStr">
        <is>
          <t>mau</t>
        </is>
      </c>
      <c r="R1459" t="inlineStr">
        <is>
          <t xml:space="preserve">DS </t>
        </is>
      </c>
      <c r="S1459" t="n">
        <v>3</v>
      </c>
      <c r="T1459" t="n">
        <v>3</v>
      </c>
      <c r="U1459" t="inlineStr">
        <is>
          <t>2003-04-04</t>
        </is>
      </c>
      <c r="V1459" t="inlineStr">
        <is>
          <t>2003-04-04</t>
        </is>
      </c>
      <c r="W1459" t="inlineStr">
        <is>
          <t>2002-01-08</t>
        </is>
      </c>
      <c r="X1459" t="inlineStr">
        <is>
          <t>2002-01-08</t>
        </is>
      </c>
      <c r="Y1459" t="n">
        <v>1763</v>
      </c>
      <c r="Z1459" t="n">
        <v>1563</v>
      </c>
      <c r="AA1459" t="n">
        <v>1569</v>
      </c>
      <c r="AB1459" t="n">
        <v>16</v>
      </c>
      <c r="AC1459" t="n">
        <v>16</v>
      </c>
      <c r="AD1459" t="n">
        <v>57</v>
      </c>
      <c r="AE1459" t="n">
        <v>57</v>
      </c>
      <c r="AF1459" t="n">
        <v>24</v>
      </c>
      <c r="AG1459" t="n">
        <v>24</v>
      </c>
      <c r="AH1459" t="n">
        <v>10</v>
      </c>
      <c r="AI1459" t="n">
        <v>10</v>
      </c>
      <c r="AJ1459" t="n">
        <v>22</v>
      </c>
      <c r="AK1459" t="n">
        <v>22</v>
      </c>
      <c r="AL1459" t="n">
        <v>12</v>
      </c>
      <c r="AM1459" t="n">
        <v>12</v>
      </c>
      <c r="AN1459" t="n">
        <v>1</v>
      </c>
      <c r="AO1459" t="n">
        <v>1</v>
      </c>
      <c r="AP1459" t="inlineStr">
        <is>
          <t>No</t>
        </is>
      </c>
      <c r="AQ1459" t="inlineStr">
        <is>
          <t>Yes</t>
        </is>
      </c>
      <c r="AR1459">
        <f>HYPERLINK("http://catalog.hathitrust.org/Record/004084950","HathiTrust Record")</f>
        <v/>
      </c>
      <c r="AS1459">
        <f>HYPERLINK("https://creighton-primo.hosted.exlibrisgroup.com/primo-explore/search?tab=default_tab&amp;search_scope=EVERYTHING&amp;vid=01CRU&amp;lang=en_US&amp;offset=0&amp;query=any,contains,991003698199702656","Catalog Record")</f>
        <v/>
      </c>
      <c r="AT1459">
        <f>HYPERLINK("http://www.worldcat.org/oclc/42652758","WorldCat Record")</f>
        <v/>
      </c>
      <c r="AU1459" t="inlineStr">
        <is>
          <t>2137887:eng</t>
        </is>
      </c>
      <c r="AV1459" t="inlineStr">
        <is>
          <t>42652758</t>
        </is>
      </c>
      <c r="AW1459" t="inlineStr">
        <is>
          <t>991003698199702656</t>
        </is>
      </c>
      <c r="AX1459" t="inlineStr">
        <is>
          <t>991003698199702656</t>
        </is>
      </c>
      <c r="AY1459" t="inlineStr">
        <is>
          <t>2270660970002656</t>
        </is>
      </c>
      <c r="AZ1459" t="inlineStr">
        <is>
          <t>BOOK</t>
        </is>
      </c>
      <c r="BB1459" t="inlineStr">
        <is>
          <t>9780674002258</t>
        </is>
      </c>
      <c r="BC1459" t="inlineStr">
        <is>
          <t>32285004446364</t>
        </is>
      </c>
      <c r="BD1459" t="inlineStr">
        <is>
          <t>893617651</t>
        </is>
      </c>
    </row>
    <row r="1460">
      <c r="A1460" t="inlineStr">
        <is>
          <t>No</t>
        </is>
      </c>
      <c r="B1460" t="inlineStr">
        <is>
          <t>DS558 .K74 1986</t>
        </is>
      </c>
      <c r="C1460" t="inlineStr">
        <is>
          <t>0                      DS 0558000K  74          1986</t>
        </is>
      </c>
      <c r="D1460" t="inlineStr">
        <is>
          <t>The army and Vietnam / Andrew F. Krepinevich, Jr.</t>
        </is>
      </c>
      <c r="F1460" t="inlineStr">
        <is>
          <t>No</t>
        </is>
      </c>
      <c r="G1460" t="inlineStr">
        <is>
          <t>1</t>
        </is>
      </c>
      <c r="H1460" t="inlineStr">
        <is>
          <t>No</t>
        </is>
      </c>
      <c r="I1460" t="inlineStr">
        <is>
          <t>No</t>
        </is>
      </c>
      <c r="J1460" t="inlineStr">
        <is>
          <t>0</t>
        </is>
      </c>
      <c r="K1460" t="inlineStr">
        <is>
          <t>Krepinevich, Andrew F.</t>
        </is>
      </c>
      <c r="L1460" t="inlineStr">
        <is>
          <t>Baltimore : Johns Hopkins University Press, c1986.</t>
        </is>
      </c>
      <c r="M1460" t="inlineStr">
        <is>
          <t>1986</t>
        </is>
      </c>
      <c r="O1460" t="inlineStr">
        <is>
          <t>eng</t>
        </is>
      </c>
      <c r="P1460" t="inlineStr">
        <is>
          <t>mdu</t>
        </is>
      </c>
      <c r="R1460" t="inlineStr">
        <is>
          <t xml:space="preserve">DS </t>
        </is>
      </c>
      <c r="S1460" t="n">
        <v>8</v>
      </c>
      <c r="T1460" t="n">
        <v>8</v>
      </c>
      <c r="U1460" t="inlineStr">
        <is>
          <t>2006-11-12</t>
        </is>
      </c>
      <c r="V1460" t="inlineStr">
        <is>
          <t>2006-11-12</t>
        </is>
      </c>
      <c r="W1460" t="inlineStr">
        <is>
          <t>1990-04-02</t>
        </is>
      </c>
      <c r="X1460" t="inlineStr">
        <is>
          <t>1990-04-02</t>
        </is>
      </c>
      <c r="Y1460" t="n">
        <v>1014</v>
      </c>
      <c r="Z1460" t="n">
        <v>905</v>
      </c>
      <c r="AA1460" t="n">
        <v>1027</v>
      </c>
      <c r="AB1460" t="n">
        <v>7</v>
      </c>
      <c r="AC1460" t="n">
        <v>9</v>
      </c>
      <c r="AD1460" t="n">
        <v>37</v>
      </c>
      <c r="AE1460" t="n">
        <v>40</v>
      </c>
      <c r="AF1460" t="n">
        <v>19</v>
      </c>
      <c r="AG1460" t="n">
        <v>19</v>
      </c>
      <c r="AH1460" t="n">
        <v>7</v>
      </c>
      <c r="AI1460" t="n">
        <v>7</v>
      </c>
      <c r="AJ1460" t="n">
        <v>14</v>
      </c>
      <c r="AK1460" t="n">
        <v>15</v>
      </c>
      <c r="AL1460" t="n">
        <v>6</v>
      </c>
      <c r="AM1460" t="n">
        <v>8</v>
      </c>
      <c r="AN1460" t="n">
        <v>0</v>
      </c>
      <c r="AO1460" t="n">
        <v>0</v>
      </c>
      <c r="AP1460" t="inlineStr">
        <is>
          <t>No</t>
        </is>
      </c>
      <c r="AQ1460" t="inlineStr">
        <is>
          <t>Yes</t>
        </is>
      </c>
      <c r="AR1460">
        <f>HYPERLINK("http://catalog.hathitrust.org/Record/000393626","HathiTrust Record")</f>
        <v/>
      </c>
      <c r="AS1460">
        <f>HYPERLINK("https://creighton-primo.hosted.exlibrisgroup.com/primo-explore/search?tab=default_tab&amp;search_scope=EVERYTHING&amp;vid=01CRU&amp;lang=en_US&amp;offset=0&amp;query=any,contains,991000762889702656","Catalog Record")</f>
        <v/>
      </c>
      <c r="AT1460">
        <f>HYPERLINK("http://www.worldcat.org/oclc/12975032","WorldCat Record")</f>
        <v/>
      </c>
      <c r="AU1460" t="inlineStr">
        <is>
          <t>5637192:eng</t>
        </is>
      </c>
      <c r="AV1460" t="inlineStr">
        <is>
          <t>12975032</t>
        </is>
      </c>
      <c r="AW1460" t="inlineStr">
        <is>
          <t>991000762889702656</t>
        </is>
      </c>
      <c r="AX1460" t="inlineStr">
        <is>
          <t>991000762889702656</t>
        </is>
      </c>
      <c r="AY1460" t="inlineStr">
        <is>
          <t>2262035310002656</t>
        </is>
      </c>
      <c r="AZ1460" t="inlineStr">
        <is>
          <t>BOOK</t>
        </is>
      </c>
      <c r="BB1460" t="inlineStr">
        <is>
          <t>9780801828638</t>
        </is>
      </c>
      <c r="BC1460" t="inlineStr">
        <is>
          <t>32285000107903</t>
        </is>
      </c>
      <c r="BD1460" t="inlineStr">
        <is>
          <t>893339871</t>
        </is>
      </c>
    </row>
    <row r="1461">
      <c r="A1461" t="inlineStr">
        <is>
          <t>No</t>
        </is>
      </c>
      <c r="B1461" t="inlineStr">
        <is>
          <t>DS558 .L36 2000</t>
        </is>
      </c>
      <c r="C1461" t="inlineStr">
        <is>
          <t>0                      DS 0558000L  36          2000</t>
        </is>
      </c>
      <c r="D1461" t="inlineStr">
        <is>
          <t>Our Vietnam : the war, 1954-1975 / A.J. Langguth.</t>
        </is>
      </c>
      <c r="F1461" t="inlineStr">
        <is>
          <t>No</t>
        </is>
      </c>
      <c r="G1461" t="inlineStr">
        <is>
          <t>1</t>
        </is>
      </c>
      <c r="H1461" t="inlineStr">
        <is>
          <t>No</t>
        </is>
      </c>
      <c r="I1461" t="inlineStr">
        <is>
          <t>No</t>
        </is>
      </c>
      <c r="J1461" t="inlineStr">
        <is>
          <t>0</t>
        </is>
      </c>
      <c r="K1461" t="inlineStr">
        <is>
          <t>Langguth, A. J., 1933-2014.</t>
        </is>
      </c>
      <c r="L1461" t="inlineStr">
        <is>
          <t>New York : Simon &amp; Schuster, c2000.</t>
        </is>
      </c>
      <c r="M1461" t="inlineStr">
        <is>
          <t>2000</t>
        </is>
      </c>
      <c r="O1461" t="inlineStr">
        <is>
          <t>eng</t>
        </is>
      </c>
      <c r="P1461" t="inlineStr">
        <is>
          <t>nyu</t>
        </is>
      </c>
      <c r="R1461" t="inlineStr">
        <is>
          <t xml:space="preserve">DS </t>
        </is>
      </c>
      <c r="S1461" t="n">
        <v>5</v>
      </c>
      <c r="T1461" t="n">
        <v>5</v>
      </c>
      <c r="U1461" t="inlineStr">
        <is>
          <t>2002-10-27</t>
        </is>
      </c>
      <c r="V1461" t="inlineStr">
        <is>
          <t>2002-10-27</t>
        </is>
      </c>
      <c r="W1461" t="inlineStr">
        <is>
          <t>2001-02-20</t>
        </is>
      </c>
      <c r="X1461" t="inlineStr">
        <is>
          <t>2001-02-20</t>
        </is>
      </c>
      <c r="Y1461" t="n">
        <v>1671</v>
      </c>
      <c r="Z1461" t="n">
        <v>1573</v>
      </c>
      <c r="AA1461" t="n">
        <v>1650</v>
      </c>
      <c r="AB1461" t="n">
        <v>13</v>
      </c>
      <c r="AC1461" t="n">
        <v>14</v>
      </c>
      <c r="AD1461" t="n">
        <v>42</v>
      </c>
      <c r="AE1461" t="n">
        <v>42</v>
      </c>
      <c r="AF1461" t="n">
        <v>19</v>
      </c>
      <c r="AG1461" t="n">
        <v>19</v>
      </c>
      <c r="AH1461" t="n">
        <v>10</v>
      </c>
      <c r="AI1461" t="n">
        <v>10</v>
      </c>
      <c r="AJ1461" t="n">
        <v>16</v>
      </c>
      <c r="AK1461" t="n">
        <v>16</v>
      </c>
      <c r="AL1461" t="n">
        <v>7</v>
      </c>
      <c r="AM1461" t="n">
        <v>7</v>
      </c>
      <c r="AN1461" t="n">
        <v>0</v>
      </c>
      <c r="AO1461" t="n">
        <v>0</v>
      </c>
      <c r="AP1461" t="inlineStr">
        <is>
          <t>No</t>
        </is>
      </c>
      <c r="AQ1461" t="inlineStr">
        <is>
          <t>Yes</t>
        </is>
      </c>
      <c r="AR1461">
        <f>HYPERLINK("http://catalog.hathitrust.org/Record/004133775","HathiTrust Record")</f>
        <v/>
      </c>
      <c r="AS1461">
        <f>HYPERLINK("https://creighton-primo.hosted.exlibrisgroup.com/primo-explore/search?tab=default_tab&amp;search_scope=EVERYTHING&amp;vid=01CRU&amp;lang=en_US&amp;offset=0&amp;query=any,contains,991003467509702656","Catalog Record")</f>
        <v/>
      </c>
      <c r="AT1461">
        <f>HYPERLINK("http://www.worldcat.org/oclc/44509372","WorldCat Record")</f>
        <v/>
      </c>
      <c r="AU1461" t="inlineStr">
        <is>
          <t>796652611:eng</t>
        </is>
      </c>
      <c r="AV1461" t="inlineStr">
        <is>
          <t>44509372</t>
        </is>
      </c>
      <c r="AW1461" t="inlineStr">
        <is>
          <t>991003467509702656</t>
        </is>
      </c>
      <c r="AX1461" t="inlineStr">
        <is>
          <t>991003467509702656</t>
        </is>
      </c>
      <c r="AY1461" t="inlineStr">
        <is>
          <t>2256095310002656</t>
        </is>
      </c>
      <c r="AZ1461" t="inlineStr">
        <is>
          <t>BOOK</t>
        </is>
      </c>
      <c r="BB1461" t="inlineStr">
        <is>
          <t>9780684812021</t>
        </is>
      </c>
      <c r="BC1461" t="inlineStr">
        <is>
          <t>32285004295555</t>
        </is>
      </c>
      <c r="BD1461" t="inlineStr">
        <is>
          <t>893721948</t>
        </is>
      </c>
    </row>
    <row r="1462">
      <c r="A1462" t="inlineStr">
        <is>
          <t>No</t>
        </is>
      </c>
      <c r="B1462" t="inlineStr">
        <is>
          <t>DS558 .L47 1991</t>
        </is>
      </c>
      <c r="C1462" t="inlineStr">
        <is>
          <t>0                      DS 0558000L  47          1991</t>
        </is>
      </c>
      <c r="D1462" t="inlineStr">
        <is>
          <t>The debate over Vietnam / David W. Levy.</t>
        </is>
      </c>
      <c r="F1462" t="inlineStr">
        <is>
          <t>No</t>
        </is>
      </c>
      <c r="G1462" t="inlineStr">
        <is>
          <t>1</t>
        </is>
      </c>
      <c r="H1462" t="inlineStr">
        <is>
          <t>No</t>
        </is>
      </c>
      <c r="I1462" t="inlineStr">
        <is>
          <t>No</t>
        </is>
      </c>
      <c r="J1462" t="inlineStr">
        <is>
          <t>0</t>
        </is>
      </c>
      <c r="K1462" t="inlineStr">
        <is>
          <t>Levy, David W., 1937-</t>
        </is>
      </c>
      <c r="L1462" t="inlineStr">
        <is>
          <t>Baltimore : John Hopkins University Press, c1991.</t>
        </is>
      </c>
      <c r="M1462" t="inlineStr">
        <is>
          <t>1991</t>
        </is>
      </c>
      <c r="O1462" t="inlineStr">
        <is>
          <t>eng</t>
        </is>
      </c>
      <c r="P1462" t="inlineStr">
        <is>
          <t>mdu</t>
        </is>
      </c>
      <c r="Q1462" t="inlineStr">
        <is>
          <t>The American moment</t>
        </is>
      </c>
      <c r="R1462" t="inlineStr">
        <is>
          <t xml:space="preserve">DS </t>
        </is>
      </c>
      <c r="S1462" t="n">
        <v>11</v>
      </c>
      <c r="T1462" t="n">
        <v>11</v>
      </c>
      <c r="U1462" t="inlineStr">
        <is>
          <t>2009-05-01</t>
        </is>
      </c>
      <c r="V1462" t="inlineStr">
        <is>
          <t>2009-05-01</t>
        </is>
      </c>
      <c r="W1462" t="inlineStr">
        <is>
          <t>1991-12-15</t>
        </is>
      </c>
      <c r="X1462" t="inlineStr">
        <is>
          <t>1991-12-15</t>
        </is>
      </c>
      <c r="Y1462" t="n">
        <v>524</v>
      </c>
      <c r="Z1462" t="n">
        <v>442</v>
      </c>
      <c r="AA1462" t="n">
        <v>617</v>
      </c>
      <c r="AB1462" t="n">
        <v>6</v>
      </c>
      <c r="AC1462" t="n">
        <v>6</v>
      </c>
      <c r="AD1462" t="n">
        <v>28</v>
      </c>
      <c r="AE1462" t="n">
        <v>33</v>
      </c>
      <c r="AF1462" t="n">
        <v>11</v>
      </c>
      <c r="AG1462" t="n">
        <v>13</v>
      </c>
      <c r="AH1462" t="n">
        <v>6</v>
      </c>
      <c r="AI1462" t="n">
        <v>6</v>
      </c>
      <c r="AJ1462" t="n">
        <v>14</v>
      </c>
      <c r="AK1462" t="n">
        <v>18</v>
      </c>
      <c r="AL1462" t="n">
        <v>5</v>
      </c>
      <c r="AM1462" t="n">
        <v>5</v>
      </c>
      <c r="AN1462" t="n">
        <v>0</v>
      </c>
      <c r="AO1462" t="n">
        <v>0</v>
      </c>
      <c r="AP1462" t="inlineStr">
        <is>
          <t>No</t>
        </is>
      </c>
      <c r="AQ1462" t="inlineStr">
        <is>
          <t>Yes</t>
        </is>
      </c>
      <c r="AR1462">
        <f>HYPERLINK("http://catalog.hathitrust.org/Record/002448254","HathiTrust Record")</f>
        <v/>
      </c>
      <c r="AS1462">
        <f>HYPERLINK("https://creighton-primo.hosted.exlibrisgroup.com/primo-explore/search?tab=default_tab&amp;search_scope=EVERYTHING&amp;vid=01CRU&amp;lang=en_US&amp;offset=0&amp;query=any,contains,991001785119702656","Catalog Record")</f>
        <v/>
      </c>
      <c r="AT1462">
        <f>HYPERLINK("http://www.worldcat.org/oclc/22494132","WorldCat Record")</f>
        <v/>
      </c>
      <c r="AU1462" t="inlineStr">
        <is>
          <t>21033608:eng</t>
        </is>
      </c>
      <c r="AV1462" t="inlineStr">
        <is>
          <t>22494132</t>
        </is>
      </c>
      <c r="AW1462" t="inlineStr">
        <is>
          <t>991001785119702656</t>
        </is>
      </c>
      <c r="AX1462" t="inlineStr">
        <is>
          <t>991001785119702656</t>
        </is>
      </c>
      <c r="AY1462" t="inlineStr">
        <is>
          <t>2258654510002656</t>
        </is>
      </c>
      <c r="AZ1462" t="inlineStr">
        <is>
          <t>BOOK</t>
        </is>
      </c>
      <c r="BB1462" t="inlineStr">
        <is>
          <t>9780801841491</t>
        </is>
      </c>
      <c r="BC1462" t="inlineStr">
        <is>
          <t>32285000860329</t>
        </is>
      </c>
      <c r="BD1462" t="inlineStr">
        <is>
          <t>893891833</t>
        </is>
      </c>
    </row>
    <row r="1463">
      <c r="A1463" t="inlineStr">
        <is>
          <t>No</t>
        </is>
      </c>
      <c r="B1463" t="inlineStr">
        <is>
          <t>DS558 .L565 1999</t>
        </is>
      </c>
      <c r="C1463" t="inlineStr">
        <is>
          <t>0                      DS 0558000L  565         1999</t>
        </is>
      </c>
      <c r="D1463" t="inlineStr">
        <is>
          <t>Vietnam, the necessary war : a reinterpretation of America's most disastrous military conflict / Michael Lind.</t>
        </is>
      </c>
      <c r="F1463" t="inlineStr">
        <is>
          <t>No</t>
        </is>
      </c>
      <c r="G1463" t="inlineStr">
        <is>
          <t>1</t>
        </is>
      </c>
      <c r="H1463" t="inlineStr">
        <is>
          <t>No</t>
        </is>
      </c>
      <c r="I1463" t="inlineStr">
        <is>
          <t>No</t>
        </is>
      </c>
      <c r="J1463" t="inlineStr">
        <is>
          <t>0</t>
        </is>
      </c>
      <c r="K1463" t="inlineStr">
        <is>
          <t>Lind, Michael, 1962-</t>
        </is>
      </c>
      <c r="L1463" t="inlineStr">
        <is>
          <t>New York : Free Press, c1999.</t>
        </is>
      </c>
      <c r="M1463" t="inlineStr">
        <is>
          <t>1999</t>
        </is>
      </c>
      <c r="O1463" t="inlineStr">
        <is>
          <t>eng</t>
        </is>
      </c>
      <c r="P1463" t="inlineStr">
        <is>
          <t>nyu</t>
        </is>
      </c>
      <c r="R1463" t="inlineStr">
        <is>
          <t xml:space="preserve">DS </t>
        </is>
      </c>
      <c r="S1463" t="n">
        <v>7</v>
      </c>
      <c r="T1463" t="n">
        <v>7</v>
      </c>
      <c r="U1463" t="inlineStr">
        <is>
          <t>2002-03-05</t>
        </is>
      </c>
      <c r="V1463" t="inlineStr">
        <is>
          <t>2002-03-05</t>
        </is>
      </c>
      <c r="W1463" t="inlineStr">
        <is>
          <t>1999-10-13</t>
        </is>
      </c>
      <c r="X1463" t="inlineStr">
        <is>
          <t>1999-10-13</t>
        </is>
      </c>
      <c r="Y1463" t="n">
        <v>1269</v>
      </c>
      <c r="Z1463" t="n">
        <v>1102</v>
      </c>
      <c r="AA1463" t="n">
        <v>1182</v>
      </c>
      <c r="AB1463" t="n">
        <v>12</v>
      </c>
      <c r="AC1463" t="n">
        <v>12</v>
      </c>
      <c r="AD1463" t="n">
        <v>43</v>
      </c>
      <c r="AE1463" t="n">
        <v>43</v>
      </c>
      <c r="AF1463" t="n">
        <v>17</v>
      </c>
      <c r="AG1463" t="n">
        <v>17</v>
      </c>
      <c r="AH1463" t="n">
        <v>9</v>
      </c>
      <c r="AI1463" t="n">
        <v>9</v>
      </c>
      <c r="AJ1463" t="n">
        <v>20</v>
      </c>
      <c r="AK1463" t="n">
        <v>20</v>
      </c>
      <c r="AL1463" t="n">
        <v>7</v>
      </c>
      <c r="AM1463" t="n">
        <v>7</v>
      </c>
      <c r="AN1463" t="n">
        <v>1</v>
      </c>
      <c r="AO1463" t="n">
        <v>1</v>
      </c>
      <c r="AP1463" t="inlineStr">
        <is>
          <t>No</t>
        </is>
      </c>
      <c r="AQ1463" t="inlineStr">
        <is>
          <t>Yes</t>
        </is>
      </c>
      <c r="AR1463">
        <f>HYPERLINK("http://catalog.hathitrust.org/Record/004053148","HathiTrust Record")</f>
        <v/>
      </c>
      <c r="AS1463">
        <f>HYPERLINK("https://creighton-primo.hosted.exlibrisgroup.com/primo-explore/search?tab=default_tab&amp;search_scope=EVERYTHING&amp;vid=01CRU&amp;lang=en_US&amp;offset=0&amp;query=any,contains,991003028019702656","Catalog Record")</f>
        <v/>
      </c>
      <c r="AT1463">
        <f>HYPERLINK("http://www.worldcat.org/oclc/41411932","WorldCat Record")</f>
        <v/>
      </c>
      <c r="AU1463" t="inlineStr">
        <is>
          <t>836996752:eng</t>
        </is>
      </c>
      <c r="AV1463" t="inlineStr">
        <is>
          <t>41411932</t>
        </is>
      </c>
      <c r="AW1463" t="inlineStr">
        <is>
          <t>991003028019702656</t>
        </is>
      </c>
      <c r="AX1463" t="inlineStr">
        <is>
          <t>991003028019702656</t>
        </is>
      </c>
      <c r="AY1463" t="inlineStr">
        <is>
          <t>2259364150002656</t>
        </is>
      </c>
      <c r="AZ1463" t="inlineStr">
        <is>
          <t>BOOK</t>
        </is>
      </c>
      <c r="BB1463" t="inlineStr">
        <is>
          <t>9780684842547</t>
        </is>
      </c>
      <c r="BC1463" t="inlineStr">
        <is>
          <t>32285003610432</t>
        </is>
      </c>
      <c r="BD1463" t="inlineStr">
        <is>
          <t>893233744</t>
        </is>
      </c>
    </row>
    <row r="1464">
      <c r="A1464" t="inlineStr">
        <is>
          <t>No</t>
        </is>
      </c>
      <c r="B1464" t="inlineStr">
        <is>
          <t>DS558 .L66 1993b</t>
        </is>
      </c>
      <c r="C1464" t="inlineStr">
        <is>
          <t>0                      DS 0558000L  66          1993b</t>
        </is>
      </c>
      <c r="D1464" t="inlineStr">
        <is>
          <t>Looking back on the Vietnam War : a 1990s perspective on the decisions, combat, and legacies / edited by William Head and Lawrence E. Grinter.</t>
        </is>
      </c>
      <c r="F1464" t="inlineStr">
        <is>
          <t>No</t>
        </is>
      </c>
      <c r="G1464" t="inlineStr">
        <is>
          <t>1</t>
        </is>
      </c>
      <c r="H1464" t="inlineStr">
        <is>
          <t>No</t>
        </is>
      </c>
      <c r="I1464" t="inlineStr">
        <is>
          <t>No</t>
        </is>
      </c>
      <c r="J1464" t="inlineStr">
        <is>
          <t>0</t>
        </is>
      </c>
      <c r="L1464" t="inlineStr">
        <is>
          <t>Westport, Conn. : Praeger, 1993.</t>
        </is>
      </c>
      <c r="M1464" t="inlineStr">
        <is>
          <t>1993</t>
        </is>
      </c>
      <c r="O1464" t="inlineStr">
        <is>
          <t>eng</t>
        </is>
      </c>
      <c r="P1464" t="inlineStr">
        <is>
          <t>ctu</t>
        </is>
      </c>
      <c r="R1464" t="inlineStr">
        <is>
          <t xml:space="preserve">DS </t>
        </is>
      </c>
      <c r="S1464" t="n">
        <v>16</v>
      </c>
      <c r="T1464" t="n">
        <v>16</v>
      </c>
      <c r="U1464" t="inlineStr">
        <is>
          <t>2009-05-01</t>
        </is>
      </c>
      <c r="V1464" t="inlineStr">
        <is>
          <t>2009-05-01</t>
        </is>
      </c>
      <c r="W1464" t="inlineStr">
        <is>
          <t>1994-12-28</t>
        </is>
      </c>
      <c r="X1464" t="inlineStr">
        <is>
          <t>1994-12-28</t>
        </is>
      </c>
      <c r="Y1464" t="n">
        <v>107</v>
      </c>
      <c r="Z1464" t="n">
        <v>89</v>
      </c>
      <c r="AA1464" t="n">
        <v>292</v>
      </c>
      <c r="AB1464" t="n">
        <v>1</v>
      </c>
      <c r="AC1464" t="n">
        <v>3</v>
      </c>
      <c r="AD1464" t="n">
        <v>4</v>
      </c>
      <c r="AE1464" t="n">
        <v>16</v>
      </c>
      <c r="AF1464" t="n">
        <v>1</v>
      </c>
      <c r="AG1464" t="n">
        <v>3</v>
      </c>
      <c r="AH1464" t="n">
        <v>2</v>
      </c>
      <c r="AI1464" t="n">
        <v>6</v>
      </c>
      <c r="AJ1464" t="n">
        <v>1</v>
      </c>
      <c r="AK1464" t="n">
        <v>9</v>
      </c>
      <c r="AL1464" t="n">
        <v>0</v>
      </c>
      <c r="AM1464" t="n">
        <v>2</v>
      </c>
      <c r="AN1464" t="n">
        <v>0</v>
      </c>
      <c r="AO1464" t="n">
        <v>0</v>
      </c>
      <c r="AP1464" t="inlineStr">
        <is>
          <t>No</t>
        </is>
      </c>
      <c r="AQ1464" t="inlineStr">
        <is>
          <t>No</t>
        </is>
      </c>
      <c r="AS1464">
        <f>HYPERLINK("https://creighton-primo.hosted.exlibrisgroup.com/primo-explore/search?tab=default_tab&amp;search_scope=EVERYTHING&amp;vid=01CRU&amp;lang=en_US&amp;offset=0&amp;query=any,contains,991002099219702656","Catalog Record")</f>
        <v/>
      </c>
      <c r="AT1464">
        <f>HYPERLINK("http://www.worldcat.org/oclc/26932880","WorldCat Record")</f>
        <v/>
      </c>
      <c r="AU1464" t="inlineStr">
        <is>
          <t>836866710:eng</t>
        </is>
      </c>
      <c r="AV1464" t="inlineStr">
        <is>
          <t>26932880</t>
        </is>
      </c>
      <c r="AW1464" t="inlineStr">
        <is>
          <t>991002099219702656</t>
        </is>
      </c>
      <c r="AX1464" t="inlineStr">
        <is>
          <t>991002099219702656</t>
        </is>
      </c>
      <c r="AY1464" t="inlineStr">
        <is>
          <t>2259775620002656</t>
        </is>
      </c>
      <c r="AZ1464" t="inlineStr">
        <is>
          <t>BOOK</t>
        </is>
      </c>
      <c r="BB1464" t="inlineStr">
        <is>
          <t>9780275945558</t>
        </is>
      </c>
      <c r="BC1464" t="inlineStr">
        <is>
          <t>32285001979490</t>
        </is>
      </c>
      <c r="BD1464" t="inlineStr">
        <is>
          <t>893347105</t>
        </is>
      </c>
    </row>
    <row r="1465">
      <c r="A1465" t="inlineStr">
        <is>
          <t>No</t>
        </is>
      </c>
      <c r="B1465" t="inlineStr">
        <is>
          <t>DS558 .M314 1990</t>
        </is>
      </c>
      <c r="C1465" t="inlineStr">
        <is>
          <t>0                      DS 0558000M  314         1990</t>
        </is>
      </c>
      <c r="D1465" t="inlineStr">
        <is>
          <t>Recovering from the war : a woman's guide to helping your Vietnam Vet, your family, and yourself / Patience H.C. Mason.</t>
        </is>
      </c>
      <c r="F1465" t="inlineStr">
        <is>
          <t>No</t>
        </is>
      </c>
      <c r="G1465" t="inlineStr">
        <is>
          <t>1</t>
        </is>
      </c>
      <c r="H1465" t="inlineStr">
        <is>
          <t>No</t>
        </is>
      </c>
      <c r="I1465" t="inlineStr">
        <is>
          <t>No</t>
        </is>
      </c>
      <c r="J1465" t="inlineStr">
        <is>
          <t>0</t>
        </is>
      </c>
      <c r="K1465" t="inlineStr">
        <is>
          <t>Mason, Patience H. C.</t>
        </is>
      </c>
      <c r="L1465" t="inlineStr">
        <is>
          <t>New York : Penguin Books, 1990.</t>
        </is>
      </c>
      <c r="M1465" t="inlineStr">
        <is>
          <t>1990</t>
        </is>
      </c>
      <c r="O1465" t="inlineStr">
        <is>
          <t>eng</t>
        </is>
      </c>
      <c r="P1465" t="inlineStr">
        <is>
          <t>nyu</t>
        </is>
      </c>
      <c r="R1465" t="inlineStr">
        <is>
          <t xml:space="preserve">DS </t>
        </is>
      </c>
      <c r="S1465" t="n">
        <v>13</v>
      </c>
      <c r="T1465" t="n">
        <v>13</v>
      </c>
      <c r="U1465" t="inlineStr">
        <is>
          <t>2005-12-15</t>
        </is>
      </c>
      <c r="V1465" t="inlineStr">
        <is>
          <t>2005-12-15</t>
        </is>
      </c>
      <c r="W1465" t="inlineStr">
        <is>
          <t>1990-04-07</t>
        </is>
      </c>
      <c r="X1465" t="inlineStr">
        <is>
          <t>1990-04-07</t>
        </is>
      </c>
      <c r="Y1465" t="n">
        <v>454</v>
      </c>
      <c r="Z1465" t="n">
        <v>442</v>
      </c>
      <c r="AA1465" t="n">
        <v>566</v>
      </c>
      <c r="AB1465" t="n">
        <v>1</v>
      </c>
      <c r="AC1465" t="n">
        <v>1</v>
      </c>
      <c r="AD1465" t="n">
        <v>3</v>
      </c>
      <c r="AE1465" t="n">
        <v>4</v>
      </c>
      <c r="AF1465" t="n">
        <v>2</v>
      </c>
      <c r="AG1465" t="n">
        <v>2</v>
      </c>
      <c r="AH1465" t="n">
        <v>0</v>
      </c>
      <c r="AI1465" t="n">
        <v>0</v>
      </c>
      <c r="AJ1465" t="n">
        <v>1</v>
      </c>
      <c r="AK1465" t="n">
        <v>2</v>
      </c>
      <c r="AL1465" t="n">
        <v>0</v>
      </c>
      <c r="AM1465" t="n">
        <v>0</v>
      </c>
      <c r="AN1465" t="n">
        <v>0</v>
      </c>
      <c r="AO1465" t="n">
        <v>0</v>
      </c>
      <c r="AP1465" t="inlineStr">
        <is>
          <t>No</t>
        </is>
      </c>
      <c r="AQ1465" t="inlineStr">
        <is>
          <t>No</t>
        </is>
      </c>
      <c r="AS1465">
        <f>HYPERLINK("https://creighton-primo.hosted.exlibrisgroup.com/primo-explore/search?tab=default_tab&amp;search_scope=EVERYTHING&amp;vid=01CRU&amp;lang=en_US&amp;offset=0&amp;query=any,contains,991001513419702656","Catalog Record")</f>
        <v/>
      </c>
      <c r="AT1465">
        <f>HYPERLINK("http://www.worldcat.org/oclc/19920565","WorldCat Record")</f>
        <v/>
      </c>
      <c r="AU1465" t="inlineStr">
        <is>
          <t>21441407:eng</t>
        </is>
      </c>
      <c r="AV1465" t="inlineStr">
        <is>
          <t>19920565</t>
        </is>
      </c>
      <c r="AW1465" t="inlineStr">
        <is>
          <t>991001513419702656</t>
        </is>
      </c>
      <c r="AX1465" t="inlineStr">
        <is>
          <t>991001513419702656</t>
        </is>
      </c>
      <c r="AY1465" t="inlineStr">
        <is>
          <t>2269107270002656</t>
        </is>
      </c>
      <c r="AZ1465" t="inlineStr">
        <is>
          <t>BOOK</t>
        </is>
      </c>
      <c r="BC1465" t="inlineStr">
        <is>
          <t>32285000094523</t>
        </is>
      </c>
      <c r="BD1465" t="inlineStr">
        <is>
          <t>893322009</t>
        </is>
      </c>
    </row>
    <row r="1466">
      <c r="A1466" t="inlineStr">
        <is>
          <t>No</t>
        </is>
      </c>
      <c r="B1466" t="inlineStr">
        <is>
          <t>DS558 .M34 2001</t>
        </is>
      </c>
      <c r="C1466" t="inlineStr">
        <is>
          <t>0                      DS 0558000M  34          2001</t>
        </is>
      </c>
      <c r="D1466" t="inlineStr">
        <is>
          <t>A grand delusion : America's descent into Vietnam / Robert Mann.</t>
        </is>
      </c>
      <c r="F1466" t="inlineStr">
        <is>
          <t>No</t>
        </is>
      </c>
      <c r="G1466" t="inlineStr">
        <is>
          <t>1</t>
        </is>
      </c>
      <c r="H1466" t="inlineStr">
        <is>
          <t>No</t>
        </is>
      </c>
      <c r="I1466" t="inlineStr">
        <is>
          <t>No</t>
        </is>
      </c>
      <c r="J1466" t="inlineStr">
        <is>
          <t>0</t>
        </is>
      </c>
      <c r="K1466" t="inlineStr">
        <is>
          <t>Mann, Robert, 1958-</t>
        </is>
      </c>
      <c r="L1466" t="inlineStr">
        <is>
          <t>New York : Basic Books, c2001.</t>
        </is>
      </c>
      <c r="M1466" t="inlineStr">
        <is>
          <t>2001</t>
        </is>
      </c>
      <c r="N1466" t="inlineStr">
        <is>
          <t>1st ed.</t>
        </is>
      </c>
      <c r="O1466" t="inlineStr">
        <is>
          <t>eng</t>
        </is>
      </c>
      <c r="P1466" t="inlineStr">
        <is>
          <t>nyu</t>
        </is>
      </c>
      <c r="R1466" t="inlineStr">
        <is>
          <t xml:space="preserve">DS </t>
        </is>
      </c>
      <c r="S1466" t="n">
        <v>3</v>
      </c>
      <c r="T1466" t="n">
        <v>3</v>
      </c>
      <c r="U1466" t="inlineStr">
        <is>
          <t>2001-08-27</t>
        </is>
      </c>
      <c r="V1466" t="inlineStr">
        <is>
          <t>2001-08-27</t>
        </is>
      </c>
      <c r="W1466" t="inlineStr">
        <is>
          <t>2001-03-13</t>
        </is>
      </c>
      <c r="X1466" t="inlineStr">
        <is>
          <t>2001-03-13</t>
        </is>
      </c>
      <c r="Y1466" t="n">
        <v>1438</v>
      </c>
      <c r="Z1466" t="n">
        <v>1346</v>
      </c>
      <c r="AA1466" t="n">
        <v>1370</v>
      </c>
      <c r="AB1466" t="n">
        <v>13</v>
      </c>
      <c r="AC1466" t="n">
        <v>13</v>
      </c>
      <c r="AD1466" t="n">
        <v>45</v>
      </c>
      <c r="AE1466" t="n">
        <v>45</v>
      </c>
      <c r="AF1466" t="n">
        <v>21</v>
      </c>
      <c r="AG1466" t="n">
        <v>21</v>
      </c>
      <c r="AH1466" t="n">
        <v>9</v>
      </c>
      <c r="AI1466" t="n">
        <v>9</v>
      </c>
      <c r="AJ1466" t="n">
        <v>17</v>
      </c>
      <c r="AK1466" t="n">
        <v>17</v>
      </c>
      <c r="AL1466" t="n">
        <v>9</v>
      </c>
      <c r="AM1466" t="n">
        <v>9</v>
      </c>
      <c r="AN1466" t="n">
        <v>0</v>
      </c>
      <c r="AO1466" t="n">
        <v>0</v>
      </c>
      <c r="AP1466" t="inlineStr">
        <is>
          <t>No</t>
        </is>
      </c>
      <c r="AQ1466" t="inlineStr">
        <is>
          <t>Yes</t>
        </is>
      </c>
      <c r="AR1466">
        <f>HYPERLINK("http://catalog.hathitrust.org/Record/004143277","HathiTrust Record")</f>
        <v/>
      </c>
      <c r="AS1466">
        <f>HYPERLINK("https://creighton-primo.hosted.exlibrisgroup.com/primo-explore/search?tab=default_tab&amp;search_scope=EVERYTHING&amp;vid=01CRU&amp;lang=en_US&amp;offset=0&amp;query=any,contains,991003491669702656","Catalog Record")</f>
        <v/>
      </c>
      <c r="AT1466">
        <f>HYPERLINK("http://www.worldcat.org/oclc/45136691","WorldCat Record")</f>
        <v/>
      </c>
      <c r="AU1466" t="inlineStr">
        <is>
          <t>46505:eng</t>
        </is>
      </c>
      <c r="AV1466" t="inlineStr">
        <is>
          <t>45136691</t>
        </is>
      </c>
      <c r="AW1466" t="inlineStr">
        <is>
          <t>991003491669702656</t>
        </is>
      </c>
      <c r="AX1466" t="inlineStr">
        <is>
          <t>991003491669702656</t>
        </is>
      </c>
      <c r="AY1466" t="inlineStr">
        <is>
          <t>2255978140002656</t>
        </is>
      </c>
      <c r="AZ1466" t="inlineStr">
        <is>
          <t>BOOK</t>
        </is>
      </c>
      <c r="BB1466" t="inlineStr">
        <is>
          <t>9780465043699</t>
        </is>
      </c>
      <c r="BC1466" t="inlineStr">
        <is>
          <t>32285004305073</t>
        </is>
      </c>
      <c r="BD1466" t="inlineStr">
        <is>
          <t>893352849</t>
        </is>
      </c>
    </row>
    <row r="1467">
      <c r="A1467" t="inlineStr">
        <is>
          <t>No</t>
        </is>
      </c>
      <c r="B1467" t="inlineStr">
        <is>
          <t>DS558 .M35 2003</t>
        </is>
      </c>
      <c r="C1467" t="inlineStr">
        <is>
          <t>0                      DS 0558000M  35          2003</t>
        </is>
      </c>
      <c r="D1467" t="inlineStr">
        <is>
          <t>They marched into sunlight : war and peace, Vietnam and America, October 1967 / David Maraniss.</t>
        </is>
      </c>
      <c r="F1467" t="inlineStr">
        <is>
          <t>No</t>
        </is>
      </c>
      <c r="G1467" t="inlineStr">
        <is>
          <t>1</t>
        </is>
      </c>
      <c r="H1467" t="inlineStr">
        <is>
          <t>No</t>
        </is>
      </c>
      <c r="I1467" t="inlineStr">
        <is>
          <t>No</t>
        </is>
      </c>
      <c r="J1467" t="inlineStr">
        <is>
          <t>0</t>
        </is>
      </c>
      <c r="K1467" t="inlineStr">
        <is>
          <t>Maraniss, David.</t>
        </is>
      </c>
      <c r="L1467" t="inlineStr">
        <is>
          <t>New York : Simon &amp; Schuster, c2003.</t>
        </is>
      </c>
      <c r="M1467" t="inlineStr">
        <is>
          <t>2003</t>
        </is>
      </c>
      <c r="O1467" t="inlineStr">
        <is>
          <t>eng</t>
        </is>
      </c>
      <c r="P1467" t="inlineStr">
        <is>
          <t>nyu</t>
        </is>
      </c>
      <c r="R1467" t="inlineStr">
        <is>
          <t xml:space="preserve">DS </t>
        </is>
      </c>
      <c r="S1467" t="n">
        <v>8</v>
      </c>
      <c r="T1467" t="n">
        <v>8</v>
      </c>
      <c r="U1467" t="inlineStr">
        <is>
          <t>2005-09-09</t>
        </is>
      </c>
      <c r="V1467" t="inlineStr">
        <is>
          <t>2005-09-09</t>
        </is>
      </c>
      <c r="W1467" t="inlineStr">
        <is>
          <t>2003-10-07</t>
        </is>
      </c>
      <c r="X1467" t="inlineStr">
        <is>
          <t>2003-10-07</t>
        </is>
      </c>
      <c r="Y1467" t="n">
        <v>1848</v>
      </c>
      <c r="Z1467" t="n">
        <v>1768</v>
      </c>
      <c r="AA1467" t="n">
        <v>1915</v>
      </c>
      <c r="AB1467" t="n">
        <v>17</v>
      </c>
      <c r="AC1467" t="n">
        <v>19</v>
      </c>
      <c r="AD1467" t="n">
        <v>39</v>
      </c>
      <c r="AE1467" t="n">
        <v>40</v>
      </c>
      <c r="AF1467" t="n">
        <v>19</v>
      </c>
      <c r="AG1467" t="n">
        <v>19</v>
      </c>
      <c r="AH1467" t="n">
        <v>7</v>
      </c>
      <c r="AI1467" t="n">
        <v>7</v>
      </c>
      <c r="AJ1467" t="n">
        <v>15</v>
      </c>
      <c r="AK1467" t="n">
        <v>15</v>
      </c>
      <c r="AL1467" t="n">
        <v>6</v>
      </c>
      <c r="AM1467" t="n">
        <v>7</v>
      </c>
      <c r="AN1467" t="n">
        <v>0</v>
      </c>
      <c r="AO1467" t="n">
        <v>0</v>
      </c>
      <c r="AP1467" t="inlineStr">
        <is>
          <t>No</t>
        </is>
      </c>
      <c r="AQ1467" t="inlineStr">
        <is>
          <t>No</t>
        </is>
      </c>
      <c r="AS1467">
        <f>HYPERLINK("https://creighton-primo.hosted.exlibrisgroup.com/primo-explore/search?tab=default_tab&amp;search_scope=EVERYTHING&amp;vid=01CRU&amp;lang=en_US&amp;offset=0&amp;query=any,contains,991004121769702656","Catalog Record")</f>
        <v/>
      </c>
      <c r="AT1467">
        <f>HYPERLINK("http://www.worldcat.org/oclc/52251467","WorldCat Record")</f>
        <v/>
      </c>
      <c r="AU1467" t="inlineStr">
        <is>
          <t>740965:eng</t>
        </is>
      </c>
      <c r="AV1467" t="inlineStr">
        <is>
          <t>52251467</t>
        </is>
      </c>
      <c r="AW1467" t="inlineStr">
        <is>
          <t>991004121769702656</t>
        </is>
      </c>
      <c r="AX1467" t="inlineStr">
        <is>
          <t>991004121769702656</t>
        </is>
      </c>
      <c r="AY1467" t="inlineStr">
        <is>
          <t>2264643860002656</t>
        </is>
      </c>
      <c r="AZ1467" t="inlineStr">
        <is>
          <t>BOOK</t>
        </is>
      </c>
      <c r="BB1467" t="inlineStr">
        <is>
          <t>9780743217804</t>
        </is>
      </c>
      <c r="BC1467" t="inlineStr">
        <is>
          <t>32285004786728</t>
        </is>
      </c>
      <c r="BD1467" t="inlineStr">
        <is>
          <t>893611946</t>
        </is>
      </c>
    </row>
    <row r="1468">
      <c r="A1468" t="inlineStr">
        <is>
          <t>No</t>
        </is>
      </c>
      <c r="B1468" t="inlineStr">
        <is>
          <t>DS558 .N475 2005</t>
        </is>
      </c>
      <c r="C1468" t="inlineStr">
        <is>
          <t>0                      DS 0558000N  475         2005</t>
        </is>
      </c>
      <c r="D1468" t="inlineStr">
        <is>
          <t>America's lost war : Vietnam, 1945-1975 / Charles E. Neu.</t>
        </is>
      </c>
      <c r="F1468" t="inlineStr">
        <is>
          <t>No</t>
        </is>
      </c>
      <c r="G1468" t="inlineStr">
        <is>
          <t>1</t>
        </is>
      </c>
      <c r="H1468" t="inlineStr">
        <is>
          <t>No</t>
        </is>
      </c>
      <c r="I1468" t="inlineStr">
        <is>
          <t>No</t>
        </is>
      </c>
      <c r="J1468" t="inlineStr">
        <is>
          <t>0</t>
        </is>
      </c>
      <c r="K1468" t="inlineStr">
        <is>
          <t>Neu, Charles E.</t>
        </is>
      </c>
      <c r="L1468" t="inlineStr">
        <is>
          <t>Wheeling, Ill. : Harlan Davidson, 2005.</t>
        </is>
      </c>
      <c r="M1468" t="inlineStr">
        <is>
          <t>2005</t>
        </is>
      </c>
      <c r="O1468" t="inlineStr">
        <is>
          <t>eng</t>
        </is>
      </c>
      <c r="P1468" t="inlineStr">
        <is>
          <t>ilu</t>
        </is>
      </c>
      <c r="Q1468" t="inlineStr">
        <is>
          <t>The American history series</t>
        </is>
      </c>
      <c r="R1468" t="inlineStr">
        <is>
          <t xml:space="preserve">DS </t>
        </is>
      </c>
      <c r="S1468" t="n">
        <v>1</v>
      </c>
      <c r="T1468" t="n">
        <v>1</v>
      </c>
      <c r="U1468" t="inlineStr">
        <is>
          <t>2008-04-03</t>
        </is>
      </c>
      <c r="V1468" t="inlineStr">
        <is>
          <t>2008-04-03</t>
        </is>
      </c>
      <c r="W1468" t="inlineStr">
        <is>
          <t>2008-04-03</t>
        </is>
      </c>
      <c r="X1468" t="inlineStr">
        <is>
          <t>2008-04-03</t>
        </is>
      </c>
      <c r="Y1468" t="n">
        <v>546</v>
      </c>
      <c r="Z1468" t="n">
        <v>499</v>
      </c>
      <c r="AA1468" t="n">
        <v>500</v>
      </c>
      <c r="AB1468" t="n">
        <v>2</v>
      </c>
      <c r="AC1468" t="n">
        <v>2</v>
      </c>
      <c r="AD1468" t="n">
        <v>17</v>
      </c>
      <c r="AE1468" t="n">
        <v>17</v>
      </c>
      <c r="AF1468" t="n">
        <v>9</v>
      </c>
      <c r="AG1468" t="n">
        <v>9</v>
      </c>
      <c r="AH1468" t="n">
        <v>6</v>
      </c>
      <c r="AI1468" t="n">
        <v>6</v>
      </c>
      <c r="AJ1468" t="n">
        <v>8</v>
      </c>
      <c r="AK1468" t="n">
        <v>8</v>
      </c>
      <c r="AL1468" t="n">
        <v>1</v>
      </c>
      <c r="AM1468" t="n">
        <v>1</v>
      </c>
      <c r="AN1468" t="n">
        <v>0</v>
      </c>
      <c r="AO1468" t="n">
        <v>0</v>
      </c>
      <c r="AP1468" t="inlineStr">
        <is>
          <t>No</t>
        </is>
      </c>
      <c r="AQ1468" t="inlineStr">
        <is>
          <t>Yes</t>
        </is>
      </c>
      <c r="AR1468">
        <f>HYPERLINK("http://catalog.hathitrust.org/Record/005118074","HathiTrust Record")</f>
        <v/>
      </c>
      <c r="AS1468">
        <f>HYPERLINK("https://creighton-primo.hosted.exlibrisgroup.com/primo-explore/search?tab=default_tab&amp;search_scope=EVERYTHING&amp;vid=01CRU&amp;lang=en_US&amp;offset=0&amp;query=any,contains,991005195759702656","Catalog Record")</f>
        <v/>
      </c>
      <c r="AT1468">
        <f>HYPERLINK("http://www.worldcat.org/oclc/56482330","WorldCat Record")</f>
        <v/>
      </c>
      <c r="AU1468" t="inlineStr">
        <is>
          <t>366687797:eng</t>
        </is>
      </c>
      <c r="AV1468" t="inlineStr">
        <is>
          <t>56482330</t>
        </is>
      </c>
      <c r="AW1468" t="inlineStr">
        <is>
          <t>991005195759702656</t>
        </is>
      </c>
      <c r="AX1468" t="inlineStr">
        <is>
          <t>991005195759702656</t>
        </is>
      </c>
      <c r="AY1468" t="inlineStr">
        <is>
          <t>2261307300002656</t>
        </is>
      </c>
      <c r="AZ1468" t="inlineStr">
        <is>
          <t>BOOK</t>
        </is>
      </c>
      <c r="BB1468" t="inlineStr">
        <is>
          <t>9780882952321</t>
        </is>
      </c>
      <c r="BC1468" t="inlineStr">
        <is>
          <t>32285005401285</t>
        </is>
      </c>
      <c r="BD1468" t="inlineStr">
        <is>
          <t>893443562</t>
        </is>
      </c>
    </row>
    <row r="1469">
      <c r="A1469" t="inlineStr">
        <is>
          <t>No</t>
        </is>
      </c>
      <c r="B1469" t="inlineStr">
        <is>
          <t>DS558 .P36 1981</t>
        </is>
      </c>
      <c r="C1469" t="inlineStr">
        <is>
          <t>0                      DS 0558000P  36          1981</t>
        </is>
      </c>
      <c r="D1469" t="inlineStr">
        <is>
          <t>Vietnam : the view from Moscow, Peking, Washington / by Daniel S. Papp.</t>
        </is>
      </c>
      <c r="F1469" t="inlineStr">
        <is>
          <t>No</t>
        </is>
      </c>
      <c r="G1469" t="inlineStr">
        <is>
          <t>1</t>
        </is>
      </c>
      <c r="H1469" t="inlineStr">
        <is>
          <t>No</t>
        </is>
      </c>
      <c r="I1469" t="inlineStr">
        <is>
          <t>No</t>
        </is>
      </c>
      <c r="J1469" t="inlineStr">
        <is>
          <t>0</t>
        </is>
      </c>
      <c r="K1469" t="inlineStr">
        <is>
          <t>Papp, Daniel S., 1947-</t>
        </is>
      </c>
      <c r="L1469" t="inlineStr">
        <is>
          <t>Jefferson, N.C. : McFarland, 1981.</t>
        </is>
      </c>
      <c r="M1469" t="inlineStr">
        <is>
          <t>1981</t>
        </is>
      </c>
      <c r="O1469" t="inlineStr">
        <is>
          <t>eng</t>
        </is>
      </c>
      <c r="P1469" t="inlineStr">
        <is>
          <t>ncu</t>
        </is>
      </c>
      <c r="R1469" t="inlineStr">
        <is>
          <t xml:space="preserve">DS </t>
        </is>
      </c>
      <c r="S1469" t="n">
        <v>8</v>
      </c>
      <c r="T1469" t="n">
        <v>8</v>
      </c>
      <c r="U1469" t="inlineStr">
        <is>
          <t>2002-10-26</t>
        </is>
      </c>
      <c r="V1469" t="inlineStr">
        <is>
          <t>2002-10-26</t>
        </is>
      </c>
      <c r="W1469" t="inlineStr">
        <is>
          <t>1990-02-20</t>
        </is>
      </c>
      <c r="X1469" t="inlineStr">
        <is>
          <t>1990-02-20</t>
        </is>
      </c>
      <c r="Y1469" t="n">
        <v>586</v>
      </c>
      <c r="Z1469" t="n">
        <v>500</v>
      </c>
      <c r="AA1469" t="n">
        <v>509</v>
      </c>
      <c r="AB1469" t="n">
        <v>4</v>
      </c>
      <c r="AC1469" t="n">
        <v>4</v>
      </c>
      <c r="AD1469" t="n">
        <v>21</v>
      </c>
      <c r="AE1469" t="n">
        <v>21</v>
      </c>
      <c r="AF1469" t="n">
        <v>9</v>
      </c>
      <c r="AG1469" t="n">
        <v>9</v>
      </c>
      <c r="AH1469" t="n">
        <v>3</v>
      </c>
      <c r="AI1469" t="n">
        <v>3</v>
      </c>
      <c r="AJ1469" t="n">
        <v>10</v>
      </c>
      <c r="AK1469" t="n">
        <v>10</v>
      </c>
      <c r="AL1469" t="n">
        <v>3</v>
      </c>
      <c r="AM1469" t="n">
        <v>3</v>
      </c>
      <c r="AN1469" t="n">
        <v>0</v>
      </c>
      <c r="AO1469" t="n">
        <v>0</v>
      </c>
      <c r="AP1469" t="inlineStr">
        <is>
          <t>No</t>
        </is>
      </c>
      <c r="AQ1469" t="inlineStr">
        <is>
          <t>Yes</t>
        </is>
      </c>
      <c r="AR1469">
        <f>HYPERLINK("http://catalog.hathitrust.org/Record/000100232","HathiTrust Record")</f>
        <v/>
      </c>
      <c r="AS1469">
        <f>HYPERLINK("https://creighton-primo.hosted.exlibrisgroup.com/primo-explore/search?tab=default_tab&amp;search_scope=EVERYTHING&amp;vid=01CRU&amp;lang=en_US&amp;offset=0&amp;query=any,contains,991005012549702656","Catalog Record")</f>
        <v/>
      </c>
      <c r="AT1469">
        <f>HYPERLINK("http://www.worldcat.org/oclc/6603912","WorldCat Record")</f>
        <v/>
      </c>
      <c r="AU1469" t="inlineStr">
        <is>
          <t>365056378:eng</t>
        </is>
      </c>
      <c r="AV1469" t="inlineStr">
        <is>
          <t>6603912</t>
        </is>
      </c>
      <c r="AW1469" t="inlineStr">
        <is>
          <t>991005012549702656</t>
        </is>
      </c>
      <c r="AX1469" t="inlineStr">
        <is>
          <t>991005012549702656</t>
        </is>
      </c>
      <c r="AY1469" t="inlineStr">
        <is>
          <t>2254735250002656</t>
        </is>
      </c>
      <c r="AZ1469" t="inlineStr">
        <is>
          <t>BOOK</t>
        </is>
      </c>
      <c r="BB1469" t="inlineStr">
        <is>
          <t>9780899500102</t>
        </is>
      </c>
      <c r="BC1469" t="inlineStr">
        <is>
          <t>32285000057025</t>
        </is>
      </c>
      <c r="BD1469" t="inlineStr">
        <is>
          <t>893338372</t>
        </is>
      </c>
    </row>
    <row r="1470">
      <c r="A1470" t="inlineStr">
        <is>
          <t>No</t>
        </is>
      </c>
      <c r="B1470" t="inlineStr">
        <is>
          <t>DS558 .P63 1982</t>
        </is>
      </c>
      <c r="C1470" t="inlineStr">
        <is>
          <t>0                      DS 0558000P  63          1982</t>
        </is>
      </c>
      <c r="D1470" t="inlineStr">
        <is>
          <t>Why we were in Vietnam / Norman Podhoretz.</t>
        </is>
      </c>
      <c r="F1470" t="inlineStr">
        <is>
          <t>No</t>
        </is>
      </c>
      <c r="G1470" t="inlineStr">
        <is>
          <t>1</t>
        </is>
      </c>
      <c r="H1470" t="inlineStr">
        <is>
          <t>No</t>
        </is>
      </c>
      <c r="I1470" t="inlineStr">
        <is>
          <t>No</t>
        </is>
      </c>
      <c r="J1470" t="inlineStr">
        <is>
          <t>0</t>
        </is>
      </c>
      <c r="K1470" t="inlineStr">
        <is>
          <t>Podhoretz, Norman.</t>
        </is>
      </c>
      <c r="L1470" t="inlineStr">
        <is>
          <t>New York : Simon and Schuster, c1982.</t>
        </is>
      </c>
      <c r="M1470" t="inlineStr">
        <is>
          <t>1982</t>
        </is>
      </c>
      <c r="O1470" t="inlineStr">
        <is>
          <t>eng</t>
        </is>
      </c>
      <c r="P1470" t="inlineStr">
        <is>
          <t>nyu</t>
        </is>
      </c>
      <c r="R1470" t="inlineStr">
        <is>
          <t xml:space="preserve">DS </t>
        </is>
      </c>
      <c r="S1470" t="n">
        <v>4</v>
      </c>
      <c r="T1470" t="n">
        <v>4</v>
      </c>
      <c r="U1470" t="inlineStr">
        <is>
          <t>2001-10-30</t>
        </is>
      </c>
      <c r="V1470" t="inlineStr">
        <is>
          <t>2001-10-30</t>
        </is>
      </c>
      <c r="W1470" t="inlineStr">
        <is>
          <t>1990-05-08</t>
        </is>
      </c>
      <c r="X1470" t="inlineStr">
        <is>
          <t>1990-05-08</t>
        </is>
      </c>
      <c r="Y1470" t="n">
        <v>1168</v>
      </c>
      <c r="Z1470" t="n">
        <v>1064</v>
      </c>
      <c r="AA1470" t="n">
        <v>1126</v>
      </c>
      <c r="AB1470" t="n">
        <v>5</v>
      </c>
      <c r="AC1470" t="n">
        <v>6</v>
      </c>
      <c r="AD1470" t="n">
        <v>34</v>
      </c>
      <c r="AE1470" t="n">
        <v>37</v>
      </c>
      <c r="AF1470" t="n">
        <v>14</v>
      </c>
      <c r="AG1470" t="n">
        <v>14</v>
      </c>
      <c r="AH1470" t="n">
        <v>6</v>
      </c>
      <c r="AI1470" t="n">
        <v>7</v>
      </c>
      <c r="AJ1470" t="n">
        <v>18</v>
      </c>
      <c r="AK1470" t="n">
        <v>20</v>
      </c>
      <c r="AL1470" t="n">
        <v>3</v>
      </c>
      <c r="AM1470" t="n">
        <v>4</v>
      </c>
      <c r="AN1470" t="n">
        <v>0</v>
      </c>
      <c r="AO1470" t="n">
        <v>0</v>
      </c>
      <c r="AP1470" t="inlineStr">
        <is>
          <t>No</t>
        </is>
      </c>
      <c r="AQ1470" t="inlineStr">
        <is>
          <t>Yes</t>
        </is>
      </c>
      <c r="AR1470">
        <f>HYPERLINK("http://catalog.hathitrust.org/Record/000763539","HathiTrust Record")</f>
        <v/>
      </c>
      <c r="AS1470">
        <f>HYPERLINK("https://creighton-primo.hosted.exlibrisgroup.com/primo-explore/search?tab=default_tab&amp;search_scope=EVERYTHING&amp;vid=01CRU&amp;lang=en_US&amp;offset=0&amp;query=any,contains,991005194849702656","Catalog Record")</f>
        <v/>
      </c>
      <c r="AT1470">
        <f>HYPERLINK("http://www.worldcat.org/oclc/8034528","WorldCat Record")</f>
        <v/>
      </c>
      <c r="AU1470" t="inlineStr">
        <is>
          <t>30449131:eng</t>
        </is>
      </c>
      <c r="AV1470" t="inlineStr">
        <is>
          <t>8034528</t>
        </is>
      </c>
      <c r="AW1470" t="inlineStr">
        <is>
          <t>991005194849702656</t>
        </is>
      </c>
      <c r="AX1470" t="inlineStr">
        <is>
          <t>991005194849702656</t>
        </is>
      </c>
      <c r="AY1470" t="inlineStr">
        <is>
          <t>2267038310002656</t>
        </is>
      </c>
      <c r="AZ1470" t="inlineStr">
        <is>
          <t>BOOK</t>
        </is>
      </c>
      <c r="BB1470" t="inlineStr">
        <is>
          <t>9780671445782</t>
        </is>
      </c>
      <c r="BC1470" t="inlineStr">
        <is>
          <t>32285000150689</t>
        </is>
      </c>
      <c r="BD1470" t="inlineStr">
        <is>
          <t>893719952</t>
        </is>
      </c>
    </row>
    <row r="1471">
      <c r="A1471" t="inlineStr">
        <is>
          <t>No</t>
        </is>
      </c>
      <c r="B1471" t="inlineStr">
        <is>
          <t>DS558 .P73 1995</t>
        </is>
      </c>
      <c r="C1471" t="inlineStr">
        <is>
          <t>0                      DS 0558000P  73          1995</t>
        </is>
      </c>
      <c r="D1471" t="inlineStr">
        <is>
          <t>The hidden history of the Vietnam War / John Prados.</t>
        </is>
      </c>
      <c r="F1471" t="inlineStr">
        <is>
          <t>No</t>
        </is>
      </c>
      <c r="G1471" t="inlineStr">
        <is>
          <t>1</t>
        </is>
      </c>
      <c r="H1471" t="inlineStr">
        <is>
          <t>No</t>
        </is>
      </c>
      <c r="I1471" t="inlineStr">
        <is>
          <t>No</t>
        </is>
      </c>
      <c r="J1471" t="inlineStr">
        <is>
          <t>0</t>
        </is>
      </c>
      <c r="K1471" t="inlineStr">
        <is>
          <t>Prados, John.</t>
        </is>
      </c>
      <c r="L1471" t="inlineStr">
        <is>
          <t>Chicago : I.R. Dee, 1995.</t>
        </is>
      </c>
      <c r="M1471" t="inlineStr">
        <is>
          <t>1995</t>
        </is>
      </c>
      <c r="O1471" t="inlineStr">
        <is>
          <t>eng</t>
        </is>
      </c>
      <c r="P1471" t="inlineStr">
        <is>
          <t>ilu</t>
        </is>
      </c>
      <c r="R1471" t="inlineStr">
        <is>
          <t xml:space="preserve">DS </t>
        </is>
      </c>
      <c r="S1471" t="n">
        <v>3</v>
      </c>
      <c r="T1471" t="n">
        <v>3</v>
      </c>
      <c r="U1471" t="inlineStr">
        <is>
          <t>2003-04-21</t>
        </is>
      </c>
      <c r="V1471" t="inlineStr">
        <is>
          <t>2003-04-21</t>
        </is>
      </c>
      <c r="W1471" t="inlineStr">
        <is>
          <t>1996-02-13</t>
        </is>
      </c>
      <c r="X1471" t="inlineStr">
        <is>
          <t>1996-02-13</t>
        </is>
      </c>
      <c r="Y1471" t="n">
        <v>976</v>
      </c>
      <c r="Z1471" t="n">
        <v>885</v>
      </c>
      <c r="AA1471" t="n">
        <v>978</v>
      </c>
      <c r="AB1471" t="n">
        <v>8</v>
      </c>
      <c r="AC1471" t="n">
        <v>8</v>
      </c>
      <c r="AD1471" t="n">
        <v>32</v>
      </c>
      <c r="AE1471" t="n">
        <v>36</v>
      </c>
      <c r="AF1471" t="n">
        <v>14</v>
      </c>
      <c r="AG1471" t="n">
        <v>17</v>
      </c>
      <c r="AH1471" t="n">
        <v>6</v>
      </c>
      <c r="AI1471" t="n">
        <v>6</v>
      </c>
      <c r="AJ1471" t="n">
        <v>15</v>
      </c>
      <c r="AK1471" t="n">
        <v>17</v>
      </c>
      <c r="AL1471" t="n">
        <v>5</v>
      </c>
      <c r="AM1471" t="n">
        <v>5</v>
      </c>
      <c r="AN1471" t="n">
        <v>0</v>
      </c>
      <c r="AO1471" t="n">
        <v>0</v>
      </c>
      <c r="AP1471" t="inlineStr">
        <is>
          <t>No</t>
        </is>
      </c>
      <c r="AQ1471" t="inlineStr">
        <is>
          <t>Yes</t>
        </is>
      </c>
      <c r="AR1471">
        <f>HYPERLINK("http://catalog.hathitrust.org/Record/002966706","HathiTrust Record")</f>
        <v/>
      </c>
      <c r="AS1471">
        <f>HYPERLINK("https://creighton-primo.hosted.exlibrisgroup.com/primo-explore/search?tab=default_tab&amp;search_scope=EVERYTHING&amp;vid=01CRU&amp;lang=en_US&amp;offset=0&amp;query=any,contains,991002433989702656","Catalog Record")</f>
        <v/>
      </c>
      <c r="AT1471">
        <f>HYPERLINK("http://www.worldcat.org/oclc/31738679","WorldCat Record")</f>
        <v/>
      </c>
      <c r="AU1471" t="inlineStr">
        <is>
          <t>678029:eng</t>
        </is>
      </c>
      <c r="AV1471" t="inlineStr">
        <is>
          <t>31738679</t>
        </is>
      </c>
      <c r="AW1471" t="inlineStr">
        <is>
          <t>991002433989702656</t>
        </is>
      </c>
      <c r="AX1471" t="inlineStr">
        <is>
          <t>991002433989702656</t>
        </is>
      </c>
      <c r="AY1471" t="inlineStr">
        <is>
          <t>2263050310002656</t>
        </is>
      </c>
      <c r="AZ1471" t="inlineStr">
        <is>
          <t>BOOK</t>
        </is>
      </c>
      <c r="BB1471" t="inlineStr">
        <is>
          <t>9781566630795</t>
        </is>
      </c>
      <c r="BC1471" t="inlineStr">
        <is>
          <t>32285002129475</t>
        </is>
      </c>
      <c r="BD1471" t="inlineStr">
        <is>
          <t>893721462</t>
        </is>
      </c>
    </row>
    <row r="1472">
      <c r="A1472" t="inlineStr">
        <is>
          <t>No</t>
        </is>
      </c>
      <c r="B1472" t="inlineStr">
        <is>
          <t>DS558 .P74 1999</t>
        </is>
      </c>
      <c r="C1472" t="inlineStr">
        <is>
          <t>0                      DS 0558000P  74          1999</t>
        </is>
      </c>
      <c r="D1472" t="inlineStr">
        <is>
          <t>The blood road : the Ho Chi Minh Trail and the Vietnam War / John Prados.</t>
        </is>
      </c>
      <c r="F1472" t="inlineStr">
        <is>
          <t>No</t>
        </is>
      </c>
      <c r="G1472" t="inlineStr">
        <is>
          <t>1</t>
        </is>
      </c>
      <c r="H1472" t="inlineStr">
        <is>
          <t>No</t>
        </is>
      </c>
      <c r="I1472" t="inlineStr">
        <is>
          <t>No</t>
        </is>
      </c>
      <c r="J1472" t="inlineStr">
        <is>
          <t>0</t>
        </is>
      </c>
      <c r="K1472" t="inlineStr">
        <is>
          <t>Prados, John.</t>
        </is>
      </c>
      <c r="L1472" t="inlineStr">
        <is>
          <t>New York : Wiley, c1999.</t>
        </is>
      </c>
      <c r="M1472" t="inlineStr">
        <is>
          <t>1999</t>
        </is>
      </c>
      <c r="O1472" t="inlineStr">
        <is>
          <t>eng</t>
        </is>
      </c>
      <c r="P1472" t="inlineStr">
        <is>
          <t>nyu</t>
        </is>
      </c>
      <c r="R1472" t="inlineStr">
        <is>
          <t xml:space="preserve">DS </t>
        </is>
      </c>
      <c r="S1472" t="n">
        <v>2</v>
      </c>
      <c r="T1472" t="n">
        <v>2</v>
      </c>
      <c r="U1472" t="inlineStr">
        <is>
          <t>2000-06-06</t>
        </is>
      </c>
      <c r="V1472" t="inlineStr">
        <is>
          <t>2000-06-06</t>
        </is>
      </c>
      <c r="W1472" t="inlineStr">
        <is>
          <t>1999-04-19</t>
        </is>
      </c>
      <c r="X1472" t="inlineStr">
        <is>
          <t>1999-04-19</t>
        </is>
      </c>
      <c r="Y1472" t="n">
        <v>916</v>
      </c>
      <c r="Z1472" t="n">
        <v>839</v>
      </c>
      <c r="AA1472" t="n">
        <v>852</v>
      </c>
      <c r="AB1472" t="n">
        <v>8</v>
      </c>
      <c r="AC1472" t="n">
        <v>8</v>
      </c>
      <c r="AD1472" t="n">
        <v>31</v>
      </c>
      <c r="AE1472" t="n">
        <v>31</v>
      </c>
      <c r="AF1472" t="n">
        <v>12</v>
      </c>
      <c r="AG1472" t="n">
        <v>12</v>
      </c>
      <c r="AH1472" t="n">
        <v>8</v>
      </c>
      <c r="AI1472" t="n">
        <v>8</v>
      </c>
      <c r="AJ1472" t="n">
        <v>12</v>
      </c>
      <c r="AK1472" t="n">
        <v>12</v>
      </c>
      <c r="AL1472" t="n">
        <v>6</v>
      </c>
      <c r="AM1472" t="n">
        <v>6</v>
      </c>
      <c r="AN1472" t="n">
        <v>0</v>
      </c>
      <c r="AO1472" t="n">
        <v>0</v>
      </c>
      <c r="AP1472" t="inlineStr">
        <is>
          <t>No</t>
        </is>
      </c>
      <c r="AQ1472" t="inlineStr">
        <is>
          <t>Yes</t>
        </is>
      </c>
      <c r="AR1472">
        <f>HYPERLINK("http://catalog.hathitrust.org/Record/004002349","HathiTrust Record")</f>
        <v/>
      </c>
      <c r="AS1472">
        <f>HYPERLINK("https://creighton-primo.hosted.exlibrisgroup.com/primo-explore/search?tab=default_tab&amp;search_scope=EVERYTHING&amp;vid=01CRU&amp;lang=en_US&amp;offset=0&amp;query=any,contains,991002897589702656","Catalog Record")</f>
        <v/>
      </c>
      <c r="AT1472">
        <f>HYPERLINK("http://www.worldcat.org/oclc/38199521","WorldCat Record")</f>
        <v/>
      </c>
      <c r="AU1472" t="inlineStr">
        <is>
          <t>9043184:eng</t>
        </is>
      </c>
      <c r="AV1472" t="inlineStr">
        <is>
          <t>38199521</t>
        </is>
      </c>
      <c r="AW1472" t="inlineStr">
        <is>
          <t>991002897589702656</t>
        </is>
      </c>
      <c r="AX1472" t="inlineStr">
        <is>
          <t>991002897589702656</t>
        </is>
      </c>
      <c r="AY1472" t="inlineStr">
        <is>
          <t>2268679180002656</t>
        </is>
      </c>
      <c r="AZ1472" t="inlineStr">
        <is>
          <t>BOOK</t>
        </is>
      </c>
      <c r="BB1472" t="inlineStr">
        <is>
          <t>9780471254652</t>
        </is>
      </c>
      <c r="BC1472" t="inlineStr">
        <is>
          <t>32285003553392</t>
        </is>
      </c>
      <c r="BD1472" t="inlineStr">
        <is>
          <t>893893145</t>
        </is>
      </c>
    </row>
    <row r="1473">
      <c r="A1473" t="inlineStr">
        <is>
          <t>No</t>
        </is>
      </c>
      <c r="B1473" t="inlineStr">
        <is>
          <t>DS558 .S39 1998</t>
        </is>
      </c>
      <c r="C1473" t="inlineStr">
        <is>
          <t>0                      DS 0558000S  39          1998</t>
        </is>
      </c>
      <c r="D1473" t="inlineStr">
        <is>
          <t>Defending the free world : John F. Kennedy, Lyndon Johnson, and the Vietnam War, 1961-1965 / Orrin Schwab.</t>
        </is>
      </c>
      <c r="F1473" t="inlineStr">
        <is>
          <t>No</t>
        </is>
      </c>
      <c r="G1473" t="inlineStr">
        <is>
          <t>1</t>
        </is>
      </c>
      <c r="H1473" t="inlineStr">
        <is>
          <t>No</t>
        </is>
      </c>
      <c r="I1473" t="inlineStr">
        <is>
          <t>No</t>
        </is>
      </c>
      <c r="J1473" t="inlineStr">
        <is>
          <t>0</t>
        </is>
      </c>
      <c r="K1473" t="inlineStr">
        <is>
          <t>Schwab, Orrin, 1956-</t>
        </is>
      </c>
      <c r="L1473" t="inlineStr">
        <is>
          <t>Westport, Conn. : Praeger, 1998.</t>
        </is>
      </c>
      <c r="M1473" t="inlineStr">
        <is>
          <t>1998</t>
        </is>
      </c>
      <c r="O1473" t="inlineStr">
        <is>
          <t>eng</t>
        </is>
      </c>
      <c r="P1473" t="inlineStr">
        <is>
          <t>ctu</t>
        </is>
      </c>
      <c r="Q1473" t="inlineStr">
        <is>
          <t>Praeger studies in diplomacy and strategic thought, 1076-1543</t>
        </is>
      </c>
      <c r="R1473" t="inlineStr">
        <is>
          <t xml:space="preserve">DS </t>
        </is>
      </c>
      <c r="S1473" t="n">
        <v>4</v>
      </c>
      <c r="T1473" t="n">
        <v>4</v>
      </c>
      <c r="U1473" t="inlineStr">
        <is>
          <t>2009-05-01</t>
        </is>
      </c>
      <c r="V1473" t="inlineStr">
        <is>
          <t>2009-05-01</t>
        </is>
      </c>
      <c r="W1473" t="inlineStr">
        <is>
          <t>1999-11-09</t>
        </is>
      </c>
      <c r="X1473" t="inlineStr">
        <is>
          <t>1999-11-09</t>
        </is>
      </c>
      <c r="Y1473" t="n">
        <v>380</v>
      </c>
      <c r="Z1473" t="n">
        <v>309</v>
      </c>
      <c r="AA1473" t="n">
        <v>671</v>
      </c>
      <c r="AB1473" t="n">
        <v>3</v>
      </c>
      <c r="AC1473" t="n">
        <v>5</v>
      </c>
      <c r="AD1473" t="n">
        <v>18</v>
      </c>
      <c r="AE1473" t="n">
        <v>25</v>
      </c>
      <c r="AF1473" t="n">
        <v>6</v>
      </c>
      <c r="AG1473" t="n">
        <v>10</v>
      </c>
      <c r="AH1473" t="n">
        <v>6</v>
      </c>
      <c r="AI1473" t="n">
        <v>7</v>
      </c>
      <c r="AJ1473" t="n">
        <v>10</v>
      </c>
      <c r="AK1473" t="n">
        <v>12</v>
      </c>
      <c r="AL1473" t="n">
        <v>2</v>
      </c>
      <c r="AM1473" t="n">
        <v>4</v>
      </c>
      <c r="AN1473" t="n">
        <v>0</v>
      </c>
      <c r="AO1473" t="n">
        <v>0</v>
      </c>
      <c r="AP1473" t="inlineStr">
        <is>
          <t>No</t>
        </is>
      </c>
      <c r="AQ1473" t="inlineStr">
        <is>
          <t>Yes</t>
        </is>
      </c>
      <c r="AR1473">
        <f>HYPERLINK("http://catalog.hathitrust.org/Record/004001483","HathiTrust Record")</f>
        <v/>
      </c>
      <c r="AS1473">
        <f>HYPERLINK("https://creighton-primo.hosted.exlibrisgroup.com/primo-explore/search?tab=default_tab&amp;search_scope=EVERYTHING&amp;vid=01CRU&amp;lang=en_US&amp;offset=0&amp;query=any,contains,991002925289702656","Catalog Record")</f>
        <v/>
      </c>
      <c r="AT1473">
        <f>HYPERLINK("http://www.worldcat.org/oclc/38883752","WorldCat Record")</f>
        <v/>
      </c>
      <c r="AU1473" t="inlineStr">
        <is>
          <t>2579557:eng</t>
        </is>
      </c>
      <c r="AV1473" t="inlineStr">
        <is>
          <t>38883752</t>
        </is>
      </c>
      <c r="AW1473" t="inlineStr">
        <is>
          <t>991002925289702656</t>
        </is>
      </c>
      <c r="AX1473" t="inlineStr">
        <is>
          <t>991002925289702656</t>
        </is>
      </c>
      <c r="AY1473" t="inlineStr">
        <is>
          <t>2259825740002656</t>
        </is>
      </c>
      <c r="AZ1473" t="inlineStr">
        <is>
          <t>BOOK</t>
        </is>
      </c>
      <c r="BB1473" t="inlineStr">
        <is>
          <t>9780275962791</t>
        </is>
      </c>
      <c r="BC1473" t="inlineStr">
        <is>
          <t>32285003619755</t>
        </is>
      </c>
      <c r="BD1473" t="inlineStr">
        <is>
          <t>893233614</t>
        </is>
      </c>
    </row>
    <row r="1474">
      <c r="A1474" t="inlineStr">
        <is>
          <t>No</t>
        </is>
      </c>
      <c r="B1474" t="inlineStr">
        <is>
          <t>DS558 .S46</t>
        </is>
      </c>
      <c r="C1474" t="inlineStr">
        <is>
          <t>0                      DS 0558000S  46</t>
        </is>
      </c>
      <c r="D1474" t="inlineStr">
        <is>
          <t>Strategy for defeat : Vietnam in retrospect / U.S. Grant Sharp.</t>
        </is>
      </c>
      <c r="F1474" t="inlineStr">
        <is>
          <t>No</t>
        </is>
      </c>
      <c r="G1474" t="inlineStr">
        <is>
          <t>1</t>
        </is>
      </c>
      <c r="H1474" t="inlineStr">
        <is>
          <t>No</t>
        </is>
      </c>
      <c r="I1474" t="inlineStr">
        <is>
          <t>No</t>
        </is>
      </c>
      <c r="J1474" t="inlineStr">
        <is>
          <t>0</t>
        </is>
      </c>
      <c r="K1474" t="inlineStr">
        <is>
          <t>Sharp, U. S. Grant (Ulysses S. Grant), 1906-</t>
        </is>
      </c>
      <c r="L1474" t="inlineStr">
        <is>
          <t>San Rafael, Calif. : Presidio Press, c1978.</t>
        </is>
      </c>
      <c r="M1474" t="inlineStr">
        <is>
          <t>1978</t>
        </is>
      </c>
      <c r="O1474" t="inlineStr">
        <is>
          <t>eng</t>
        </is>
      </c>
      <c r="P1474" t="inlineStr">
        <is>
          <t>cau</t>
        </is>
      </c>
      <c r="R1474" t="inlineStr">
        <is>
          <t xml:space="preserve">DS </t>
        </is>
      </c>
      <c r="S1474" t="n">
        <v>6</v>
      </c>
      <c r="T1474" t="n">
        <v>6</v>
      </c>
      <c r="U1474" t="inlineStr">
        <is>
          <t>1997-04-14</t>
        </is>
      </c>
      <c r="V1474" t="inlineStr">
        <is>
          <t>1997-04-14</t>
        </is>
      </c>
      <c r="W1474" t="inlineStr">
        <is>
          <t>1990-04-02</t>
        </is>
      </c>
      <c r="X1474" t="inlineStr">
        <is>
          <t>1990-04-02</t>
        </is>
      </c>
      <c r="Y1474" t="n">
        <v>687</v>
      </c>
      <c r="Z1474" t="n">
        <v>618</v>
      </c>
      <c r="AA1474" t="n">
        <v>761</v>
      </c>
      <c r="AB1474" t="n">
        <v>3</v>
      </c>
      <c r="AC1474" t="n">
        <v>5</v>
      </c>
      <c r="AD1474" t="n">
        <v>23</v>
      </c>
      <c r="AE1474" t="n">
        <v>31</v>
      </c>
      <c r="AF1474" t="n">
        <v>9</v>
      </c>
      <c r="AG1474" t="n">
        <v>11</v>
      </c>
      <c r="AH1474" t="n">
        <v>7</v>
      </c>
      <c r="AI1474" t="n">
        <v>8</v>
      </c>
      <c r="AJ1474" t="n">
        <v>12</v>
      </c>
      <c r="AK1474" t="n">
        <v>17</v>
      </c>
      <c r="AL1474" t="n">
        <v>2</v>
      </c>
      <c r="AM1474" t="n">
        <v>4</v>
      </c>
      <c r="AN1474" t="n">
        <v>0</v>
      </c>
      <c r="AO1474" t="n">
        <v>0</v>
      </c>
      <c r="AP1474" t="inlineStr">
        <is>
          <t>No</t>
        </is>
      </c>
      <c r="AQ1474" t="inlineStr">
        <is>
          <t>Yes</t>
        </is>
      </c>
      <c r="AR1474">
        <f>HYPERLINK("http://catalog.hathitrust.org/Record/000175428","HathiTrust Record")</f>
        <v/>
      </c>
      <c r="AS1474">
        <f>HYPERLINK("https://creighton-primo.hosted.exlibrisgroup.com/primo-explore/search?tab=default_tab&amp;search_scope=EVERYTHING&amp;vid=01CRU&amp;lang=en_US&amp;offset=0&amp;query=any,contains,991004555509702656","Catalog Record")</f>
        <v/>
      </c>
      <c r="AT1474">
        <f>HYPERLINK("http://www.worldcat.org/oclc/3966077","WorldCat Record")</f>
        <v/>
      </c>
      <c r="AU1474" t="inlineStr">
        <is>
          <t>548268:eng</t>
        </is>
      </c>
      <c r="AV1474" t="inlineStr">
        <is>
          <t>3966077</t>
        </is>
      </c>
      <c r="AW1474" t="inlineStr">
        <is>
          <t>991004555509702656</t>
        </is>
      </c>
      <c r="AX1474" t="inlineStr">
        <is>
          <t>991004555509702656</t>
        </is>
      </c>
      <c r="AY1474" t="inlineStr">
        <is>
          <t>2263809990002656</t>
        </is>
      </c>
      <c r="AZ1474" t="inlineStr">
        <is>
          <t>BOOK</t>
        </is>
      </c>
      <c r="BB1474" t="inlineStr">
        <is>
          <t>9780891410539</t>
        </is>
      </c>
      <c r="BC1474" t="inlineStr">
        <is>
          <t>32285000107911</t>
        </is>
      </c>
      <c r="BD1474" t="inlineStr">
        <is>
          <t>893895145</t>
        </is>
      </c>
    </row>
    <row r="1475">
      <c r="A1475" t="inlineStr">
        <is>
          <t>No</t>
        </is>
      </c>
      <c r="B1475" t="inlineStr">
        <is>
          <t>DS558 .S55 2005</t>
        </is>
      </c>
      <c r="C1475" t="inlineStr">
        <is>
          <t>0                      DS 0558000S  55          2005</t>
        </is>
      </c>
      <c r="D1475" t="inlineStr">
        <is>
          <t>At the water's edge : American politics and the Vietnam War / Melvin Small.</t>
        </is>
      </c>
      <c r="F1475" t="inlineStr">
        <is>
          <t>No</t>
        </is>
      </c>
      <c r="G1475" t="inlineStr">
        <is>
          <t>1</t>
        </is>
      </c>
      <c r="H1475" t="inlineStr">
        <is>
          <t>No</t>
        </is>
      </c>
      <c r="I1475" t="inlineStr">
        <is>
          <t>No</t>
        </is>
      </c>
      <c r="J1475" t="inlineStr">
        <is>
          <t>0</t>
        </is>
      </c>
      <c r="K1475" t="inlineStr">
        <is>
          <t>Small, Melvin.</t>
        </is>
      </c>
      <c r="L1475" t="inlineStr">
        <is>
          <t>Chicago : Ivan R. Dee, c2005.</t>
        </is>
      </c>
      <c r="M1475" t="inlineStr">
        <is>
          <t>2005</t>
        </is>
      </c>
      <c r="O1475" t="inlineStr">
        <is>
          <t>eng</t>
        </is>
      </c>
      <c r="P1475" t="inlineStr">
        <is>
          <t>ilu</t>
        </is>
      </c>
      <c r="Q1475" t="inlineStr">
        <is>
          <t>The American ways series</t>
        </is>
      </c>
      <c r="R1475" t="inlineStr">
        <is>
          <t xml:space="preserve">DS </t>
        </is>
      </c>
      <c r="S1475" t="n">
        <v>1</v>
      </c>
      <c r="T1475" t="n">
        <v>1</v>
      </c>
      <c r="U1475" t="inlineStr">
        <is>
          <t>2007-04-11</t>
        </is>
      </c>
      <c r="V1475" t="inlineStr">
        <is>
          <t>2007-04-11</t>
        </is>
      </c>
      <c r="W1475" t="inlineStr">
        <is>
          <t>2007-04-11</t>
        </is>
      </c>
      <c r="X1475" t="inlineStr">
        <is>
          <t>2007-04-11</t>
        </is>
      </c>
      <c r="Y1475" t="n">
        <v>771</v>
      </c>
      <c r="Z1475" t="n">
        <v>691</v>
      </c>
      <c r="AA1475" t="n">
        <v>699</v>
      </c>
      <c r="AB1475" t="n">
        <v>4</v>
      </c>
      <c r="AC1475" t="n">
        <v>4</v>
      </c>
      <c r="AD1475" t="n">
        <v>23</v>
      </c>
      <c r="AE1475" t="n">
        <v>23</v>
      </c>
      <c r="AF1475" t="n">
        <v>11</v>
      </c>
      <c r="AG1475" t="n">
        <v>11</v>
      </c>
      <c r="AH1475" t="n">
        <v>4</v>
      </c>
      <c r="AI1475" t="n">
        <v>4</v>
      </c>
      <c r="AJ1475" t="n">
        <v>12</v>
      </c>
      <c r="AK1475" t="n">
        <v>12</v>
      </c>
      <c r="AL1475" t="n">
        <v>3</v>
      </c>
      <c r="AM1475" t="n">
        <v>3</v>
      </c>
      <c r="AN1475" t="n">
        <v>0</v>
      </c>
      <c r="AO1475" t="n">
        <v>0</v>
      </c>
      <c r="AP1475" t="inlineStr">
        <is>
          <t>No</t>
        </is>
      </c>
      <c r="AQ1475" t="inlineStr">
        <is>
          <t>Yes</t>
        </is>
      </c>
      <c r="AR1475">
        <f>HYPERLINK("http://catalog.hathitrust.org/Record/004987128","HathiTrust Record")</f>
        <v/>
      </c>
      <c r="AS1475">
        <f>HYPERLINK("https://creighton-primo.hosted.exlibrisgroup.com/primo-explore/search?tab=default_tab&amp;search_scope=EVERYTHING&amp;vid=01CRU&amp;lang=en_US&amp;offset=0&amp;query=any,contains,991005063619702656","Catalog Record")</f>
        <v/>
      </c>
      <c r="AT1475">
        <f>HYPERLINK("http://www.worldcat.org/oclc/56686568","WorldCat Record")</f>
        <v/>
      </c>
      <c r="AU1475" t="inlineStr">
        <is>
          <t>796484313:eng</t>
        </is>
      </c>
      <c r="AV1475" t="inlineStr">
        <is>
          <t>56686568</t>
        </is>
      </c>
      <c r="AW1475" t="inlineStr">
        <is>
          <t>991005063619702656</t>
        </is>
      </c>
      <c r="AX1475" t="inlineStr">
        <is>
          <t>991005063619702656</t>
        </is>
      </c>
      <c r="AY1475" t="inlineStr">
        <is>
          <t>2272223410002656</t>
        </is>
      </c>
      <c r="AZ1475" t="inlineStr">
        <is>
          <t>BOOK</t>
        </is>
      </c>
      <c r="BB1475" t="inlineStr">
        <is>
          <t>9781566635936</t>
        </is>
      </c>
      <c r="BC1475" t="inlineStr">
        <is>
          <t>32285005286207</t>
        </is>
      </c>
      <c r="BD1475" t="inlineStr">
        <is>
          <t>893722727</t>
        </is>
      </c>
    </row>
    <row r="1476">
      <c r="A1476" t="inlineStr">
        <is>
          <t>No</t>
        </is>
      </c>
      <c r="B1476" t="inlineStr">
        <is>
          <t>DS558 .S737 1996</t>
        </is>
      </c>
      <c r="C1476" t="inlineStr">
        <is>
          <t>0                      DS 0558000S  737         1996</t>
        </is>
      </c>
      <c r="D1476" t="inlineStr">
        <is>
          <t>Shame and humiliation : presidential decision making on Vietnam / Blema S. Steinberg.</t>
        </is>
      </c>
      <c r="F1476" t="inlineStr">
        <is>
          <t>No</t>
        </is>
      </c>
      <c r="G1476" t="inlineStr">
        <is>
          <t>1</t>
        </is>
      </c>
      <c r="H1476" t="inlineStr">
        <is>
          <t>No</t>
        </is>
      </c>
      <c r="I1476" t="inlineStr">
        <is>
          <t>No</t>
        </is>
      </c>
      <c r="J1476" t="inlineStr">
        <is>
          <t>0</t>
        </is>
      </c>
      <c r="K1476" t="inlineStr">
        <is>
          <t>Steinberg, Blema S.</t>
        </is>
      </c>
      <c r="L1476" t="inlineStr">
        <is>
          <t>Pittsburgh, Pa. : University of Pittsburgh Press, c1996.</t>
        </is>
      </c>
      <c r="M1476" t="inlineStr">
        <is>
          <t>1996</t>
        </is>
      </c>
      <c r="O1476" t="inlineStr">
        <is>
          <t>eng</t>
        </is>
      </c>
      <c r="P1476" t="inlineStr">
        <is>
          <t>pau</t>
        </is>
      </c>
      <c r="R1476" t="inlineStr">
        <is>
          <t xml:space="preserve">DS </t>
        </is>
      </c>
      <c r="S1476" t="n">
        <v>2</v>
      </c>
      <c r="T1476" t="n">
        <v>2</v>
      </c>
      <c r="U1476" t="inlineStr">
        <is>
          <t>1998-04-11</t>
        </is>
      </c>
      <c r="V1476" t="inlineStr">
        <is>
          <t>1998-04-11</t>
        </is>
      </c>
      <c r="W1476" t="inlineStr">
        <is>
          <t>1997-03-06</t>
        </is>
      </c>
      <c r="X1476" t="inlineStr">
        <is>
          <t>1997-03-06</t>
        </is>
      </c>
      <c r="Y1476" t="n">
        <v>355</v>
      </c>
      <c r="Z1476" t="n">
        <v>309</v>
      </c>
      <c r="AA1476" t="n">
        <v>930</v>
      </c>
      <c r="AB1476" t="n">
        <v>3</v>
      </c>
      <c r="AC1476" t="n">
        <v>11</v>
      </c>
      <c r="AD1476" t="n">
        <v>16</v>
      </c>
      <c r="AE1476" t="n">
        <v>39</v>
      </c>
      <c r="AF1476" t="n">
        <v>3</v>
      </c>
      <c r="AG1476" t="n">
        <v>11</v>
      </c>
      <c r="AH1476" t="n">
        <v>5</v>
      </c>
      <c r="AI1476" t="n">
        <v>10</v>
      </c>
      <c r="AJ1476" t="n">
        <v>9</v>
      </c>
      <c r="AK1476" t="n">
        <v>14</v>
      </c>
      <c r="AL1476" t="n">
        <v>2</v>
      </c>
      <c r="AM1476" t="n">
        <v>9</v>
      </c>
      <c r="AN1476" t="n">
        <v>1</v>
      </c>
      <c r="AO1476" t="n">
        <v>2</v>
      </c>
      <c r="AP1476" t="inlineStr">
        <is>
          <t>No</t>
        </is>
      </c>
      <c r="AQ1476" t="inlineStr">
        <is>
          <t>Yes</t>
        </is>
      </c>
      <c r="AR1476">
        <f>HYPERLINK("http://catalog.hathitrust.org/Record/003062564","HathiTrust Record")</f>
        <v/>
      </c>
      <c r="AS1476">
        <f>HYPERLINK("https://creighton-primo.hosted.exlibrisgroup.com/primo-explore/search?tab=default_tab&amp;search_scope=EVERYTHING&amp;vid=01CRU&amp;lang=en_US&amp;offset=0&amp;query=any,contains,991002590299702656","Catalog Record")</f>
        <v/>
      </c>
      <c r="AT1476">
        <f>HYPERLINK("http://www.worldcat.org/oclc/33947900","WorldCat Record")</f>
        <v/>
      </c>
      <c r="AU1476" t="inlineStr">
        <is>
          <t>794161752:eng</t>
        </is>
      </c>
      <c r="AV1476" t="inlineStr">
        <is>
          <t>33947900</t>
        </is>
      </c>
      <c r="AW1476" t="inlineStr">
        <is>
          <t>991002590299702656</t>
        </is>
      </c>
      <c r="AX1476" t="inlineStr">
        <is>
          <t>991002590299702656</t>
        </is>
      </c>
      <c r="AY1476" t="inlineStr">
        <is>
          <t>2262093150002656</t>
        </is>
      </c>
      <c r="AZ1476" t="inlineStr">
        <is>
          <t>BOOK</t>
        </is>
      </c>
      <c r="BB1476" t="inlineStr">
        <is>
          <t>9780822939412</t>
        </is>
      </c>
      <c r="BC1476" t="inlineStr">
        <is>
          <t>32285002440443</t>
        </is>
      </c>
      <c r="BD1476" t="inlineStr">
        <is>
          <t>893409279</t>
        </is>
      </c>
    </row>
    <row r="1477">
      <c r="A1477" t="inlineStr">
        <is>
          <t>No</t>
        </is>
      </c>
      <c r="B1477" t="inlineStr">
        <is>
          <t>DS558 .S88 1993</t>
        </is>
      </c>
      <c r="C1477" t="inlineStr">
        <is>
          <t>0                      DS 0558000S  88          1993</t>
        </is>
      </c>
      <c r="D1477" t="inlineStr">
        <is>
          <t>Uncertain warriors : Lyndon Johnson and his Vietnam advisers / David M Barrett.</t>
        </is>
      </c>
      <c r="F1477" t="inlineStr">
        <is>
          <t>No</t>
        </is>
      </c>
      <c r="G1477" t="inlineStr">
        <is>
          <t>1</t>
        </is>
      </c>
      <c r="H1477" t="inlineStr">
        <is>
          <t>No</t>
        </is>
      </c>
      <c r="I1477" t="inlineStr">
        <is>
          <t>No</t>
        </is>
      </c>
      <c r="J1477" t="inlineStr">
        <is>
          <t>0</t>
        </is>
      </c>
      <c r="K1477" t="inlineStr">
        <is>
          <t>Barrett, David M., 1951-</t>
        </is>
      </c>
      <c r="L1477" t="inlineStr">
        <is>
          <t>Lawrence, KS : University Press of Kansas, 1993.</t>
        </is>
      </c>
      <c r="M1477" t="inlineStr">
        <is>
          <t>1993</t>
        </is>
      </c>
      <c r="O1477" t="inlineStr">
        <is>
          <t>eng</t>
        </is>
      </c>
      <c r="P1477" t="inlineStr">
        <is>
          <t>ksu</t>
        </is>
      </c>
      <c r="Q1477" t="inlineStr">
        <is>
          <t>Modern war studies</t>
        </is>
      </c>
      <c r="R1477" t="inlineStr">
        <is>
          <t xml:space="preserve">DS </t>
        </is>
      </c>
      <c r="S1477" t="n">
        <v>1</v>
      </c>
      <c r="T1477" t="n">
        <v>1</v>
      </c>
      <c r="U1477" t="inlineStr">
        <is>
          <t>1996-04-15</t>
        </is>
      </c>
      <c r="V1477" t="inlineStr">
        <is>
          <t>1996-04-15</t>
        </is>
      </c>
      <c r="W1477" t="inlineStr">
        <is>
          <t>1994-05-24</t>
        </is>
      </c>
      <c r="X1477" t="inlineStr">
        <is>
          <t>1994-05-24</t>
        </is>
      </c>
      <c r="Y1477" t="n">
        <v>885</v>
      </c>
      <c r="Z1477" t="n">
        <v>775</v>
      </c>
      <c r="AA1477" t="n">
        <v>777</v>
      </c>
      <c r="AB1477" t="n">
        <v>6</v>
      </c>
      <c r="AC1477" t="n">
        <v>6</v>
      </c>
      <c r="AD1477" t="n">
        <v>41</v>
      </c>
      <c r="AE1477" t="n">
        <v>41</v>
      </c>
      <c r="AF1477" t="n">
        <v>19</v>
      </c>
      <c r="AG1477" t="n">
        <v>19</v>
      </c>
      <c r="AH1477" t="n">
        <v>7</v>
      </c>
      <c r="AI1477" t="n">
        <v>7</v>
      </c>
      <c r="AJ1477" t="n">
        <v>19</v>
      </c>
      <c r="AK1477" t="n">
        <v>19</v>
      </c>
      <c r="AL1477" t="n">
        <v>5</v>
      </c>
      <c r="AM1477" t="n">
        <v>5</v>
      </c>
      <c r="AN1477" t="n">
        <v>1</v>
      </c>
      <c r="AO1477" t="n">
        <v>1</v>
      </c>
      <c r="AP1477" t="inlineStr">
        <is>
          <t>No</t>
        </is>
      </c>
      <c r="AQ1477" t="inlineStr">
        <is>
          <t>Yes</t>
        </is>
      </c>
      <c r="AR1477">
        <f>HYPERLINK("http://catalog.hathitrust.org/Record/002712768","HathiTrust Record")</f>
        <v/>
      </c>
      <c r="AS1477">
        <f>HYPERLINK("https://creighton-primo.hosted.exlibrisgroup.com/primo-explore/search?tab=default_tab&amp;search_scope=EVERYTHING&amp;vid=01CRU&amp;lang=en_US&amp;offset=0&amp;query=any,contains,991002169999702656","Catalog Record")</f>
        <v/>
      </c>
      <c r="AT1477">
        <f>HYPERLINK("http://www.worldcat.org/oclc/27935100","WorldCat Record")</f>
        <v/>
      </c>
      <c r="AU1477" t="inlineStr">
        <is>
          <t>30590317:eng</t>
        </is>
      </c>
      <c r="AV1477" t="inlineStr">
        <is>
          <t>27935100</t>
        </is>
      </c>
      <c r="AW1477" t="inlineStr">
        <is>
          <t>991002169999702656</t>
        </is>
      </c>
      <c r="AX1477" t="inlineStr">
        <is>
          <t>991002169999702656</t>
        </is>
      </c>
      <c r="AY1477" t="inlineStr">
        <is>
          <t>2258594730002656</t>
        </is>
      </c>
      <c r="AZ1477" t="inlineStr">
        <is>
          <t>BOOK</t>
        </is>
      </c>
      <c r="BB1477" t="inlineStr">
        <is>
          <t>9780700606122</t>
        </is>
      </c>
      <c r="BC1477" t="inlineStr">
        <is>
          <t>32285001898336</t>
        </is>
      </c>
      <c r="BD1477" t="inlineStr">
        <is>
          <t>893238718</t>
        </is>
      </c>
    </row>
    <row r="1478">
      <c r="A1478" t="inlineStr">
        <is>
          <t>No</t>
        </is>
      </c>
      <c r="B1478" t="inlineStr">
        <is>
          <t>DS558 .T47</t>
        </is>
      </c>
      <c r="C1478" t="inlineStr">
        <is>
          <t>0                      DS 0558000T  47</t>
        </is>
      </c>
      <c r="D1478" t="inlineStr">
        <is>
          <t>Rolling Thunder : understanding policy and program failure / by James Clay Thompson.</t>
        </is>
      </c>
      <c r="F1478" t="inlineStr">
        <is>
          <t>No</t>
        </is>
      </c>
      <c r="G1478" t="inlineStr">
        <is>
          <t>1</t>
        </is>
      </c>
      <c r="H1478" t="inlineStr">
        <is>
          <t>No</t>
        </is>
      </c>
      <c r="I1478" t="inlineStr">
        <is>
          <t>No</t>
        </is>
      </c>
      <c r="J1478" t="inlineStr">
        <is>
          <t>0</t>
        </is>
      </c>
      <c r="K1478" t="inlineStr">
        <is>
          <t>Thompson, James Clay, 1943-</t>
        </is>
      </c>
      <c r="L1478" t="inlineStr">
        <is>
          <t>Chapel Hill : University of North Carolina Press, c1980.</t>
        </is>
      </c>
      <c r="M1478" t="inlineStr">
        <is>
          <t>1980</t>
        </is>
      </c>
      <c r="O1478" t="inlineStr">
        <is>
          <t>eng</t>
        </is>
      </c>
      <c r="P1478" t="inlineStr">
        <is>
          <t>ncu</t>
        </is>
      </c>
      <c r="R1478" t="inlineStr">
        <is>
          <t xml:space="preserve">DS </t>
        </is>
      </c>
      <c r="S1478" t="n">
        <v>2</v>
      </c>
      <c r="T1478" t="n">
        <v>2</v>
      </c>
      <c r="U1478" t="inlineStr">
        <is>
          <t>1995-09-22</t>
        </is>
      </c>
      <c r="V1478" t="inlineStr">
        <is>
          <t>1995-09-22</t>
        </is>
      </c>
      <c r="W1478" t="inlineStr">
        <is>
          <t>1990-10-10</t>
        </is>
      </c>
      <c r="X1478" t="inlineStr">
        <is>
          <t>1990-10-10</t>
        </is>
      </c>
      <c r="Y1478" t="n">
        <v>695</v>
      </c>
      <c r="Z1478" t="n">
        <v>630</v>
      </c>
      <c r="AA1478" t="n">
        <v>633</v>
      </c>
      <c r="AB1478" t="n">
        <v>5</v>
      </c>
      <c r="AC1478" t="n">
        <v>5</v>
      </c>
      <c r="AD1478" t="n">
        <v>26</v>
      </c>
      <c r="AE1478" t="n">
        <v>26</v>
      </c>
      <c r="AF1478" t="n">
        <v>10</v>
      </c>
      <c r="AG1478" t="n">
        <v>10</v>
      </c>
      <c r="AH1478" t="n">
        <v>8</v>
      </c>
      <c r="AI1478" t="n">
        <v>8</v>
      </c>
      <c r="AJ1478" t="n">
        <v>9</v>
      </c>
      <c r="AK1478" t="n">
        <v>9</v>
      </c>
      <c r="AL1478" t="n">
        <v>4</v>
      </c>
      <c r="AM1478" t="n">
        <v>4</v>
      </c>
      <c r="AN1478" t="n">
        <v>0</v>
      </c>
      <c r="AO1478" t="n">
        <v>0</v>
      </c>
      <c r="AP1478" t="inlineStr">
        <is>
          <t>No</t>
        </is>
      </c>
      <c r="AQ1478" t="inlineStr">
        <is>
          <t>Yes</t>
        </is>
      </c>
      <c r="AR1478">
        <f>HYPERLINK("http://catalog.hathitrust.org/Record/000701825","HathiTrust Record")</f>
        <v/>
      </c>
      <c r="AS1478">
        <f>HYPERLINK("https://creighton-primo.hosted.exlibrisgroup.com/primo-explore/search?tab=default_tab&amp;search_scope=EVERYTHING&amp;vid=01CRU&amp;lang=en_US&amp;offset=0&amp;query=any,contains,991004728979702656","Catalog Record")</f>
        <v/>
      </c>
      <c r="AT1478">
        <f>HYPERLINK("http://www.worldcat.org/oclc/4832344","WorldCat Record")</f>
        <v/>
      </c>
      <c r="AU1478" t="inlineStr">
        <is>
          <t>366723493:eng</t>
        </is>
      </c>
      <c r="AV1478" t="inlineStr">
        <is>
          <t>4832344</t>
        </is>
      </c>
      <c r="AW1478" t="inlineStr">
        <is>
          <t>991004728979702656</t>
        </is>
      </c>
      <c r="AX1478" t="inlineStr">
        <is>
          <t>991004728979702656</t>
        </is>
      </c>
      <c r="AY1478" t="inlineStr">
        <is>
          <t>2268744740002656</t>
        </is>
      </c>
      <c r="AZ1478" t="inlineStr">
        <is>
          <t>BOOK</t>
        </is>
      </c>
      <c r="BB1478" t="inlineStr">
        <is>
          <t>9780807813904</t>
        </is>
      </c>
      <c r="BC1478" t="inlineStr">
        <is>
          <t>32285000337641</t>
        </is>
      </c>
      <c r="BD1478" t="inlineStr">
        <is>
          <t>893807400</t>
        </is>
      </c>
    </row>
    <row r="1479">
      <c r="A1479" t="inlineStr">
        <is>
          <t>No</t>
        </is>
      </c>
      <c r="B1479" t="inlineStr">
        <is>
          <t>DS558 .T48 1974</t>
        </is>
      </c>
      <c r="C1479" t="inlineStr">
        <is>
          <t>0                      DS 0558000T  48          1974</t>
        </is>
      </c>
      <c r="D1479" t="inlineStr">
        <is>
          <t>Peace is not at hand / by Sir Robert Thompson.</t>
        </is>
      </c>
      <c r="F1479" t="inlineStr">
        <is>
          <t>No</t>
        </is>
      </c>
      <c r="G1479" t="inlineStr">
        <is>
          <t>1</t>
        </is>
      </c>
      <c r="H1479" t="inlineStr">
        <is>
          <t>No</t>
        </is>
      </c>
      <c r="I1479" t="inlineStr">
        <is>
          <t>No</t>
        </is>
      </c>
      <c r="J1479" t="inlineStr">
        <is>
          <t>0</t>
        </is>
      </c>
      <c r="K1479" t="inlineStr">
        <is>
          <t>Thompson, Robert, Sir, 1916-1992.</t>
        </is>
      </c>
      <c r="L1479" t="inlineStr">
        <is>
          <t>New York : McKay, 1974.</t>
        </is>
      </c>
      <c r="M1479" t="inlineStr">
        <is>
          <t>1974</t>
        </is>
      </c>
      <c r="N1479" t="inlineStr">
        <is>
          <t>1st American ed.</t>
        </is>
      </c>
      <c r="O1479" t="inlineStr">
        <is>
          <t>eng</t>
        </is>
      </c>
      <c r="P1479" t="inlineStr">
        <is>
          <t>nyu</t>
        </is>
      </c>
      <c r="R1479" t="inlineStr">
        <is>
          <t xml:space="preserve">DS </t>
        </is>
      </c>
      <c r="S1479" t="n">
        <v>2</v>
      </c>
      <c r="T1479" t="n">
        <v>2</v>
      </c>
      <c r="U1479" t="inlineStr">
        <is>
          <t>1999-04-15</t>
        </is>
      </c>
      <c r="V1479" t="inlineStr">
        <is>
          <t>1999-04-15</t>
        </is>
      </c>
      <c r="W1479" t="inlineStr">
        <is>
          <t>1996-08-09</t>
        </is>
      </c>
      <c r="X1479" t="inlineStr">
        <is>
          <t>1996-08-09</t>
        </is>
      </c>
      <c r="Y1479" t="n">
        <v>399</v>
      </c>
      <c r="Z1479" t="n">
        <v>373</v>
      </c>
      <c r="AA1479" t="n">
        <v>430</v>
      </c>
      <c r="AB1479" t="n">
        <v>2</v>
      </c>
      <c r="AC1479" t="n">
        <v>3</v>
      </c>
      <c r="AD1479" t="n">
        <v>20</v>
      </c>
      <c r="AE1479" t="n">
        <v>23</v>
      </c>
      <c r="AF1479" t="n">
        <v>9</v>
      </c>
      <c r="AG1479" t="n">
        <v>10</v>
      </c>
      <c r="AH1479" t="n">
        <v>5</v>
      </c>
      <c r="AI1479" t="n">
        <v>5</v>
      </c>
      <c r="AJ1479" t="n">
        <v>13</v>
      </c>
      <c r="AK1479" t="n">
        <v>14</v>
      </c>
      <c r="AL1479" t="n">
        <v>1</v>
      </c>
      <c r="AM1479" t="n">
        <v>2</v>
      </c>
      <c r="AN1479" t="n">
        <v>0</v>
      </c>
      <c r="AO1479" t="n">
        <v>0</v>
      </c>
      <c r="AP1479" t="inlineStr">
        <is>
          <t>No</t>
        </is>
      </c>
      <c r="AQ1479" t="inlineStr">
        <is>
          <t>Yes</t>
        </is>
      </c>
      <c r="AR1479">
        <f>HYPERLINK("http://catalog.hathitrust.org/Record/010095049","HathiTrust Record")</f>
        <v/>
      </c>
      <c r="AS1479">
        <f>HYPERLINK("https://creighton-primo.hosted.exlibrisgroup.com/primo-explore/search?tab=default_tab&amp;search_scope=EVERYTHING&amp;vid=01CRU&amp;lang=en_US&amp;offset=0&amp;query=any,contains,991003631269702656","Catalog Record")</f>
        <v/>
      </c>
      <c r="AT1479">
        <f>HYPERLINK("http://www.worldcat.org/oclc/1224093","WorldCat Record")</f>
        <v/>
      </c>
      <c r="AU1479" t="inlineStr">
        <is>
          <t>2119953:eng</t>
        </is>
      </c>
      <c r="AV1479" t="inlineStr">
        <is>
          <t>1224093</t>
        </is>
      </c>
      <c r="AW1479" t="inlineStr">
        <is>
          <t>991003631269702656</t>
        </is>
      </c>
      <c r="AX1479" t="inlineStr">
        <is>
          <t>991003631269702656</t>
        </is>
      </c>
      <c r="AY1479" t="inlineStr">
        <is>
          <t>2265598020002656</t>
        </is>
      </c>
      <c r="AZ1479" t="inlineStr">
        <is>
          <t>BOOK</t>
        </is>
      </c>
      <c r="BB1479" t="inlineStr">
        <is>
          <t>9780679505259</t>
        </is>
      </c>
      <c r="BC1479" t="inlineStr">
        <is>
          <t>32285002273448</t>
        </is>
      </c>
      <c r="BD1479" t="inlineStr">
        <is>
          <t>893505788</t>
        </is>
      </c>
    </row>
    <row r="1480">
      <c r="A1480" t="inlineStr">
        <is>
          <t>No</t>
        </is>
      </c>
      <c r="B1480" t="inlineStr">
        <is>
          <t>DS558 .T6 1990</t>
        </is>
      </c>
      <c r="C1480" t="inlineStr">
        <is>
          <t>0                      DS 0558000T  6           1990</t>
        </is>
      </c>
      <c r="D1480" t="inlineStr">
        <is>
          <t>To reason why : the debate about the causes of U.S. involvement in the Vietnam War / [edited by] Jeffrey P. Kimball.</t>
        </is>
      </c>
      <c r="F1480" t="inlineStr">
        <is>
          <t>No</t>
        </is>
      </c>
      <c r="G1480" t="inlineStr">
        <is>
          <t>1</t>
        </is>
      </c>
      <c r="H1480" t="inlineStr">
        <is>
          <t>No</t>
        </is>
      </c>
      <c r="I1480" t="inlineStr">
        <is>
          <t>No</t>
        </is>
      </c>
      <c r="J1480" t="inlineStr">
        <is>
          <t>0</t>
        </is>
      </c>
      <c r="L1480" t="inlineStr">
        <is>
          <t>Philadelphia : Temple University Press, 1990.</t>
        </is>
      </c>
      <c r="M1480" t="inlineStr">
        <is>
          <t>1990</t>
        </is>
      </c>
      <c r="O1480" t="inlineStr">
        <is>
          <t>eng</t>
        </is>
      </c>
      <c r="P1480" t="inlineStr">
        <is>
          <t>pau</t>
        </is>
      </c>
      <c r="R1480" t="inlineStr">
        <is>
          <t xml:space="preserve">DS </t>
        </is>
      </c>
      <c r="S1480" t="n">
        <v>4</v>
      </c>
      <c r="T1480" t="n">
        <v>4</v>
      </c>
      <c r="U1480" t="inlineStr">
        <is>
          <t>2001-10-30</t>
        </is>
      </c>
      <c r="V1480" t="inlineStr">
        <is>
          <t>2001-10-30</t>
        </is>
      </c>
      <c r="W1480" t="inlineStr">
        <is>
          <t>2001-06-12</t>
        </is>
      </c>
      <c r="X1480" t="inlineStr">
        <is>
          <t>2001-06-12</t>
        </is>
      </c>
      <c r="Y1480" t="n">
        <v>292</v>
      </c>
      <c r="Z1480" t="n">
        <v>256</v>
      </c>
      <c r="AA1480" t="n">
        <v>534</v>
      </c>
      <c r="AB1480" t="n">
        <v>3</v>
      </c>
      <c r="AC1480" t="n">
        <v>6</v>
      </c>
      <c r="AD1480" t="n">
        <v>17</v>
      </c>
      <c r="AE1480" t="n">
        <v>27</v>
      </c>
      <c r="AF1480" t="n">
        <v>5</v>
      </c>
      <c r="AG1480" t="n">
        <v>9</v>
      </c>
      <c r="AH1480" t="n">
        <v>4</v>
      </c>
      <c r="AI1480" t="n">
        <v>6</v>
      </c>
      <c r="AJ1480" t="n">
        <v>10</v>
      </c>
      <c r="AK1480" t="n">
        <v>15</v>
      </c>
      <c r="AL1480" t="n">
        <v>2</v>
      </c>
      <c r="AM1480" t="n">
        <v>4</v>
      </c>
      <c r="AN1480" t="n">
        <v>0</v>
      </c>
      <c r="AO1480" t="n">
        <v>1</v>
      </c>
      <c r="AP1480" t="inlineStr">
        <is>
          <t>No</t>
        </is>
      </c>
      <c r="AQ1480" t="inlineStr">
        <is>
          <t>No</t>
        </is>
      </c>
      <c r="AS1480">
        <f>HYPERLINK("https://creighton-primo.hosted.exlibrisgroup.com/primo-explore/search?tab=default_tab&amp;search_scope=EVERYTHING&amp;vid=01CRU&amp;lang=en_US&amp;offset=0&amp;query=any,contains,991003509489702656","Catalog Record")</f>
        <v/>
      </c>
      <c r="AT1480">
        <f>HYPERLINK("http://www.worldcat.org/oclc/20594850","WorldCat Record")</f>
        <v/>
      </c>
      <c r="AU1480" t="inlineStr">
        <is>
          <t>836727543:eng</t>
        </is>
      </c>
      <c r="AV1480" t="inlineStr">
        <is>
          <t>20594850</t>
        </is>
      </c>
      <c r="AW1480" t="inlineStr">
        <is>
          <t>991003509489702656</t>
        </is>
      </c>
      <c r="AX1480" t="inlineStr">
        <is>
          <t>991003509489702656</t>
        </is>
      </c>
      <c r="AY1480" t="inlineStr">
        <is>
          <t>2270017190002656</t>
        </is>
      </c>
      <c r="AZ1480" t="inlineStr">
        <is>
          <t>BOOK</t>
        </is>
      </c>
      <c r="BB1480" t="inlineStr">
        <is>
          <t>9780877227090</t>
        </is>
      </c>
      <c r="BC1480" t="inlineStr">
        <is>
          <t>32285004326566</t>
        </is>
      </c>
      <c r="BD1480" t="inlineStr">
        <is>
          <t>893348753</t>
        </is>
      </c>
    </row>
    <row r="1481">
      <c r="A1481" t="inlineStr">
        <is>
          <t>No</t>
        </is>
      </c>
      <c r="B1481" t="inlineStr">
        <is>
          <t>DS558 .T68 1985</t>
        </is>
      </c>
      <c r="C1481" t="inlineStr">
        <is>
          <t>0                      DS 0558000T  68          1985</t>
        </is>
      </c>
      <c r="D1481" t="inlineStr">
        <is>
          <t>Touring Nam : the Vietnam War reader / edited by Martin H. Greenberg and Augustus Richard Norton.</t>
        </is>
      </c>
      <c r="F1481" t="inlineStr">
        <is>
          <t>No</t>
        </is>
      </c>
      <c r="G1481" t="inlineStr">
        <is>
          <t>1</t>
        </is>
      </c>
      <c r="H1481" t="inlineStr">
        <is>
          <t>No</t>
        </is>
      </c>
      <c r="I1481" t="inlineStr">
        <is>
          <t>No</t>
        </is>
      </c>
      <c r="J1481" t="inlineStr">
        <is>
          <t>0</t>
        </is>
      </c>
      <c r="L1481" t="inlineStr">
        <is>
          <t>New York : W. Morrow, c1985.</t>
        </is>
      </c>
      <c r="M1481" t="inlineStr">
        <is>
          <t>1985</t>
        </is>
      </c>
      <c r="N1481" t="inlineStr">
        <is>
          <t>1st ed.</t>
        </is>
      </c>
      <c r="O1481" t="inlineStr">
        <is>
          <t>eng</t>
        </is>
      </c>
      <c r="P1481" t="inlineStr">
        <is>
          <t>nyu</t>
        </is>
      </c>
      <c r="R1481" t="inlineStr">
        <is>
          <t xml:space="preserve">DS </t>
        </is>
      </c>
      <c r="S1481" t="n">
        <v>3</v>
      </c>
      <c r="T1481" t="n">
        <v>3</v>
      </c>
      <c r="U1481" t="inlineStr">
        <is>
          <t>1994-10-05</t>
        </is>
      </c>
      <c r="V1481" t="inlineStr">
        <is>
          <t>1994-10-05</t>
        </is>
      </c>
      <c r="W1481" t="inlineStr">
        <is>
          <t>1990-03-06</t>
        </is>
      </c>
      <c r="X1481" t="inlineStr">
        <is>
          <t>1990-03-06</t>
        </is>
      </c>
      <c r="Y1481" t="n">
        <v>503</v>
      </c>
      <c r="Z1481" t="n">
        <v>467</v>
      </c>
      <c r="AA1481" t="n">
        <v>485</v>
      </c>
      <c r="AB1481" t="n">
        <v>2</v>
      </c>
      <c r="AC1481" t="n">
        <v>3</v>
      </c>
      <c r="AD1481" t="n">
        <v>15</v>
      </c>
      <c r="AE1481" t="n">
        <v>15</v>
      </c>
      <c r="AF1481" t="n">
        <v>9</v>
      </c>
      <c r="AG1481" t="n">
        <v>9</v>
      </c>
      <c r="AH1481" t="n">
        <v>2</v>
      </c>
      <c r="AI1481" t="n">
        <v>2</v>
      </c>
      <c r="AJ1481" t="n">
        <v>9</v>
      </c>
      <c r="AK1481" t="n">
        <v>9</v>
      </c>
      <c r="AL1481" t="n">
        <v>1</v>
      </c>
      <c r="AM1481" t="n">
        <v>1</v>
      </c>
      <c r="AN1481" t="n">
        <v>0</v>
      </c>
      <c r="AO1481" t="n">
        <v>0</v>
      </c>
      <c r="AP1481" t="inlineStr">
        <is>
          <t>No</t>
        </is>
      </c>
      <c r="AQ1481" t="inlineStr">
        <is>
          <t>Yes</t>
        </is>
      </c>
      <c r="AR1481">
        <f>HYPERLINK("http://catalog.hathitrust.org/Record/000361516","HathiTrust Record")</f>
        <v/>
      </c>
      <c r="AS1481">
        <f>HYPERLINK("https://creighton-primo.hosted.exlibrisgroup.com/primo-explore/search?tab=default_tab&amp;search_scope=EVERYTHING&amp;vid=01CRU&amp;lang=en_US&amp;offset=0&amp;query=any,contains,991000560819702656","Catalog Record")</f>
        <v/>
      </c>
      <c r="AT1481">
        <f>HYPERLINK("http://www.worldcat.org/oclc/11585548","WorldCat Record")</f>
        <v/>
      </c>
      <c r="AU1481" t="inlineStr">
        <is>
          <t>369871933:eng</t>
        </is>
      </c>
      <c r="AV1481" t="inlineStr">
        <is>
          <t>11585548</t>
        </is>
      </c>
      <c r="AW1481" t="inlineStr">
        <is>
          <t>991000560819702656</t>
        </is>
      </c>
      <c r="AX1481" t="inlineStr">
        <is>
          <t>991000560819702656</t>
        </is>
      </c>
      <c r="AY1481" t="inlineStr">
        <is>
          <t>2267602520002656</t>
        </is>
      </c>
      <c r="AZ1481" t="inlineStr">
        <is>
          <t>BOOK</t>
        </is>
      </c>
      <c r="BB1481" t="inlineStr">
        <is>
          <t>9780688034634</t>
        </is>
      </c>
      <c r="BC1481" t="inlineStr">
        <is>
          <t>32285000077403</t>
        </is>
      </c>
      <c r="BD1481" t="inlineStr">
        <is>
          <t>893614296</t>
        </is>
      </c>
    </row>
    <row r="1482">
      <c r="A1482" t="inlineStr">
        <is>
          <t>No</t>
        </is>
      </c>
      <c r="B1482" t="inlineStr">
        <is>
          <t>DS558 .U52 2007</t>
        </is>
      </c>
      <c r="C1482" t="inlineStr">
        <is>
          <t>0                      DS 0558000U  52          2007</t>
        </is>
      </c>
      <c r="D1482" t="inlineStr">
        <is>
          <t>The United States and the legacy of the Vietnam War / edited by Jon Roper.</t>
        </is>
      </c>
      <c r="F1482" t="inlineStr">
        <is>
          <t>No</t>
        </is>
      </c>
      <c r="G1482" t="inlineStr">
        <is>
          <t>1</t>
        </is>
      </c>
      <c r="H1482" t="inlineStr">
        <is>
          <t>No</t>
        </is>
      </c>
      <c r="I1482" t="inlineStr">
        <is>
          <t>No</t>
        </is>
      </c>
      <c r="J1482" t="inlineStr">
        <is>
          <t>0</t>
        </is>
      </c>
      <c r="L1482" t="inlineStr">
        <is>
          <t>Basingstoke : Palgrave Macmillan, 2007.</t>
        </is>
      </c>
      <c r="M1482" t="inlineStr">
        <is>
          <t>2007</t>
        </is>
      </c>
      <c r="O1482" t="inlineStr">
        <is>
          <t>eng</t>
        </is>
      </c>
      <c r="P1482" t="inlineStr">
        <is>
          <t>enk</t>
        </is>
      </c>
      <c r="Q1482" t="inlineStr">
        <is>
          <t>Global conflict and security since 1945</t>
        </is>
      </c>
      <c r="R1482" t="inlineStr">
        <is>
          <t xml:space="preserve">DS </t>
        </is>
      </c>
      <c r="S1482" t="n">
        <v>2</v>
      </c>
      <c r="T1482" t="n">
        <v>2</v>
      </c>
      <c r="U1482" t="inlineStr">
        <is>
          <t>2008-10-13</t>
        </is>
      </c>
      <c r="V1482" t="inlineStr">
        <is>
          <t>2008-10-13</t>
        </is>
      </c>
      <c r="W1482" t="inlineStr">
        <is>
          <t>2008-10-07</t>
        </is>
      </c>
      <c r="X1482" t="inlineStr">
        <is>
          <t>2008-10-07</t>
        </is>
      </c>
      <c r="Y1482" t="n">
        <v>167</v>
      </c>
      <c r="Z1482" t="n">
        <v>110</v>
      </c>
      <c r="AA1482" t="n">
        <v>153</v>
      </c>
      <c r="AB1482" t="n">
        <v>1</v>
      </c>
      <c r="AC1482" t="n">
        <v>2</v>
      </c>
      <c r="AD1482" t="n">
        <v>5</v>
      </c>
      <c r="AE1482" t="n">
        <v>8</v>
      </c>
      <c r="AF1482" t="n">
        <v>1</v>
      </c>
      <c r="AG1482" t="n">
        <v>3</v>
      </c>
      <c r="AH1482" t="n">
        <v>4</v>
      </c>
      <c r="AI1482" t="n">
        <v>4</v>
      </c>
      <c r="AJ1482" t="n">
        <v>3</v>
      </c>
      <c r="AK1482" t="n">
        <v>5</v>
      </c>
      <c r="AL1482" t="n">
        <v>0</v>
      </c>
      <c r="AM1482" t="n">
        <v>1</v>
      </c>
      <c r="AN1482" t="n">
        <v>0</v>
      </c>
      <c r="AO1482" t="n">
        <v>0</v>
      </c>
      <c r="AP1482" t="inlineStr">
        <is>
          <t>No</t>
        </is>
      </c>
      <c r="AQ1482" t="inlineStr">
        <is>
          <t>Yes</t>
        </is>
      </c>
      <c r="AR1482">
        <f>HYPERLINK("http://catalog.hathitrust.org/Record/005641542","HathiTrust Record")</f>
        <v/>
      </c>
      <c r="AS1482">
        <f>HYPERLINK("https://creighton-primo.hosted.exlibrisgroup.com/primo-explore/search?tab=default_tab&amp;search_scope=EVERYTHING&amp;vid=01CRU&amp;lang=en_US&amp;offset=0&amp;query=any,contains,991005270289702656","Catalog Record")</f>
        <v/>
      </c>
      <c r="AT1482">
        <f>HYPERLINK("http://www.worldcat.org/oclc/156890888","WorldCat Record")</f>
        <v/>
      </c>
      <c r="AU1482" t="inlineStr">
        <is>
          <t>873143935:eng</t>
        </is>
      </c>
      <c r="AV1482" t="inlineStr">
        <is>
          <t>156890888</t>
        </is>
      </c>
      <c r="AW1482" t="inlineStr">
        <is>
          <t>991005270289702656</t>
        </is>
      </c>
      <c r="AX1482" t="inlineStr">
        <is>
          <t>991005270289702656</t>
        </is>
      </c>
      <c r="AY1482" t="inlineStr">
        <is>
          <t>2256030250002656</t>
        </is>
      </c>
      <c r="AZ1482" t="inlineStr">
        <is>
          <t>BOOK</t>
        </is>
      </c>
      <c r="BB1482" t="inlineStr">
        <is>
          <t>9780230500426</t>
        </is>
      </c>
      <c r="BC1482" t="inlineStr">
        <is>
          <t>32285005461602</t>
        </is>
      </c>
      <c r="BD1482" t="inlineStr">
        <is>
          <t>893695048</t>
        </is>
      </c>
    </row>
    <row r="1483">
      <c r="A1483" t="inlineStr">
        <is>
          <t>No</t>
        </is>
      </c>
      <c r="B1483" t="inlineStr">
        <is>
          <t>DS558.2 .A5</t>
        </is>
      </c>
      <c r="C1483" t="inlineStr">
        <is>
          <t>0                      DS 0558200A  5</t>
        </is>
      </c>
      <c r="D1483" t="inlineStr">
        <is>
          <t>The grunts / Charles R. Anderson.</t>
        </is>
      </c>
      <c r="F1483" t="inlineStr">
        <is>
          <t>No</t>
        </is>
      </c>
      <c r="G1483" t="inlineStr">
        <is>
          <t>1</t>
        </is>
      </c>
      <c r="H1483" t="inlineStr">
        <is>
          <t>No</t>
        </is>
      </c>
      <c r="I1483" t="inlineStr">
        <is>
          <t>No</t>
        </is>
      </c>
      <c r="J1483" t="inlineStr">
        <is>
          <t>0</t>
        </is>
      </c>
      <c r="K1483" t="inlineStr">
        <is>
          <t>Anderson, Charles R., 1943-2003.</t>
        </is>
      </c>
      <c r="L1483" t="inlineStr">
        <is>
          <t>San Rafael, Calif. : Presidio Press, 1976.</t>
        </is>
      </c>
      <c r="M1483" t="inlineStr">
        <is>
          <t>1976</t>
        </is>
      </c>
      <c r="O1483" t="inlineStr">
        <is>
          <t>eng</t>
        </is>
      </c>
      <c r="P1483" t="inlineStr">
        <is>
          <t>cau</t>
        </is>
      </c>
      <c r="R1483" t="inlineStr">
        <is>
          <t xml:space="preserve">DS </t>
        </is>
      </c>
      <c r="S1483" t="n">
        <v>5</v>
      </c>
      <c r="T1483" t="n">
        <v>5</v>
      </c>
      <c r="U1483" t="inlineStr">
        <is>
          <t>2000-03-21</t>
        </is>
      </c>
      <c r="V1483" t="inlineStr">
        <is>
          <t>2000-03-21</t>
        </is>
      </c>
      <c r="W1483" t="inlineStr">
        <is>
          <t>1990-03-07</t>
        </is>
      </c>
      <c r="X1483" t="inlineStr">
        <is>
          <t>1990-03-07</t>
        </is>
      </c>
      <c r="Y1483" t="n">
        <v>573</v>
      </c>
      <c r="Z1483" t="n">
        <v>537</v>
      </c>
      <c r="AA1483" t="n">
        <v>603</v>
      </c>
      <c r="AB1483" t="n">
        <v>5</v>
      </c>
      <c r="AC1483" t="n">
        <v>6</v>
      </c>
      <c r="AD1483" t="n">
        <v>21</v>
      </c>
      <c r="AE1483" t="n">
        <v>22</v>
      </c>
      <c r="AF1483" t="n">
        <v>9</v>
      </c>
      <c r="AG1483" t="n">
        <v>10</v>
      </c>
      <c r="AH1483" t="n">
        <v>5</v>
      </c>
      <c r="AI1483" t="n">
        <v>5</v>
      </c>
      <c r="AJ1483" t="n">
        <v>11</v>
      </c>
      <c r="AK1483" t="n">
        <v>11</v>
      </c>
      <c r="AL1483" t="n">
        <v>3</v>
      </c>
      <c r="AM1483" t="n">
        <v>3</v>
      </c>
      <c r="AN1483" t="n">
        <v>0</v>
      </c>
      <c r="AO1483" t="n">
        <v>0</v>
      </c>
      <c r="AP1483" t="inlineStr">
        <is>
          <t>No</t>
        </is>
      </c>
      <c r="AQ1483" t="inlineStr">
        <is>
          <t>No</t>
        </is>
      </c>
      <c r="AS1483">
        <f>HYPERLINK("https://creighton-primo.hosted.exlibrisgroup.com/primo-explore/search?tab=default_tab&amp;search_scope=EVERYTHING&amp;vid=01CRU&amp;lang=en_US&amp;offset=0&amp;query=any,contains,991004250299702656","Catalog Record")</f>
        <v/>
      </c>
      <c r="AT1483">
        <f>HYPERLINK("http://www.worldcat.org/oclc/2809300","WorldCat Record")</f>
        <v/>
      </c>
      <c r="AU1483" t="inlineStr">
        <is>
          <t>3943288682:eng</t>
        </is>
      </c>
      <c r="AV1483" t="inlineStr">
        <is>
          <t>2809300</t>
        </is>
      </c>
      <c r="AW1483" t="inlineStr">
        <is>
          <t>991004250299702656</t>
        </is>
      </c>
      <c r="AX1483" t="inlineStr">
        <is>
          <t>991004250299702656</t>
        </is>
      </c>
      <c r="AY1483" t="inlineStr">
        <is>
          <t>2264721210002656</t>
        </is>
      </c>
      <c r="AZ1483" t="inlineStr">
        <is>
          <t>BOOK</t>
        </is>
      </c>
      <c r="BB1483" t="inlineStr">
        <is>
          <t>9780891410034</t>
        </is>
      </c>
      <c r="BC1483" t="inlineStr">
        <is>
          <t>32285000080134</t>
        </is>
      </c>
      <c r="BD1483" t="inlineStr">
        <is>
          <t>893247348</t>
        </is>
      </c>
    </row>
    <row r="1484">
      <c r="A1484" t="inlineStr">
        <is>
          <t>No</t>
        </is>
      </c>
      <c r="B1484" t="inlineStr">
        <is>
          <t>DS558.2 .A79 1987</t>
        </is>
      </c>
      <c r="C1484" t="inlineStr">
        <is>
          <t>0                      DS 0558200A  79          1987</t>
        </is>
      </c>
      <c r="D1484" t="inlineStr">
        <is>
          <t>The Army at war / by Michael Casey...[et al] and the editors of Boston Publishing Company.</t>
        </is>
      </c>
      <c r="F1484" t="inlineStr">
        <is>
          <t>No</t>
        </is>
      </c>
      <c r="G1484" t="inlineStr">
        <is>
          <t>1</t>
        </is>
      </c>
      <c r="H1484" t="inlineStr">
        <is>
          <t>No</t>
        </is>
      </c>
      <c r="I1484" t="inlineStr">
        <is>
          <t>No</t>
        </is>
      </c>
      <c r="J1484" t="inlineStr">
        <is>
          <t>0</t>
        </is>
      </c>
      <c r="L1484" t="inlineStr">
        <is>
          <t>Boston : Boston Publishing Co., c1987.</t>
        </is>
      </c>
      <c r="M1484" t="inlineStr">
        <is>
          <t>1987</t>
        </is>
      </c>
      <c r="O1484" t="inlineStr">
        <is>
          <t>eng</t>
        </is>
      </c>
      <c r="P1484" t="inlineStr">
        <is>
          <t>mau</t>
        </is>
      </c>
      <c r="Q1484" t="inlineStr">
        <is>
          <t>The Vietnam experience</t>
        </is>
      </c>
      <c r="R1484" t="inlineStr">
        <is>
          <t xml:space="preserve">DS </t>
        </is>
      </c>
      <c r="S1484" t="n">
        <v>3</v>
      </c>
      <c r="T1484" t="n">
        <v>3</v>
      </c>
      <c r="U1484" t="inlineStr">
        <is>
          <t>1993-04-27</t>
        </is>
      </c>
      <c r="V1484" t="inlineStr">
        <is>
          <t>1993-04-27</t>
        </is>
      </c>
      <c r="W1484" t="inlineStr">
        <is>
          <t>1990-02-13</t>
        </is>
      </c>
      <c r="X1484" t="inlineStr">
        <is>
          <t>1990-02-13</t>
        </is>
      </c>
      <c r="Y1484" t="n">
        <v>794</v>
      </c>
      <c r="Z1484" t="n">
        <v>759</v>
      </c>
      <c r="AA1484" t="n">
        <v>767</v>
      </c>
      <c r="AB1484" t="n">
        <v>7</v>
      </c>
      <c r="AC1484" t="n">
        <v>7</v>
      </c>
      <c r="AD1484" t="n">
        <v>9</v>
      </c>
      <c r="AE1484" t="n">
        <v>9</v>
      </c>
      <c r="AF1484" t="n">
        <v>4</v>
      </c>
      <c r="AG1484" t="n">
        <v>4</v>
      </c>
      <c r="AH1484" t="n">
        <v>2</v>
      </c>
      <c r="AI1484" t="n">
        <v>2</v>
      </c>
      <c r="AJ1484" t="n">
        <v>7</v>
      </c>
      <c r="AK1484" t="n">
        <v>7</v>
      </c>
      <c r="AL1484" t="n">
        <v>0</v>
      </c>
      <c r="AM1484" t="n">
        <v>0</v>
      </c>
      <c r="AN1484" t="n">
        <v>0</v>
      </c>
      <c r="AO1484" t="n">
        <v>0</v>
      </c>
      <c r="AP1484" t="inlineStr">
        <is>
          <t>No</t>
        </is>
      </c>
      <c r="AQ1484" t="inlineStr">
        <is>
          <t>Yes</t>
        </is>
      </c>
      <c r="AR1484">
        <f>HYPERLINK("http://catalog.hathitrust.org/Record/000902454","HathiTrust Record")</f>
        <v/>
      </c>
      <c r="AS1484">
        <f>HYPERLINK("https://creighton-primo.hosted.exlibrisgroup.com/primo-explore/search?tab=default_tab&amp;search_scope=EVERYTHING&amp;vid=01CRU&amp;lang=en_US&amp;offset=0&amp;query=any,contains,991001164029702656","Catalog Record")</f>
        <v/>
      </c>
      <c r="AT1484">
        <f>HYPERLINK("http://www.worldcat.org/oclc/16918809","WorldCat Record")</f>
        <v/>
      </c>
      <c r="AU1484" t="inlineStr">
        <is>
          <t>55025755:eng</t>
        </is>
      </c>
      <c r="AV1484" t="inlineStr">
        <is>
          <t>16918809</t>
        </is>
      </c>
      <c r="AW1484" t="inlineStr">
        <is>
          <t>991001164029702656</t>
        </is>
      </c>
      <c r="AX1484" t="inlineStr">
        <is>
          <t>991001164029702656</t>
        </is>
      </c>
      <c r="AY1484" t="inlineStr">
        <is>
          <t>2267900620002656</t>
        </is>
      </c>
      <c r="AZ1484" t="inlineStr">
        <is>
          <t>BOOK</t>
        </is>
      </c>
      <c r="BB1484" t="inlineStr">
        <is>
          <t>9780939526239</t>
        </is>
      </c>
      <c r="BC1484" t="inlineStr">
        <is>
          <t>32285000050574</t>
        </is>
      </c>
      <c r="BD1484" t="inlineStr">
        <is>
          <t>893784881</t>
        </is>
      </c>
    </row>
    <row r="1485">
      <c r="A1485" t="inlineStr">
        <is>
          <t>No</t>
        </is>
      </c>
      <c r="B1485" t="inlineStr">
        <is>
          <t>DS558.2 .C37 1987</t>
        </is>
      </c>
      <c r="C1485" t="inlineStr">
        <is>
          <t>0                      DS 0558200C  37          1987</t>
        </is>
      </c>
      <c r="D1485" t="inlineStr">
        <is>
          <t>Flags into battle / by Michael Casey ... [et. al] and the editors of Boston Publishing Company.</t>
        </is>
      </c>
      <c r="F1485" t="inlineStr">
        <is>
          <t>No</t>
        </is>
      </c>
      <c r="G1485" t="inlineStr">
        <is>
          <t>1</t>
        </is>
      </c>
      <c r="H1485" t="inlineStr">
        <is>
          <t>No</t>
        </is>
      </c>
      <c r="I1485" t="inlineStr">
        <is>
          <t>No</t>
        </is>
      </c>
      <c r="J1485" t="inlineStr">
        <is>
          <t>0</t>
        </is>
      </c>
      <c r="K1485" t="inlineStr">
        <is>
          <t>Casey, Michael.</t>
        </is>
      </c>
      <c r="L1485" t="inlineStr">
        <is>
          <t>Boston : Boston Pub. Co., c1987.</t>
        </is>
      </c>
      <c r="M1485" t="inlineStr">
        <is>
          <t>1987</t>
        </is>
      </c>
      <c r="O1485" t="inlineStr">
        <is>
          <t>eng</t>
        </is>
      </c>
      <c r="P1485" t="inlineStr">
        <is>
          <t>mau</t>
        </is>
      </c>
      <c r="Q1485" t="inlineStr">
        <is>
          <t>The Vietnam experience</t>
        </is>
      </c>
      <c r="R1485" t="inlineStr">
        <is>
          <t xml:space="preserve">DS </t>
        </is>
      </c>
      <c r="S1485" t="n">
        <v>3</v>
      </c>
      <c r="T1485" t="n">
        <v>3</v>
      </c>
      <c r="U1485" t="inlineStr">
        <is>
          <t>2006-02-15</t>
        </is>
      </c>
      <c r="V1485" t="inlineStr">
        <is>
          <t>2006-02-15</t>
        </is>
      </c>
      <c r="W1485" t="inlineStr">
        <is>
          <t>1990-03-27</t>
        </is>
      </c>
      <c r="X1485" t="inlineStr">
        <is>
          <t>1990-03-27</t>
        </is>
      </c>
      <c r="Y1485" t="n">
        <v>805</v>
      </c>
      <c r="Z1485" t="n">
        <v>773</v>
      </c>
      <c r="AA1485" t="n">
        <v>782</v>
      </c>
      <c r="AB1485" t="n">
        <v>6</v>
      </c>
      <c r="AC1485" t="n">
        <v>6</v>
      </c>
      <c r="AD1485" t="n">
        <v>9</v>
      </c>
      <c r="AE1485" t="n">
        <v>9</v>
      </c>
      <c r="AF1485" t="n">
        <v>4</v>
      </c>
      <c r="AG1485" t="n">
        <v>4</v>
      </c>
      <c r="AH1485" t="n">
        <v>2</v>
      </c>
      <c r="AI1485" t="n">
        <v>2</v>
      </c>
      <c r="AJ1485" t="n">
        <v>7</v>
      </c>
      <c r="AK1485" t="n">
        <v>7</v>
      </c>
      <c r="AL1485" t="n">
        <v>0</v>
      </c>
      <c r="AM1485" t="n">
        <v>0</v>
      </c>
      <c r="AN1485" t="n">
        <v>0</v>
      </c>
      <c r="AO1485" t="n">
        <v>0</v>
      </c>
      <c r="AP1485" t="inlineStr">
        <is>
          <t>No</t>
        </is>
      </c>
      <c r="AQ1485" t="inlineStr">
        <is>
          <t>Yes</t>
        </is>
      </c>
      <c r="AR1485">
        <f>HYPERLINK("http://catalog.hathitrust.org/Record/000877865","HathiTrust Record")</f>
        <v/>
      </c>
      <c r="AS1485">
        <f>HYPERLINK("https://creighton-primo.hosted.exlibrisgroup.com/primo-explore/search?tab=default_tab&amp;search_scope=EVERYTHING&amp;vid=01CRU&amp;lang=en_US&amp;offset=0&amp;query=any,contains,991001141189702656","Catalog Record")</f>
        <v/>
      </c>
      <c r="AT1485">
        <f>HYPERLINK("http://www.worldcat.org/oclc/16744113","WorldCat Record")</f>
        <v/>
      </c>
      <c r="AU1485" t="inlineStr">
        <is>
          <t>14054060:eng</t>
        </is>
      </c>
      <c r="AV1485" t="inlineStr">
        <is>
          <t>16744113</t>
        </is>
      </c>
      <c r="AW1485" t="inlineStr">
        <is>
          <t>991001141189702656</t>
        </is>
      </c>
      <c r="AX1485" t="inlineStr">
        <is>
          <t>991001141189702656</t>
        </is>
      </c>
      <c r="AY1485" t="inlineStr">
        <is>
          <t>2260844140002656</t>
        </is>
      </c>
      <c r="AZ1485" t="inlineStr">
        <is>
          <t>BOOK</t>
        </is>
      </c>
      <c r="BB1485" t="inlineStr">
        <is>
          <t>9780939526222</t>
        </is>
      </c>
      <c r="BC1485" t="inlineStr">
        <is>
          <t>32285000098789</t>
        </is>
      </c>
      <c r="BD1485" t="inlineStr">
        <is>
          <t>893608590</t>
        </is>
      </c>
    </row>
    <row r="1486">
      <c r="A1486" t="inlineStr">
        <is>
          <t>No</t>
        </is>
      </c>
      <c r="B1486" t="inlineStr">
        <is>
          <t>DS558.2 .G74</t>
        </is>
      </c>
      <c r="C1486" t="inlineStr">
        <is>
          <t>0                      DS 0558200G  74</t>
        </is>
      </c>
      <c r="D1486" t="inlineStr">
        <is>
          <t>Teaching the Vietnam War : a critical examination of school texts and an interpretive comparative history utilizing the Pentagon papers and other documents / William L. Griffen and John Marciano.</t>
        </is>
      </c>
      <c r="F1486" t="inlineStr">
        <is>
          <t>No</t>
        </is>
      </c>
      <c r="G1486" t="inlineStr">
        <is>
          <t>1</t>
        </is>
      </c>
      <c r="H1486" t="inlineStr">
        <is>
          <t>No</t>
        </is>
      </c>
      <c r="I1486" t="inlineStr">
        <is>
          <t>No</t>
        </is>
      </c>
      <c r="J1486" t="inlineStr">
        <is>
          <t>0</t>
        </is>
      </c>
      <c r="K1486" t="inlineStr">
        <is>
          <t>Griffen, William L.</t>
        </is>
      </c>
      <c r="L1486" t="inlineStr">
        <is>
          <t>Montclair, N.J. : Allanheld, Osmun &amp; Co., 1979.</t>
        </is>
      </c>
      <c r="M1486" t="inlineStr">
        <is>
          <t>1979</t>
        </is>
      </c>
      <c r="O1486" t="inlineStr">
        <is>
          <t>eng</t>
        </is>
      </c>
      <c r="P1486" t="inlineStr">
        <is>
          <t>nju</t>
        </is>
      </c>
      <c r="R1486" t="inlineStr">
        <is>
          <t xml:space="preserve">DS </t>
        </is>
      </c>
      <c r="S1486" t="n">
        <v>10</v>
      </c>
      <c r="T1486" t="n">
        <v>10</v>
      </c>
      <c r="U1486" t="inlineStr">
        <is>
          <t>1999-11-29</t>
        </is>
      </c>
      <c r="V1486" t="inlineStr">
        <is>
          <t>1999-11-29</t>
        </is>
      </c>
      <c r="W1486" t="inlineStr">
        <is>
          <t>1990-04-10</t>
        </is>
      </c>
      <c r="X1486" t="inlineStr">
        <is>
          <t>1990-04-10</t>
        </is>
      </c>
      <c r="Y1486" t="n">
        <v>422</v>
      </c>
      <c r="Z1486" t="n">
        <v>392</v>
      </c>
      <c r="AA1486" t="n">
        <v>401</v>
      </c>
      <c r="AB1486" t="n">
        <v>3</v>
      </c>
      <c r="AC1486" t="n">
        <v>3</v>
      </c>
      <c r="AD1486" t="n">
        <v>21</v>
      </c>
      <c r="AE1486" t="n">
        <v>21</v>
      </c>
      <c r="AF1486" t="n">
        <v>6</v>
      </c>
      <c r="AG1486" t="n">
        <v>6</v>
      </c>
      <c r="AH1486" t="n">
        <v>6</v>
      </c>
      <c r="AI1486" t="n">
        <v>6</v>
      </c>
      <c r="AJ1486" t="n">
        <v>10</v>
      </c>
      <c r="AK1486" t="n">
        <v>10</v>
      </c>
      <c r="AL1486" t="n">
        <v>2</v>
      </c>
      <c r="AM1486" t="n">
        <v>2</v>
      </c>
      <c r="AN1486" t="n">
        <v>0</v>
      </c>
      <c r="AO1486" t="n">
        <v>0</v>
      </c>
      <c r="AP1486" t="inlineStr">
        <is>
          <t>No</t>
        </is>
      </c>
      <c r="AQ1486" t="inlineStr">
        <is>
          <t>Yes</t>
        </is>
      </c>
      <c r="AR1486">
        <f>HYPERLINK("http://catalog.hathitrust.org/Record/000028962","HathiTrust Record")</f>
        <v/>
      </c>
      <c r="AS1486">
        <f>HYPERLINK("https://creighton-primo.hosted.exlibrisgroup.com/primo-explore/search?tab=default_tab&amp;search_scope=EVERYTHING&amp;vid=01CRU&amp;lang=en_US&amp;offset=0&amp;query=any,contains,991004826249702656","Catalog Record")</f>
        <v/>
      </c>
      <c r="AT1486">
        <f>HYPERLINK("http://www.worldcat.org/oclc/5354387","WorldCat Record")</f>
        <v/>
      </c>
      <c r="AU1486" t="inlineStr">
        <is>
          <t>292825075:eng</t>
        </is>
      </c>
      <c r="AV1486" t="inlineStr">
        <is>
          <t>5354387</t>
        </is>
      </c>
      <c r="AW1486" t="inlineStr">
        <is>
          <t>991004826249702656</t>
        </is>
      </c>
      <c r="AX1486" t="inlineStr">
        <is>
          <t>991004826249702656</t>
        </is>
      </c>
      <c r="AY1486" t="inlineStr">
        <is>
          <t>2258929200002656</t>
        </is>
      </c>
      <c r="AZ1486" t="inlineStr">
        <is>
          <t>BOOK</t>
        </is>
      </c>
      <c r="BB1486" t="inlineStr">
        <is>
          <t>9780916672232</t>
        </is>
      </c>
      <c r="BC1486" t="inlineStr">
        <is>
          <t>32285000114123</t>
        </is>
      </c>
      <c r="BD1486" t="inlineStr">
        <is>
          <t>893430537</t>
        </is>
      </c>
    </row>
    <row r="1487">
      <c r="A1487" t="inlineStr">
        <is>
          <t>No</t>
        </is>
      </c>
      <c r="B1487" t="inlineStr">
        <is>
          <t>DS558.2 .S95 1982</t>
        </is>
      </c>
      <c r="C1487" t="inlineStr">
        <is>
          <t>0                      DS 0558200S  95          1982</t>
        </is>
      </c>
      <c r="D1487" t="inlineStr">
        <is>
          <t>On strategy : a critical analysis of the Vietnam War / Harry G. Summers.</t>
        </is>
      </c>
      <c r="F1487" t="inlineStr">
        <is>
          <t>No</t>
        </is>
      </c>
      <c r="G1487" t="inlineStr">
        <is>
          <t>1</t>
        </is>
      </c>
      <c r="H1487" t="inlineStr">
        <is>
          <t>No</t>
        </is>
      </c>
      <c r="I1487" t="inlineStr">
        <is>
          <t>No</t>
        </is>
      </c>
      <c r="J1487" t="inlineStr">
        <is>
          <t>0</t>
        </is>
      </c>
      <c r="K1487" t="inlineStr">
        <is>
          <t>Summers, Harry G.</t>
        </is>
      </c>
      <c r="L1487" t="inlineStr">
        <is>
          <t>Novato, CA : Presidio Press, c1982.</t>
        </is>
      </c>
      <c r="M1487" t="inlineStr">
        <is>
          <t>1982</t>
        </is>
      </c>
      <c r="O1487" t="inlineStr">
        <is>
          <t>eng</t>
        </is>
      </c>
      <c r="P1487" t="inlineStr">
        <is>
          <t>cau</t>
        </is>
      </c>
      <c r="R1487" t="inlineStr">
        <is>
          <t xml:space="preserve">DS </t>
        </is>
      </c>
      <c r="S1487" t="n">
        <v>16</v>
      </c>
      <c r="T1487" t="n">
        <v>16</v>
      </c>
      <c r="U1487" t="inlineStr">
        <is>
          <t>2008-12-07</t>
        </is>
      </c>
      <c r="V1487" t="inlineStr">
        <is>
          <t>2008-12-07</t>
        </is>
      </c>
      <c r="W1487" t="inlineStr">
        <is>
          <t>1990-10-18</t>
        </is>
      </c>
      <c r="X1487" t="inlineStr">
        <is>
          <t>1990-10-18</t>
        </is>
      </c>
      <c r="Y1487" t="n">
        <v>990</v>
      </c>
      <c r="Z1487" t="n">
        <v>894</v>
      </c>
      <c r="AA1487" t="n">
        <v>1102</v>
      </c>
      <c r="AB1487" t="n">
        <v>6</v>
      </c>
      <c r="AC1487" t="n">
        <v>7</v>
      </c>
      <c r="AD1487" t="n">
        <v>36</v>
      </c>
      <c r="AE1487" t="n">
        <v>45</v>
      </c>
      <c r="AF1487" t="n">
        <v>14</v>
      </c>
      <c r="AG1487" t="n">
        <v>20</v>
      </c>
      <c r="AH1487" t="n">
        <v>7</v>
      </c>
      <c r="AI1487" t="n">
        <v>7</v>
      </c>
      <c r="AJ1487" t="n">
        <v>17</v>
      </c>
      <c r="AK1487" t="n">
        <v>21</v>
      </c>
      <c r="AL1487" t="n">
        <v>5</v>
      </c>
      <c r="AM1487" t="n">
        <v>6</v>
      </c>
      <c r="AN1487" t="n">
        <v>1</v>
      </c>
      <c r="AO1487" t="n">
        <v>1</v>
      </c>
      <c r="AP1487" t="inlineStr">
        <is>
          <t>No</t>
        </is>
      </c>
      <c r="AQ1487" t="inlineStr">
        <is>
          <t>Yes</t>
        </is>
      </c>
      <c r="AR1487">
        <f>HYPERLINK("http://catalog.hathitrust.org/Record/000106568","HathiTrust Record")</f>
        <v/>
      </c>
      <c r="AS1487">
        <f>HYPERLINK("https://creighton-primo.hosted.exlibrisgroup.com/primo-explore/search?tab=default_tab&amp;search_scope=EVERYTHING&amp;vid=01CRU&amp;lang=en_US&amp;offset=0&amp;query=any,contains,991005236649702656","Catalog Record")</f>
        <v/>
      </c>
      <c r="AT1487">
        <f>HYPERLINK("http://www.worldcat.org/oclc/8387203","WorldCat Record")</f>
        <v/>
      </c>
      <c r="AU1487" t="inlineStr">
        <is>
          <t>548293:eng</t>
        </is>
      </c>
      <c r="AV1487" t="inlineStr">
        <is>
          <t>8387203</t>
        </is>
      </c>
      <c r="AW1487" t="inlineStr">
        <is>
          <t>991005236649702656</t>
        </is>
      </c>
      <c r="AX1487" t="inlineStr">
        <is>
          <t>991005236649702656</t>
        </is>
      </c>
      <c r="AY1487" t="inlineStr">
        <is>
          <t>2266675300002656</t>
        </is>
      </c>
      <c r="AZ1487" t="inlineStr">
        <is>
          <t>BOOK</t>
        </is>
      </c>
      <c r="BB1487" t="inlineStr">
        <is>
          <t>9780891411567</t>
        </is>
      </c>
      <c r="BC1487" t="inlineStr">
        <is>
          <t>32285000338508</t>
        </is>
      </c>
      <c r="BD1487" t="inlineStr">
        <is>
          <t>893783262</t>
        </is>
      </c>
    </row>
    <row r="1488">
      <c r="A1488" t="inlineStr">
        <is>
          <t>No</t>
        </is>
      </c>
      <c r="B1488" t="inlineStr">
        <is>
          <t>DS558.5 .V47 2002</t>
        </is>
      </c>
      <c r="C1488" t="inlineStr">
        <is>
          <t>0                      DS 0558500V  47          2002</t>
        </is>
      </c>
      <c r="D1488" t="inlineStr">
        <is>
          <t>Victory in Vietnam : the official history of the people's army of Vietnam, 1954-1975 / the Military History Institute of Vietnam ; translated by Merle L. Pribbenow ; foreword by William J. Duiker.</t>
        </is>
      </c>
      <c r="F1488" t="inlineStr">
        <is>
          <t>No</t>
        </is>
      </c>
      <c r="G1488" t="inlineStr">
        <is>
          <t>1</t>
        </is>
      </c>
      <c r="H1488" t="inlineStr">
        <is>
          <t>No</t>
        </is>
      </c>
      <c r="I1488" t="inlineStr">
        <is>
          <t>No</t>
        </is>
      </c>
      <c r="J1488" t="inlineStr">
        <is>
          <t>0</t>
        </is>
      </c>
      <c r="L1488" t="inlineStr">
        <is>
          <t>Lawrence, Kan. : University Press of Kansas, c2002.</t>
        </is>
      </c>
      <c r="M1488" t="inlineStr">
        <is>
          <t>2002</t>
        </is>
      </c>
      <c r="O1488" t="inlineStr">
        <is>
          <t>eng</t>
        </is>
      </c>
      <c r="P1488" t="inlineStr">
        <is>
          <t>ksu</t>
        </is>
      </c>
      <c r="Q1488" t="inlineStr">
        <is>
          <t>Modern war studies</t>
        </is>
      </c>
      <c r="R1488" t="inlineStr">
        <is>
          <t xml:space="preserve">DS </t>
        </is>
      </c>
      <c r="S1488" t="n">
        <v>7</v>
      </c>
      <c r="T1488" t="n">
        <v>7</v>
      </c>
      <c r="U1488" t="inlineStr">
        <is>
          <t>2003-06-15</t>
        </is>
      </c>
      <c r="V1488" t="inlineStr">
        <is>
          <t>2003-06-15</t>
        </is>
      </c>
      <c r="W1488" t="inlineStr">
        <is>
          <t>2003-05-21</t>
        </is>
      </c>
      <c r="X1488" t="inlineStr">
        <is>
          <t>2003-05-21</t>
        </is>
      </c>
      <c r="Y1488" t="n">
        <v>718</v>
      </c>
      <c r="Z1488" t="n">
        <v>644</v>
      </c>
      <c r="AA1488" t="n">
        <v>661</v>
      </c>
      <c r="AB1488" t="n">
        <v>4</v>
      </c>
      <c r="AC1488" t="n">
        <v>4</v>
      </c>
      <c r="AD1488" t="n">
        <v>35</v>
      </c>
      <c r="AE1488" t="n">
        <v>35</v>
      </c>
      <c r="AF1488" t="n">
        <v>20</v>
      </c>
      <c r="AG1488" t="n">
        <v>20</v>
      </c>
      <c r="AH1488" t="n">
        <v>6</v>
      </c>
      <c r="AI1488" t="n">
        <v>6</v>
      </c>
      <c r="AJ1488" t="n">
        <v>15</v>
      </c>
      <c r="AK1488" t="n">
        <v>15</v>
      </c>
      <c r="AL1488" t="n">
        <v>3</v>
      </c>
      <c r="AM1488" t="n">
        <v>3</v>
      </c>
      <c r="AN1488" t="n">
        <v>0</v>
      </c>
      <c r="AO1488" t="n">
        <v>0</v>
      </c>
      <c r="AP1488" t="inlineStr">
        <is>
          <t>No</t>
        </is>
      </c>
      <c r="AQ1488" t="inlineStr">
        <is>
          <t>Yes</t>
        </is>
      </c>
      <c r="AR1488">
        <f>HYPERLINK("http://catalog.hathitrust.org/Record/004249529","HathiTrust Record")</f>
        <v/>
      </c>
      <c r="AS1488">
        <f>HYPERLINK("https://creighton-primo.hosted.exlibrisgroup.com/primo-explore/search?tab=default_tab&amp;search_scope=EVERYTHING&amp;vid=01CRU&amp;lang=en_US&amp;offset=0&amp;query=any,contains,991004050439702656","Catalog Record")</f>
        <v/>
      </c>
      <c r="AT1488">
        <f>HYPERLINK("http://www.worldcat.org/oclc/48223698","WorldCat Record")</f>
        <v/>
      </c>
      <c r="AU1488" t="inlineStr">
        <is>
          <t>10568570298:eng</t>
        </is>
      </c>
      <c r="AV1488" t="inlineStr">
        <is>
          <t>48223698</t>
        </is>
      </c>
      <c r="AW1488" t="inlineStr">
        <is>
          <t>991004050439702656</t>
        </is>
      </c>
      <c r="AX1488" t="inlineStr">
        <is>
          <t>991004050439702656</t>
        </is>
      </c>
      <c r="AY1488" t="inlineStr">
        <is>
          <t>2255616520002656</t>
        </is>
      </c>
      <c r="AZ1488" t="inlineStr">
        <is>
          <t>BOOK</t>
        </is>
      </c>
      <c r="BB1488" t="inlineStr">
        <is>
          <t>9780700611751</t>
        </is>
      </c>
      <c r="BC1488" t="inlineStr">
        <is>
          <t>32285004747654</t>
        </is>
      </c>
      <c r="BD1488" t="inlineStr">
        <is>
          <t>893318743</t>
        </is>
      </c>
    </row>
    <row r="1489">
      <c r="A1489" t="inlineStr">
        <is>
          <t>No</t>
        </is>
      </c>
      <c r="B1489" t="inlineStr">
        <is>
          <t>DS558.6.G7 B87 2003</t>
        </is>
      </c>
      <c r="C1489" t="inlineStr">
        <is>
          <t>0                      DS 0558600G  7                  B  87          2003</t>
        </is>
      </c>
      <c r="D1489" t="inlineStr">
        <is>
          <t>All the way with JFK? : Britain, the US, and the Vietnam War / Peter Busch.</t>
        </is>
      </c>
      <c r="F1489" t="inlineStr">
        <is>
          <t>No</t>
        </is>
      </c>
      <c r="G1489" t="inlineStr">
        <is>
          <t>1</t>
        </is>
      </c>
      <c r="H1489" t="inlineStr">
        <is>
          <t>No</t>
        </is>
      </c>
      <c r="I1489" t="inlineStr">
        <is>
          <t>No</t>
        </is>
      </c>
      <c r="J1489" t="inlineStr">
        <is>
          <t>0</t>
        </is>
      </c>
      <c r="K1489" t="inlineStr">
        <is>
          <t>Busch, Peter, 1968-</t>
        </is>
      </c>
      <c r="L1489" t="inlineStr">
        <is>
          <t>Oxford ; New York : Oxford University Press, 2003.</t>
        </is>
      </c>
      <c r="M1489" t="inlineStr">
        <is>
          <t>2003</t>
        </is>
      </c>
      <c r="O1489" t="inlineStr">
        <is>
          <t>eng</t>
        </is>
      </c>
      <c r="P1489" t="inlineStr">
        <is>
          <t>enk</t>
        </is>
      </c>
      <c r="R1489" t="inlineStr">
        <is>
          <t xml:space="preserve">DS </t>
        </is>
      </c>
      <c r="S1489" t="n">
        <v>1</v>
      </c>
      <c r="T1489" t="n">
        <v>1</v>
      </c>
      <c r="U1489" t="inlineStr">
        <is>
          <t>2004-04-12</t>
        </is>
      </c>
      <c r="V1489" t="inlineStr">
        <is>
          <t>2004-04-12</t>
        </is>
      </c>
      <c r="W1489" t="inlineStr">
        <is>
          <t>2004-04-12</t>
        </is>
      </c>
      <c r="X1489" t="inlineStr">
        <is>
          <t>2004-04-12</t>
        </is>
      </c>
      <c r="Y1489" t="n">
        <v>332</v>
      </c>
      <c r="Z1489" t="n">
        <v>242</v>
      </c>
      <c r="AA1489" t="n">
        <v>242</v>
      </c>
      <c r="AB1489" t="n">
        <v>3</v>
      </c>
      <c r="AC1489" t="n">
        <v>3</v>
      </c>
      <c r="AD1489" t="n">
        <v>16</v>
      </c>
      <c r="AE1489" t="n">
        <v>16</v>
      </c>
      <c r="AF1489" t="n">
        <v>5</v>
      </c>
      <c r="AG1489" t="n">
        <v>5</v>
      </c>
      <c r="AH1489" t="n">
        <v>5</v>
      </c>
      <c r="AI1489" t="n">
        <v>5</v>
      </c>
      <c r="AJ1489" t="n">
        <v>7</v>
      </c>
      <c r="AK1489" t="n">
        <v>7</v>
      </c>
      <c r="AL1489" t="n">
        <v>2</v>
      </c>
      <c r="AM1489" t="n">
        <v>2</v>
      </c>
      <c r="AN1489" t="n">
        <v>0</v>
      </c>
      <c r="AO1489" t="n">
        <v>0</v>
      </c>
      <c r="AP1489" t="inlineStr">
        <is>
          <t>No</t>
        </is>
      </c>
      <c r="AQ1489" t="inlineStr">
        <is>
          <t>No</t>
        </is>
      </c>
      <c r="AS1489">
        <f>HYPERLINK("https://creighton-primo.hosted.exlibrisgroup.com/primo-explore/search?tab=default_tab&amp;search_scope=EVERYTHING&amp;vid=01CRU&amp;lang=en_US&amp;offset=0&amp;query=any,contains,991004256559702656","Catalog Record")</f>
        <v/>
      </c>
      <c r="AT1489">
        <f>HYPERLINK("http://www.worldcat.org/oclc/51001526","WorldCat Record")</f>
        <v/>
      </c>
      <c r="AU1489" t="inlineStr">
        <is>
          <t>839489286:eng</t>
        </is>
      </c>
      <c r="AV1489" t="inlineStr">
        <is>
          <t>51001526</t>
        </is>
      </c>
      <c r="AW1489" t="inlineStr">
        <is>
          <t>991004256559702656</t>
        </is>
      </c>
      <c r="AX1489" t="inlineStr">
        <is>
          <t>991004256559702656</t>
        </is>
      </c>
      <c r="AY1489" t="inlineStr">
        <is>
          <t>2267075550002656</t>
        </is>
      </c>
      <c r="AZ1489" t="inlineStr">
        <is>
          <t>BOOK</t>
        </is>
      </c>
      <c r="BB1489" t="inlineStr">
        <is>
          <t>9780199256396</t>
        </is>
      </c>
      <c r="BC1489" t="inlineStr">
        <is>
          <t>32285004898994</t>
        </is>
      </c>
      <c r="BD1489" t="inlineStr">
        <is>
          <t>893605814</t>
        </is>
      </c>
    </row>
    <row r="1490">
      <c r="A1490" t="inlineStr">
        <is>
          <t>No</t>
        </is>
      </c>
      <c r="B1490" t="inlineStr">
        <is>
          <t>DS558.7 .L37 1997</t>
        </is>
      </c>
      <c r="C1490" t="inlineStr">
        <is>
          <t>0                      DS 0558700L  37          1997</t>
        </is>
      </c>
      <c r="D1490" t="inlineStr">
        <is>
          <t>The Coast Guard at war : Vietnam, 1965-1975 / Alex Larzelere.</t>
        </is>
      </c>
      <c r="F1490" t="inlineStr">
        <is>
          <t>No</t>
        </is>
      </c>
      <c r="G1490" t="inlineStr">
        <is>
          <t>1</t>
        </is>
      </c>
      <c r="H1490" t="inlineStr">
        <is>
          <t>No</t>
        </is>
      </c>
      <c r="I1490" t="inlineStr">
        <is>
          <t>No</t>
        </is>
      </c>
      <c r="J1490" t="inlineStr">
        <is>
          <t>0</t>
        </is>
      </c>
      <c r="K1490" t="inlineStr">
        <is>
          <t>Larzelere, Alex, 1936-</t>
        </is>
      </c>
      <c r="L1490" t="inlineStr">
        <is>
          <t>Annapolis, Md. : Naval Institute Press, c1997.</t>
        </is>
      </c>
      <c r="M1490" t="inlineStr">
        <is>
          <t>1997</t>
        </is>
      </c>
      <c r="O1490" t="inlineStr">
        <is>
          <t>eng</t>
        </is>
      </c>
      <c r="P1490" t="inlineStr">
        <is>
          <t>mdu</t>
        </is>
      </c>
      <c r="R1490" t="inlineStr">
        <is>
          <t xml:space="preserve">DS </t>
        </is>
      </c>
      <c r="S1490" t="n">
        <v>2</v>
      </c>
      <c r="T1490" t="n">
        <v>2</v>
      </c>
      <c r="U1490" t="inlineStr">
        <is>
          <t>1999-02-04</t>
        </is>
      </c>
      <c r="V1490" t="inlineStr">
        <is>
          <t>1999-02-04</t>
        </is>
      </c>
      <c r="W1490" t="inlineStr">
        <is>
          <t>1999-01-20</t>
        </is>
      </c>
      <c r="X1490" t="inlineStr">
        <is>
          <t>1999-01-20</t>
        </is>
      </c>
      <c r="Y1490" t="n">
        <v>298</v>
      </c>
      <c r="Z1490" t="n">
        <v>275</v>
      </c>
      <c r="AA1490" t="n">
        <v>277</v>
      </c>
      <c r="AB1490" t="n">
        <v>2</v>
      </c>
      <c r="AC1490" t="n">
        <v>2</v>
      </c>
      <c r="AD1490" t="n">
        <v>12</v>
      </c>
      <c r="AE1490" t="n">
        <v>12</v>
      </c>
      <c r="AF1490" t="n">
        <v>4</v>
      </c>
      <c r="AG1490" t="n">
        <v>4</v>
      </c>
      <c r="AH1490" t="n">
        <v>4</v>
      </c>
      <c r="AI1490" t="n">
        <v>4</v>
      </c>
      <c r="AJ1490" t="n">
        <v>8</v>
      </c>
      <c r="AK1490" t="n">
        <v>8</v>
      </c>
      <c r="AL1490" t="n">
        <v>1</v>
      </c>
      <c r="AM1490" t="n">
        <v>1</v>
      </c>
      <c r="AN1490" t="n">
        <v>0</v>
      </c>
      <c r="AO1490" t="n">
        <v>0</v>
      </c>
      <c r="AP1490" t="inlineStr">
        <is>
          <t>No</t>
        </is>
      </c>
      <c r="AQ1490" t="inlineStr">
        <is>
          <t>Yes</t>
        </is>
      </c>
      <c r="AR1490">
        <f>HYPERLINK("http://catalog.hathitrust.org/Record/003152185","HathiTrust Record")</f>
        <v/>
      </c>
      <c r="AS1490">
        <f>HYPERLINK("https://creighton-primo.hosted.exlibrisgroup.com/primo-explore/search?tab=default_tab&amp;search_scope=EVERYTHING&amp;vid=01CRU&amp;lang=en_US&amp;offset=0&amp;query=any,contains,991002697449702656","Catalog Record")</f>
        <v/>
      </c>
      <c r="AT1490">
        <f>HYPERLINK("http://www.worldcat.org/oclc/35223023","WorldCat Record")</f>
        <v/>
      </c>
      <c r="AU1490" t="inlineStr">
        <is>
          <t>17435955:eng</t>
        </is>
      </c>
      <c r="AV1490" t="inlineStr">
        <is>
          <t>35223023</t>
        </is>
      </c>
      <c r="AW1490" t="inlineStr">
        <is>
          <t>991002697449702656</t>
        </is>
      </c>
      <c r="AX1490" t="inlineStr">
        <is>
          <t>991002697449702656</t>
        </is>
      </c>
      <c r="AY1490" t="inlineStr">
        <is>
          <t>2258687770002656</t>
        </is>
      </c>
      <c r="AZ1490" t="inlineStr">
        <is>
          <t>BOOK</t>
        </is>
      </c>
      <c r="BB1490" t="inlineStr">
        <is>
          <t>9781557505293</t>
        </is>
      </c>
      <c r="BC1490" t="inlineStr">
        <is>
          <t>32285003513891</t>
        </is>
      </c>
      <c r="BD1490" t="inlineStr">
        <is>
          <t>893409422</t>
        </is>
      </c>
    </row>
    <row r="1491">
      <c r="A1491" t="inlineStr">
        <is>
          <t>No</t>
        </is>
      </c>
      <c r="B1491" t="inlineStr">
        <is>
          <t>DS558.8 .C56 1989</t>
        </is>
      </c>
      <c r="C1491" t="inlineStr">
        <is>
          <t>0                      DS 0558800C  56          1989</t>
        </is>
      </c>
      <c r="D1491" t="inlineStr">
        <is>
          <t>The limits of air power : the American bombing of North Vietnam / Mark Clodfelter.</t>
        </is>
      </c>
      <c r="F1491" t="inlineStr">
        <is>
          <t>No</t>
        </is>
      </c>
      <c r="G1491" t="inlineStr">
        <is>
          <t>1</t>
        </is>
      </c>
      <c r="H1491" t="inlineStr">
        <is>
          <t>No</t>
        </is>
      </c>
      <c r="I1491" t="inlineStr">
        <is>
          <t>No</t>
        </is>
      </c>
      <c r="J1491" t="inlineStr">
        <is>
          <t>0</t>
        </is>
      </c>
      <c r="K1491" t="inlineStr">
        <is>
          <t>Clodfelter, Mark.</t>
        </is>
      </c>
      <c r="L1491" t="inlineStr">
        <is>
          <t>New York : Free Press ; London : Collier Macmillan, c1989.</t>
        </is>
      </c>
      <c r="M1491" t="inlineStr">
        <is>
          <t>1989</t>
        </is>
      </c>
      <c r="O1491" t="inlineStr">
        <is>
          <t>eng</t>
        </is>
      </c>
      <c r="P1491" t="inlineStr">
        <is>
          <t>nyu</t>
        </is>
      </c>
      <c r="R1491" t="inlineStr">
        <is>
          <t xml:space="preserve">DS </t>
        </is>
      </c>
      <c r="S1491" t="n">
        <v>1</v>
      </c>
      <c r="T1491" t="n">
        <v>1</v>
      </c>
      <c r="U1491" t="inlineStr">
        <is>
          <t>1998-12-18</t>
        </is>
      </c>
      <c r="V1491" t="inlineStr">
        <is>
          <t>1998-12-18</t>
        </is>
      </c>
      <c r="W1491" t="inlineStr">
        <is>
          <t>1989-10-20</t>
        </is>
      </c>
      <c r="X1491" t="inlineStr">
        <is>
          <t>1989-10-20</t>
        </is>
      </c>
      <c r="Y1491" t="n">
        <v>806</v>
      </c>
      <c r="Z1491" t="n">
        <v>721</v>
      </c>
      <c r="AA1491" t="n">
        <v>776</v>
      </c>
      <c r="AB1491" t="n">
        <v>4</v>
      </c>
      <c r="AC1491" t="n">
        <v>5</v>
      </c>
      <c r="AD1491" t="n">
        <v>27</v>
      </c>
      <c r="AE1491" t="n">
        <v>28</v>
      </c>
      <c r="AF1491" t="n">
        <v>10</v>
      </c>
      <c r="AG1491" t="n">
        <v>10</v>
      </c>
      <c r="AH1491" t="n">
        <v>6</v>
      </c>
      <c r="AI1491" t="n">
        <v>6</v>
      </c>
      <c r="AJ1491" t="n">
        <v>20</v>
      </c>
      <c r="AK1491" t="n">
        <v>20</v>
      </c>
      <c r="AL1491" t="n">
        <v>2</v>
      </c>
      <c r="AM1491" t="n">
        <v>3</v>
      </c>
      <c r="AN1491" t="n">
        <v>0</v>
      </c>
      <c r="AO1491" t="n">
        <v>0</v>
      </c>
      <c r="AP1491" t="inlineStr">
        <is>
          <t>No</t>
        </is>
      </c>
      <c r="AQ1491" t="inlineStr">
        <is>
          <t>Yes</t>
        </is>
      </c>
      <c r="AR1491">
        <f>HYPERLINK("http://catalog.hathitrust.org/Record/001533305","HathiTrust Record")</f>
        <v/>
      </c>
      <c r="AS1491">
        <f>HYPERLINK("https://creighton-primo.hosted.exlibrisgroup.com/primo-explore/search?tab=default_tab&amp;search_scope=EVERYTHING&amp;vid=01CRU&amp;lang=en_US&amp;offset=0&amp;query=any,contains,991001422139702656","Catalog Record")</f>
        <v/>
      </c>
      <c r="AT1491">
        <f>HYPERLINK("http://www.worldcat.org/oclc/18982930","WorldCat Record")</f>
        <v/>
      </c>
      <c r="AU1491" t="inlineStr">
        <is>
          <t>18999786:eng</t>
        </is>
      </c>
      <c r="AV1491" t="inlineStr">
        <is>
          <t>18982930</t>
        </is>
      </c>
      <c r="AW1491" t="inlineStr">
        <is>
          <t>991001422139702656</t>
        </is>
      </c>
      <c r="AX1491" t="inlineStr">
        <is>
          <t>991001422139702656</t>
        </is>
      </c>
      <c r="AY1491" t="inlineStr">
        <is>
          <t>2269259800002656</t>
        </is>
      </c>
      <c r="AZ1491" t="inlineStr">
        <is>
          <t>BOOK</t>
        </is>
      </c>
      <c r="BB1491" t="inlineStr">
        <is>
          <t>9780029059906</t>
        </is>
      </c>
      <c r="BC1491" t="inlineStr">
        <is>
          <t>32285000001122</t>
        </is>
      </c>
      <c r="BD1491" t="inlineStr">
        <is>
          <t>893444683</t>
        </is>
      </c>
    </row>
    <row r="1492">
      <c r="A1492" t="inlineStr">
        <is>
          <t>No</t>
        </is>
      </c>
      <c r="B1492" t="inlineStr">
        <is>
          <t>DS558.8 .E72 1989</t>
        </is>
      </c>
      <c r="C1492" t="inlineStr">
        <is>
          <t>0                      DS 0558800E  72          1989</t>
        </is>
      </c>
      <c r="D1492" t="inlineStr">
        <is>
          <t>Linebacker : the untold story of the air raids over North Vietnam / Karl J. Eschmann.</t>
        </is>
      </c>
      <c r="F1492" t="inlineStr">
        <is>
          <t>No</t>
        </is>
      </c>
      <c r="G1492" t="inlineStr">
        <is>
          <t>1</t>
        </is>
      </c>
      <c r="H1492" t="inlineStr">
        <is>
          <t>No</t>
        </is>
      </c>
      <c r="I1492" t="inlineStr">
        <is>
          <t>No</t>
        </is>
      </c>
      <c r="J1492" t="inlineStr">
        <is>
          <t>0</t>
        </is>
      </c>
      <c r="K1492" t="inlineStr">
        <is>
          <t>Eschmann, Karl J.</t>
        </is>
      </c>
      <c r="L1492" t="inlineStr">
        <is>
          <t>New York : Ivy Books : Published by Ballantine Books, 1989.</t>
        </is>
      </c>
      <c r="M1492" t="inlineStr">
        <is>
          <t>1989</t>
        </is>
      </c>
      <c r="N1492" t="inlineStr">
        <is>
          <t>1st ed.</t>
        </is>
      </c>
      <c r="O1492" t="inlineStr">
        <is>
          <t>eng</t>
        </is>
      </c>
      <c r="P1492" t="inlineStr">
        <is>
          <t>nyu</t>
        </is>
      </c>
      <c r="R1492" t="inlineStr">
        <is>
          <t xml:space="preserve">DS </t>
        </is>
      </c>
      <c r="S1492" t="n">
        <v>8</v>
      </c>
      <c r="T1492" t="n">
        <v>8</v>
      </c>
      <c r="U1492" t="inlineStr">
        <is>
          <t>2010-03-11</t>
        </is>
      </c>
      <c r="V1492" t="inlineStr">
        <is>
          <t>2010-03-11</t>
        </is>
      </c>
      <c r="W1492" t="inlineStr">
        <is>
          <t>1990-06-04</t>
        </is>
      </c>
      <c r="X1492" t="inlineStr">
        <is>
          <t>1990-06-04</t>
        </is>
      </c>
      <c r="Y1492" t="n">
        <v>158</v>
      </c>
      <c r="Z1492" t="n">
        <v>152</v>
      </c>
      <c r="AA1492" t="n">
        <v>157</v>
      </c>
      <c r="AB1492" t="n">
        <v>2</v>
      </c>
      <c r="AC1492" t="n">
        <v>2</v>
      </c>
      <c r="AD1492" t="n">
        <v>3</v>
      </c>
      <c r="AE1492" t="n">
        <v>3</v>
      </c>
      <c r="AF1492" t="n">
        <v>1</v>
      </c>
      <c r="AG1492" t="n">
        <v>1</v>
      </c>
      <c r="AH1492" t="n">
        <v>1</v>
      </c>
      <c r="AI1492" t="n">
        <v>1</v>
      </c>
      <c r="AJ1492" t="n">
        <v>1</v>
      </c>
      <c r="AK1492" t="n">
        <v>1</v>
      </c>
      <c r="AL1492" t="n">
        <v>1</v>
      </c>
      <c r="AM1492" t="n">
        <v>1</v>
      </c>
      <c r="AN1492" t="n">
        <v>0</v>
      </c>
      <c r="AO1492" t="n">
        <v>0</v>
      </c>
      <c r="AP1492" t="inlineStr">
        <is>
          <t>No</t>
        </is>
      </c>
      <c r="AQ1492" t="inlineStr">
        <is>
          <t>No</t>
        </is>
      </c>
      <c r="AS1492">
        <f>HYPERLINK("https://creighton-primo.hosted.exlibrisgroup.com/primo-explore/search?tab=default_tab&amp;search_scope=EVERYTHING&amp;vid=01CRU&amp;lang=en_US&amp;offset=0&amp;query=any,contains,991001607139702656","Catalog Record")</f>
        <v/>
      </c>
      <c r="AT1492">
        <f>HYPERLINK("http://www.worldcat.org/oclc/20695261","WorldCat Record")</f>
        <v/>
      </c>
      <c r="AU1492" t="inlineStr">
        <is>
          <t>433419141:eng</t>
        </is>
      </c>
      <c r="AV1492" t="inlineStr">
        <is>
          <t>20695261</t>
        </is>
      </c>
      <c r="AW1492" t="inlineStr">
        <is>
          <t>991001607139702656</t>
        </is>
      </c>
      <c r="AX1492" t="inlineStr">
        <is>
          <t>991001607139702656</t>
        </is>
      </c>
      <c r="AY1492" t="inlineStr">
        <is>
          <t>2255895660002656</t>
        </is>
      </c>
      <c r="AZ1492" t="inlineStr">
        <is>
          <t>BOOK</t>
        </is>
      </c>
      <c r="BB1492" t="inlineStr">
        <is>
          <t>9780804103749</t>
        </is>
      </c>
      <c r="BC1492" t="inlineStr">
        <is>
          <t>32285000156934</t>
        </is>
      </c>
      <c r="BD1492" t="inlineStr">
        <is>
          <t>893408229</t>
        </is>
      </c>
    </row>
    <row r="1493">
      <c r="A1493" t="inlineStr">
        <is>
          <t>No</t>
        </is>
      </c>
      <c r="B1493" t="inlineStr">
        <is>
          <t>DS558.8 .M67 1984</t>
        </is>
      </c>
      <c r="C1493" t="inlineStr">
        <is>
          <t>0                      DS 0558800M  67          1984</t>
        </is>
      </c>
      <c r="D1493" t="inlineStr">
        <is>
          <t>Thunder from above : air war, 1941-1968 / by John Morrocco and the editors of Boston Publishing Company.</t>
        </is>
      </c>
      <c r="F1493" t="inlineStr">
        <is>
          <t>No</t>
        </is>
      </c>
      <c r="G1493" t="inlineStr">
        <is>
          <t>1</t>
        </is>
      </c>
      <c r="H1493" t="inlineStr">
        <is>
          <t>No</t>
        </is>
      </c>
      <c r="I1493" t="inlineStr">
        <is>
          <t>No</t>
        </is>
      </c>
      <c r="J1493" t="inlineStr">
        <is>
          <t>0</t>
        </is>
      </c>
      <c r="K1493" t="inlineStr">
        <is>
          <t>Morrocco, John.</t>
        </is>
      </c>
      <c r="L1493" t="inlineStr">
        <is>
          <t>Boston, MA : Boston Pub. Co., c1984.</t>
        </is>
      </c>
      <c r="M1493" t="inlineStr">
        <is>
          <t>1984</t>
        </is>
      </c>
      <c r="O1493" t="inlineStr">
        <is>
          <t>eng</t>
        </is>
      </c>
      <c r="P1493" t="inlineStr">
        <is>
          <t>mau</t>
        </is>
      </c>
      <c r="Q1493" t="inlineStr">
        <is>
          <t>The Vietnam experience</t>
        </is>
      </c>
      <c r="R1493" t="inlineStr">
        <is>
          <t xml:space="preserve">DS </t>
        </is>
      </c>
      <c r="S1493" t="n">
        <v>3</v>
      </c>
      <c r="T1493" t="n">
        <v>3</v>
      </c>
      <c r="U1493" t="inlineStr">
        <is>
          <t>1995-04-17</t>
        </is>
      </c>
      <c r="V1493" t="inlineStr">
        <is>
          <t>1995-04-17</t>
        </is>
      </c>
      <c r="W1493" t="inlineStr">
        <is>
          <t>1990-10-10</t>
        </is>
      </c>
      <c r="X1493" t="inlineStr">
        <is>
          <t>1990-10-10</t>
        </is>
      </c>
      <c r="Y1493" t="n">
        <v>1632</v>
      </c>
      <c r="Z1493" t="n">
        <v>1568</v>
      </c>
      <c r="AA1493" t="n">
        <v>1583</v>
      </c>
      <c r="AB1493" t="n">
        <v>15</v>
      </c>
      <c r="AC1493" t="n">
        <v>15</v>
      </c>
      <c r="AD1493" t="n">
        <v>22</v>
      </c>
      <c r="AE1493" t="n">
        <v>24</v>
      </c>
      <c r="AF1493" t="n">
        <v>8</v>
      </c>
      <c r="AG1493" t="n">
        <v>9</v>
      </c>
      <c r="AH1493" t="n">
        <v>5</v>
      </c>
      <c r="AI1493" t="n">
        <v>6</v>
      </c>
      <c r="AJ1493" t="n">
        <v>12</v>
      </c>
      <c r="AK1493" t="n">
        <v>12</v>
      </c>
      <c r="AL1493" t="n">
        <v>2</v>
      </c>
      <c r="AM1493" t="n">
        <v>2</v>
      </c>
      <c r="AN1493" t="n">
        <v>0</v>
      </c>
      <c r="AO1493" t="n">
        <v>0</v>
      </c>
      <c r="AP1493" t="inlineStr">
        <is>
          <t>No</t>
        </is>
      </c>
      <c r="AQ1493" t="inlineStr">
        <is>
          <t>Yes</t>
        </is>
      </c>
      <c r="AR1493">
        <f>HYPERLINK("http://catalog.hathitrust.org/Record/000290377","HathiTrust Record")</f>
        <v/>
      </c>
      <c r="AS1493">
        <f>HYPERLINK("https://creighton-primo.hosted.exlibrisgroup.com/primo-explore/search?tab=default_tab&amp;search_scope=EVERYTHING&amp;vid=01CRU&amp;lang=en_US&amp;offset=0&amp;query=any,contains,991000410389702656","Catalog Record")</f>
        <v/>
      </c>
      <c r="AT1493">
        <f>HYPERLINK("http://www.worldcat.org/oclc/10709721","WorldCat Record")</f>
        <v/>
      </c>
      <c r="AU1493" t="inlineStr">
        <is>
          <t>477466920:eng</t>
        </is>
      </c>
      <c r="AV1493" t="inlineStr">
        <is>
          <t>10709721</t>
        </is>
      </c>
      <c r="AW1493" t="inlineStr">
        <is>
          <t>991000410389702656</t>
        </is>
      </c>
      <c r="AX1493" t="inlineStr">
        <is>
          <t>991000410389702656</t>
        </is>
      </c>
      <c r="AY1493" t="inlineStr">
        <is>
          <t>2265406560002656</t>
        </is>
      </c>
      <c r="AZ1493" t="inlineStr">
        <is>
          <t>BOOK</t>
        </is>
      </c>
      <c r="BB1493" t="inlineStr">
        <is>
          <t>9780939526093</t>
        </is>
      </c>
      <c r="BC1493" t="inlineStr">
        <is>
          <t>32285000337682</t>
        </is>
      </c>
      <c r="BD1493" t="inlineStr">
        <is>
          <t>893708340</t>
        </is>
      </c>
    </row>
    <row r="1494">
      <c r="A1494" t="inlineStr">
        <is>
          <t>No</t>
        </is>
      </c>
      <c r="B1494" t="inlineStr">
        <is>
          <t>DS558.8 .M671 1985</t>
        </is>
      </c>
      <c r="C1494" t="inlineStr">
        <is>
          <t>0                      DS 0558800M  671         1985</t>
        </is>
      </c>
      <c r="D1494" t="inlineStr">
        <is>
          <t>Rain of fire : air war, 1969-1973 / by John Morrocco and the editors of Boston Publishing Company.</t>
        </is>
      </c>
      <c r="F1494" t="inlineStr">
        <is>
          <t>No</t>
        </is>
      </c>
      <c r="G1494" t="inlineStr">
        <is>
          <t>1</t>
        </is>
      </c>
      <c r="H1494" t="inlineStr">
        <is>
          <t>No</t>
        </is>
      </c>
      <c r="I1494" t="inlineStr">
        <is>
          <t>No</t>
        </is>
      </c>
      <c r="J1494" t="inlineStr">
        <is>
          <t>0</t>
        </is>
      </c>
      <c r="K1494" t="inlineStr">
        <is>
          <t>Morrocco, John.</t>
        </is>
      </c>
      <c r="L1494" t="inlineStr">
        <is>
          <t>Boston, MA : Boston Pub. Co., c1985.</t>
        </is>
      </c>
      <c r="M1494" t="inlineStr">
        <is>
          <t>1985</t>
        </is>
      </c>
      <c r="O1494" t="inlineStr">
        <is>
          <t>eng</t>
        </is>
      </c>
      <c r="P1494" t="inlineStr">
        <is>
          <t>mau</t>
        </is>
      </c>
      <c r="Q1494" t="inlineStr">
        <is>
          <t>The Vietnam experience</t>
        </is>
      </c>
      <c r="R1494" t="inlineStr">
        <is>
          <t xml:space="preserve">DS </t>
        </is>
      </c>
      <c r="S1494" t="n">
        <v>6</v>
      </c>
      <c r="T1494" t="n">
        <v>6</v>
      </c>
      <c r="U1494" t="inlineStr">
        <is>
          <t>1997-11-17</t>
        </is>
      </c>
      <c r="V1494" t="inlineStr">
        <is>
          <t>1997-11-17</t>
        </is>
      </c>
      <c r="W1494" t="inlineStr">
        <is>
          <t>1990-10-10</t>
        </is>
      </c>
      <c r="X1494" t="inlineStr">
        <is>
          <t>1990-10-10</t>
        </is>
      </c>
      <c r="Y1494" t="n">
        <v>1485</v>
      </c>
      <c r="Z1494" t="n">
        <v>1420</v>
      </c>
      <c r="AA1494" t="n">
        <v>1430</v>
      </c>
      <c r="AB1494" t="n">
        <v>13</v>
      </c>
      <c r="AC1494" t="n">
        <v>13</v>
      </c>
      <c r="AD1494" t="n">
        <v>20</v>
      </c>
      <c r="AE1494" t="n">
        <v>20</v>
      </c>
      <c r="AF1494" t="n">
        <v>8</v>
      </c>
      <c r="AG1494" t="n">
        <v>8</v>
      </c>
      <c r="AH1494" t="n">
        <v>4</v>
      </c>
      <c r="AI1494" t="n">
        <v>4</v>
      </c>
      <c r="AJ1494" t="n">
        <v>12</v>
      </c>
      <c r="AK1494" t="n">
        <v>12</v>
      </c>
      <c r="AL1494" t="n">
        <v>1</v>
      </c>
      <c r="AM1494" t="n">
        <v>1</v>
      </c>
      <c r="AN1494" t="n">
        <v>0</v>
      </c>
      <c r="AO1494" t="n">
        <v>0</v>
      </c>
      <c r="AP1494" t="inlineStr">
        <is>
          <t>No</t>
        </is>
      </c>
      <c r="AQ1494" t="inlineStr">
        <is>
          <t>Yes</t>
        </is>
      </c>
      <c r="AR1494">
        <f>HYPERLINK("http://catalog.hathitrust.org/Record/000383052","HathiTrust Record")</f>
        <v/>
      </c>
      <c r="AS1494">
        <f>HYPERLINK("https://creighton-primo.hosted.exlibrisgroup.com/primo-explore/search?tab=default_tab&amp;search_scope=EVERYTHING&amp;vid=01CRU&amp;lang=en_US&amp;offset=0&amp;query=any,contains,991000603869702656","Catalog Record")</f>
        <v/>
      </c>
      <c r="AT1494">
        <f>HYPERLINK("http://www.worldcat.org/oclc/11843600","WorldCat Record")</f>
        <v/>
      </c>
      <c r="AU1494" t="inlineStr">
        <is>
          <t>905390452:eng</t>
        </is>
      </c>
      <c r="AV1494" t="inlineStr">
        <is>
          <t>11843600</t>
        </is>
      </c>
      <c r="AW1494" t="inlineStr">
        <is>
          <t>991000603869702656</t>
        </is>
      </c>
      <c r="AX1494" t="inlineStr">
        <is>
          <t>991000603869702656</t>
        </is>
      </c>
      <c r="AY1494" t="inlineStr">
        <is>
          <t>2263025730002656</t>
        </is>
      </c>
      <c r="AZ1494" t="inlineStr">
        <is>
          <t>BOOK</t>
        </is>
      </c>
      <c r="BB1494" t="inlineStr">
        <is>
          <t>9780939526147</t>
        </is>
      </c>
      <c r="BC1494" t="inlineStr">
        <is>
          <t>32285000337690</t>
        </is>
      </c>
      <c r="BD1494" t="inlineStr">
        <is>
          <t>893225141</t>
        </is>
      </c>
    </row>
    <row r="1495">
      <c r="A1495" t="inlineStr">
        <is>
          <t>No</t>
        </is>
      </c>
      <c r="B1495" t="inlineStr">
        <is>
          <t>DS558.A6 C3</t>
        </is>
      </c>
      <c r="C1495" t="inlineStr">
        <is>
          <t>0                      DS 0558000A  6                  C  3</t>
        </is>
      </c>
      <c r="D1495" t="inlineStr">
        <is>
          <t>Angkor the magnificent, the wonder city of ancient Cambodia, by Helen Churchill Candee ... with seventy-nine illustrations from photographs and a map.</t>
        </is>
      </c>
      <c r="F1495" t="inlineStr">
        <is>
          <t>No</t>
        </is>
      </c>
      <c r="G1495" t="inlineStr">
        <is>
          <t>1</t>
        </is>
      </c>
      <c r="H1495" t="inlineStr">
        <is>
          <t>No</t>
        </is>
      </c>
      <c r="I1495" t="inlineStr">
        <is>
          <t>No</t>
        </is>
      </c>
      <c r="J1495" t="inlineStr">
        <is>
          <t>0</t>
        </is>
      </c>
      <c r="K1495" t="inlineStr">
        <is>
          <t>Candee, Helen Churchill, 1858-1949.</t>
        </is>
      </c>
      <c r="L1495" t="inlineStr">
        <is>
          <t>New York, Frederick A. Stokes company, 1924.</t>
        </is>
      </c>
      <c r="M1495" t="inlineStr">
        <is>
          <t>1924</t>
        </is>
      </c>
      <c r="O1495" t="inlineStr">
        <is>
          <t>eng</t>
        </is>
      </c>
      <c r="P1495" t="inlineStr">
        <is>
          <t xml:space="preserve">xx </t>
        </is>
      </c>
      <c r="R1495" t="inlineStr">
        <is>
          <t xml:space="preserve">DS </t>
        </is>
      </c>
      <c r="S1495" t="n">
        <v>2</v>
      </c>
      <c r="T1495" t="n">
        <v>2</v>
      </c>
      <c r="U1495" t="inlineStr">
        <is>
          <t>2000-02-20</t>
        </is>
      </c>
      <c r="V1495" t="inlineStr">
        <is>
          <t>2000-02-20</t>
        </is>
      </c>
      <c r="W1495" t="inlineStr">
        <is>
          <t>1997-03-11</t>
        </is>
      </c>
      <c r="X1495" t="inlineStr">
        <is>
          <t>1997-03-11</t>
        </is>
      </c>
      <c r="Y1495" t="n">
        <v>175</v>
      </c>
      <c r="Z1495" t="n">
        <v>160</v>
      </c>
      <c r="AA1495" t="n">
        <v>184</v>
      </c>
      <c r="AB1495" t="n">
        <v>1</v>
      </c>
      <c r="AC1495" t="n">
        <v>1</v>
      </c>
      <c r="AD1495" t="n">
        <v>6</v>
      </c>
      <c r="AE1495" t="n">
        <v>6</v>
      </c>
      <c r="AF1495" t="n">
        <v>3</v>
      </c>
      <c r="AG1495" t="n">
        <v>3</v>
      </c>
      <c r="AH1495" t="n">
        <v>1</v>
      </c>
      <c r="AI1495" t="n">
        <v>1</v>
      </c>
      <c r="AJ1495" t="n">
        <v>4</v>
      </c>
      <c r="AK1495" t="n">
        <v>4</v>
      </c>
      <c r="AL1495" t="n">
        <v>0</v>
      </c>
      <c r="AM1495" t="n">
        <v>0</v>
      </c>
      <c r="AN1495" t="n">
        <v>0</v>
      </c>
      <c r="AO1495" t="n">
        <v>0</v>
      </c>
      <c r="AP1495" t="inlineStr">
        <is>
          <t>Yes</t>
        </is>
      </c>
      <c r="AQ1495" t="inlineStr">
        <is>
          <t>No</t>
        </is>
      </c>
      <c r="AR1495">
        <f>HYPERLINK("http://catalog.hathitrust.org/Record/001255746","HathiTrust Record")</f>
        <v/>
      </c>
      <c r="AS1495">
        <f>HYPERLINK("https://creighton-primo.hosted.exlibrisgroup.com/primo-explore/search?tab=default_tab&amp;search_scope=EVERYTHING&amp;vid=01CRU&amp;lang=en_US&amp;offset=0&amp;query=any,contains,991003656759702656","Catalog Record")</f>
        <v/>
      </c>
      <c r="AT1495">
        <f>HYPERLINK("http://www.worldcat.org/oclc/1262405","WorldCat Record")</f>
        <v/>
      </c>
      <c r="AU1495" t="inlineStr">
        <is>
          <t>422986031:eng</t>
        </is>
      </c>
      <c r="AV1495" t="inlineStr">
        <is>
          <t>1262405</t>
        </is>
      </c>
      <c r="AW1495" t="inlineStr">
        <is>
          <t>991003656759702656</t>
        </is>
      </c>
      <c r="AX1495" t="inlineStr">
        <is>
          <t>991003656759702656</t>
        </is>
      </c>
      <c r="AY1495" t="inlineStr">
        <is>
          <t>2263212380002656</t>
        </is>
      </c>
      <c r="AZ1495" t="inlineStr">
        <is>
          <t>BOOK</t>
        </is>
      </c>
      <c r="BC1495" t="inlineStr">
        <is>
          <t>32285002459922</t>
        </is>
      </c>
      <c r="BD1495" t="inlineStr">
        <is>
          <t>893258672</t>
        </is>
      </c>
    </row>
    <row r="1496">
      <c r="A1496" t="inlineStr">
        <is>
          <t>No</t>
        </is>
      </c>
      <c r="B1496" t="inlineStr">
        <is>
          <t>DS558.H3 B4 1971</t>
        </is>
      </c>
      <c r="C1496" t="inlineStr">
        <is>
          <t>0                      DS 0558000H  3                  B  4           1971</t>
        </is>
      </c>
      <c r="D1496" t="inlineStr">
        <is>
          <t>Night flight to Hanoi : war diary with 11 poems / by Daniel Berrigan.</t>
        </is>
      </c>
      <c r="F1496" t="inlineStr">
        <is>
          <t>No</t>
        </is>
      </c>
      <c r="G1496" t="inlineStr">
        <is>
          <t>1</t>
        </is>
      </c>
      <c r="H1496" t="inlineStr">
        <is>
          <t>No</t>
        </is>
      </c>
      <c r="I1496" t="inlineStr">
        <is>
          <t>No</t>
        </is>
      </c>
      <c r="J1496" t="inlineStr">
        <is>
          <t>0</t>
        </is>
      </c>
      <c r="K1496" t="inlineStr">
        <is>
          <t>Berrigan, Daniel.</t>
        </is>
      </c>
      <c r="L1496" t="inlineStr">
        <is>
          <t>New York : Harper &amp; Row, [1971, c1968]</t>
        </is>
      </c>
      <c r="M1496" t="inlineStr">
        <is>
          <t>1971</t>
        </is>
      </c>
      <c r="O1496" t="inlineStr">
        <is>
          <t>eng</t>
        </is>
      </c>
      <c r="P1496" t="inlineStr">
        <is>
          <t>___</t>
        </is>
      </c>
      <c r="Q1496" t="inlineStr">
        <is>
          <t>Perennial Library ; P217</t>
        </is>
      </c>
      <c r="R1496" t="inlineStr">
        <is>
          <t xml:space="preserve">DS </t>
        </is>
      </c>
      <c r="S1496" t="n">
        <v>6</v>
      </c>
      <c r="T1496" t="n">
        <v>6</v>
      </c>
      <c r="U1496" t="inlineStr">
        <is>
          <t>2003-10-30</t>
        </is>
      </c>
      <c r="V1496" t="inlineStr">
        <is>
          <t>2003-10-30</t>
        </is>
      </c>
      <c r="W1496" t="inlineStr">
        <is>
          <t>1990-10-10</t>
        </is>
      </c>
      <c r="X1496" t="inlineStr">
        <is>
          <t>1990-10-10</t>
        </is>
      </c>
      <c r="Y1496" t="n">
        <v>38</v>
      </c>
      <c r="Z1496" t="n">
        <v>35</v>
      </c>
      <c r="AA1496" t="n">
        <v>619</v>
      </c>
      <c r="AB1496" t="n">
        <v>1</v>
      </c>
      <c r="AC1496" t="n">
        <v>4</v>
      </c>
      <c r="AD1496" t="n">
        <v>2</v>
      </c>
      <c r="AE1496" t="n">
        <v>28</v>
      </c>
      <c r="AF1496" t="n">
        <v>0</v>
      </c>
      <c r="AG1496" t="n">
        <v>9</v>
      </c>
      <c r="AH1496" t="n">
        <v>1</v>
      </c>
      <c r="AI1496" t="n">
        <v>8</v>
      </c>
      <c r="AJ1496" t="n">
        <v>1</v>
      </c>
      <c r="AK1496" t="n">
        <v>15</v>
      </c>
      <c r="AL1496" t="n">
        <v>0</v>
      </c>
      <c r="AM1496" t="n">
        <v>2</v>
      </c>
      <c r="AN1496" t="n">
        <v>0</v>
      </c>
      <c r="AO1496" t="n">
        <v>0</v>
      </c>
      <c r="AP1496" t="inlineStr">
        <is>
          <t>No</t>
        </is>
      </c>
      <c r="AQ1496" t="inlineStr">
        <is>
          <t>No</t>
        </is>
      </c>
      <c r="AS1496">
        <f>HYPERLINK("https://creighton-primo.hosted.exlibrisgroup.com/primo-explore/search?tab=default_tab&amp;search_scope=EVERYTHING&amp;vid=01CRU&amp;lang=en_US&amp;offset=0&amp;query=any,contains,991002921179702656","Catalog Record")</f>
        <v/>
      </c>
      <c r="AT1496">
        <f>HYPERLINK("http://www.worldcat.org/oclc/526716","WorldCat Record")</f>
        <v/>
      </c>
      <c r="AU1496" t="inlineStr">
        <is>
          <t>1438190:eng</t>
        </is>
      </c>
      <c r="AV1496" t="inlineStr">
        <is>
          <t>526716</t>
        </is>
      </c>
      <c r="AW1496" t="inlineStr">
        <is>
          <t>991002921179702656</t>
        </is>
      </c>
      <c r="AX1496" t="inlineStr">
        <is>
          <t>991002921179702656</t>
        </is>
      </c>
      <c r="AY1496" t="inlineStr">
        <is>
          <t>2262146270002656</t>
        </is>
      </c>
      <c r="AZ1496" t="inlineStr">
        <is>
          <t>BOOK</t>
        </is>
      </c>
      <c r="BC1496" t="inlineStr">
        <is>
          <t>32285000337567</t>
        </is>
      </c>
      <c r="BD1496" t="inlineStr">
        <is>
          <t>893616762</t>
        </is>
      </c>
    </row>
    <row r="1497">
      <c r="A1497" t="inlineStr">
        <is>
          <t>No</t>
        </is>
      </c>
      <c r="B1497" t="inlineStr">
        <is>
          <t>DS559.4 .C65 1987</t>
        </is>
      </c>
      <c r="C1497" t="inlineStr">
        <is>
          <t>0                      DS 0559400C  65          1987</t>
        </is>
      </c>
      <c r="D1497" t="inlineStr">
        <is>
          <t>First heroes : the POWs left behind in Vietnam / by Rod Colvin.</t>
        </is>
      </c>
      <c r="F1497" t="inlineStr">
        <is>
          <t>No</t>
        </is>
      </c>
      <c r="G1497" t="inlineStr">
        <is>
          <t>1</t>
        </is>
      </c>
      <c r="H1497" t="inlineStr">
        <is>
          <t>No</t>
        </is>
      </c>
      <c r="I1497" t="inlineStr">
        <is>
          <t>No</t>
        </is>
      </c>
      <c r="J1497" t="inlineStr">
        <is>
          <t>0</t>
        </is>
      </c>
      <c r="K1497" t="inlineStr">
        <is>
          <t>Colvin, Rod, 1950-</t>
        </is>
      </c>
      <c r="L1497" t="inlineStr">
        <is>
          <t>New York, NY : Irvington Publishers, c1987.</t>
        </is>
      </c>
      <c r="M1497" t="inlineStr">
        <is>
          <t>1987</t>
        </is>
      </c>
      <c r="N1497" t="inlineStr">
        <is>
          <t>1st ed.</t>
        </is>
      </c>
      <c r="O1497" t="inlineStr">
        <is>
          <t>eng</t>
        </is>
      </c>
      <c r="P1497" t="inlineStr">
        <is>
          <t>nyu</t>
        </is>
      </c>
      <c r="R1497" t="inlineStr">
        <is>
          <t xml:space="preserve">DS </t>
        </is>
      </c>
      <c r="S1497" t="n">
        <v>1</v>
      </c>
      <c r="T1497" t="n">
        <v>1</v>
      </c>
      <c r="U1497" t="inlineStr">
        <is>
          <t>1997-11-17</t>
        </is>
      </c>
      <c r="V1497" t="inlineStr">
        <is>
          <t>1997-11-17</t>
        </is>
      </c>
      <c r="W1497" t="inlineStr">
        <is>
          <t>1992-06-09</t>
        </is>
      </c>
      <c r="X1497" t="inlineStr">
        <is>
          <t>1992-06-09</t>
        </is>
      </c>
      <c r="Y1497" t="n">
        <v>411</v>
      </c>
      <c r="Z1497" t="n">
        <v>388</v>
      </c>
      <c r="AA1497" t="n">
        <v>892</v>
      </c>
      <c r="AB1497" t="n">
        <v>11</v>
      </c>
      <c r="AC1497" t="n">
        <v>15</v>
      </c>
      <c r="AD1497" t="n">
        <v>6</v>
      </c>
      <c r="AE1497" t="n">
        <v>26</v>
      </c>
      <c r="AF1497" t="n">
        <v>1</v>
      </c>
      <c r="AG1497" t="n">
        <v>7</v>
      </c>
      <c r="AH1497" t="n">
        <v>0</v>
      </c>
      <c r="AI1497" t="n">
        <v>7</v>
      </c>
      <c r="AJ1497" t="n">
        <v>2</v>
      </c>
      <c r="AK1497" t="n">
        <v>7</v>
      </c>
      <c r="AL1497" t="n">
        <v>3</v>
      </c>
      <c r="AM1497" t="n">
        <v>7</v>
      </c>
      <c r="AN1497" t="n">
        <v>0</v>
      </c>
      <c r="AO1497" t="n">
        <v>1</v>
      </c>
      <c r="AP1497" t="inlineStr">
        <is>
          <t>No</t>
        </is>
      </c>
      <c r="AQ1497" t="inlineStr">
        <is>
          <t>Yes</t>
        </is>
      </c>
      <c r="AR1497">
        <f>HYPERLINK("http://catalog.hathitrust.org/Record/007531129","HathiTrust Record")</f>
        <v/>
      </c>
      <c r="AS1497">
        <f>HYPERLINK("https://creighton-primo.hosted.exlibrisgroup.com/primo-explore/search?tab=default_tab&amp;search_scope=EVERYTHING&amp;vid=01CRU&amp;lang=en_US&amp;offset=0&amp;query=any,contains,991001072539702656","Catalog Record")</f>
        <v/>
      </c>
      <c r="AT1497">
        <f>HYPERLINK("http://www.worldcat.org/oclc/15990870","WorldCat Record")</f>
        <v/>
      </c>
      <c r="AU1497" t="inlineStr">
        <is>
          <t>906401024:eng</t>
        </is>
      </c>
      <c r="AV1497" t="inlineStr">
        <is>
          <t>15990870</t>
        </is>
      </c>
      <c r="AW1497" t="inlineStr">
        <is>
          <t>991001072539702656</t>
        </is>
      </c>
      <c r="AX1497" t="inlineStr">
        <is>
          <t>991001072539702656</t>
        </is>
      </c>
      <c r="AY1497" t="inlineStr">
        <is>
          <t>2271118260002656</t>
        </is>
      </c>
      <c r="AZ1497" t="inlineStr">
        <is>
          <t>BOOK</t>
        </is>
      </c>
      <c r="BB1497" t="inlineStr">
        <is>
          <t>9780829020083</t>
        </is>
      </c>
      <c r="BC1497" t="inlineStr">
        <is>
          <t>32285001074946</t>
        </is>
      </c>
      <c r="BD1497" t="inlineStr">
        <is>
          <t>893715149</t>
        </is>
      </c>
    </row>
    <row r="1498">
      <c r="A1498" t="inlineStr">
        <is>
          <t>No</t>
        </is>
      </c>
      <c r="B1498" t="inlineStr">
        <is>
          <t>DS559.4 .H57 2004</t>
        </is>
      </c>
      <c r="C1498" t="inlineStr">
        <is>
          <t>0                      DS 0559400H  57          2004</t>
        </is>
      </c>
      <c r="D1498" t="inlineStr">
        <is>
          <t>Two souls indivisible : the friendship that saved two POWs in Vietnam / James S. Hirsch.</t>
        </is>
      </c>
      <c r="F1498" t="inlineStr">
        <is>
          <t>No</t>
        </is>
      </c>
      <c r="G1498" t="inlineStr">
        <is>
          <t>1</t>
        </is>
      </c>
      <c r="H1498" t="inlineStr">
        <is>
          <t>No</t>
        </is>
      </c>
      <c r="I1498" t="inlineStr">
        <is>
          <t>No</t>
        </is>
      </c>
      <c r="J1498" t="inlineStr">
        <is>
          <t>0</t>
        </is>
      </c>
      <c r="K1498" t="inlineStr">
        <is>
          <t>Hirsch, James S.</t>
        </is>
      </c>
      <c r="L1498" t="inlineStr">
        <is>
          <t>Boston : Houghton Mifflin, 2004.</t>
        </is>
      </c>
      <c r="M1498" t="inlineStr">
        <is>
          <t>2004</t>
        </is>
      </c>
      <c r="O1498" t="inlineStr">
        <is>
          <t>eng</t>
        </is>
      </c>
      <c r="P1498" t="inlineStr">
        <is>
          <t>mau</t>
        </is>
      </c>
      <c r="R1498" t="inlineStr">
        <is>
          <t xml:space="preserve">DS </t>
        </is>
      </c>
      <c r="S1498" t="n">
        <v>4</v>
      </c>
      <c r="T1498" t="n">
        <v>4</v>
      </c>
      <c r="U1498" t="inlineStr">
        <is>
          <t>2005-03-10</t>
        </is>
      </c>
      <c r="V1498" t="inlineStr">
        <is>
          <t>2005-03-10</t>
        </is>
      </c>
      <c r="W1498" t="inlineStr">
        <is>
          <t>2004-08-26</t>
        </is>
      </c>
      <c r="X1498" t="inlineStr">
        <is>
          <t>2004-08-26</t>
        </is>
      </c>
      <c r="Y1498" t="n">
        <v>798</v>
      </c>
      <c r="Z1498" t="n">
        <v>778</v>
      </c>
      <c r="AA1498" t="n">
        <v>843</v>
      </c>
      <c r="AB1498" t="n">
        <v>7</v>
      </c>
      <c r="AC1498" t="n">
        <v>7</v>
      </c>
      <c r="AD1498" t="n">
        <v>9</v>
      </c>
      <c r="AE1498" t="n">
        <v>9</v>
      </c>
      <c r="AF1498" t="n">
        <v>3</v>
      </c>
      <c r="AG1498" t="n">
        <v>3</v>
      </c>
      <c r="AH1498" t="n">
        <v>3</v>
      </c>
      <c r="AI1498" t="n">
        <v>3</v>
      </c>
      <c r="AJ1498" t="n">
        <v>5</v>
      </c>
      <c r="AK1498" t="n">
        <v>5</v>
      </c>
      <c r="AL1498" t="n">
        <v>1</v>
      </c>
      <c r="AM1498" t="n">
        <v>1</v>
      </c>
      <c r="AN1498" t="n">
        <v>0</v>
      </c>
      <c r="AO1498" t="n">
        <v>0</v>
      </c>
      <c r="AP1498" t="inlineStr">
        <is>
          <t>No</t>
        </is>
      </c>
      <c r="AQ1498" t="inlineStr">
        <is>
          <t>No</t>
        </is>
      </c>
      <c r="AS1498">
        <f>HYPERLINK("https://creighton-primo.hosted.exlibrisgroup.com/primo-explore/search?tab=default_tab&amp;search_scope=EVERYTHING&amp;vid=01CRU&amp;lang=en_US&amp;offset=0&amp;query=any,contains,991004357189702656","Catalog Record")</f>
        <v/>
      </c>
      <c r="AT1498">
        <f>HYPERLINK("http://www.worldcat.org/oclc/53896727","WorldCat Record")</f>
        <v/>
      </c>
      <c r="AU1498" t="inlineStr">
        <is>
          <t>1031783:eng</t>
        </is>
      </c>
      <c r="AV1498" t="inlineStr">
        <is>
          <t>53896727</t>
        </is>
      </c>
      <c r="AW1498" t="inlineStr">
        <is>
          <t>991004357189702656</t>
        </is>
      </c>
      <c r="AX1498" t="inlineStr">
        <is>
          <t>991004357189702656</t>
        </is>
      </c>
      <c r="AY1498" t="inlineStr">
        <is>
          <t>2272621890002656</t>
        </is>
      </c>
      <c r="AZ1498" t="inlineStr">
        <is>
          <t>BOOK</t>
        </is>
      </c>
      <c r="BB1498" t="inlineStr">
        <is>
          <t>9780618273485</t>
        </is>
      </c>
      <c r="BC1498" t="inlineStr">
        <is>
          <t>32285004983440</t>
        </is>
      </c>
      <c r="BD1498" t="inlineStr">
        <is>
          <t>893788598</t>
        </is>
      </c>
    </row>
    <row r="1499">
      <c r="A1499" t="inlineStr">
        <is>
          <t>No</t>
        </is>
      </c>
      <c r="B1499" t="inlineStr">
        <is>
          <t>DS559.4 .R63 1999</t>
        </is>
      </c>
      <c r="C1499" t="inlineStr">
        <is>
          <t>0                      DS 0559400R  63          1999</t>
        </is>
      </c>
      <c r="D1499" t="inlineStr">
        <is>
          <t>Honor bound : American prisoners of war in Southeast Asia, 1961-1973 / Stuart I. Rochester and Frederick Kiley.</t>
        </is>
      </c>
      <c r="F1499" t="inlineStr">
        <is>
          <t>No</t>
        </is>
      </c>
      <c r="G1499" t="inlineStr">
        <is>
          <t>1</t>
        </is>
      </c>
      <c r="H1499" t="inlineStr">
        <is>
          <t>No</t>
        </is>
      </c>
      <c r="I1499" t="inlineStr">
        <is>
          <t>No</t>
        </is>
      </c>
      <c r="J1499" t="inlineStr">
        <is>
          <t>0</t>
        </is>
      </c>
      <c r="K1499" t="inlineStr">
        <is>
          <t>Rochester, Stuart I., 1945-</t>
        </is>
      </c>
      <c r="L1499" t="inlineStr">
        <is>
          <t>Annapolis, Md. : Naval Institute Press, 1999.</t>
        </is>
      </c>
      <c r="M1499" t="inlineStr">
        <is>
          <t>1999</t>
        </is>
      </c>
      <c r="N1499" t="inlineStr">
        <is>
          <t>Naval Institute Press ed.</t>
        </is>
      </c>
      <c r="O1499" t="inlineStr">
        <is>
          <t>eng</t>
        </is>
      </c>
      <c r="P1499" t="inlineStr">
        <is>
          <t>mdu</t>
        </is>
      </c>
      <c r="R1499" t="inlineStr">
        <is>
          <t xml:space="preserve">DS </t>
        </is>
      </c>
      <c r="S1499" t="n">
        <v>2</v>
      </c>
      <c r="T1499" t="n">
        <v>2</v>
      </c>
      <c r="U1499" t="inlineStr">
        <is>
          <t>2006-10-08</t>
        </is>
      </c>
      <c r="V1499" t="inlineStr">
        <is>
          <t>2006-10-08</t>
        </is>
      </c>
      <c r="W1499" t="inlineStr">
        <is>
          <t>1999-10-25</t>
        </is>
      </c>
      <c r="X1499" t="inlineStr">
        <is>
          <t>1999-10-25</t>
        </is>
      </c>
      <c r="Y1499" t="n">
        <v>553</v>
      </c>
      <c r="Z1499" t="n">
        <v>514</v>
      </c>
      <c r="AA1499" t="n">
        <v>584</v>
      </c>
      <c r="AB1499" t="n">
        <v>5</v>
      </c>
      <c r="AC1499" t="n">
        <v>5</v>
      </c>
      <c r="AD1499" t="n">
        <v>18</v>
      </c>
      <c r="AE1499" t="n">
        <v>18</v>
      </c>
      <c r="AF1499" t="n">
        <v>9</v>
      </c>
      <c r="AG1499" t="n">
        <v>9</v>
      </c>
      <c r="AH1499" t="n">
        <v>2</v>
      </c>
      <c r="AI1499" t="n">
        <v>2</v>
      </c>
      <c r="AJ1499" t="n">
        <v>9</v>
      </c>
      <c r="AK1499" t="n">
        <v>9</v>
      </c>
      <c r="AL1499" t="n">
        <v>2</v>
      </c>
      <c r="AM1499" t="n">
        <v>2</v>
      </c>
      <c r="AN1499" t="n">
        <v>0</v>
      </c>
      <c r="AO1499" t="n">
        <v>0</v>
      </c>
      <c r="AP1499" t="inlineStr">
        <is>
          <t>No</t>
        </is>
      </c>
      <c r="AQ1499" t="inlineStr">
        <is>
          <t>Yes</t>
        </is>
      </c>
      <c r="AR1499">
        <f>HYPERLINK("http://catalog.hathitrust.org/Record/004043203","HathiTrust Record")</f>
        <v/>
      </c>
      <c r="AS1499">
        <f>HYPERLINK("https://creighton-primo.hosted.exlibrisgroup.com/primo-explore/search?tab=default_tab&amp;search_scope=EVERYTHING&amp;vid=01CRU&amp;lang=en_US&amp;offset=0&amp;query=any,contains,991002967199702656","Catalog Record")</f>
        <v/>
      </c>
      <c r="AT1499">
        <f>HYPERLINK("http://www.worldcat.org/oclc/39706922","WorldCat Record")</f>
        <v/>
      </c>
      <c r="AU1499" t="inlineStr">
        <is>
          <t>20489275:eng</t>
        </is>
      </c>
      <c r="AV1499" t="inlineStr">
        <is>
          <t>39706922</t>
        </is>
      </c>
      <c r="AW1499" t="inlineStr">
        <is>
          <t>991002967199702656</t>
        </is>
      </c>
      <c r="AX1499" t="inlineStr">
        <is>
          <t>991002967199702656</t>
        </is>
      </c>
      <c r="AY1499" t="inlineStr">
        <is>
          <t>2255485730002656</t>
        </is>
      </c>
      <c r="AZ1499" t="inlineStr">
        <is>
          <t>BOOK</t>
        </is>
      </c>
      <c r="BB1499" t="inlineStr">
        <is>
          <t>9781557506948</t>
        </is>
      </c>
      <c r="BC1499" t="inlineStr">
        <is>
          <t>32285003612859</t>
        </is>
      </c>
      <c r="BD1499" t="inlineStr">
        <is>
          <t>893317487</t>
        </is>
      </c>
    </row>
    <row r="1500">
      <c r="A1500" t="inlineStr">
        <is>
          <t>No</t>
        </is>
      </c>
      <c r="B1500" t="inlineStr">
        <is>
          <t>DS559.4 .S9 1975</t>
        </is>
      </c>
      <c r="C1500" t="inlineStr">
        <is>
          <t>0                      DS 0559400S  9           1975</t>
        </is>
      </c>
      <c r="D1500" t="inlineStr">
        <is>
          <t>Survivors / [edited] by Zalin Grant.</t>
        </is>
      </c>
      <c r="F1500" t="inlineStr">
        <is>
          <t>No</t>
        </is>
      </c>
      <c r="G1500" t="inlineStr">
        <is>
          <t>1</t>
        </is>
      </c>
      <c r="H1500" t="inlineStr">
        <is>
          <t>No</t>
        </is>
      </c>
      <c r="I1500" t="inlineStr">
        <is>
          <t>No</t>
        </is>
      </c>
      <c r="J1500" t="inlineStr">
        <is>
          <t>0</t>
        </is>
      </c>
      <c r="L1500" t="inlineStr">
        <is>
          <t>New York : Norton, [1975]</t>
        </is>
      </c>
      <c r="M1500" t="inlineStr">
        <is>
          <t>1975</t>
        </is>
      </c>
      <c r="N1500" t="inlineStr">
        <is>
          <t>1st ed.</t>
        </is>
      </c>
      <c r="O1500" t="inlineStr">
        <is>
          <t>eng</t>
        </is>
      </c>
      <c r="P1500" t="inlineStr">
        <is>
          <t>nyu</t>
        </is>
      </c>
      <c r="R1500" t="inlineStr">
        <is>
          <t xml:space="preserve">DS </t>
        </is>
      </c>
      <c r="S1500" t="n">
        <v>0</v>
      </c>
      <c r="T1500" t="n">
        <v>0</v>
      </c>
      <c r="U1500" t="inlineStr">
        <is>
          <t>2000-07-05</t>
        </is>
      </c>
      <c r="V1500" t="inlineStr">
        <is>
          <t>2000-07-05</t>
        </is>
      </c>
      <c r="W1500" t="inlineStr">
        <is>
          <t>1993-10-07</t>
        </is>
      </c>
      <c r="X1500" t="inlineStr">
        <is>
          <t>1993-10-07</t>
        </is>
      </c>
      <c r="Y1500" t="n">
        <v>753</v>
      </c>
      <c r="Z1500" t="n">
        <v>716</v>
      </c>
      <c r="AA1500" t="n">
        <v>832</v>
      </c>
      <c r="AB1500" t="n">
        <v>5</v>
      </c>
      <c r="AC1500" t="n">
        <v>5</v>
      </c>
      <c r="AD1500" t="n">
        <v>17</v>
      </c>
      <c r="AE1500" t="n">
        <v>21</v>
      </c>
      <c r="AF1500" t="n">
        <v>9</v>
      </c>
      <c r="AG1500" t="n">
        <v>10</v>
      </c>
      <c r="AH1500" t="n">
        <v>3</v>
      </c>
      <c r="AI1500" t="n">
        <v>3</v>
      </c>
      <c r="AJ1500" t="n">
        <v>4</v>
      </c>
      <c r="AK1500" t="n">
        <v>6</v>
      </c>
      <c r="AL1500" t="n">
        <v>4</v>
      </c>
      <c r="AM1500" t="n">
        <v>4</v>
      </c>
      <c r="AN1500" t="n">
        <v>0</v>
      </c>
      <c r="AO1500" t="n">
        <v>1</v>
      </c>
      <c r="AP1500" t="inlineStr">
        <is>
          <t>No</t>
        </is>
      </c>
      <c r="AQ1500" t="inlineStr">
        <is>
          <t>No</t>
        </is>
      </c>
      <c r="AR1500">
        <f>HYPERLINK("http://catalog.hathitrust.org/Record/000704729","HathiTrust Record")</f>
        <v/>
      </c>
      <c r="AS1500">
        <f>HYPERLINK("https://creighton-primo.hosted.exlibrisgroup.com/primo-explore/search?tab=default_tab&amp;search_scope=EVERYTHING&amp;vid=01CRU&amp;lang=en_US&amp;offset=0&amp;query=any,contains,991003899759702656","Catalog Record")</f>
        <v/>
      </c>
      <c r="AT1500">
        <f>HYPERLINK("http://www.worldcat.org/oclc/1819843","WorldCat Record")</f>
        <v/>
      </c>
      <c r="AU1500" t="inlineStr">
        <is>
          <t>460356:eng</t>
        </is>
      </c>
      <c r="AV1500" t="inlineStr">
        <is>
          <t>1819843</t>
        </is>
      </c>
      <c r="AW1500" t="inlineStr">
        <is>
          <t>991003899759702656</t>
        </is>
      </c>
      <c r="AX1500" t="inlineStr">
        <is>
          <t>991003899759702656</t>
        </is>
      </c>
      <c r="AY1500" t="inlineStr">
        <is>
          <t>2272507950002656</t>
        </is>
      </c>
      <c r="AZ1500" t="inlineStr">
        <is>
          <t>BOOK</t>
        </is>
      </c>
      <c r="BB1500" t="inlineStr">
        <is>
          <t>9780393087277</t>
        </is>
      </c>
      <c r="BC1500" t="inlineStr">
        <is>
          <t>32285001790343</t>
        </is>
      </c>
      <c r="BD1500" t="inlineStr">
        <is>
          <t>893410877</t>
        </is>
      </c>
    </row>
    <row r="1501">
      <c r="A1501" t="inlineStr">
        <is>
          <t>No</t>
        </is>
      </c>
      <c r="B1501" t="inlineStr">
        <is>
          <t>DS559.44 .H27 1988</t>
        </is>
      </c>
      <c r="C1501" t="inlineStr">
        <is>
          <t>0                      DS 0559440H  27          1988</t>
        </is>
      </c>
      <c r="D1501" t="inlineStr">
        <is>
          <t>Care of the wounded in Vietnam / by Robert M. Hardaway.</t>
        </is>
      </c>
      <c r="F1501" t="inlineStr">
        <is>
          <t>No</t>
        </is>
      </c>
      <c r="G1501" t="inlineStr">
        <is>
          <t>1</t>
        </is>
      </c>
      <c r="H1501" t="inlineStr">
        <is>
          <t>No</t>
        </is>
      </c>
      <c r="I1501" t="inlineStr">
        <is>
          <t>No</t>
        </is>
      </c>
      <c r="J1501" t="inlineStr">
        <is>
          <t>0</t>
        </is>
      </c>
      <c r="K1501" t="inlineStr">
        <is>
          <t>Hardaway, Robert M.</t>
        </is>
      </c>
      <c r="L1501" t="inlineStr">
        <is>
          <t>Manhattan, Kan. : Sunflower University Press, 1988.</t>
        </is>
      </c>
      <c r="M1501" t="inlineStr">
        <is>
          <t>1988</t>
        </is>
      </c>
      <c r="O1501" t="inlineStr">
        <is>
          <t>eng</t>
        </is>
      </c>
      <c r="P1501" t="inlineStr">
        <is>
          <t>ksu</t>
        </is>
      </c>
      <c r="R1501" t="inlineStr">
        <is>
          <t xml:space="preserve">DS </t>
        </is>
      </c>
      <c r="S1501" t="n">
        <v>10</v>
      </c>
      <c r="T1501" t="n">
        <v>10</v>
      </c>
      <c r="U1501" t="inlineStr">
        <is>
          <t>2000-03-13</t>
        </is>
      </c>
      <c r="V1501" t="inlineStr">
        <is>
          <t>2000-03-13</t>
        </is>
      </c>
      <c r="W1501" t="inlineStr">
        <is>
          <t>1993-06-24</t>
        </is>
      </c>
      <c r="X1501" t="inlineStr">
        <is>
          <t>1993-06-24</t>
        </is>
      </c>
      <c r="Y1501" t="n">
        <v>79</v>
      </c>
      <c r="Z1501" t="n">
        <v>73</v>
      </c>
      <c r="AA1501" t="n">
        <v>73</v>
      </c>
      <c r="AB1501" t="n">
        <v>1</v>
      </c>
      <c r="AC1501" t="n">
        <v>1</v>
      </c>
      <c r="AD1501" t="n">
        <v>1</v>
      </c>
      <c r="AE1501" t="n">
        <v>1</v>
      </c>
      <c r="AF1501" t="n">
        <v>0</v>
      </c>
      <c r="AG1501" t="n">
        <v>0</v>
      </c>
      <c r="AH1501" t="n">
        <v>0</v>
      </c>
      <c r="AI1501" t="n">
        <v>0</v>
      </c>
      <c r="AJ1501" t="n">
        <v>1</v>
      </c>
      <c r="AK1501" t="n">
        <v>1</v>
      </c>
      <c r="AL1501" t="n">
        <v>0</v>
      </c>
      <c r="AM1501" t="n">
        <v>0</v>
      </c>
      <c r="AN1501" t="n">
        <v>0</v>
      </c>
      <c r="AO1501" t="n">
        <v>0</v>
      </c>
      <c r="AP1501" t="inlineStr">
        <is>
          <t>No</t>
        </is>
      </c>
      <c r="AQ1501" t="inlineStr">
        <is>
          <t>No</t>
        </is>
      </c>
      <c r="AS1501">
        <f>HYPERLINK("https://creighton-primo.hosted.exlibrisgroup.com/primo-explore/search?tab=default_tab&amp;search_scope=EVERYTHING&amp;vid=01CRU&amp;lang=en_US&amp;offset=0&amp;query=any,contains,991001505619702656","Catalog Record")</f>
        <v/>
      </c>
      <c r="AT1501">
        <f>HYPERLINK("http://www.worldcat.org/oclc/19840456","WorldCat Record")</f>
        <v/>
      </c>
      <c r="AU1501" t="inlineStr">
        <is>
          <t>21813368:eng</t>
        </is>
      </c>
      <c r="AV1501" t="inlineStr">
        <is>
          <t>19840456</t>
        </is>
      </c>
      <c r="AW1501" t="inlineStr">
        <is>
          <t>991001505619702656</t>
        </is>
      </c>
      <c r="AX1501" t="inlineStr">
        <is>
          <t>991001505619702656</t>
        </is>
      </c>
      <c r="AY1501" t="inlineStr">
        <is>
          <t>2270579360002656</t>
        </is>
      </c>
      <c r="AZ1501" t="inlineStr">
        <is>
          <t>BOOK</t>
        </is>
      </c>
      <c r="BB1501" t="inlineStr">
        <is>
          <t>9780897451062</t>
        </is>
      </c>
      <c r="BC1501" t="inlineStr">
        <is>
          <t>32285001732204</t>
        </is>
      </c>
      <c r="BD1501" t="inlineStr">
        <is>
          <t>893621432</t>
        </is>
      </c>
    </row>
    <row r="1502">
      <c r="A1502" t="inlineStr">
        <is>
          <t>No</t>
        </is>
      </c>
      <c r="B1502" t="inlineStr">
        <is>
          <t>DS559.44 .S57 1992</t>
        </is>
      </c>
      <c r="C1502" t="inlineStr">
        <is>
          <t>0                      DS 0559440S  57          1992</t>
        </is>
      </c>
      <c r="D1502" t="inlineStr">
        <is>
          <t>American daughter gone to war : on the front lines with an army nurse in Vietnam / Winnie Smith.</t>
        </is>
      </c>
      <c r="F1502" t="inlineStr">
        <is>
          <t>No</t>
        </is>
      </c>
      <c r="G1502" t="inlineStr">
        <is>
          <t>1</t>
        </is>
      </c>
      <c r="H1502" t="inlineStr">
        <is>
          <t>No</t>
        </is>
      </c>
      <c r="I1502" t="inlineStr">
        <is>
          <t>No</t>
        </is>
      </c>
      <c r="J1502" t="inlineStr">
        <is>
          <t>0</t>
        </is>
      </c>
      <c r="K1502" t="inlineStr">
        <is>
          <t>Smith, Winnie.</t>
        </is>
      </c>
      <c r="L1502" t="inlineStr">
        <is>
          <t>New York : W. Morrow, c1992.</t>
        </is>
      </c>
      <c r="M1502" t="inlineStr">
        <is>
          <t>1992</t>
        </is>
      </c>
      <c r="N1502" t="inlineStr">
        <is>
          <t>1st ed.</t>
        </is>
      </c>
      <c r="O1502" t="inlineStr">
        <is>
          <t>eng</t>
        </is>
      </c>
      <c r="P1502" t="inlineStr">
        <is>
          <t>nyu</t>
        </is>
      </c>
      <c r="R1502" t="inlineStr">
        <is>
          <t xml:space="preserve">DS </t>
        </is>
      </c>
      <c r="S1502" t="n">
        <v>7</v>
      </c>
      <c r="T1502" t="n">
        <v>7</v>
      </c>
      <c r="U1502" t="inlineStr">
        <is>
          <t>1997-04-03</t>
        </is>
      </c>
      <c r="V1502" t="inlineStr">
        <is>
          <t>1997-04-03</t>
        </is>
      </c>
      <c r="W1502" t="inlineStr">
        <is>
          <t>1992-12-16</t>
        </is>
      </c>
      <c r="X1502" t="inlineStr">
        <is>
          <t>1992-12-16</t>
        </is>
      </c>
      <c r="Y1502" t="n">
        <v>847</v>
      </c>
      <c r="Z1502" t="n">
        <v>822</v>
      </c>
      <c r="AA1502" t="n">
        <v>900</v>
      </c>
      <c r="AB1502" t="n">
        <v>8</v>
      </c>
      <c r="AC1502" t="n">
        <v>9</v>
      </c>
      <c r="AD1502" t="n">
        <v>20</v>
      </c>
      <c r="AE1502" t="n">
        <v>23</v>
      </c>
      <c r="AF1502" t="n">
        <v>9</v>
      </c>
      <c r="AG1502" t="n">
        <v>10</v>
      </c>
      <c r="AH1502" t="n">
        <v>4</v>
      </c>
      <c r="AI1502" t="n">
        <v>4</v>
      </c>
      <c r="AJ1502" t="n">
        <v>9</v>
      </c>
      <c r="AK1502" t="n">
        <v>10</v>
      </c>
      <c r="AL1502" t="n">
        <v>4</v>
      </c>
      <c r="AM1502" t="n">
        <v>5</v>
      </c>
      <c r="AN1502" t="n">
        <v>0</v>
      </c>
      <c r="AO1502" t="n">
        <v>0</v>
      </c>
      <c r="AP1502" t="inlineStr">
        <is>
          <t>No</t>
        </is>
      </c>
      <c r="AQ1502" t="inlineStr">
        <is>
          <t>Yes</t>
        </is>
      </c>
      <c r="AR1502">
        <f>HYPERLINK("http://catalog.hathitrust.org/Record/002587831","HathiTrust Record")</f>
        <v/>
      </c>
      <c r="AS1502">
        <f>HYPERLINK("https://creighton-primo.hosted.exlibrisgroup.com/primo-explore/search?tab=default_tab&amp;search_scope=EVERYTHING&amp;vid=01CRU&amp;lang=en_US&amp;offset=0&amp;query=any,contains,991001934869702656","Catalog Record")</f>
        <v/>
      </c>
      <c r="AT1502">
        <f>HYPERLINK("http://www.worldcat.org/oclc/24430893","WorldCat Record")</f>
        <v/>
      </c>
      <c r="AU1502" t="inlineStr">
        <is>
          <t>26961723:eng</t>
        </is>
      </c>
      <c r="AV1502" t="inlineStr">
        <is>
          <t>24430893</t>
        </is>
      </c>
      <c r="AW1502" t="inlineStr">
        <is>
          <t>991001934869702656</t>
        </is>
      </c>
      <c r="AX1502" t="inlineStr">
        <is>
          <t>991001934869702656</t>
        </is>
      </c>
      <c r="AY1502" t="inlineStr">
        <is>
          <t>2268024260002656</t>
        </is>
      </c>
      <c r="AZ1502" t="inlineStr">
        <is>
          <t>BOOK</t>
        </is>
      </c>
      <c r="BB1502" t="inlineStr">
        <is>
          <t>9780688111885</t>
        </is>
      </c>
      <c r="BC1502" t="inlineStr">
        <is>
          <t>32285001402980</t>
        </is>
      </c>
      <c r="BD1502" t="inlineStr">
        <is>
          <t>893703472</t>
        </is>
      </c>
    </row>
    <row r="1503">
      <c r="A1503" t="inlineStr">
        <is>
          <t>No</t>
        </is>
      </c>
      <c r="B1503" t="inlineStr">
        <is>
          <t>DS559.46 .H64 2008</t>
        </is>
      </c>
      <c r="C1503" t="inlineStr">
        <is>
          <t>0                      DS 0559460H  64          2008</t>
        </is>
      </c>
      <c r="D1503" t="inlineStr">
        <is>
          <t>On their own : women journalists and the American experience in Vietnam / Joyce Hoffmann.</t>
        </is>
      </c>
      <c r="F1503" t="inlineStr">
        <is>
          <t>No</t>
        </is>
      </c>
      <c r="G1503" t="inlineStr">
        <is>
          <t>1</t>
        </is>
      </c>
      <c r="H1503" t="inlineStr">
        <is>
          <t>No</t>
        </is>
      </c>
      <c r="I1503" t="inlineStr">
        <is>
          <t>No</t>
        </is>
      </c>
      <c r="J1503" t="inlineStr">
        <is>
          <t>0</t>
        </is>
      </c>
      <c r="K1503" t="inlineStr">
        <is>
          <t>Hoffmann, Joyce.</t>
        </is>
      </c>
      <c r="L1503" t="inlineStr">
        <is>
          <t>Cambridge, MA : Da Capo Press, c2008.</t>
        </is>
      </c>
      <c r="M1503" t="inlineStr">
        <is>
          <t>2008</t>
        </is>
      </c>
      <c r="O1503" t="inlineStr">
        <is>
          <t>eng</t>
        </is>
      </c>
      <c r="P1503" t="inlineStr">
        <is>
          <t>mau</t>
        </is>
      </c>
      <c r="R1503" t="inlineStr">
        <is>
          <t xml:space="preserve">DS </t>
        </is>
      </c>
      <c r="S1503" t="n">
        <v>3</v>
      </c>
      <c r="T1503" t="n">
        <v>3</v>
      </c>
      <c r="U1503" t="inlineStr">
        <is>
          <t>2010-07-06</t>
        </is>
      </c>
      <c r="V1503" t="inlineStr">
        <is>
          <t>2010-07-06</t>
        </is>
      </c>
      <c r="W1503" t="inlineStr">
        <is>
          <t>2008-08-12</t>
        </is>
      </c>
      <c r="X1503" t="inlineStr">
        <is>
          <t>2008-08-12</t>
        </is>
      </c>
      <c r="Y1503" t="n">
        <v>511</v>
      </c>
      <c r="Z1503" t="n">
        <v>481</v>
      </c>
      <c r="AA1503" t="n">
        <v>723</v>
      </c>
      <c r="AB1503" t="n">
        <v>5</v>
      </c>
      <c r="AC1503" t="n">
        <v>6</v>
      </c>
      <c r="AD1503" t="n">
        <v>21</v>
      </c>
      <c r="AE1503" t="n">
        <v>24</v>
      </c>
      <c r="AF1503" t="n">
        <v>11</v>
      </c>
      <c r="AG1503" t="n">
        <v>13</v>
      </c>
      <c r="AH1503" t="n">
        <v>4</v>
      </c>
      <c r="AI1503" t="n">
        <v>4</v>
      </c>
      <c r="AJ1503" t="n">
        <v>9</v>
      </c>
      <c r="AK1503" t="n">
        <v>10</v>
      </c>
      <c r="AL1503" t="n">
        <v>3</v>
      </c>
      <c r="AM1503" t="n">
        <v>4</v>
      </c>
      <c r="AN1503" t="n">
        <v>0</v>
      </c>
      <c r="AO1503" t="n">
        <v>0</v>
      </c>
      <c r="AP1503" t="inlineStr">
        <is>
          <t>No</t>
        </is>
      </c>
      <c r="AQ1503" t="inlineStr">
        <is>
          <t>Yes</t>
        </is>
      </c>
      <c r="AR1503">
        <f>HYPERLINK("http://catalog.hathitrust.org/Record/005826720","HathiTrust Record")</f>
        <v/>
      </c>
      <c r="AS1503">
        <f>HYPERLINK("https://creighton-primo.hosted.exlibrisgroup.com/primo-explore/search?tab=default_tab&amp;search_scope=EVERYTHING&amp;vid=01CRU&amp;lang=en_US&amp;offset=0&amp;query=any,contains,991005252099702656","Catalog Record")</f>
        <v/>
      </c>
      <c r="AT1503">
        <f>HYPERLINK("http://www.worldcat.org/oclc/192134416","WorldCat Record")</f>
        <v/>
      </c>
      <c r="AU1503" t="inlineStr">
        <is>
          <t>891321070:eng</t>
        </is>
      </c>
      <c r="AV1503" t="inlineStr">
        <is>
          <t>192134416</t>
        </is>
      </c>
      <c r="AW1503" t="inlineStr">
        <is>
          <t>991005252099702656</t>
        </is>
      </c>
      <c r="AX1503" t="inlineStr">
        <is>
          <t>991005252099702656</t>
        </is>
      </c>
      <c r="AY1503" t="inlineStr">
        <is>
          <t>2266730190002656</t>
        </is>
      </c>
      <c r="AZ1503" t="inlineStr">
        <is>
          <t>BOOK</t>
        </is>
      </c>
      <c r="BB1503" t="inlineStr">
        <is>
          <t>9780306810596</t>
        </is>
      </c>
      <c r="BC1503" t="inlineStr">
        <is>
          <t>32285005453625</t>
        </is>
      </c>
      <c r="BD1503" t="inlineStr">
        <is>
          <t>893520723</t>
        </is>
      </c>
    </row>
    <row r="1504">
      <c r="A1504" t="inlineStr">
        <is>
          <t>No</t>
        </is>
      </c>
      <c r="B1504" t="inlineStr">
        <is>
          <t>DS559.46 .R68 2006</t>
        </is>
      </c>
      <c r="C1504" t="inlineStr">
        <is>
          <t>0                      DS 0559460R  68          2006</t>
        </is>
      </c>
      <c r="D1504" t="inlineStr">
        <is>
          <t>Media and the politics of failure : great powers, communication strategies, and military defeats / Laura Roselle.</t>
        </is>
      </c>
      <c r="F1504" t="inlineStr">
        <is>
          <t>No</t>
        </is>
      </c>
      <c r="G1504" t="inlineStr">
        <is>
          <t>1</t>
        </is>
      </c>
      <c r="H1504" t="inlineStr">
        <is>
          <t>No</t>
        </is>
      </c>
      <c r="I1504" t="inlineStr">
        <is>
          <t>No</t>
        </is>
      </c>
      <c r="J1504" t="inlineStr">
        <is>
          <t>0</t>
        </is>
      </c>
      <c r="K1504" t="inlineStr">
        <is>
          <t>Roselle, Laura.</t>
        </is>
      </c>
      <c r="L1504" t="inlineStr">
        <is>
          <t>New York : Palgrave Macmillan, 2006.</t>
        </is>
      </c>
      <c r="M1504" t="inlineStr">
        <is>
          <t>2006</t>
        </is>
      </c>
      <c r="N1504" t="inlineStr">
        <is>
          <t>1st ed.</t>
        </is>
      </c>
      <c r="O1504" t="inlineStr">
        <is>
          <t>eng</t>
        </is>
      </c>
      <c r="P1504" t="inlineStr">
        <is>
          <t>nyu</t>
        </is>
      </c>
      <c r="Q1504" t="inlineStr">
        <is>
          <t>Palgrave Macmillan series in international political communication</t>
        </is>
      </c>
      <c r="R1504" t="inlineStr">
        <is>
          <t xml:space="preserve">DS </t>
        </is>
      </c>
      <c r="S1504" t="n">
        <v>3</v>
      </c>
      <c r="T1504" t="n">
        <v>3</v>
      </c>
      <c r="U1504" t="inlineStr">
        <is>
          <t>2008-05-13</t>
        </is>
      </c>
      <c r="V1504" t="inlineStr">
        <is>
          <t>2008-05-13</t>
        </is>
      </c>
      <c r="W1504" t="inlineStr">
        <is>
          <t>2008-05-13</t>
        </is>
      </c>
      <c r="X1504" t="inlineStr">
        <is>
          <t>2008-05-13</t>
        </is>
      </c>
      <c r="Y1504" t="n">
        <v>439</v>
      </c>
      <c r="Z1504" t="n">
        <v>354</v>
      </c>
      <c r="AA1504" t="n">
        <v>701</v>
      </c>
      <c r="AB1504" t="n">
        <v>3</v>
      </c>
      <c r="AC1504" t="n">
        <v>7</v>
      </c>
      <c r="AD1504" t="n">
        <v>19</v>
      </c>
      <c r="AE1504" t="n">
        <v>35</v>
      </c>
      <c r="AF1504" t="n">
        <v>9</v>
      </c>
      <c r="AG1504" t="n">
        <v>13</v>
      </c>
      <c r="AH1504" t="n">
        <v>6</v>
      </c>
      <c r="AI1504" t="n">
        <v>8</v>
      </c>
      <c r="AJ1504" t="n">
        <v>8</v>
      </c>
      <c r="AK1504" t="n">
        <v>14</v>
      </c>
      <c r="AL1504" t="n">
        <v>2</v>
      </c>
      <c r="AM1504" t="n">
        <v>6</v>
      </c>
      <c r="AN1504" t="n">
        <v>0</v>
      </c>
      <c r="AO1504" t="n">
        <v>1</v>
      </c>
      <c r="AP1504" t="inlineStr">
        <is>
          <t>No</t>
        </is>
      </c>
      <c r="AQ1504" t="inlineStr">
        <is>
          <t>No</t>
        </is>
      </c>
      <c r="AS1504">
        <f>HYPERLINK("https://creighton-primo.hosted.exlibrisgroup.com/primo-explore/search?tab=default_tab&amp;search_scope=EVERYTHING&amp;vid=01CRU&amp;lang=en_US&amp;offset=0&amp;query=any,contains,991005211939702656","Catalog Record")</f>
        <v/>
      </c>
      <c r="AT1504">
        <f>HYPERLINK("http://www.worldcat.org/oclc/63703952","WorldCat Record")</f>
        <v/>
      </c>
      <c r="AU1504" t="inlineStr">
        <is>
          <t>793997555:eng</t>
        </is>
      </c>
      <c r="AV1504" t="inlineStr">
        <is>
          <t>63703952</t>
        </is>
      </c>
      <c r="AW1504" t="inlineStr">
        <is>
          <t>991005211939702656</t>
        </is>
      </c>
      <c r="AX1504" t="inlineStr">
        <is>
          <t>991005211939702656</t>
        </is>
      </c>
      <c r="AY1504" t="inlineStr">
        <is>
          <t>2256665170002656</t>
        </is>
      </c>
      <c r="AZ1504" t="inlineStr">
        <is>
          <t>BOOK</t>
        </is>
      </c>
      <c r="BB1504" t="inlineStr">
        <is>
          <t>9781403975256</t>
        </is>
      </c>
      <c r="BC1504" t="inlineStr">
        <is>
          <t>32285005407308</t>
        </is>
      </c>
      <c r="BD1504" t="inlineStr">
        <is>
          <t>893600828</t>
        </is>
      </c>
    </row>
    <row r="1505">
      <c r="A1505" t="inlineStr">
        <is>
          <t>No</t>
        </is>
      </c>
      <c r="B1505" t="inlineStr">
        <is>
          <t>DS559.46 .T87 1985</t>
        </is>
      </c>
      <c r="C1505" t="inlineStr">
        <is>
          <t>0                      DS 0559460T  87          1985</t>
        </is>
      </c>
      <c r="D1505" t="inlineStr">
        <is>
          <t>Lyndon Johnson's dual war : Vietnam and the press / Kathleen J. Turner.</t>
        </is>
      </c>
      <c r="F1505" t="inlineStr">
        <is>
          <t>No</t>
        </is>
      </c>
      <c r="G1505" t="inlineStr">
        <is>
          <t>1</t>
        </is>
      </c>
      <c r="H1505" t="inlineStr">
        <is>
          <t>No</t>
        </is>
      </c>
      <c r="I1505" t="inlineStr">
        <is>
          <t>No</t>
        </is>
      </c>
      <c r="J1505" t="inlineStr">
        <is>
          <t>0</t>
        </is>
      </c>
      <c r="K1505" t="inlineStr">
        <is>
          <t>Turner, Kathleen J., 1952-</t>
        </is>
      </c>
      <c r="L1505" t="inlineStr">
        <is>
          <t>Chicago : University of Chicago Press, 1985.</t>
        </is>
      </c>
      <c r="M1505" t="inlineStr">
        <is>
          <t>1985</t>
        </is>
      </c>
      <c r="O1505" t="inlineStr">
        <is>
          <t>eng</t>
        </is>
      </c>
      <c r="P1505" t="inlineStr">
        <is>
          <t>ilu</t>
        </is>
      </c>
      <c r="R1505" t="inlineStr">
        <is>
          <t xml:space="preserve">DS </t>
        </is>
      </c>
      <c r="S1505" t="n">
        <v>13</v>
      </c>
      <c r="T1505" t="n">
        <v>13</v>
      </c>
      <c r="U1505" t="inlineStr">
        <is>
          <t>2001-04-30</t>
        </is>
      </c>
      <c r="V1505" t="inlineStr">
        <is>
          <t>2001-04-30</t>
        </is>
      </c>
      <c r="W1505" t="inlineStr">
        <is>
          <t>1990-02-12</t>
        </is>
      </c>
      <c r="X1505" t="inlineStr">
        <is>
          <t>1990-02-12</t>
        </is>
      </c>
      <c r="Y1505" t="n">
        <v>969</v>
      </c>
      <c r="Z1505" t="n">
        <v>845</v>
      </c>
      <c r="AA1505" t="n">
        <v>851</v>
      </c>
      <c r="AB1505" t="n">
        <v>4</v>
      </c>
      <c r="AC1505" t="n">
        <v>4</v>
      </c>
      <c r="AD1505" t="n">
        <v>45</v>
      </c>
      <c r="AE1505" t="n">
        <v>45</v>
      </c>
      <c r="AF1505" t="n">
        <v>23</v>
      </c>
      <c r="AG1505" t="n">
        <v>23</v>
      </c>
      <c r="AH1505" t="n">
        <v>8</v>
      </c>
      <c r="AI1505" t="n">
        <v>8</v>
      </c>
      <c r="AJ1505" t="n">
        <v>22</v>
      </c>
      <c r="AK1505" t="n">
        <v>22</v>
      </c>
      <c r="AL1505" t="n">
        <v>3</v>
      </c>
      <c r="AM1505" t="n">
        <v>3</v>
      </c>
      <c r="AN1505" t="n">
        <v>0</v>
      </c>
      <c r="AO1505" t="n">
        <v>0</v>
      </c>
      <c r="AP1505" t="inlineStr">
        <is>
          <t>No</t>
        </is>
      </c>
      <c r="AQ1505" t="inlineStr">
        <is>
          <t>No</t>
        </is>
      </c>
      <c r="AS1505">
        <f>HYPERLINK("https://creighton-primo.hosted.exlibrisgroup.com/primo-explore/search?tab=default_tab&amp;search_scope=EVERYTHING&amp;vid=01CRU&amp;lang=en_US&amp;offset=0&amp;query=any,contains,991000476419702656","Catalog Record")</f>
        <v/>
      </c>
      <c r="AT1505">
        <f>HYPERLINK("http://www.worldcat.org/oclc/11030172","WorldCat Record")</f>
        <v/>
      </c>
      <c r="AU1505" t="inlineStr">
        <is>
          <t>234777172:eng</t>
        </is>
      </c>
      <c r="AV1505" t="inlineStr">
        <is>
          <t>11030172</t>
        </is>
      </c>
      <c r="AW1505" t="inlineStr">
        <is>
          <t>991000476419702656</t>
        </is>
      </c>
      <c r="AX1505" t="inlineStr">
        <is>
          <t>991000476419702656</t>
        </is>
      </c>
      <c r="AY1505" t="inlineStr">
        <is>
          <t>2260018970002656</t>
        </is>
      </c>
      <c r="AZ1505" t="inlineStr">
        <is>
          <t>BOOK</t>
        </is>
      </c>
      <c r="BB1505" t="inlineStr">
        <is>
          <t>9780226817316</t>
        </is>
      </c>
      <c r="BC1505" t="inlineStr">
        <is>
          <t>32285000045806</t>
        </is>
      </c>
      <c r="BD1505" t="inlineStr">
        <is>
          <t>893243291</t>
        </is>
      </c>
    </row>
    <row r="1506">
      <c r="A1506" t="inlineStr">
        <is>
          <t>No</t>
        </is>
      </c>
      <c r="B1506" t="inlineStr">
        <is>
          <t>DS559.5 .B79 1976</t>
        </is>
      </c>
      <c r="C1506" t="inlineStr">
        <is>
          <t>0                      DS 0559500B  79          1976</t>
        </is>
      </c>
      <c r="D1506" t="inlineStr">
        <is>
          <t>Friendly fire / C. D. B. Bryan.</t>
        </is>
      </c>
      <c r="F1506" t="inlineStr">
        <is>
          <t>No</t>
        </is>
      </c>
      <c r="G1506" t="inlineStr">
        <is>
          <t>1</t>
        </is>
      </c>
      <c r="H1506" t="inlineStr">
        <is>
          <t>No</t>
        </is>
      </c>
      <c r="I1506" t="inlineStr">
        <is>
          <t>No</t>
        </is>
      </c>
      <c r="J1506" t="inlineStr">
        <is>
          <t>0</t>
        </is>
      </c>
      <c r="K1506" t="inlineStr">
        <is>
          <t>Bryan, C. D. B. (Courtlandt Dixon Barnes)</t>
        </is>
      </c>
      <c r="L1506" t="inlineStr">
        <is>
          <t>New York : Putnam, c1976.</t>
        </is>
      </c>
      <c r="M1506" t="inlineStr">
        <is>
          <t>1976</t>
        </is>
      </c>
      <c r="O1506" t="inlineStr">
        <is>
          <t>eng</t>
        </is>
      </c>
      <c r="P1506" t="inlineStr">
        <is>
          <t>nyu</t>
        </is>
      </c>
      <c r="R1506" t="inlineStr">
        <is>
          <t xml:space="preserve">DS </t>
        </is>
      </c>
      <c r="S1506" t="n">
        <v>4</v>
      </c>
      <c r="T1506" t="n">
        <v>4</v>
      </c>
      <c r="U1506" t="inlineStr">
        <is>
          <t>2000-08-31</t>
        </is>
      </c>
      <c r="V1506" t="inlineStr">
        <is>
          <t>2000-08-31</t>
        </is>
      </c>
      <c r="W1506" t="inlineStr">
        <is>
          <t>1990-02-22</t>
        </is>
      </c>
      <c r="X1506" t="inlineStr">
        <is>
          <t>1990-02-22</t>
        </is>
      </c>
      <c r="Y1506" t="n">
        <v>1119</v>
      </c>
      <c r="Z1506" t="n">
        <v>1085</v>
      </c>
      <c r="AA1506" t="n">
        <v>1229</v>
      </c>
      <c r="AB1506" t="n">
        <v>8</v>
      </c>
      <c r="AC1506" t="n">
        <v>8</v>
      </c>
      <c r="AD1506" t="n">
        <v>26</v>
      </c>
      <c r="AE1506" t="n">
        <v>27</v>
      </c>
      <c r="AF1506" t="n">
        <v>12</v>
      </c>
      <c r="AG1506" t="n">
        <v>13</v>
      </c>
      <c r="AH1506" t="n">
        <v>7</v>
      </c>
      <c r="AI1506" t="n">
        <v>7</v>
      </c>
      <c r="AJ1506" t="n">
        <v>8</v>
      </c>
      <c r="AK1506" t="n">
        <v>8</v>
      </c>
      <c r="AL1506" t="n">
        <v>5</v>
      </c>
      <c r="AM1506" t="n">
        <v>5</v>
      </c>
      <c r="AN1506" t="n">
        <v>0</v>
      </c>
      <c r="AO1506" t="n">
        <v>0</v>
      </c>
      <c r="AP1506" t="inlineStr">
        <is>
          <t>No</t>
        </is>
      </c>
      <c r="AQ1506" t="inlineStr">
        <is>
          <t>No</t>
        </is>
      </c>
      <c r="AS1506">
        <f>HYPERLINK("https://creighton-primo.hosted.exlibrisgroup.com/primo-explore/search?tab=default_tab&amp;search_scope=EVERYTHING&amp;vid=01CRU&amp;lang=en_US&amp;offset=0&amp;query=any,contains,991004043589702656","Catalog Record")</f>
        <v/>
      </c>
      <c r="AT1506">
        <f>HYPERLINK("http://www.worldcat.org/oclc/2193249","WorldCat Record")</f>
        <v/>
      </c>
      <c r="AU1506" t="inlineStr">
        <is>
          <t>508103:eng</t>
        </is>
      </c>
      <c r="AV1506" t="inlineStr">
        <is>
          <t>2193249</t>
        </is>
      </c>
      <c r="AW1506" t="inlineStr">
        <is>
          <t>991004043589702656</t>
        </is>
      </c>
      <c r="AX1506" t="inlineStr">
        <is>
          <t>991004043589702656</t>
        </is>
      </c>
      <c r="AY1506" t="inlineStr">
        <is>
          <t>2263280870002656</t>
        </is>
      </c>
      <c r="AZ1506" t="inlineStr">
        <is>
          <t>BOOK</t>
        </is>
      </c>
      <c r="BB1506" t="inlineStr">
        <is>
          <t>9780399116889</t>
        </is>
      </c>
      <c r="BC1506" t="inlineStr">
        <is>
          <t>32285000060110</t>
        </is>
      </c>
      <c r="BD1506" t="inlineStr">
        <is>
          <t>893349546</t>
        </is>
      </c>
    </row>
    <row r="1507">
      <c r="A1507" t="inlineStr">
        <is>
          <t>No</t>
        </is>
      </c>
      <c r="B1507" t="inlineStr">
        <is>
          <t>DS559.5 .D6 1998</t>
        </is>
      </c>
      <c r="C1507" t="inlineStr">
        <is>
          <t>0                      DS 0559500D  6           1998</t>
        </is>
      </c>
      <c r="D1507" t="inlineStr">
        <is>
          <t>Counterpart : a South Vietnamese naval officer's war / Kiem Do and Julie Kane.</t>
        </is>
      </c>
      <c r="F1507" t="inlineStr">
        <is>
          <t>No</t>
        </is>
      </c>
      <c r="G1507" t="inlineStr">
        <is>
          <t>1</t>
        </is>
      </c>
      <c r="H1507" t="inlineStr">
        <is>
          <t>No</t>
        </is>
      </c>
      <c r="I1507" t="inlineStr">
        <is>
          <t>No</t>
        </is>
      </c>
      <c r="J1507" t="inlineStr">
        <is>
          <t>0</t>
        </is>
      </c>
      <c r="K1507" t="inlineStr">
        <is>
          <t>Do, Kiem, 1933-</t>
        </is>
      </c>
      <c r="L1507" t="inlineStr">
        <is>
          <t>Annapolis, Md. : Naval Institute Press, c1998.</t>
        </is>
      </c>
      <c r="M1507" t="inlineStr">
        <is>
          <t>1998</t>
        </is>
      </c>
      <c r="O1507" t="inlineStr">
        <is>
          <t>eng</t>
        </is>
      </c>
      <c r="P1507" t="inlineStr">
        <is>
          <t>mdu</t>
        </is>
      </c>
      <c r="R1507" t="inlineStr">
        <is>
          <t xml:space="preserve">DS </t>
        </is>
      </c>
      <c r="S1507" t="n">
        <v>1</v>
      </c>
      <c r="T1507" t="n">
        <v>1</v>
      </c>
      <c r="U1507" t="inlineStr">
        <is>
          <t>2000-09-12</t>
        </is>
      </c>
      <c r="V1507" t="inlineStr">
        <is>
          <t>2000-09-12</t>
        </is>
      </c>
      <c r="W1507" t="inlineStr">
        <is>
          <t>2000-09-12</t>
        </is>
      </c>
      <c r="X1507" t="inlineStr">
        <is>
          <t>2000-09-12</t>
        </is>
      </c>
      <c r="Y1507" t="n">
        <v>244</v>
      </c>
      <c r="Z1507" t="n">
        <v>225</v>
      </c>
      <c r="AA1507" t="n">
        <v>228</v>
      </c>
      <c r="AB1507" t="n">
        <v>2</v>
      </c>
      <c r="AC1507" t="n">
        <v>2</v>
      </c>
      <c r="AD1507" t="n">
        <v>13</v>
      </c>
      <c r="AE1507" t="n">
        <v>13</v>
      </c>
      <c r="AF1507" t="n">
        <v>2</v>
      </c>
      <c r="AG1507" t="n">
        <v>2</v>
      </c>
      <c r="AH1507" t="n">
        <v>4</v>
      </c>
      <c r="AI1507" t="n">
        <v>4</v>
      </c>
      <c r="AJ1507" t="n">
        <v>10</v>
      </c>
      <c r="AK1507" t="n">
        <v>10</v>
      </c>
      <c r="AL1507" t="n">
        <v>1</v>
      </c>
      <c r="AM1507" t="n">
        <v>1</v>
      </c>
      <c r="AN1507" t="n">
        <v>0</v>
      </c>
      <c r="AO1507" t="n">
        <v>0</v>
      </c>
      <c r="AP1507" t="inlineStr">
        <is>
          <t>No</t>
        </is>
      </c>
      <c r="AQ1507" t="inlineStr">
        <is>
          <t>Yes</t>
        </is>
      </c>
      <c r="AR1507">
        <f>HYPERLINK("http://catalog.hathitrust.org/Record/003979906","HathiTrust Record")</f>
        <v/>
      </c>
      <c r="AS1507">
        <f>HYPERLINK("https://creighton-primo.hosted.exlibrisgroup.com/primo-explore/search?tab=default_tab&amp;search_scope=EVERYTHING&amp;vid=01CRU&amp;lang=en_US&amp;offset=0&amp;query=any,contains,991003259509702656","Catalog Record")</f>
        <v/>
      </c>
      <c r="AT1507">
        <f>HYPERLINK("http://www.worldcat.org/oclc/38295257","WorldCat Record")</f>
        <v/>
      </c>
      <c r="AU1507" t="inlineStr">
        <is>
          <t>138822696:eng</t>
        </is>
      </c>
      <c r="AV1507" t="inlineStr">
        <is>
          <t>38295257</t>
        </is>
      </c>
      <c r="AW1507" t="inlineStr">
        <is>
          <t>991003259509702656</t>
        </is>
      </c>
      <c r="AX1507" t="inlineStr">
        <is>
          <t>991003259509702656</t>
        </is>
      </c>
      <c r="AY1507" t="inlineStr">
        <is>
          <t>2263077790002656</t>
        </is>
      </c>
      <c r="AZ1507" t="inlineStr">
        <is>
          <t>BOOK</t>
        </is>
      </c>
      <c r="BB1507" t="inlineStr">
        <is>
          <t>9781557501813</t>
        </is>
      </c>
      <c r="BC1507" t="inlineStr">
        <is>
          <t>32285003761185</t>
        </is>
      </c>
      <c r="BD1507" t="inlineStr">
        <is>
          <t>893422363</t>
        </is>
      </c>
    </row>
    <row r="1508">
      <c r="A1508" t="inlineStr">
        <is>
          <t>No</t>
        </is>
      </c>
      <c r="B1508" t="inlineStr">
        <is>
          <t>DS559.5 .E88</t>
        </is>
      </c>
      <c r="C1508" t="inlineStr">
        <is>
          <t>0                      DS 0559500E  88</t>
        </is>
      </c>
      <c r="D1508" t="inlineStr">
        <is>
          <t>Everything we had : an oral history of the Vietnam War / by thirty-three American soldiers who fought it ; [edited by] Al Santoli.</t>
        </is>
      </c>
      <c r="F1508" t="inlineStr">
        <is>
          <t>No</t>
        </is>
      </c>
      <c r="G1508" t="inlineStr">
        <is>
          <t>1</t>
        </is>
      </c>
      <c r="H1508" t="inlineStr">
        <is>
          <t>No</t>
        </is>
      </c>
      <c r="I1508" t="inlineStr">
        <is>
          <t>No</t>
        </is>
      </c>
      <c r="J1508" t="inlineStr">
        <is>
          <t>0</t>
        </is>
      </c>
      <c r="L1508" t="inlineStr">
        <is>
          <t>New York : Random House, 1981.</t>
        </is>
      </c>
      <c r="M1508" t="inlineStr">
        <is>
          <t>1981</t>
        </is>
      </c>
      <c r="N1508" t="inlineStr">
        <is>
          <t>1st ed.</t>
        </is>
      </c>
      <c r="O1508" t="inlineStr">
        <is>
          <t>eng</t>
        </is>
      </c>
      <c r="P1508" t="inlineStr">
        <is>
          <t>nyu</t>
        </is>
      </c>
      <c r="R1508" t="inlineStr">
        <is>
          <t xml:space="preserve">DS </t>
        </is>
      </c>
      <c r="S1508" t="n">
        <v>8</v>
      </c>
      <c r="T1508" t="n">
        <v>8</v>
      </c>
      <c r="U1508" t="inlineStr">
        <is>
          <t>1996-09-30</t>
        </is>
      </c>
      <c r="V1508" t="inlineStr">
        <is>
          <t>1996-09-30</t>
        </is>
      </c>
      <c r="W1508" t="inlineStr">
        <is>
          <t>1990-03-27</t>
        </is>
      </c>
      <c r="X1508" t="inlineStr">
        <is>
          <t>1990-03-27</t>
        </is>
      </c>
      <c r="Y1508" t="n">
        <v>1747</v>
      </c>
      <c r="Z1508" t="n">
        <v>1684</v>
      </c>
      <c r="AA1508" t="n">
        <v>2060</v>
      </c>
      <c r="AB1508" t="n">
        <v>11</v>
      </c>
      <c r="AC1508" t="n">
        <v>13</v>
      </c>
      <c r="AD1508" t="n">
        <v>37</v>
      </c>
      <c r="AE1508" t="n">
        <v>45</v>
      </c>
      <c r="AF1508" t="n">
        <v>16</v>
      </c>
      <c r="AG1508" t="n">
        <v>19</v>
      </c>
      <c r="AH1508" t="n">
        <v>7</v>
      </c>
      <c r="AI1508" t="n">
        <v>9</v>
      </c>
      <c r="AJ1508" t="n">
        <v>18</v>
      </c>
      <c r="AK1508" t="n">
        <v>20</v>
      </c>
      <c r="AL1508" t="n">
        <v>5</v>
      </c>
      <c r="AM1508" t="n">
        <v>7</v>
      </c>
      <c r="AN1508" t="n">
        <v>1</v>
      </c>
      <c r="AO1508" t="n">
        <v>1</v>
      </c>
      <c r="AP1508" t="inlineStr">
        <is>
          <t>No</t>
        </is>
      </c>
      <c r="AQ1508" t="inlineStr">
        <is>
          <t>Yes</t>
        </is>
      </c>
      <c r="AR1508">
        <f>HYPERLINK("http://catalog.hathitrust.org/Record/000727340","HathiTrust Record")</f>
        <v/>
      </c>
      <c r="AS1508">
        <f>HYPERLINK("https://creighton-primo.hosted.exlibrisgroup.com/primo-explore/search?tab=default_tab&amp;search_scope=EVERYTHING&amp;vid=01CRU&amp;lang=en_US&amp;offset=0&amp;query=any,contains,991005082929702656","Catalog Record")</f>
        <v/>
      </c>
      <c r="AT1508">
        <f>HYPERLINK("http://www.worldcat.org/oclc/7175474","WorldCat Record")</f>
        <v/>
      </c>
      <c r="AU1508" t="inlineStr">
        <is>
          <t>796523283:eng</t>
        </is>
      </c>
      <c r="AV1508" t="inlineStr">
        <is>
          <t>7175474</t>
        </is>
      </c>
      <c r="AW1508" t="inlineStr">
        <is>
          <t>991005082929702656</t>
        </is>
      </c>
      <c r="AX1508" t="inlineStr">
        <is>
          <t>991005082929702656</t>
        </is>
      </c>
      <c r="AY1508" t="inlineStr">
        <is>
          <t>2272221840002656</t>
        </is>
      </c>
      <c r="AZ1508" t="inlineStr">
        <is>
          <t>BOOK</t>
        </is>
      </c>
      <c r="BB1508" t="inlineStr">
        <is>
          <t>9780394512693</t>
        </is>
      </c>
      <c r="BC1508" t="inlineStr">
        <is>
          <t>32285000098805</t>
        </is>
      </c>
      <c r="BD1508" t="inlineStr">
        <is>
          <t>893424516</t>
        </is>
      </c>
    </row>
    <row r="1509">
      <c r="A1509" t="inlineStr">
        <is>
          <t>No</t>
        </is>
      </c>
      <c r="B1509" t="inlineStr">
        <is>
          <t>DS559.5 .G32 1987</t>
        </is>
      </c>
      <c r="C1509" t="inlineStr">
        <is>
          <t>0                      DS 0559500G  32          1987</t>
        </is>
      </c>
      <c r="D1509" t="inlineStr">
        <is>
          <t>Line doggie : foot soldier in Vietnam / Charles Gadd.</t>
        </is>
      </c>
      <c r="F1509" t="inlineStr">
        <is>
          <t>No</t>
        </is>
      </c>
      <c r="G1509" t="inlineStr">
        <is>
          <t>1</t>
        </is>
      </c>
      <c r="H1509" t="inlineStr">
        <is>
          <t>No</t>
        </is>
      </c>
      <c r="I1509" t="inlineStr">
        <is>
          <t>No</t>
        </is>
      </c>
      <c r="J1509" t="inlineStr">
        <is>
          <t>0</t>
        </is>
      </c>
      <c r="K1509" t="inlineStr">
        <is>
          <t>Gadd, Charles, 1945-</t>
        </is>
      </c>
      <c r="L1509" t="inlineStr">
        <is>
          <t>Novato, CA : Presidio, c1987.</t>
        </is>
      </c>
      <c r="M1509" t="inlineStr">
        <is>
          <t>1987</t>
        </is>
      </c>
      <c r="O1509" t="inlineStr">
        <is>
          <t>eng</t>
        </is>
      </c>
      <c r="P1509" t="inlineStr">
        <is>
          <t>cau</t>
        </is>
      </c>
      <c r="R1509" t="inlineStr">
        <is>
          <t xml:space="preserve">DS </t>
        </is>
      </c>
      <c r="S1509" t="n">
        <v>1</v>
      </c>
      <c r="T1509" t="n">
        <v>1</v>
      </c>
      <c r="U1509" t="inlineStr">
        <is>
          <t>2001-08-08</t>
        </is>
      </c>
      <c r="V1509" t="inlineStr">
        <is>
          <t>2001-08-08</t>
        </is>
      </c>
      <c r="W1509" t="inlineStr">
        <is>
          <t>2001-08-07</t>
        </is>
      </c>
      <c r="X1509" t="inlineStr">
        <is>
          <t>2001-08-07</t>
        </is>
      </c>
      <c r="Y1509" t="n">
        <v>378</v>
      </c>
      <c r="Z1509" t="n">
        <v>360</v>
      </c>
      <c r="AA1509" t="n">
        <v>414</v>
      </c>
      <c r="AB1509" t="n">
        <v>3</v>
      </c>
      <c r="AC1509" t="n">
        <v>3</v>
      </c>
      <c r="AD1509" t="n">
        <v>8</v>
      </c>
      <c r="AE1509" t="n">
        <v>8</v>
      </c>
      <c r="AF1509" t="n">
        <v>5</v>
      </c>
      <c r="AG1509" t="n">
        <v>5</v>
      </c>
      <c r="AH1509" t="n">
        <v>2</v>
      </c>
      <c r="AI1509" t="n">
        <v>2</v>
      </c>
      <c r="AJ1509" t="n">
        <v>4</v>
      </c>
      <c r="AK1509" t="n">
        <v>4</v>
      </c>
      <c r="AL1509" t="n">
        <v>0</v>
      </c>
      <c r="AM1509" t="n">
        <v>0</v>
      </c>
      <c r="AN1509" t="n">
        <v>0</v>
      </c>
      <c r="AO1509" t="n">
        <v>0</v>
      </c>
      <c r="AP1509" t="inlineStr">
        <is>
          <t>No</t>
        </is>
      </c>
      <c r="AQ1509" t="inlineStr">
        <is>
          <t>No</t>
        </is>
      </c>
      <c r="AS1509">
        <f>HYPERLINK("https://creighton-primo.hosted.exlibrisgroup.com/primo-explore/search?tab=default_tab&amp;search_scope=EVERYTHING&amp;vid=01CRU&amp;lang=en_US&amp;offset=0&amp;query=any,contains,991003592419702656","Catalog Record")</f>
        <v/>
      </c>
      <c r="AT1509">
        <f>HYPERLINK("http://www.worldcat.org/oclc/15696075","WorldCat Record")</f>
        <v/>
      </c>
      <c r="AU1509" t="inlineStr">
        <is>
          <t>10719280:eng</t>
        </is>
      </c>
      <c r="AV1509" t="inlineStr">
        <is>
          <t>15696075</t>
        </is>
      </c>
      <c r="AW1509" t="inlineStr">
        <is>
          <t>991003592419702656</t>
        </is>
      </c>
      <c r="AX1509" t="inlineStr">
        <is>
          <t>991003592419702656</t>
        </is>
      </c>
      <c r="AY1509" t="inlineStr">
        <is>
          <t>2259769070002656</t>
        </is>
      </c>
      <c r="AZ1509" t="inlineStr">
        <is>
          <t>BOOK</t>
        </is>
      </c>
      <c r="BB1509" t="inlineStr">
        <is>
          <t>9780891412885</t>
        </is>
      </c>
      <c r="BC1509" t="inlineStr">
        <is>
          <t>32285004376215</t>
        </is>
      </c>
      <c r="BD1509" t="inlineStr">
        <is>
          <t>893228196</t>
        </is>
      </c>
    </row>
    <row r="1510">
      <c r="A1510" t="inlineStr">
        <is>
          <t>No</t>
        </is>
      </c>
      <c r="B1510" t="inlineStr">
        <is>
          <t>DS559.5 .H38 1988</t>
        </is>
      </c>
      <c r="C1510" t="inlineStr">
        <is>
          <t>0                      DS 0559500H  38          1988</t>
        </is>
      </c>
      <c r="D1510" t="inlineStr">
        <is>
          <t>Words of war : an anthology of Vietnam war literature / compiled by Gordon Hardy and the editors of Boston Publishing Company.</t>
        </is>
      </c>
      <c r="F1510" t="inlineStr">
        <is>
          <t>No</t>
        </is>
      </c>
      <c r="G1510" t="inlineStr">
        <is>
          <t>1</t>
        </is>
      </c>
      <c r="H1510" t="inlineStr">
        <is>
          <t>No</t>
        </is>
      </c>
      <c r="I1510" t="inlineStr">
        <is>
          <t>No</t>
        </is>
      </c>
      <c r="J1510" t="inlineStr">
        <is>
          <t>0</t>
        </is>
      </c>
      <c r="L1510" t="inlineStr">
        <is>
          <t>Boston, MA : The Company, c1988.</t>
        </is>
      </c>
      <c r="M1510" t="inlineStr">
        <is>
          <t>1988</t>
        </is>
      </c>
      <c r="O1510" t="inlineStr">
        <is>
          <t>eng</t>
        </is>
      </c>
      <c r="P1510" t="inlineStr">
        <is>
          <t>mau</t>
        </is>
      </c>
      <c r="Q1510" t="inlineStr">
        <is>
          <t>The Vietnam experience</t>
        </is>
      </c>
      <c r="R1510" t="inlineStr">
        <is>
          <t xml:space="preserve">DS </t>
        </is>
      </c>
      <c r="S1510" t="n">
        <v>6</v>
      </c>
      <c r="T1510" t="n">
        <v>6</v>
      </c>
      <c r="U1510" t="inlineStr">
        <is>
          <t>2009-10-16</t>
        </is>
      </c>
      <c r="V1510" t="inlineStr">
        <is>
          <t>2009-10-16</t>
        </is>
      </c>
      <c r="W1510" t="inlineStr">
        <is>
          <t>1990-03-27</t>
        </is>
      </c>
      <c r="X1510" t="inlineStr">
        <is>
          <t>1990-03-27</t>
        </is>
      </c>
      <c r="Y1510" t="n">
        <v>834</v>
      </c>
      <c r="Z1510" t="n">
        <v>790</v>
      </c>
      <c r="AA1510" t="n">
        <v>798</v>
      </c>
      <c r="AB1510" t="n">
        <v>8</v>
      </c>
      <c r="AC1510" t="n">
        <v>8</v>
      </c>
      <c r="AD1510" t="n">
        <v>10</v>
      </c>
      <c r="AE1510" t="n">
        <v>10</v>
      </c>
      <c r="AF1510" t="n">
        <v>4</v>
      </c>
      <c r="AG1510" t="n">
        <v>4</v>
      </c>
      <c r="AH1510" t="n">
        <v>3</v>
      </c>
      <c r="AI1510" t="n">
        <v>3</v>
      </c>
      <c r="AJ1510" t="n">
        <v>7</v>
      </c>
      <c r="AK1510" t="n">
        <v>7</v>
      </c>
      <c r="AL1510" t="n">
        <v>1</v>
      </c>
      <c r="AM1510" t="n">
        <v>1</v>
      </c>
      <c r="AN1510" t="n">
        <v>0</v>
      </c>
      <c r="AO1510" t="n">
        <v>0</v>
      </c>
      <c r="AP1510" t="inlineStr">
        <is>
          <t>No</t>
        </is>
      </c>
      <c r="AQ1510" t="inlineStr">
        <is>
          <t>Yes</t>
        </is>
      </c>
      <c r="AR1510">
        <f>HYPERLINK("http://catalog.hathitrust.org/Record/000951168","HathiTrust Record")</f>
        <v/>
      </c>
      <c r="AS1510">
        <f>HYPERLINK("https://creighton-primo.hosted.exlibrisgroup.com/primo-explore/search?tab=default_tab&amp;search_scope=EVERYTHING&amp;vid=01CRU&amp;lang=en_US&amp;offset=0&amp;query=any,contains,991001239469702656","Catalog Record")</f>
        <v/>
      </c>
      <c r="AT1510">
        <f>HYPERLINK("http://www.worldcat.org/oclc/17601308","WorldCat Record")</f>
        <v/>
      </c>
      <c r="AU1510" t="inlineStr">
        <is>
          <t>905524653:eng</t>
        </is>
      </c>
      <c r="AV1510" t="inlineStr">
        <is>
          <t>17601308</t>
        </is>
      </c>
      <c r="AW1510" t="inlineStr">
        <is>
          <t>991001239469702656</t>
        </is>
      </c>
      <c r="AX1510" t="inlineStr">
        <is>
          <t>991001239469702656</t>
        </is>
      </c>
      <c r="AY1510" t="inlineStr">
        <is>
          <t>2256264350002656</t>
        </is>
      </c>
      <c r="AZ1510" t="inlineStr">
        <is>
          <t>BOOK</t>
        </is>
      </c>
      <c r="BB1510" t="inlineStr">
        <is>
          <t>9780939526376</t>
        </is>
      </c>
      <c r="BC1510" t="inlineStr">
        <is>
          <t>32285000098813</t>
        </is>
      </c>
      <c r="BD1510" t="inlineStr">
        <is>
          <t>893784960</t>
        </is>
      </c>
    </row>
    <row r="1511">
      <c r="A1511" t="inlineStr">
        <is>
          <t>No</t>
        </is>
      </c>
      <c r="B1511" t="inlineStr">
        <is>
          <t>DS559.5 .J36 2005</t>
        </is>
      </c>
      <c r="C1511" t="inlineStr">
        <is>
          <t>0                      DS 0559500J  36          2005</t>
        </is>
      </c>
      <c r="D1511" t="inlineStr">
        <is>
          <t>Unfortunate sons : a true story of young men and war / L. D. James.</t>
        </is>
      </c>
      <c r="F1511" t="inlineStr">
        <is>
          <t>No</t>
        </is>
      </c>
      <c r="G1511" t="inlineStr">
        <is>
          <t>1</t>
        </is>
      </c>
      <c r="H1511" t="inlineStr">
        <is>
          <t>No</t>
        </is>
      </c>
      <c r="I1511" t="inlineStr">
        <is>
          <t>No</t>
        </is>
      </c>
      <c r="J1511" t="inlineStr">
        <is>
          <t>0</t>
        </is>
      </c>
      <c r="K1511" t="inlineStr">
        <is>
          <t>James, Larry Don.</t>
        </is>
      </c>
      <c r="L1511" t="inlineStr">
        <is>
          <t>Washington, D. C. : Cambridge Dent Publishers, c2005.</t>
        </is>
      </c>
      <c r="M1511" t="inlineStr">
        <is>
          <t>2005</t>
        </is>
      </c>
      <c r="N1511" t="inlineStr">
        <is>
          <t>1st ed.</t>
        </is>
      </c>
      <c r="O1511" t="inlineStr">
        <is>
          <t>eng</t>
        </is>
      </c>
      <c r="P1511" t="inlineStr">
        <is>
          <t>dcu</t>
        </is>
      </c>
      <c r="R1511" t="inlineStr">
        <is>
          <t xml:space="preserve">DS </t>
        </is>
      </c>
      <c r="S1511" t="n">
        <v>3</v>
      </c>
      <c r="T1511" t="n">
        <v>3</v>
      </c>
      <c r="U1511" t="inlineStr">
        <is>
          <t>2006-02-28</t>
        </is>
      </c>
      <c r="V1511" t="inlineStr">
        <is>
          <t>2006-02-28</t>
        </is>
      </c>
      <c r="W1511" t="inlineStr">
        <is>
          <t>2006-02-06</t>
        </is>
      </c>
      <c r="X1511" t="inlineStr">
        <is>
          <t>2006-02-06</t>
        </is>
      </c>
      <c r="Y1511" t="n">
        <v>70</v>
      </c>
      <c r="Z1511" t="n">
        <v>70</v>
      </c>
      <c r="AA1511" t="n">
        <v>70</v>
      </c>
      <c r="AB1511" t="n">
        <v>1</v>
      </c>
      <c r="AC1511" t="n">
        <v>1</v>
      </c>
      <c r="AD1511" t="n">
        <v>0</v>
      </c>
      <c r="AE1511" t="n">
        <v>0</v>
      </c>
      <c r="AF1511" t="n">
        <v>0</v>
      </c>
      <c r="AG1511" t="n">
        <v>0</v>
      </c>
      <c r="AH1511" t="n">
        <v>0</v>
      </c>
      <c r="AI1511" t="n">
        <v>0</v>
      </c>
      <c r="AJ1511" t="n">
        <v>0</v>
      </c>
      <c r="AK1511" t="n">
        <v>0</v>
      </c>
      <c r="AL1511" t="n">
        <v>0</v>
      </c>
      <c r="AM1511" t="n">
        <v>0</v>
      </c>
      <c r="AN1511" t="n">
        <v>0</v>
      </c>
      <c r="AO1511" t="n">
        <v>0</v>
      </c>
      <c r="AP1511" t="inlineStr">
        <is>
          <t>No</t>
        </is>
      </c>
      <c r="AQ1511" t="inlineStr">
        <is>
          <t>No</t>
        </is>
      </c>
      <c r="AS1511">
        <f>HYPERLINK("https://creighton-primo.hosted.exlibrisgroup.com/primo-explore/search?tab=default_tab&amp;search_scope=EVERYTHING&amp;vid=01CRU&amp;lang=en_US&amp;offset=0&amp;query=any,contains,991004716759702656","Catalog Record")</f>
        <v/>
      </c>
      <c r="AT1511">
        <f>HYPERLINK("http://www.worldcat.org/oclc/61917494","WorldCat Record")</f>
        <v/>
      </c>
      <c r="AU1511" t="inlineStr">
        <is>
          <t>46424514:eng</t>
        </is>
      </c>
      <c r="AV1511" t="inlineStr">
        <is>
          <t>61917494</t>
        </is>
      </c>
      <c r="AW1511" t="inlineStr">
        <is>
          <t>991004716759702656</t>
        </is>
      </c>
      <c r="AX1511" t="inlineStr">
        <is>
          <t>991004716759702656</t>
        </is>
      </c>
      <c r="AY1511" t="inlineStr">
        <is>
          <t>2270384720002656</t>
        </is>
      </c>
      <c r="AZ1511" t="inlineStr">
        <is>
          <t>BOOK</t>
        </is>
      </c>
      <c r="BB1511" t="inlineStr">
        <is>
          <t>9780976861928</t>
        </is>
      </c>
      <c r="BC1511" t="inlineStr">
        <is>
          <t>32285005157234</t>
        </is>
      </c>
      <c r="BD1511" t="inlineStr">
        <is>
          <t>893507150</t>
        </is>
      </c>
    </row>
    <row r="1512">
      <c r="A1512" t="inlineStr">
        <is>
          <t>No</t>
        </is>
      </c>
      <c r="B1512" t="inlineStr">
        <is>
          <t>DS559.5 .K68 1977</t>
        </is>
      </c>
      <c r="C1512" t="inlineStr">
        <is>
          <t>0                      DS 0559500K  68          1977</t>
        </is>
      </c>
      <c r="D1512" t="inlineStr">
        <is>
          <t>Born on the Fourth of July / Ron Kovic.</t>
        </is>
      </c>
      <c r="F1512" t="inlineStr">
        <is>
          <t>No</t>
        </is>
      </c>
      <c r="G1512" t="inlineStr">
        <is>
          <t>1</t>
        </is>
      </c>
      <c r="H1512" t="inlineStr">
        <is>
          <t>No</t>
        </is>
      </c>
      <c r="I1512" t="inlineStr">
        <is>
          <t>No</t>
        </is>
      </c>
      <c r="J1512" t="inlineStr">
        <is>
          <t>0</t>
        </is>
      </c>
      <c r="K1512" t="inlineStr">
        <is>
          <t>Kovic, Ron.</t>
        </is>
      </c>
      <c r="L1512" t="inlineStr">
        <is>
          <t>New York : Pocket Books, 1977, c1976.</t>
        </is>
      </c>
      <c r="M1512" t="inlineStr">
        <is>
          <t>1977</t>
        </is>
      </c>
      <c r="O1512" t="inlineStr">
        <is>
          <t>eng</t>
        </is>
      </c>
      <c r="P1512" t="inlineStr">
        <is>
          <t>nyu</t>
        </is>
      </c>
      <c r="R1512" t="inlineStr">
        <is>
          <t xml:space="preserve">DS </t>
        </is>
      </c>
      <c r="S1512" t="n">
        <v>13</v>
      </c>
      <c r="T1512" t="n">
        <v>13</v>
      </c>
      <c r="U1512" t="inlineStr">
        <is>
          <t>2000-11-03</t>
        </is>
      </c>
      <c r="V1512" t="inlineStr">
        <is>
          <t>2000-11-03</t>
        </is>
      </c>
      <c r="W1512" t="inlineStr">
        <is>
          <t>1995-07-05</t>
        </is>
      </c>
      <c r="X1512" t="inlineStr">
        <is>
          <t>1995-07-05</t>
        </is>
      </c>
      <c r="Y1512" t="n">
        <v>535</v>
      </c>
      <c r="Z1512" t="n">
        <v>497</v>
      </c>
      <c r="AA1512" t="n">
        <v>2621</v>
      </c>
      <c r="AB1512" t="n">
        <v>3</v>
      </c>
      <c r="AC1512" t="n">
        <v>27</v>
      </c>
      <c r="AD1512" t="n">
        <v>6</v>
      </c>
      <c r="AE1512" t="n">
        <v>53</v>
      </c>
      <c r="AF1512" t="n">
        <v>4</v>
      </c>
      <c r="AG1512" t="n">
        <v>20</v>
      </c>
      <c r="AH1512" t="n">
        <v>2</v>
      </c>
      <c r="AI1512" t="n">
        <v>10</v>
      </c>
      <c r="AJ1512" t="n">
        <v>2</v>
      </c>
      <c r="AK1512" t="n">
        <v>20</v>
      </c>
      <c r="AL1512" t="n">
        <v>0</v>
      </c>
      <c r="AM1512" t="n">
        <v>11</v>
      </c>
      <c r="AN1512" t="n">
        <v>0</v>
      </c>
      <c r="AO1512" t="n">
        <v>1</v>
      </c>
      <c r="AP1512" t="inlineStr">
        <is>
          <t>No</t>
        </is>
      </c>
      <c r="AQ1512" t="inlineStr">
        <is>
          <t>Yes</t>
        </is>
      </c>
      <c r="AR1512">
        <f>HYPERLINK("http://catalog.hathitrust.org/Record/012276304","HathiTrust Record")</f>
        <v/>
      </c>
      <c r="AS1512">
        <f>HYPERLINK("https://creighton-primo.hosted.exlibrisgroup.com/primo-explore/search?tab=default_tab&amp;search_scope=EVERYTHING&amp;vid=01CRU&amp;lang=en_US&amp;offset=0&amp;query=any,contains,991001838729702656","Catalog Record")</f>
        <v/>
      </c>
      <c r="AT1512">
        <f>HYPERLINK("http://www.worldcat.org/oclc/23103275","WorldCat Record")</f>
        <v/>
      </c>
      <c r="AU1512" t="inlineStr">
        <is>
          <t>405700:eng</t>
        </is>
      </c>
      <c r="AV1512" t="inlineStr">
        <is>
          <t>23103275</t>
        </is>
      </c>
      <c r="AW1512" t="inlineStr">
        <is>
          <t>991001838729702656</t>
        </is>
      </c>
      <c r="AX1512" t="inlineStr">
        <is>
          <t>991001838729702656</t>
        </is>
      </c>
      <c r="AY1512" t="inlineStr">
        <is>
          <t>2257614640002656</t>
        </is>
      </c>
      <c r="AZ1512" t="inlineStr">
        <is>
          <t>BOOK</t>
        </is>
      </c>
      <c r="BB1512" t="inlineStr">
        <is>
          <t>9780671739140</t>
        </is>
      </c>
      <c r="BC1512" t="inlineStr">
        <is>
          <t>32285002053642</t>
        </is>
      </c>
      <c r="BD1512" t="inlineStr">
        <is>
          <t>893596770</t>
        </is>
      </c>
    </row>
    <row r="1513">
      <c r="A1513" t="inlineStr">
        <is>
          <t>No</t>
        </is>
      </c>
      <c r="B1513" t="inlineStr">
        <is>
          <t>DS559.5 .L42 2000</t>
        </is>
      </c>
      <c r="C1513" t="inlineStr">
        <is>
          <t>0                      DS 0559500L  42          2000</t>
        </is>
      </c>
      <c r="D1513" t="inlineStr">
        <is>
          <t>White Christmas in April : the collapse of South Vietnam, 1975 / edited by J. Edward Lee and Toby Haynsworth.</t>
        </is>
      </c>
      <c r="F1513" t="inlineStr">
        <is>
          <t>No</t>
        </is>
      </c>
      <c r="G1513" t="inlineStr">
        <is>
          <t>1</t>
        </is>
      </c>
      <c r="H1513" t="inlineStr">
        <is>
          <t>No</t>
        </is>
      </c>
      <c r="I1513" t="inlineStr">
        <is>
          <t>No</t>
        </is>
      </c>
      <c r="J1513" t="inlineStr">
        <is>
          <t>0</t>
        </is>
      </c>
      <c r="L1513" t="inlineStr">
        <is>
          <t>New York : Peter Lang, 2000.</t>
        </is>
      </c>
      <c r="M1513" t="inlineStr">
        <is>
          <t>2000</t>
        </is>
      </c>
      <c r="O1513" t="inlineStr">
        <is>
          <t>eng</t>
        </is>
      </c>
      <c r="P1513" t="inlineStr">
        <is>
          <t>nyu</t>
        </is>
      </c>
      <c r="R1513" t="inlineStr">
        <is>
          <t xml:space="preserve">DS </t>
        </is>
      </c>
      <c r="S1513" t="n">
        <v>1</v>
      </c>
      <c r="T1513" t="n">
        <v>1</v>
      </c>
      <c r="U1513" t="inlineStr">
        <is>
          <t>2000-09-28</t>
        </is>
      </c>
      <c r="V1513" t="inlineStr">
        <is>
          <t>2000-09-28</t>
        </is>
      </c>
      <c r="W1513" t="inlineStr">
        <is>
          <t>2000-09-28</t>
        </is>
      </c>
      <c r="X1513" t="inlineStr">
        <is>
          <t>2000-09-28</t>
        </is>
      </c>
      <c r="Y1513" t="n">
        <v>129</v>
      </c>
      <c r="Z1513" t="n">
        <v>102</v>
      </c>
      <c r="AA1513" t="n">
        <v>104</v>
      </c>
      <c r="AB1513" t="n">
        <v>1</v>
      </c>
      <c r="AC1513" t="n">
        <v>1</v>
      </c>
      <c r="AD1513" t="n">
        <v>4</v>
      </c>
      <c r="AE1513" t="n">
        <v>4</v>
      </c>
      <c r="AF1513" t="n">
        <v>3</v>
      </c>
      <c r="AG1513" t="n">
        <v>3</v>
      </c>
      <c r="AH1513" t="n">
        <v>1</v>
      </c>
      <c r="AI1513" t="n">
        <v>1</v>
      </c>
      <c r="AJ1513" t="n">
        <v>2</v>
      </c>
      <c r="AK1513" t="n">
        <v>2</v>
      </c>
      <c r="AL1513" t="n">
        <v>0</v>
      </c>
      <c r="AM1513" t="n">
        <v>0</v>
      </c>
      <c r="AN1513" t="n">
        <v>0</v>
      </c>
      <c r="AO1513" t="n">
        <v>0</v>
      </c>
      <c r="AP1513" t="inlineStr">
        <is>
          <t>No</t>
        </is>
      </c>
      <c r="AQ1513" t="inlineStr">
        <is>
          <t>Yes</t>
        </is>
      </c>
      <c r="AR1513">
        <f>HYPERLINK("http://catalog.hathitrust.org/Record/004081692","HathiTrust Record")</f>
        <v/>
      </c>
      <c r="AS1513">
        <f>HYPERLINK("https://creighton-primo.hosted.exlibrisgroup.com/primo-explore/search?tab=default_tab&amp;search_scope=EVERYTHING&amp;vid=01CRU&amp;lang=en_US&amp;offset=0&amp;query=any,contains,991003243319702656","Catalog Record")</f>
        <v/>
      </c>
      <c r="AT1513">
        <f>HYPERLINK("http://www.worldcat.org/oclc/41266238","WorldCat Record")</f>
        <v/>
      </c>
      <c r="AU1513" t="inlineStr">
        <is>
          <t>898580434:eng</t>
        </is>
      </c>
      <c r="AV1513" t="inlineStr">
        <is>
          <t>41266238</t>
        </is>
      </c>
      <c r="AW1513" t="inlineStr">
        <is>
          <t>991003243319702656</t>
        </is>
      </c>
      <c r="AX1513" t="inlineStr">
        <is>
          <t>991003243319702656</t>
        </is>
      </c>
      <c r="AY1513" t="inlineStr">
        <is>
          <t>2262582410002656</t>
        </is>
      </c>
      <c r="AZ1513" t="inlineStr">
        <is>
          <t>BOOK</t>
        </is>
      </c>
      <c r="BB1513" t="inlineStr">
        <is>
          <t>9780820445380</t>
        </is>
      </c>
      <c r="BC1513" t="inlineStr">
        <is>
          <t>32285003765764</t>
        </is>
      </c>
      <c r="BD1513" t="inlineStr">
        <is>
          <t>893617139</t>
        </is>
      </c>
    </row>
    <row r="1514">
      <c r="A1514" t="inlineStr">
        <is>
          <t>No</t>
        </is>
      </c>
      <c r="B1514" t="inlineStr">
        <is>
          <t>DS559.5 .L49 1985</t>
        </is>
      </c>
      <c r="C1514" t="inlineStr">
        <is>
          <t>0                      DS 0559500L  49          1985</t>
        </is>
      </c>
      <c r="D1514" t="inlineStr">
        <is>
          <t>The tainted war : culture and identity in Vietnam War narratives / Lloyd B. Lewis.</t>
        </is>
      </c>
      <c r="F1514" t="inlineStr">
        <is>
          <t>No</t>
        </is>
      </c>
      <c r="G1514" t="inlineStr">
        <is>
          <t>1</t>
        </is>
      </c>
      <c r="H1514" t="inlineStr">
        <is>
          <t>No</t>
        </is>
      </c>
      <c r="I1514" t="inlineStr">
        <is>
          <t>No</t>
        </is>
      </c>
      <c r="J1514" t="inlineStr">
        <is>
          <t>0</t>
        </is>
      </c>
      <c r="K1514" t="inlineStr">
        <is>
          <t>Lewis, Lloyd B.</t>
        </is>
      </c>
      <c r="L1514" t="inlineStr">
        <is>
          <t>Westport, Conn. : Greenwood Press, 1985.</t>
        </is>
      </c>
      <c r="M1514" t="inlineStr">
        <is>
          <t>1985</t>
        </is>
      </c>
      <c r="O1514" t="inlineStr">
        <is>
          <t>eng</t>
        </is>
      </c>
      <c r="P1514" t="inlineStr">
        <is>
          <t>ctu</t>
        </is>
      </c>
      <c r="Q1514" t="inlineStr">
        <is>
          <t>Contributions in military studies, 0883-6884 ; no. 44</t>
        </is>
      </c>
      <c r="R1514" t="inlineStr">
        <is>
          <t xml:space="preserve">DS </t>
        </is>
      </c>
      <c r="S1514" t="n">
        <v>1</v>
      </c>
      <c r="T1514" t="n">
        <v>1</v>
      </c>
      <c r="U1514" t="inlineStr">
        <is>
          <t>1994-04-13</t>
        </is>
      </c>
      <c r="V1514" t="inlineStr">
        <is>
          <t>1994-04-13</t>
        </is>
      </c>
      <c r="W1514" t="inlineStr">
        <is>
          <t>1990-03-27</t>
        </is>
      </c>
      <c r="X1514" t="inlineStr">
        <is>
          <t>1990-03-27</t>
        </is>
      </c>
      <c r="Y1514" t="n">
        <v>495</v>
      </c>
      <c r="Z1514" t="n">
        <v>431</v>
      </c>
      <c r="AA1514" t="n">
        <v>432</v>
      </c>
      <c r="AB1514" t="n">
        <v>3</v>
      </c>
      <c r="AC1514" t="n">
        <v>3</v>
      </c>
      <c r="AD1514" t="n">
        <v>20</v>
      </c>
      <c r="AE1514" t="n">
        <v>20</v>
      </c>
      <c r="AF1514" t="n">
        <v>11</v>
      </c>
      <c r="AG1514" t="n">
        <v>11</v>
      </c>
      <c r="AH1514" t="n">
        <v>5</v>
      </c>
      <c r="AI1514" t="n">
        <v>5</v>
      </c>
      <c r="AJ1514" t="n">
        <v>8</v>
      </c>
      <c r="AK1514" t="n">
        <v>8</v>
      </c>
      <c r="AL1514" t="n">
        <v>2</v>
      </c>
      <c r="AM1514" t="n">
        <v>2</v>
      </c>
      <c r="AN1514" t="n">
        <v>0</v>
      </c>
      <c r="AO1514" t="n">
        <v>0</v>
      </c>
      <c r="AP1514" t="inlineStr">
        <is>
          <t>No</t>
        </is>
      </c>
      <c r="AQ1514" t="inlineStr">
        <is>
          <t>Yes</t>
        </is>
      </c>
      <c r="AR1514">
        <f>HYPERLINK("http://catalog.hathitrust.org/Record/000581773","HathiTrust Record")</f>
        <v/>
      </c>
      <c r="AS1514">
        <f>HYPERLINK("https://creighton-primo.hosted.exlibrisgroup.com/primo-explore/search?tab=default_tab&amp;search_scope=EVERYTHING&amp;vid=01CRU&amp;lang=en_US&amp;offset=0&amp;query=any,contains,991000551509702656","Catalog Record")</f>
        <v/>
      </c>
      <c r="AT1514">
        <f>HYPERLINK("http://www.worldcat.org/oclc/11533529","WorldCat Record")</f>
        <v/>
      </c>
      <c r="AU1514" t="inlineStr">
        <is>
          <t>806963010:eng</t>
        </is>
      </c>
      <c r="AV1514" t="inlineStr">
        <is>
          <t>11533529</t>
        </is>
      </c>
      <c r="AW1514" t="inlineStr">
        <is>
          <t>991000551509702656</t>
        </is>
      </c>
      <c r="AX1514" t="inlineStr">
        <is>
          <t>991000551509702656</t>
        </is>
      </c>
      <c r="AY1514" t="inlineStr">
        <is>
          <t>2258329260002656</t>
        </is>
      </c>
      <c r="AZ1514" t="inlineStr">
        <is>
          <t>BOOK</t>
        </is>
      </c>
      <c r="BB1514" t="inlineStr">
        <is>
          <t>9780313237232</t>
        </is>
      </c>
      <c r="BC1514" t="inlineStr">
        <is>
          <t>32285000098821</t>
        </is>
      </c>
      <c r="BD1514" t="inlineStr">
        <is>
          <t>893865475</t>
        </is>
      </c>
    </row>
    <row r="1515">
      <c r="A1515" t="inlineStr">
        <is>
          <t>No</t>
        </is>
      </c>
      <c r="B1515" t="inlineStr">
        <is>
          <t>DS559.5 .M37 1983</t>
        </is>
      </c>
      <c r="C1515" t="inlineStr">
        <is>
          <t>0                      DS 0559500M  37          1983</t>
        </is>
      </c>
      <c r="D1515" t="inlineStr">
        <is>
          <t>Chickenhawk / Robert Mason.</t>
        </is>
      </c>
      <c r="F1515" t="inlineStr">
        <is>
          <t>No</t>
        </is>
      </c>
      <c r="G1515" t="inlineStr">
        <is>
          <t>1</t>
        </is>
      </c>
      <c r="H1515" t="inlineStr">
        <is>
          <t>No</t>
        </is>
      </c>
      <c r="I1515" t="inlineStr">
        <is>
          <t>No</t>
        </is>
      </c>
      <c r="J1515" t="inlineStr">
        <is>
          <t>0</t>
        </is>
      </c>
      <c r="K1515" t="inlineStr">
        <is>
          <t>Mason, Robert, 1942-</t>
        </is>
      </c>
      <c r="L1515" t="inlineStr">
        <is>
          <t>New York : Viking Press, 1983.</t>
        </is>
      </c>
      <c r="M1515" t="inlineStr">
        <is>
          <t>1983</t>
        </is>
      </c>
      <c r="O1515" t="inlineStr">
        <is>
          <t>eng</t>
        </is>
      </c>
      <c r="P1515" t="inlineStr">
        <is>
          <t>nyu</t>
        </is>
      </c>
      <c r="R1515" t="inlineStr">
        <is>
          <t xml:space="preserve">DS </t>
        </is>
      </c>
      <c r="S1515" t="n">
        <v>7</v>
      </c>
      <c r="T1515" t="n">
        <v>7</v>
      </c>
      <c r="U1515" t="inlineStr">
        <is>
          <t>2000-08-31</t>
        </is>
      </c>
      <c r="V1515" t="inlineStr">
        <is>
          <t>2000-08-31</t>
        </is>
      </c>
      <c r="W1515" t="inlineStr">
        <is>
          <t>1990-03-06</t>
        </is>
      </c>
      <c r="X1515" t="inlineStr">
        <is>
          <t>1990-03-06</t>
        </is>
      </c>
      <c r="Y1515" t="n">
        <v>1353</v>
      </c>
      <c r="Z1515" t="n">
        <v>1304</v>
      </c>
      <c r="AA1515" t="n">
        <v>2129</v>
      </c>
      <c r="AB1515" t="n">
        <v>14</v>
      </c>
      <c r="AC1515" t="n">
        <v>22</v>
      </c>
      <c r="AD1515" t="n">
        <v>18</v>
      </c>
      <c r="AE1515" t="n">
        <v>38</v>
      </c>
      <c r="AF1515" t="n">
        <v>7</v>
      </c>
      <c r="AG1515" t="n">
        <v>15</v>
      </c>
      <c r="AH1515" t="n">
        <v>1</v>
      </c>
      <c r="AI1515" t="n">
        <v>6</v>
      </c>
      <c r="AJ1515" t="n">
        <v>9</v>
      </c>
      <c r="AK1515" t="n">
        <v>17</v>
      </c>
      <c r="AL1515" t="n">
        <v>4</v>
      </c>
      <c r="AM1515" t="n">
        <v>8</v>
      </c>
      <c r="AN1515" t="n">
        <v>0</v>
      </c>
      <c r="AO1515" t="n">
        <v>0</v>
      </c>
      <c r="AP1515" t="inlineStr">
        <is>
          <t>No</t>
        </is>
      </c>
      <c r="AQ1515" t="inlineStr">
        <is>
          <t>No</t>
        </is>
      </c>
      <c r="AS1515">
        <f>HYPERLINK("https://creighton-primo.hosted.exlibrisgroup.com/primo-explore/search?tab=default_tab&amp;search_scope=EVERYTHING&amp;vid=01CRU&amp;lang=en_US&amp;offset=0&amp;query=any,contains,991000184129702656","Catalog Record")</f>
        <v/>
      </c>
      <c r="AT1515">
        <f>HYPERLINK("http://www.worldcat.org/oclc/9393102","WorldCat Record")</f>
        <v/>
      </c>
      <c r="AU1515" t="inlineStr">
        <is>
          <t>891042:eng</t>
        </is>
      </c>
      <c r="AV1515" t="inlineStr">
        <is>
          <t>9393102</t>
        </is>
      </c>
      <c r="AW1515" t="inlineStr">
        <is>
          <t>991000184129702656</t>
        </is>
      </c>
      <c r="AX1515" t="inlineStr">
        <is>
          <t>991000184129702656</t>
        </is>
      </c>
      <c r="AY1515" t="inlineStr">
        <is>
          <t>2265954210002656</t>
        </is>
      </c>
      <c r="AZ1515" t="inlineStr">
        <is>
          <t>BOOK</t>
        </is>
      </c>
      <c r="BB1515" t="inlineStr">
        <is>
          <t>9780670215829</t>
        </is>
      </c>
      <c r="BC1515" t="inlineStr">
        <is>
          <t>32285000078013</t>
        </is>
      </c>
      <c r="BD1515" t="inlineStr">
        <is>
          <t>893224812</t>
        </is>
      </c>
    </row>
    <row r="1516">
      <c r="A1516" t="inlineStr">
        <is>
          <t>No</t>
        </is>
      </c>
      <c r="B1516" t="inlineStr">
        <is>
          <t>DS559.5 .S342 1988</t>
        </is>
      </c>
      <c r="C1516" t="inlineStr">
        <is>
          <t>0                      DS 0559500S  342         1988</t>
        </is>
      </c>
      <c r="D1516" t="inlineStr">
        <is>
          <t>The real war : the classic reporting on the Vietnam War : with a new essay / by Jonathan Schell.</t>
        </is>
      </c>
      <c r="F1516" t="inlineStr">
        <is>
          <t>No</t>
        </is>
      </c>
      <c r="G1516" t="inlineStr">
        <is>
          <t>1</t>
        </is>
      </c>
      <c r="H1516" t="inlineStr">
        <is>
          <t>No</t>
        </is>
      </c>
      <c r="I1516" t="inlineStr">
        <is>
          <t>No</t>
        </is>
      </c>
      <c r="J1516" t="inlineStr">
        <is>
          <t>0</t>
        </is>
      </c>
      <c r="K1516" t="inlineStr">
        <is>
          <t>Schell, Jonathan, 1943-2014.</t>
        </is>
      </c>
      <c r="L1516" t="inlineStr">
        <is>
          <t>New York : Pantheon Books, 1987, c1988.</t>
        </is>
      </c>
      <c r="M1516" t="inlineStr">
        <is>
          <t>1988</t>
        </is>
      </c>
      <c r="N1516" t="inlineStr">
        <is>
          <t>1st ed.</t>
        </is>
      </c>
      <c r="O1516" t="inlineStr">
        <is>
          <t>eng</t>
        </is>
      </c>
      <c r="P1516" t="inlineStr">
        <is>
          <t>nyu</t>
        </is>
      </c>
      <c r="R1516" t="inlineStr">
        <is>
          <t xml:space="preserve">DS </t>
        </is>
      </c>
      <c r="S1516" t="n">
        <v>5</v>
      </c>
      <c r="T1516" t="n">
        <v>5</v>
      </c>
      <c r="U1516" t="inlineStr">
        <is>
          <t>2002-04-30</t>
        </is>
      </c>
      <c r="V1516" t="inlineStr">
        <is>
          <t>2002-04-30</t>
        </is>
      </c>
      <c r="W1516" t="inlineStr">
        <is>
          <t>1990-04-23</t>
        </is>
      </c>
      <c r="X1516" t="inlineStr">
        <is>
          <t>1990-04-23</t>
        </is>
      </c>
      <c r="Y1516" t="n">
        <v>469</v>
      </c>
      <c r="Z1516" t="n">
        <v>430</v>
      </c>
      <c r="AA1516" t="n">
        <v>598</v>
      </c>
      <c r="AB1516" t="n">
        <v>2</v>
      </c>
      <c r="AC1516" t="n">
        <v>2</v>
      </c>
      <c r="AD1516" t="n">
        <v>15</v>
      </c>
      <c r="AE1516" t="n">
        <v>19</v>
      </c>
      <c r="AF1516" t="n">
        <v>6</v>
      </c>
      <c r="AG1516" t="n">
        <v>8</v>
      </c>
      <c r="AH1516" t="n">
        <v>3</v>
      </c>
      <c r="AI1516" t="n">
        <v>3</v>
      </c>
      <c r="AJ1516" t="n">
        <v>12</v>
      </c>
      <c r="AK1516" t="n">
        <v>15</v>
      </c>
      <c r="AL1516" t="n">
        <v>1</v>
      </c>
      <c r="AM1516" t="n">
        <v>1</v>
      </c>
      <c r="AN1516" t="n">
        <v>0</v>
      </c>
      <c r="AO1516" t="n">
        <v>0</v>
      </c>
      <c r="AP1516" t="inlineStr">
        <is>
          <t>No</t>
        </is>
      </c>
      <c r="AQ1516" t="inlineStr">
        <is>
          <t>Yes</t>
        </is>
      </c>
      <c r="AR1516">
        <f>HYPERLINK("http://catalog.hathitrust.org/Record/000913996","HathiTrust Record")</f>
        <v/>
      </c>
      <c r="AS1516">
        <f>HYPERLINK("https://creighton-primo.hosted.exlibrisgroup.com/primo-explore/search?tab=default_tab&amp;search_scope=EVERYTHING&amp;vid=01CRU&amp;lang=en_US&amp;offset=0&amp;query=any,contains,991001201179702656","Catalog Record")</f>
        <v/>
      </c>
      <c r="AT1516">
        <f>HYPERLINK("http://www.worldcat.org/oclc/17301174","WorldCat Record")</f>
        <v/>
      </c>
      <c r="AU1516" t="inlineStr">
        <is>
          <t>1059231085:eng</t>
        </is>
      </c>
      <c r="AV1516" t="inlineStr">
        <is>
          <t>17301174</t>
        </is>
      </c>
      <c r="AW1516" t="inlineStr">
        <is>
          <t>991001201179702656</t>
        </is>
      </c>
      <c r="AX1516" t="inlineStr">
        <is>
          <t>991001201179702656</t>
        </is>
      </c>
      <c r="AY1516" t="inlineStr">
        <is>
          <t>2266839970002656</t>
        </is>
      </c>
      <c r="AZ1516" t="inlineStr">
        <is>
          <t>BOOK</t>
        </is>
      </c>
      <c r="BC1516" t="inlineStr">
        <is>
          <t>32285000123264</t>
        </is>
      </c>
      <c r="BD1516" t="inlineStr">
        <is>
          <t>893702829</t>
        </is>
      </c>
    </row>
    <row r="1517">
      <c r="A1517" t="inlineStr">
        <is>
          <t>No</t>
        </is>
      </c>
      <c r="B1517" t="inlineStr">
        <is>
          <t>DS559.5 .S39 1998</t>
        </is>
      </c>
      <c r="C1517" t="inlineStr">
        <is>
          <t>0                      DS 0559500S  39          1998</t>
        </is>
      </c>
      <c r="D1517" t="inlineStr">
        <is>
          <t>Lost crusade : America's secret Cambodian mercenaries / Peter Scott.</t>
        </is>
      </c>
      <c r="F1517" t="inlineStr">
        <is>
          <t>No</t>
        </is>
      </c>
      <c r="G1517" t="inlineStr">
        <is>
          <t>1</t>
        </is>
      </c>
      <c r="H1517" t="inlineStr">
        <is>
          <t>No</t>
        </is>
      </c>
      <c r="I1517" t="inlineStr">
        <is>
          <t>No</t>
        </is>
      </c>
      <c r="J1517" t="inlineStr">
        <is>
          <t>0</t>
        </is>
      </c>
      <c r="K1517" t="inlineStr">
        <is>
          <t>Scott, Peter, 1945-</t>
        </is>
      </c>
      <c r="L1517" t="inlineStr">
        <is>
          <t>Annapolis, Md. : Naval Institute Press, c1998.</t>
        </is>
      </c>
      <c r="M1517" t="inlineStr">
        <is>
          <t>1998</t>
        </is>
      </c>
      <c r="O1517" t="inlineStr">
        <is>
          <t>eng</t>
        </is>
      </c>
      <c r="P1517" t="inlineStr">
        <is>
          <t>mdu</t>
        </is>
      </c>
      <c r="Q1517" t="inlineStr">
        <is>
          <t>Naval Institute special warfare series</t>
        </is>
      </c>
      <c r="R1517" t="inlineStr">
        <is>
          <t xml:space="preserve">DS </t>
        </is>
      </c>
      <c r="S1517" t="n">
        <v>3</v>
      </c>
      <c r="T1517" t="n">
        <v>3</v>
      </c>
      <c r="U1517" t="inlineStr">
        <is>
          <t>2000-02-20</t>
        </is>
      </c>
      <c r="V1517" t="inlineStr">
        <is>
          <t>2000-02-20</t>
        </is>
      </c>
      <c r="W1517" t="inlineStr">
        <is>
          <t>1999-10-11</t>
        </is>
      </c>
      <c r="X1517" t="inlineStr">
        <is>
          <t>1999-10-11</t>
        </is>
      </c>
      <c r="Y1517" t="n">
        <v>179</v>
      </c>
      <c r="Z1517" t="n">
        <v>161</v>
      </c>
      <c r="AA1517" t="n">
        <v>284</v>
      </c>
      <c r="AB1517" t="n">
        <v>2</v>
      </c>
      <c r="AC1517" t="n">
        <v>5</v>
      </c>
      <c r="AD1517" t="n">
        <v>9</v>
      </c>
      <c r="AE1517" t="n">
        <v>17</v>
      </c>
      <c r="AF1517" t="n">
        <v>3</v>
      </c>
      <c r="AG1517" t="n">
        <v>5</v>
      </c>
      <c r="AH1517" t="n">
        <v>4</v>
      </c>
      <c r="AI1517" t="n">
        <v>8</v>
      </c>
      <c r="AJ1517" t="n">
        <v>4</v>
      </c>
      <c r="AK1517" t="n">
        <v>5</v>
      </c>
      <c r="AL1517" t="n">
        <v>1</v>
      </c>
      <c r="AM1517" t="n">
        <v>4</v>
      </c>
      <c r="AN1517" t="n">
        <v>0</v>
      </c>
      <c r="AO1517" t="n">
        <v>0</v>
      </c>
      <c r="AP1517" t="inlineStr">
        <is>
          <t>No</t>
        </is>
      </c>
      <c r="AQ1517" t="inlineStr">
        <is>
          <t>Yes</t>
        </is>
      </c>
      <c r="AR1517">
        <f>HYPERLINK("http://catalog.hathitrust.org/Record/004023431","HathiTrust Record")</f>
        <v/>
      </c>
      <c r="AS1517">
        <f>HYPERLINK("https://creighton-primo.hosted.exlibrisgroup.com/primo-explore/search?tab=default_tab&amp;search_scope=EVERYTHING&amp;vid=01CRU&amp;lang=en_US&amp;offset=0&amp;query=any,contains,991002942859702656","Catalog Record")</f>
        <v/>
      </c>
      <c r="AT1517">
        <f>HYPERLINK("http://www.worldcat.org/oclc/39182232","WorldCat Record")</f>
        <v/>
      </c>
      <c r="AU1517" t="inlineStr">
        <is>
          <t>364735147:eng</t>
        </is>
      </c>
      <c r="AV1517" t="inlineStr">
        <is>
          <t>39182232</t>
        </is>
      </c>
      <c r="AW1517" t="inlineStr">
        <is>
          <t>991002942859702656</t>
        </is>
      </c>
      <c r="AX1517" t="inlineStr">
        <is>
          <t>991002942859702656</t>
        </is>
      </c>
      <c r="AY1517" t="inlineStr">
        <is>
          <t>2272032740002656</t>
        </is>
      </c>
      <c r="AZ1517" t="inlineStr">
        <is>
          <t>BOOK</t>
        </is>
      </c>
      <c r="BB1517" t="inlineStr">
        <is>
          <t>9781557508461</t>
        </is>
      </c>
      <c r="BC1517" t="inlineStr">
        <is>
          <t>32285003594271</t>
        </is>
      </c>
      <c r="BD1517" t="inlineStr">
        <is>
          <t>893893191</t>
        </is>
      </c>
    </row>
    <row r="1518">
      <c r="A1518" t="inlineStr">
        <is>
          <t>No</t>
        </is>
      </c>
      <c r="B1518" t="inlineStr">
        <is>
          <t>DS559.5 .W37 1986</t>
        </is>
      </c>
      <c r="C1518" t="inlineStr">
        <is>
          <t>0                      DS 0559500W  37          1986</t>
        </is>
      </c>
      <c r="D1518" t="inlineStr">
        <is>
          <t>A war remembered / by Stephen Weiss ... [et al.] ; and the editors of Boston Publishing Company.</t>
        </is>
      </c>
      <c r="F1518" t="inlineStr">
        <is>
          <t>No</t>
        </is>
      </c>
      <c r="G1518" t="inlineStr">
        <is>
          <t>1</t>
        </is>
      </c>
      <c r="H1518" t="inlineStr">
        <is>
          <t>No</t>
        </is>
      </c>
      <c r="I1518" t="inlineStr">
        <is>
          <t>No</t>
        </is>
      </c>
      <c r="J1518" t="inlineStr">
        <is>
          <t>0</t>
        </is>
      </c>
      <c r="L1518" t="inlineStr">
        <is>
          <t>Boston, Mass. : The Company, 1986.</t>
        </is>
      </c>
      <c r="M1518" t="inlineStr">
        <is>
          <t>1986</t>
        </is>
      </c>
      <c r="O1518" t="inlineStr">
        <is>
          <t>eng</t>
        </is>
      </c>
      <c r="P1518" t="inlineStr">
        <is>
          <t>mau</t>
        </is>
      </c>
      <c r="Q1518" t="inlineStr">
        <is>
          <t>The Vietnam experience</t>
        </is>
      </c>
      <c r="R1518" t="inlineStr">
        <is>
          <t xml:space="preserve">DS </t>
        </is>
      </c>
      <c r="S1518" t="n">
        <v>10</v>
      </c>
      <c r="T1518" t="n">
        <v>10</v>
      </c>
      <c r="U1518" t="inlineStr">
        <is>
          <t>1993-04-27</t>
        </is>
      </c>
      <c r="V1518" t="inlineStr">
        <is>
          <t>1993-04-27</t>
        </is>
      </c>
      <c r="W1518" t="inlineStr">
        <is>
          <t>1990-03-27</t>
        </is>
      </c>
      <c r="X1518" t="inlineStr">
        <is>
          <t>1990-03-27</t>
        </is>
      </c>
      <c r="Y1518" t="n">
        <v>1281</v>
      </c>
      <c r="Z1518" t="n">
        <v>1237</v>
      </c>
      <c r="AA1518" t="n">
        <v>1242</v>
      </c>
      <c r="AB1518" t="n">
        <v>12</v>
      </c>
      <c r="AC1518" t="n">
        <v>12</v>
      </c>
      <c r="AD1518" t="n">
        <v>15</v>
      </c>
      <c r="AE1518" t="n">
        <v>15</v>
      </c>
      <c r="AF1518" t="n">
        <v>5</v>
      </c>
      <c r="AG1518" t="n">
        <v>5</v>
      </c>
      <c r="AH1518" t="n">
        <v>3</v>
      </c>
      <c r="AI1518" t="n">
        <v>3</v>
      </c>
      <c r="AJ1518" t="n">
        <v>9</v>
      </c>
      <c r="AK1518" t="n">
        <v>9</v>
      </c>
      <c r="AL1518" t="n">
        <v>2</v>
      </c>
      <c r="AM1518" t="n">
        <v>2</v>
      </c>
      <c r="AN1518" t="n">
        <v>0</v>
      </c>
      <c r="AO1518" t="n">
        <v>0</v>
      </c>
      <c r="AP1518" t="inlineStr">
        <is>
          <t>No</t>
        </is>
      </c>
      <c r="AQ1518" t="inlineStr">
        <is>
          <t>No</t>
        </is>
      </c>
      <c r="AS1518">
        <f>HYPERLINK("https://creighton-primo.hosted.exlibrisgroup.com/primo-explore/search?tab=default_tab&amp;search_scope=EVERYTHING&amp;vid=01CRU&amp;lang=en_US&amp;offset=0&amp;query=any,contains,991000856359702656","Catalog Record")</f>
        <v/>
      </c>
      <c r="AT1518">
        <f>HYPERLINK("http://www.worldcat.org/oclc/13655353","WorldCat Record")</f>
        <v/>
      </c>
      <c r="AU1518" t="inlineStr">
        <is>
          <t>54824230:eng</t>
        </is>
      </c>
      <c r="AV1518" t="inlineStr">
        <is>
          <t>13655353</t>
        </is>
      </c>
      <c r="AW1518" t="inlineStr">
        <is>
          <t>991000856359702656</t>
        </is>
      </c>
      <c r="AX1518" t="inlineStr">
        <is>
          <t>991000856359702656</t>
        </is>
      </c>
      <c r="AY1518" t="inlineStr">
        <is>
          <t>2266170190002656</t>
        </is>
      </c>
      <c r="AZ1518" t="inlineStr">
        <is>
          <t>BOOK</t>
        </is>
      </c>
      <c r="BB1518" t="inlineStr">
        <is>
          <t>9780939526208</t>
        </is>
      </c>
      <c r="BC1518" t="inlineStr">
        <is>
          <t>32285000098839</t>
        </is>
      </c>
      <c r="BD1518" t="inlineStr">
        <is>
          <t>893339955</t>
        </is>
      </c>
    </row>
    <row r="1519">
      <c r="A1519" t="inlineStr">
        <is>
          <t>No</t>
        </is>
      </c>
      <c r="B1519" t="inlineStr">
        <is>
          <t>DS559.5 .W64 1994</t>
        </is>
      </c>
      <c r="C1519" t="inlineStr">
        <is>
          <t>0                      DS 0559500W  64          1994</t>
        </is>
      </c>
      <c r="D1519" t="inlineStr">
        <is>
          <t>In Pharaoh's army : memories of the lost war / Tobias Wolff.</t>
        </is>
      </c>
      <c r="F1519" t="inlineStr">
        <is>
          <t>No</t>
        </is>
      </c>
      <c r="G1519" t="inlineStr">
        <is>
          <t>1</t>
        </is>
      </c>
      <c r="H1519" t="inlineStr">
        <is>
          <t>No</t>
        </is>
      </c>
      <c r="I1519" t="inlineStr">
        <is>
          <t>No</t>
        </is>
      </c>
      <c r="J1519" t="inlineStr">
        <is>
          <t>0</t>
        </is>
      </c>
      <c r="K1519" t="inlineStr">
        <is>
          <t>Wolff, Tobias, 1945-</t>
        </is>
      </c>
      <c r="L1519" t="inlineStr">
        <is>
          <t>New York : Knopf : Distributed by Random House, 1994.</t>
        </is>
      </c>
      <c r="M1519" t="inlineStr">
        <is>
          <t>1994</t>
        </is>
      </c>
      <c r="N1519" t="inlineStr">
        <is>
          <t>1st ed.</t>
        </is>
      </c>
      <c r="O1519" t="inlineStr">
        <is>
          <t>eng</t>
        </is>
      </c>
      <c r="P1519" t="inlineStr">
        <is>
          <t>nyu</t>
        </is>
      </c>
      <c r="R1519" t="inlineStr">
        <is>
          <t xml:space="preserve">DS </t>
        </is>
      </c>
      <c r="S1519" t="n">
        <v>4</v>
      </c>
      <c r="T1519" t="n">
        <v>4</v>
      </c>
      <c r="U1519" t="inlineStr">
        <is>
          <t>1997-06-04</t>
        </is>
      </c>
      <c r="V1519" t="inlineStr">
        <is>
          <t>1997-06-04</t>
        </is>
      </c>
      <c r="W1519" t="inlineStr">
        <is>
          <t>1995-01-14</t>
        </is>
      </c>
      <c r="X1519" t="inlineStr">
        <is>
          <t>1995-01-14</t>
        </is>
      </c>
      <c r="Y1519" t="n">
        <v>1160</v>
      </c>
      <c r="Z1519" t="n">
        <v>1110</v>
      </c>
      <c r="AA1519" t="n">
        <v>1418</v>
      </c>
      <c r="AB1519" t="n">
        <v>8</v>
      </c>
      <c r="AC1519" t="n">
        <v>10</v>
      </c>
      <c r="AD1519" t="n">
        <v>32</v>
      </c>
      <c r="AE1519" t="n">
        <v>40</v>
      </c>
      <c r="AF1519" t="n">
        <v>11</v>
      </c>
      <c r="AG1519" t="n">
        <v>15</v>
      </c>
      <c r="AH1519" t="n">
        <v>8</v>
      </c>
      <c r="AI1519" t="n">
        <v>8</v>
      </c>
      <c r="AJ1519" t="n">
        <v>15</v>
      </c>
      <c r="AK1519" t="n">
        <v>18</v>
      </c>
      <c r="AL1519" t="n">
        <v>6</v>
      </c>
      <c r="AM1519" t="n">
        <v>7</v>
      </c>
      <c r="AN1519" t="n">
        <v>0</v>
      </c>
      <c r="AO1519" t="n">
        <v>0</v>
      </c>
      <c r="AP1519" t="inlineStr">
        <is>
          <t>No</t>
        </is>
      </c>
      <c r="AQ1519" t="inlineStr">
        <is>
          <t>Yes</t>
        </is>
      </c>
      <c r="AR1519">
        <f>HYPERLINK("http://catalog.hathitrust.org/Record/002896326","HathiTrust Record")</f>
        <v/>
      </c>
      <c r="AS1519">
        <f>HYPERLINK("https://creighton-primo.hosted.exlibrisgroup.com/primo-explore/search?tab=default_tab&amp;search_scope=EVERYTHING&amp;vid=01CRU&amp;lang=en_US&amp;offset=0&amp;query=any,contains,991002337699702656","Catalog Record")</f>
        <v/>
      </c>
      <c r="AT1519">
        <f>HYPERLINK("http://www.worldcat.org/oclc/30436634","WorldCat Record")</f>
        <v/>
      </c>
      <c r="AU1519" t="inlineStr">
        <is>
          <t>932708:eng</t>
        </is>
      </c>
      <c r="AV1519" t="inlineStr">
        <is>
          <t>30436634</t>
        </is>
      </c>
      <c r="AW1519" t="inlineStr">
        <is>
          <t>991002337699702656</t>
        </is>
      </c>
      <c r="AX1519" t="inlineStr">
        <is>
          <t>991002337699702656</t>
        </is>
      </c>
      <c r="AY1519" t="inlineStr">
        <is>
          <t>2258935330002656</t>
        </is>
      </c>
      <c r="AZ1519" t="inlineStr">
        <is>
          <t>BOOK</t>
        </is>
      </c>
      <c r="BB1519" t="inlineStr">
        <is>
          <t>9780679402176</t>
        </is>
      </c>
      <c r="BC1519" t="inlineStr">
        <is>
          <t>32285001992352</t>
        </is>
      </c>
      <c r="BD1519" t="inlineStr">
        <is>
          <t>893415088</t>
        </is>
      </c>
    </row>
    <row r="1520">
      <c r="A1520" t="inlineStr">
        <is>
          <t>No</t>
        </is>
      </c>
      <c r="B1520" t="inlineStr">
        <is>
          <t>DS559.5 .Y66 1995</t>
        </is>
      </c>
      <c r="C1520" t="inlineStr">
        <is>
          <t>0                      DS 0559500Y  66          1995</t>
        </is>
      </c>
      <c r="D1520" t="inlineStr">
        <is>
          <t>Blessings : transforming my Vietnam experience / Don Yost.</t>
        </is>
      </c>
      <c r="F1520" t="inlineStr">
        <is>
          <t>No</t>
        </is>
      </c>
      <c r="G1520" t="inlineStr">
        <is>
          <t>1</t>
        </is>
      </c>
      <c r="H1520" t="inlineStr">
        <is>
          <t>No</t>
        </is>
      </c>
      <c r="I1520" t="inlineStr">
        <is>
          <t>No</t>
        </is>
      </c>
      <c r="J1520" t="inlineStr">
        <is>
          <t>0</t>
        </is>
      </c>
      <c r="K1520" t="inlineStr">
        <is>
          <t>Yost, Don, 1945-</t>
        </is>
      </c>
      <c r="L1520" t="inlineStr">
        <is>
          <t>Kansas City, MO : Sheed &amp; Ward, c1995.</t>
        </is>
      </c>
      <c r="M1520" t="inlineStr">
        <is>
          <t>1995</t>
        </is>
      </c>
      <c r="O1520" t="inlineStr">
        <is>
          <t>eng</t>
        </is>
      </c>
      <c r="P1520" t="inlineStr">
        <is>
          <t>mou</t>
        </is>
      </c>
      <c r="R1520" t="inlineStr">
        <is>
          <t xml:space="preserve">DS </t>
        </is>
      </c>
      <c r="S1520" t="n">
        <v>1</v>
      </c>
      <c r="T1520" t="n">
        <v>1</v>
      </c>
      <c r="U1520" t="inlineStr">
        <is>
          <t>2003-11-14</t>
        </is>
      </c>
      <c r="V1520" t="inlineStr">
        <is>
          <t>2003-11-14</t>
        </is>
      </c>
      <c r="W1520" t="inlineStr">
        <is>
          <t>1996-10-01</t>
        </is>
      </c>
      <c r="X1520" t="inlineStr">
        <is>
          <t>1996-10-01</t>
        </is>
      </c>
      <c r="Y1520" t="n">
        <v>49</v>
      </c>
      <c r="Z1520" t="n">
        <v>46</v>
      </c>
      <c r="AA1520" t="n">
        <v>46</v>
      </c>
      <c r="AB1520" t="n">
        <v>1</v>
      </c>
      <c r="AC1520" t="n">
        <v>1</v>
      </c>
      <c r="AD1520" t="n">
        <v>6</v>
      </c>
      <c r="AE1520" t="n">
        <v>6</v>
      </c>
      <c r="AF1520" t="n">
        <v>3</v>
      </c>
      <c r="AG1520" t="n">
        <v>3</v>
      </c>
      <c r="AH1520" t="n">
        <v>1</v>
      </c>
      <c r="AI1520" t="n">
        <v>1</v>
      </c>
      <c r="AJ1520" t="n">
        <v>5</v>
      </c>
      <c r="AK1520" t="n">
        <v>5</v>
      </c>
      <c r="AL1520" t="n">
        <v>0</v>
      </c>
      <c r="AM1520" t="n">
        <v>0</v>
      </c>
      <c r="AN1520" t="n">
        <v>0</v>
      </c>
      <c r="AO1520" t="n">
        <v>0</v>
      </c>
      <c r="AP1520" t="inlineStr">
        <is>
          <t>No</t>
        </is>
      </c>
      <c r="AQ1520" t="inlineStr">
        <is>
          <t>No</t>
        </is>
      </c>
      <c r="AS1520">
        <f>HYPERLINK("https://creighton-primo.hosted.exlibrisgroup.com/primo-explore/search?tab=default_tab&amp;search_scope=EVERYTHING&amp;vid=01CRU&amp;lang=en_US&amp;offset=0&amp;query=any,contains,991002521689702656","Catalog Record")</f>
        <v/>
      </c>
      <c r="AT1520">
        <f>HYPERLINK("http://www.worldcat.org/oclc/32780562","WorldCat Record")</f>
        <v/>
      </c>
      <c r="AU1520" t="inlineStr">
        <is>
          <t>152323005:eng</t>
        </is>
      </c>
      <c r="AV1520" t="inlineStr">
        <is>
          <t>32780562</t>
        </is>
      </c>
      <c r="AW1520" t="inlineStr">
        <is>
          <t>991002521689702656</t>
        </is>
      </c>
      <c r="AX1520" t="inlineStr">
        <is>
          <t>991002521689702656</t>
        </is>
      </c>
      <c r="AY1520" t="inlineStr">
        <is>
          <t>2261841000002656</t>
        </is>
      </c>
      <c r="AZ1520" t="inlineStr">
        <is>
          <t>BOOK</t>
        </is>
      </c>
      <c r="BB1520" t="inlineStr">
        <is>
          <t>9781556128042</t>
        </is>
      </c>
      <c r="BC1520" t="inlineStr">
        <is>
          <t>32285002321650</t>
        </is>
      </c>
      <c r="BD1520" t="inlineStr">
        <is>
          <t>893347590</t>
        </is>
      </c>
    </row>
    <row r="1521">
      <c r="A1521" t="inlineStr">
        <is>
          <t>No</t>
        </is>
      </c>
      <c r="B1521" t="inlineStr">
        <is>
          <t>DS559.62.A8 E38 1997</t>
        </is>
      </c>
      <c r="C1521" t="inlineStr">
        <is>
          <t>0                      DS 0559620A  8                  E  38          1997</t>
        </is>
      </c>
      <c r="D1521" t="inlineStr">
        <is>
          <t>A nation at war : Australian politics, society and diplomacy during the Vietnam War 1965-1975 / Peter Edwards.</t>
        </is>
      </c>
      <c r="F1521" t="inlineStr">
        <is>
          <t>No</t>
        </is>
      </c>
      <c r="G1521" t="inlineStr">
        <is>
          <t>1</t>
        </is>
      </c>
      <c r="H1521" t="inlineStr">
        <is>
          <t>No</t>
        </is>
      </c>
      <c r="I1521" t="inlineStr">
        <is>
          <t>No</t>
        </is>
      </c>
      <c r="J1521" t="inlineStr">
        <is>
          <t>0</t>
        </is>
      </c>
      <c r="K1521" t="inlineStr">
        <is>
          <t>Edwards, P. G.</t>
        </is>
      </c>
      <c r="L1521" t="inlineStr">
        <is>
          <t>St. Leonards, NSW : Allen &amp; Unwin in association with the Australian War Memorial, 1997.</t>
        </is>
      </c>
      <c r="M1521" t="inlineStr">
        <is>
          <t>1997</t>
        </is>
      </c>
      <c r="O1521" t="inlineStr">
        <is>
          <t>eng</t>
        </is>
      </c>
      <c r="P1521" t="inlineStr">
        <is>
          <t xml:space="preserve">at </t>
        </is>
      </c>
      <c r="Q1521" t="inlineStr">
        <is>
          <t>The Official history of Australia's involvement in Southeast Asian conflicts 1948-1975.</t>
        </is>
      </c>
      <c r="R1521" t="inlineStr">
        <is>
          <t xml:space="preserve">DS </t>
        </is>
      </c>
      <c r="S1521" t="n">
        <v>1</v>
      </c>
      <c r="T1521" t="n">
        <v>1</v>
      </c>
      <c r="U1521" t="inlineStr">
        <is>
          <t>2001-01-23</t>
        </is>
      </c>
      <c r="V1521" t="inlineStr">
        <is>
          <t>2001-01-23</t>
        </is>
      </c>
      <c r="W1521" t="inlineStr">
        <is>
          <t>2001-01-23</t>
        </is>
      </c>
      <c r="X1521" t="inlineStr">
        <is>
          <t>2001-01-23</t>
        </is>
      </c>
      <c r="Y1521" t="n">
        <v>231</v>
      </c>
      <c r="Z1521" t="n">
        <v>108</v>
      </c>
      <c r="AA1521" t="n">
        <v>108</v>
      </c>
      <c r="AB1521" t="n">
        <v>2</v>
      </c>
      <c r="AC1521" t="n">
        <v>2</v>
      </c>
      <c r="AD1521" t="n">
        <v>9</v>
      </c>
      <c r="AE1521" t="n">
        <v>9</v>
      </c>
      <c r="AF1521" t="n">
        <v>3</v>
      </c>
      <c r="AG1521" t="n">
        <v>3</v>
      </c>
      <c r="AH1521" t="n">
        <v>3</v>
      </c>
      <c r="AI1521" t="n">
        <v>3</v>
      </c>
      <c r="AJ1521" t="n">
        <v>6</v>
      </c>
      <c r="AK1521" t="n">
        <v>6</v>
      </c>
      <c r="AL1521" t="n">
        <v>1</v>
      </c>
      <c r="AM1521" t="n">
        <v>1</v>
      </c>
      <c r="AN1521" t="n">
        <v>0</v>
      </c>
      <c r="AO1521" t="n">
        <v>0</v>
      </c>
      <c r="AP1521" t="inlineStr">
        <is>
          <t>No</t>
        </is>
      </c>
      <c r="AQ1521" t="inlineStr">
        <is>
          <t>No</t>
        </is>
      </c>
      <c r="AS1521">
        <f>HYPERLINK("https://creighton-primo.hosted.exlibrisgroup.com/primo-explore/search?tab=default_tab&amp;search_scope=EVERYTHING&amp;vid=01CRU&amp;lang=en_US&amp;offset=0&amp;query=any,contains,991003344629702656","Catalog Record")</f>
        <v/>
      </c>
      <c r="AT1521">
        <f>HYPERLINK("http://www.worldcat.org/oclc/37738526","WorldCat Record")</f>
        <v/>
      </c>
      <c r="AU1521" t="inlineStr">
        <is>
          <t>365114200:eng</t>
        </is>
      </c>
      <c r="AV1521" t="inlineStr">
        <is>
          <t>37738526</t>
        </is>
      </c>
      <c r="AW1521" t="inlineStr">
        <is>
          <t>991003344629702656</t>
        </is>
      </c>
      <c r="AX1521" t="inlineStr">
        <is>
          <t>991003344629702656</t>
        </is>
      </c>
      <c r="AY1521" t="inlineStr">
        <is>
          <t>2263752510002656</t>
        </is>
      </c>
      <c r="AZ1521" t="inlineStr">
        <is>
          <t>BOOK</t>
        </is>
      </c>
      <c r="BB1521" t="inlineStr">
        <is>
          <t>9781864482829</t>
        </is>
      </c>
      <c r="BC1521" t="inlineStr">
        <is>
          <t>32285004290952</t>
        </is>
      </c>
      <c r="BD1521" t="inlineStr">
        <is>
          <t>893434920</t>
        </is>
      </c>
    </row>
    <row r="1522">
      <c r="A1522" t="inlineStr">
        <is>
          <t>No</t>
        </is>
      </c>
      <c r="B1522" t="inlineStr">
        <is>
          <t>DS559.62.U6 F73 2000</t>
        </is>
      </c>
      <c r="C1522" t="inlineStr">
        <is>
          <t>0                      DS 0559620U  6                  F  73          2000</t>
        </is>
      </c>
      <c r="D1522" t="inlineStr">
        <is>
          <t>Vietnam and other American fantasies / H. Bruce Franklin.</t>
        </is>
      </c>
      <c r="F1522" t="inlineStr">
        <is>
          <t>No</t>
        </is>
      </c>
      <c r="G1522" t="inlineStr">
        <is>
          <t>1</t>
        </is>
      </c>
      <c r="H1522" t="inlineStr">
        <is>
          <t>No</t>
        </is>
      </c>
      <c r="I1522" t="inlineStr">
        <is>
          <t>No</t>
        </is>
      </c>
      <c r="J1522" t="inlineStr">
        <is>
          <t>0</t>
        </is>
      </c>
      <c r="K1522" t="inlineStr">
        <is>
          <t>Franklin, H. Bruce (Howard Bruce), 1934-</t>
        </is>
      </c>
      <c r="L1522" t="inlineStr">
        <is>
          <t>Amherst, Mass.: University of Massachusetts Press, c2000.</t>
        </is>
      </c>
      <c r="M1522" t="inlineStr">
        <is>
          <t>2000</t>
        </is>
      </c>
      <c r="O1522" t="inlineStr">
        <is>
          <t>eng</t>
        </is>
      </c>
      <c r="P1522" t="inlineStr">
        <is>
          <t>mau</t>
        </is>
      </c>
      <c r="Q1522" t="inlineStr">
        <is>
          <t>Culture, politics, and the cold war</t>
        </is>
      </c>
      <c r="R1522" t="inlineStr">
        <is>
          <t xml:space="preserve">DS </t>
        </is>
      </c>
      <c r="S1522" t="n">
        <v>3</v>
      </c>
      <c r="T1522" t="n">
        <v>3</v>
      </c>
      <c r="U1522" t="inlineStr">
        <is>
          <t>2003-05-30</t>
        </is>
      </c>
      <c r="V1522" t="inlineStr">
        <is>
          <t>2003-05-30</t>
        </is>
      </c>
      <c r="W1522" t="inlineStr">
        <is>
          <t>2001-08-29</t>
        </is>
      </c>
      <c r="X1522" t="inlineStr">
        <is>
          <t>2001-08-29</t>
        </is>
      </c>
      <c r="Y1522" t="n">
        <v>715</v>
      </c>
      <c r="Z1522" t="n">
        <v>620</v>
      </c>
      <c r="AA1522" t="n">
        <v>630</v>
      </c>
      <c r="AB1522" t="n">
        <v>4</v>
      </c>
      <c r="AC1522" t="n">
        <v>4</v>
      </c>
      <c r="AD1522" t="n">
        <v>29</v>
      </c>
      <c r="AE1522" t="n">
        <v>29</v>
      </c>
      <c r="AF1522" t="n">
        <v>11</v>
      </c>
      <c r="AG1522" t="n">
        <v>11</v>
      </c>
      <c r="AH1522" t="n">
        <v>8</v>
      </c>
      <c r="AI1522" t="n">
        <v>8</v>
      </c>
      <c r="AJ1522" t="n">
        <v>15</v>
      </c>
      <c r="AK1522" t="n">
        <v>15</v>
      </c>
      <c r="AL1522" t="n">
        <v>3</v>
      </c>
      <c r="AM1522" t="n">
        <v>3</v>
      </c>
      <c r="AN1522" t="n">
        <v>0</v>
      </c>
      <c r="AO1522" t="n">
        <v>0</v>
      </c>
      <c r="AP1522" t="inlineStr">
        <is>
          <t>No</t>
        </is>
      </c>
      <c r="AQ1522" t="inlineStr">
        <is>
          <t>Yes</t>
        </is>
      </c>
      <c r="AR1522">
        <f>HYPERLINK("http://catalog.hathitrust.org/Record/004130405","HathiTrust Record")</f>
        <v/>
      </c>
      <c r="AS1522">
        <f>HYPERLINK("https://creighton-primo.hosted.exlibrisgroup.com/primo-explore/search?tab=default_tab&amp;search_scope=EVERYTHING&amp;vid=01CRU&amp;lang=en_US&amp;offset=0&amp;query=any,contains,991003593719702656","Catalog Record")</f>
        <v/>
      </c>
      <c r="AT1522">
        <f>HYPERLINK("http://www.worldcat.org/oclc/43929798","WorldCat Record")</f>
        <v/>
      </c>
      <c r="AU1522" t="inlineStr">
        <is>
          <t>8432330:eng</t>
        </is>
      </c>
      <c r="AV1522" t="inlineStr">
        <is>
          <t>43929798</t>
        </is>
      </c>
      <c r="AW1522" t="inlineStr">
        <is>
          <t>991003593719702656</t>
        </is>
      </c>
      <c r="AX1522" t="inlineStr">
        <is>
          <t>991003593719702656</t>
        </is>
      </c>
      <c r="AY1522" t="inlineStr">
        <is>
          <t>2261908460002656</t>
        </is>
      </c>
      <c r="AZ1522" t="inlineStr">
        <is>
          <t>BOOK</t>
        </is>
      </c>
      <c r="BB1522" t="inlineStr">
        <is>
          <t>9781558492790</t>
        </is>
      </c>
      <c r="BC1522" t="inlineStr">
        <is>
          <t>32285004382452</t>
        </is>
      </c>
      <c r="BD1522" t="inlineStr">
        <is>
          <t>893868597</t>
        </is>
      </c>
    </row>
    <row r="1523">
      <c r="A1523" t="inlineStr">
        <is>
          <t>No</t>
        </is>
      </c>
      <c r="B1523" t="inlineStr">
        <is>
          <t>DS559.62.U6 G37 1997</t>
        </is>
      </c>
      <c r="C1523" t="inlineStr">
        <is>
          <t>0                      DS 0559620U  6                  G  37          1997</t>
        </is>
      </c>
      <c r="D1523" t="inlineStr">
        <is>
          <t>Telltale hearts : the origins and impact of the Vietnam antiwar movement / Adam Garfinkle.</t>
        </is>
      </c>
      <c r="F1523" t="inlineStr">
        <is>
          <t>No</t>
        </is>
      </c>
      <c r="G1523" t="inlineStr">
        <is>
          <t>1</t>
        </is>
      </c>
      <c r="H1523" t="inlineStr">
        <is>
          <t>No</t>
        </is>
      </c>
      <c r="I1523" t="inlineStr">
        <is>
          <t>No</t>
        </is>
      </c>
      <c r="J1523" t="inlineStr">
        <is>
          <t>0</t>
        </is>
      </c>
      <c r="K1523" t="inlineStr">
        <is>
          <t>Garfinkle, Adam M., 1951-</t>
        </is>
      </c>
      <c r="L1523" t="inlineStr">
        <is>
          <t>New York : St. Martin's Griffin, 1997.</t>
        </is>
      </c>
      <c r="M1523" t="inlineStr">
        <is>
          <t>1997</t>
        </is>
      </c>
      <c r="N1523" t="inlineStr">
        <is>
          <t>1st St. Martin's Griffin ed.</t>
        </is>
      </c>
      <c r="O1523" t="inlineStr">
        <is>
          <t>eng</t>
        </is>
      </c>
      <c r="P1523" t="inlineStr">
        <is>
          <t>nyu</t>
        </is>
      </c>
      <c r="R1523" t="inlineStr">
        <is>
          <t xml:space="preserve">DS </t>
        </is>
      </c>
      <c r="S1523" t="n">
        <v>5</v>
      </c>
      <c r="T1523" t="n">
        <v>5</v>
      </c>
      <c r="U1523" t="inlineStr">
        <is>
          <t>2004-04-27</t>
        </is>
      </c>
      <c r="V1523" t="inlineStr">
        <is>
          <t>2004-04-27</t>
        </is>
      </c>
      <c r="W1523" t="inlineStr">
        <is>
          <t>1997-09-08</t>
        </is>
      </c>
      <c r="X1523" t="inlineStr">
        <is>
          <t>1997-09-08</t>
        </is>
      </c>
      <c r="Y1523" t="n">
        <v>101</v>
      </c>
      <c r="Z1523" t="n">
        <v>85</v>
      </c>
      <c r="AA1523" t="n">
        <v>937</v>
      </c>
      <c r="AB1523" t="n">
        <v>1</v>
      </c>
      <c r="AC1523" t="n">
        <v>7</v>
      </c>
      <c r="AD1523" t="n">
        <v>2</v>
      </c>
      <c r="AE1523" t="n">
        <v>37</v>
      </c>
      <c r="AF1523" t="n">
        <v>2</v>
      </c>
      <c r="AG1523" t="n">
        <v>15</v>
      </c>
      <c r="AH1523" t="n">
        <v>0</v>
      </c>
      <c r="AI1523" t="n">
        <v>9</v>
      </c>
      <c r="AJ1523" t="n">
        <v>1</v>
      </c>
      <c r="AK1523" t="n">
        <v>17</v>
      </c>
      <c r="AL1523" t="n">
        <v>0</v>
      </c>
      <c r="AM1523" t="n">
        <v>5</v>
      </c>
      <c r="AN1523" t="n">
        <v>0</v>
      </c>
      <c r="AO1523" t="n">
        <v>0</v>
      </c>
      <c r="AP1523" t="inlineStr">
        <is>
          <t>No</t>
        </is>
      </c>
      <c r="AQ1523" t="inlineStr">
        <is>
          <t>No</t>
        </is>
      </c>
      <c r="AS1523">
        <f>HYPERLINK("https://creighton-primo.hosted.exlibrisgroup.com/primo-explore/search?tab=default_tab&amp;search_scope=EVERYTHING&amp;vid=01CRU&amp;lang=en_US&amp;offset=0&amp;query=any,contains,991002780739702656","Catalog Record")</f>
        <v/>
      </c>
      <c r="AT1523">
        <f>HYPERLINK("http://www.worldcat.org/oclc/36504114","WorldCat Record")</f>
        <v/>
      </c>
      <c r="AU1523" t="inlineStr">
        <is>
          <t>33460799:eng</t>
        </is>
      </c>
      <c r="AV1523" t="inlineStr">
        <is>
          <t>36504114</t>
        </is>
      </c>
      <c r="AW1523" t="inlineStr">
        <is>
          <t>991002780739702656</t>
        </is>
      </c>
      <c r="AX1523" t="inlineStr">
        <is>
          <t>991002780739702656</t>
        </is>
      </c>
      <c r="AY1523" t="inlineStr">
        <is>
          <t>2262928600002656</t>
        </is>
      </c>
      <c r="AZ1523" t="inlineStr">
        <is>
          <t>BOOK</t>
        </is>
      </c>
      <c r="BB1523" t="inlineStr">
        <is>
          <t>9780312163631</t>
        </is>
      </c>
      <c r="BC1523" t="inlineStr">
        <is>
          <t>32285003004164</t>
        </is>
      </c>
      <c r="BD1523" t="inlineStr">
        <is>
          <t>893886716</t>
        </is>
      </c>
    </row>
    <row r="1524">
      <c r="A1524" t="inlineStr">
        <is>
          <t>No</t>
        </is>
      </c>
      <c r="B1524" t="inlineStr">
        <is>
          <t>DS559.62.U6 H45 1993</t>
        </is>
      </c>
      <c r="C1524" t="inlineStr">
        <is>
          <t>0                      DS 0559620U  6                  H  45          1993</t>
        </is>
      </c>
      <c r="D1524" t="inlineStr">
        <is>
          <t>Campus wars : the peace movement at American state universities in the Vietnam era / Kenneth J. Heineman.</t>
        </is>
      </c>
      <c r="F1524" t="inlineStr">
        <is>
          <t>No</t>
        </is>
      </c>
      <c r="G1524" t="inlineStr">
        <is>
          <t>1</t>
        </is>
      </c>
      <c r="H1524" t="inlineStr">
        <is>
          <t>No</t>
        </is>
      </c>
      <c r="I1524" t="inlineStr">
        <is>
          <t>No</t>
        </is>
      </c>
      <c r="J1524" t="inlineStr">
        <is>
          <t>0</t>
        </is>
      </c>
      <c r="K1524" t="inlineStr">
        <is>
          <t>Heineman, Kenneth J., 1962-</t>
        </is>
      </c>
      <c r="L1524" t="inlineStr">
        <is>
          <t>New York : New York University Press, c1993.</t>
        </is>
      </c>
      <c r="M1524" t="inlineStr">
        <is>
          <t>1993</t>
        </is>
      </c>
      <c r="O1524" t="inlineStr">
        <is>
          <t>eng</t>
        </is>
      </c>
      <c r="P1524" t="inlineStr">
        <is>
          <t>nyu</t>
        </is>
      </c>
      <c r="R1524" t="inlineStr">
        <is>
          <t xml:space="preserve">DS </t>
        </is>
      </c>
      <c r="S1524" t="n">
        <v>13</v>
      </c>
      <c r="T1524" t="n">
        <v>13</v>
      </c>
      <c r="U1524" t="inlineStr">
        <is>
          <t>2005-05-02</t>
        </is>
      </c>
      <c r="V1524" t="inlineStr">
        <is>
          <t>2005-05-02</t>
        </is>
      </c>
      <c r="W1524" t="inlineStr">
        <is>
          <t>1993-07-06</t>
        </is>
      </c>
      <c r="X1524" t="inlineStr">
        <is>
          <t>1993-07-06</t>
        </is>
      </c>
      <c r="Y1524" t="n">
        <v>777</v>
      </c>
      <c r="Z1524" t="n">
        <v>685</v>
      </c>
      <c r="AA1524" t="n">
        <v>1425</v>
      </c>
      <c r="AB1524" t="n">
        <v>5</v>
      </c>
      <c r="AC1524" t="n">
        <v>7</v>
      </c>
      <c r="AD1524" t="n">
        <v>36</v>
      </c>
      <c r="AE1524" t="n">
        <v>46</v>
      </c>
      <c r="AF1524" t="n">
        <v>14</v>
      </c>
      <c r="AG1524" t="n">
        <v>21</v>
      </c>
      <c r="AH1524" t="n">
        <v>8</v>
      </c>
      <c r="AI1524" t="n">
        <v>10</v>
      </c>
      <c r="AJ1524" t="n">
        <v>20</v>
      </c>
      <c r="AK1524" t="n">
        <v>21</v>
      </c>
      <c r="AL1524" t="n">
        <v>4</v>
      </c>
      <c r="AM1524" t="n">
        <v>5</v>
      </c>
      <c r="AN1524" t="n">
        <v>0</v>
      </c>
      <c r="AO1524" t="n">
        <v>0</v>
      </c>
      <c r="AP1524" t="inlineStr">
        <is>
          <t>No</t>
        </is>
      </c>
      <c r="AQ1524" t="inlineStr">
        <is>
          <t>No</t>
        </is>
      </c>
      <c r="AS1524">
        <f>HYPERLINK("https://creighton-primo.hosted.exlibrisgroup.com/primo-explore/search?tab=default_tab&amp;search_scope=EVERYTHING&amp;vid=01CRU&amp;lang=en_US&amp;offset=0&amp;query=any,contains,991002074559702656","Catalog Record")</f>
        <v/>
      </c>
      <c r="AT1524">
        <f>HYPERLINK("http://www.worldcat.org/oclc/26588365","WorldCat Record")</f>
        <v/>
      </c>
      <c r="AU1524" t="inlineStr">
        <is>
          <t>1014440:eng</t>
        </is>
      </c>
      <c r="AV1524" t="inlineStr">
        <is>
          <t>26588365</t>
        </is>
      </c>
      <c r="AW1524" t="inlineStr">
        <is>
          <t>991002074559702656</t>
        </is>
      </c>
      <c r="AX1524" t="inlineStr">
        <is>
          <t>991002074559702656</t>
        </is>
      </c>
      <c r="AY1524" t="inlineStr">
        <is>
          <t>2265967660002656</t>
        </is>
      </c>
      <c r="AZ1524" t="inlineStr">
        <is>
          <t>BOOK</t>
        </is>
      </c>
      <c r="BB1524" t="inlineStr">
        <is>
          <t>9780814734902</t>
        </is>
      </c>
      <c r="BC1524" t="inlineStr">
        <is>
          <t>32285001701654</t>
        </is>
      </c>
      <c r="BD1524" t="inlineStr">
        <is>
          <t>893439744</t>
        </is>
      </c>
    </row>
    <row r="1525">
      <c r="A1525" t="inlineStr">
        <is>
          <t>No</t>
        </is>
      </c>
      <c r="B1525" t="inlineStr">
        <is>
          <t>DS559.62.U6 H86 1999</t>
        </is>
      </c>
      <c r="C1525" t="inlineStr">
        <is>
          <t>0                      DS 0559620U  6                  H  86          1999</t>
        </is>
      </c>
      <c r="D1525" t="inlineStr">
        <is>
          <t>The turning : a history of Vietnam Veterans Against the War / Andrew E. Hunt.</t>
        </is>
      </c>
      <c r="F1525" t="inlineStr">
        <is>
          <t>No</t>
        </is>
      </c>
      <c r="G1525" t="inlineStr">
        <is>
          <t>1</t>
        </is>
      </c>
      <c r="H1525" t="inlineStr">
        <is>
          <t>No</t>
        </is>
      </c>
      <c r="I1525" t="inlineStr">
        <is>
          <t>No</t>
        </is>
      </c>
      <c r="J1525" t="inlineStr">
        <is>
          <t>0</t>
        </is>
      </c>
      <c r="K1525" t="inlineStr">
        <is>
          <t>Hunt, Andrew E., 1968-</t>
        </is>
      </c>
      <c r="L1525" t="inlineStr">
        <is>
          <t>New York : New York University Press, 1999.</t>
        </is>
      </c>
      <c r="M1525" t="inlineStr">
        <is>
          <t>1999</t>
        </is>
      </c>
      <c r="O1525" t="inlineStr">
        <is>
          <t>eng</t>
        </is>
      </c>
      <c r="P1525" t="inlineStr">
        <is>
          <t>nyu</t>
        </is>
      </c>
      <c r="R1525" t="inlineStr">
        <is>
          <t xml:space="preserve">DS </t>
        </is>
      </c>
      <c r="S1525" t="n">
        <v>4</v>
      </c>
      <c r="T1525" t="n">
        <v>4</v>
      </c>
      <c r="U1525" t="inlineStr">
        <is>
          <t>2002-09-10</t>
        </is>
      </c>
      <c r="V1525" t="inlineStr">
        <is>
          <t>2002-09-10</t>
        </is>
      </c>
      <c r="W1525" t="inlineStr">
        <is>
          <t>2000-07-20</t>
        </is>
      </c>
      <c r="X1525" t="inlineStr">
        <is>
          <t>2000-07-20</t>
        </is>
      </c>
      <c r="Y1525" t="n">
        <v>813</v>
      </c>
      <c r="Z1525" t="n">
        <v>728</v>
      </c>
      <c r="AA1525" t="n">
        <v>1574</v>
      </c>
      <c r="AB1525" t="n">
        <v>4</v>
      </c>
      <c r="AC1525" t="n">
        <v>9</v>
      </c>
      <c r="AD1525" t="n">
        <v>35</v>
      </c>
      <c r="AE1525" t="n">
        <v>50</v>
      </c>
      <c r="AF1525" t="n">
        <v>15</v>
      </c>
      <c r="AG1525" t="n">
        <v>20</v>
      </c>
      <c r="AH1525" t="n">
        <v>8</v>
      </c>
      <c r="AI1525" t="n">
        <v>10</v>
      </c>
      <c r="AJ1525" t="n">
        <v>18</v>
      </c>
      <c r="AK1525" t="n">
        <v>22</v>
      </c>
      <c r="AL1525" t="n">
        <v>3</v>
      </c>
      <c r="AM1525" t="n">
        <v>7</v>
      </c>
      <c r="AN1525" t="n">
        <v>0</v>
      </c>
      <c r="AO1525" t="n">
        <v>1</v>
      </c>
      <c r="AP1525" t="inlineStr">
        <is>
          <t>No</t>
        </is>
      </c>
      <c r="AQ1525" t="inlineStr">
        <is>
          <t>No</t>
        </is>
      </c>
      <c r="AS1525">
        <f>HYPERLINK("https://creighton-primo.hosted.exlibrisgroup.com/primo-explore/search?tab=default_tab&amp;search_scope=EVERYTHING&amp;vid=01CRU&amp;lang=en_US&amp;offset=0&amp;query=any,contains,991003209639702656","Catalog Record")</f>
        <v/>
      </c>
      <c r="AT1525">
        <f>HYPERLINK("http://www.worldcat.org/oclc/40848421","WorldCat Record")</f>
        <v/>
      </c>
      <c r="AU1525" t="inlineStr">
        <is>
          <t>793900177:eng</t>
        </is>
      </c>
      <c r="AV1525" t="inlineStr">
        <is>
          <t>40848421</t>
        </is>
      </c>
      <c r="AW1525" t="inlineStr">
        <is>
          <t>991003209639702656</t>
        </is>
      </c>
      <c r="AX1525" t="inlineStr">
        <is>
          <t>991003209639702656</t>
        </is>
      </c>
      <c r="AY1525" t="inlineStr">
        <is>
          <t>2259248190002656</t>
        </is>
      </c>
      <c r="AZ1525" t="inlineStr">
        <is>
          <t>BOOK</t>
        </is>
      </c>
      <c r="BB1525" t="inlineStr">
        <is>
          <t>9780814735817</t>
        </is>
      </c>
      <c r="BC1525" t="inlineStr">
        <is>
          <t>32285003712394</t>
        </is>
      </c>
      <c r="BD1525" t="inlineStr">
        <is>
          <t>893874529</t>
        </is>
      </c>
    </row>
    <row r="1526">
      <c r="A1526" t="inlineStr">
        <is>
          <t>No</t>
        </is>
      </c>
      <c r="B1526" t="inlineStr">
        <is>
          <t>DS559.62.U6 N53 2001</t>
        </is>
      </c>
      <c r="C1526" t="inlineStr">
        <is>
          <t>0                      DS 0559620U  6                  N  53          2001</t>
        </is>
      </c>
      <c r="D1526" t="inlineStr">
        <is>
          <t>Home to war : a history of the Vietnam veterans' movement / Gerald Nicosia.</t>
        </is>
      </c>
      <c r="F1526" t="inlineStr">
        <is>
          <t>No</t>
        </is>
      </c>
      <c r="G1526" t="inlineStr">
        <is>
          <t>1</t>
        </is>
      </c>
      <c r="H1526" t="inlineStr">
        <is>
          <t>No</t>
        </is>
      </c>
      <c r="I1526" t="inlineStr">
        <is>
          <t>No</t>
        </is>
      </c>
      <c r="J1526" t="inlineStr">
        <is>
          <t>0</t>
        </is>
      </c>
      <c r="K1526" t="inlineStr">
        <is>
          <t>Nicosia, Gerald.</t>
        </is>
      </c>
      <c r="L1526" t="inlineStr">
        <is>
          <t>New York : Three Rivers Press, c2001.</t>
        </is>
      </c>
      <c r="M1526" t="inlineStr">
        <is>
          <t>2001</t>
        </is>
      </c>
      <c r="N1526" t="inlineStr">
        <is>
          <t>1st pbk. ed.</t>
        </is>
      </c>
      <c r="O1526" t="inlineStr">
        <is>
          <t>eng</t>
        </is>
      </c>
      <c r="P1526" t="inlineStr">
        <is>
          <t>nyu</t>
        </is>
      </c>
      <c r="R1526" t="inlineStr">
        <is>
          <t xml:space="preserve">DS </t>
        </is>
      </c>
      <c r="S1526" t="n">
        <v>4</v>
      </c>
      <c r="T1526" t="n">
        <v>4</v>
      </c>
      <c r="U1526" t="inlineStr">
        <is>
          <t>2003-02-04</t>
        </is>
      </c>
      <c r="V1526" t="inlineStr">
        <is>
          <t>2003-02-04</t>
        </is>
      </c>
      <c r="W1526" t="inlineStr">
        <is>
          <t>2002-09-26</t>
        </is>
      </c>
      <c r="X1526" t="inlineStr">
        <is>
          <t>2002-09-26</t>
        </is>
      </c>
      <c r="Y1526" t="n">
        <v>86</v>
      </c>
      <c r="Z1526" t="n">
        <v>74</v>
      </c>
      <c r="AA1526" t="n">
        <v>1300</v>
      </c>
      <c r="AB1526" t="n">
        <v>1</v>
      </c>
      <c r="AC1526" t="n">
        <v>8</v>
      </c>
      <c r="AD1526" t="n">
        <v>1</v>
      </c>
      <c r="AE1526" t="n">
        <v>30</v>
      </c>
      <c r="AF1526" t="n">
        <v>1</v>
      </c>
      <c r="AG1526" t="n">
        <v>12</v>
      </c>
      <c r="AH1526" t="n">
        <v>0</v>
      </c>
      <c r="AI1526" t="n">
        <v>8</v>
      </c>
      <c r="AJ1526" t="n">
        <v>0</v>
      </c>
      <c r="AK1526" t="n">
        <v>14</v>
      </c>
      <c r="AL1526" t="n">
        <v>0</v>
      </c>
      <c r="AM1526" t="n">
        <v>5</v>
      </c>
      <c r="AN1526" t="n">
        <v>0</v>
      </c>
      <c r="AO1526" t="n">
        <v>0</v>
      </c>
      <c r="AP1526" t="inlineStr">
        <is>
          <t>No</t>
        </is>
      </c>
      <c r="AQ1526" t="inlineStr">
        <is>
          <t>No</t>
        </is>
      </c>
      <c r="AS1526">
        <f>HYPERLINK("https://creighton-primo.hosted.exlibrisgroup.com/primo-explore/search?tab=default_tab&amp;search_scope=EVERYTHING&amp;vid=01CRU&amp;lang=en_US&amp;offset=0&amp;query=any,contains,991003870959702656","Catalog Record")</f>
        <v/>
      </c>
      <c r="AT1526">
        <f>HYPERLINK("http://www.worldcat.org/oclc/49529423","WorldCat Record")</f>
        <v/>
      </c>
      <c r="AU1526" t="inlineStr">
        <is>
          <t>16014111:eng</t>
        </is>
      </c>
      <c r="AV1526" t="inlineStr">
        <is>
          <t>49529423</t>
        </is>
      </c>
      <c r="AW1526" t="inlineStr">
        <is>
          <t>991003870959702656</t>
        </is>
      </c>
      <c r="AX1526" t="inlineStr">
        <is>
          <t>991003870959702656</t>
        </is>
      </c>
      <c r="AY1526" t="inlineStr">
        <is>
          <t>2254854120002656</t>
        </is>
      </c>
      <c r="AZ1526" t="inlineStr">
        <is>
          <t>BOOK</t>
        </is>
      </c>
      <c r="BB1526" t="inlineStr">
        <is>
          <t>9780609809068</t>
        </is>
      </c>
      <c r="BC1526" t="inlineStr">
        <is>
          <t>32285004649728</t>
        </is>
      </c>
      <c r="BD1526" t="inlineStr">
        <is>
          <t>893693241</t>
        </is>
      </c>
    </row>
    <row r="1527">
      <c r="A1527" t="inlineStr">
        <is>
          <t>No</t>
        </is>
      </c>
      <c r="B1527" t="inlineStr">
        <is>
          <t>DS559.8.B55 K56 2007</t>
        </is>
      </c>
      <c r="C1527" t="inlineStr">
        <is>
          <t>0                      DS 0559800B  55                 K  56          2007</t>
        </is>
      </c>
      <c r="D1527" t="inlineStr">
        <is>
          <t>Equality or discrimination? : African Americans in the U.S. military during the Vietnam War / Natalie Kimbrough.</t>
        </is>
      </c>
      <c r="F1527" t="inlineStr">
        <is>
          <t>No</t>
        </is>
      </c>
      <c r="G1527" t="inlineStr">
        <is>
          <t>1</t>
        </is>
      </c>
      <c r="H1527" t="inlineStr">
        <is>
          <t>No</t>
        </is>
      </c>
      <c r="I1527" t="inlineStr">
        <is>
          <t>No</t>
        </is>
      </c>
      <c r="J1527" t="inlineStr">
        <is>
          <t>0</t>
        </is>
      </c>
      <c r="K1527" t="inlineStr">
        <is>
          <t>Kimbrough, Natalie.</t>
        </is>
      </c>
      <c r="L1527" t="inlineStr">
        <is>
          <t>Lanham, Md. : University Press of America, c2007.</t>
        </is>
      </c>
      <c r="M1527" t="inlineStr">
        <is>
          <t>2007</t>
        </is>
      </c>
      <c r="O1527" t="inlineStr">
        <is>
          <t>eng</t>
        </is>
      </c>
      <c r="P1527" t="inlineStr">
        <is>
          <t>mdu</t>
        </is>
      </c>
      <c r="R1527" t="inlineStr">
        <is>
          <t xml:space="preserve">DS </t>
        </is>
      </c>
      <c r="S1527" t="n">
        <v>2</v>
      </c>
      <c r="T1527" t="n">
        <v>2</v>
      </c>
      <c r="U1527" t="inlineStr">
        <is>
          <t>2008-09-16</t>
        </is>
      </c>
      <c r="V1527" t="inlineStr">
        <is>
          <t>2008-09-16</t>
        </is>
      </c>
      <c r="W1527" t="inlineStr">
        <is>
          <t>2008-09-09</t>
        </is>
      </c>
      <c r="X1527" t="inlineStr">
        <is>
          <t>2008-09-09</t>
        </is>
      </c>
      <c r="Y1527" t="n">
        <v>221</v>
      </c>
      <c r="Z1527" t="n">
        <v>198</v>
      </c>
      <c r="AA1527" t="n">
        <v>199</v>
      </c>
      <c r="AB1527" t="n">
        <v>3</v>
      </c>
      <c r="AC1527" t="n">
        <v>3</v>
      </c>
      <c r="AD1527" t="n">
        <v>9</v>
      </c>
      <c r="AE1527" t="n">
        <v>9</v>
      </c>
      <c r="AF1527" t="n">
        <v>4</v>
      </c>
      <c r="AG1527" t="n">
        <v>4</v>
      </c>
      <c r="AH1527" t="n">
        <v>2</v>
      </c>
      <c r="AI1527" t="n">
        <v>2</v>
      </c>
      <c r="AJ1527" t="n">
        <v>4</v>
      </c>
      <c r="AK1527" t="n">
        <v>4</v>
      </c>
      <c r="AL1527" t="n">
        <v>2</v>
      </c>
      <c r="AM1527" t="n">
        <v>2</v>
      </c>
      <c r="AN1527" t="n">
        <v>0</v>
      </c>
      <c r="AO1527" t="n">
        <v>0</v>
      </c>
      <c r="AP1527" t="inlineStr">
        <is>
          <t>No</t>
        </is>
      </c>
      <c r="AQ1527" t="inlineStr">
        <is>
          <t>No</t>
        </is>
      </c>
      <c r="AS1527">
        <f>HYPERLINK("https://creighton-primo.hosted.exlibrisgroup.com/primo-explore/search?tab=default_tab&amp;search_scope=EVERYTHING&amp;vid=01CRU&amp;lang=en_US&amp;offset=0&amp;query=any,contains,991005256409702656","Catalog Record")</f>
        <v/>
      </c>
      <c r="AT1527">
        <f>HYPERLINK("http://www.worldcat.org/oclc/82136146","WorldCat Record")</f>
        <v/>
      </c>
      <c r="AU1527" t="inlineStr">
        <is>
          <t>892559967:eng</t>
        </is>
      </c>
      <c r="AV1527" t="inlineStr">
        <is>
          <t>82136146</t>
        </is>
      </c>
      <c r="AW1527" t="inlineStr">
        <is>
          <t>991005256409702656</t>
        </is>
      </c>
      <c r="AX1527" t="inlineStr">
        <is>
          <t>991005256409702656</t>
        </is>
      </c>
      <c r="AY1527" t="inlineStr">
        <is>
          <t>2268134030002656</t>
        </is>
      </c>
      <c r="AZ1527" t="inlineStr">
        <is>
          <t>BOOK</t>
        </is>
      </c>
      <c r="BB1527" t="inlineStr">
        <is>
          <t>9780761836728</t>
        </is>
      </c>
      <c r="BC1527" t="inlineStr">
        <is>
          <t>32285005457428</t>
        </is>
      </c>
      <c r="BD1527" t="inlineStr">
        <is>
          <t>893437410</t>
        </is>
      </c>
    </row>
    <row r="1528">
      <c r="A1528" t="inlineStr">
        <is>
          <t>No</t>
        </is>
      </c>
      <c r="B1528" t="inlineStr">
        <is>
          <t>DS559.8.B55 W47 1997</t>
        </is>
      </c>
      <c r="C1528" t="inlineStr">
        <is>
          <t>0                      DS 0559800B  55                 W  47          1997</t>
        </is>
      </c>
      <c r="D1528" t="inlineStr">
        <is>
          <t>Fighting on two fronts : African Americans and the Vietnam War / James E. Westheider.</t>
        </is>
      </c>
      <c r="F1528" t="inlineStr">
        <is>
          <t>No</t>
        </is>
      </c>
      <c r="G1528" t="inlineStr">
        <is>
          <t>1</t>
        </is>
      </c>
      <c r="H1528" t="inlineStr">
        <is>
          <t>No</t>
        </is>
      </c>
      <c r="I1528" t="inlineStr">
        <is>
          <t>No</t>
        </is>
      </c>
      <c r="J1528" t="inlineStr">
        <is>
          <t>0</t>
        </is>
      </c>
      <c r="K1528" t="inlineStr">
        <is>
          <t>Westheider, James E., 1956-</t>
        </is>
      </c>
      <c r="L1528" t="inlineStr">
        <is>
          <t>New York : New York University Press, c1997.</t>
        </is>
      </c>
      <c r="M1528" t="inlineStr">
        <is>
          <t>1997</t>
        </is>
      </c>
      <c r="O1528" t="inlineStr">
        <is>
          <t>eng</t>
        </is>
      </c>
      <c r="P1528" t="inlineStr">
        <is>
          <t>nyu</t>
        </is>
      </c>
      <c r="R1528" t="inlineStr">
        <is>
          <t xml:space="preserve">DS </t>
        </is>
      </c>
      <c r="S1528" t="n">
        <v>1</v>
      </c>
      <c r="T1528" t="n">
        <v>1</v>
      </c>
      <c r="U1528" t="inlineStr">
        <is>
          <t>2004-11-06</t>
        </is>
      </c>
      <c r="V1528" t="inlineStr">
        <is>
          <t>2004-11-06</t>
        </is>
      </c>
      <c r="W1528" t="inlineStr">
        <is>
          <t>1998-05-04</t>
        </is>
      </c>
      <c r="X1528" t="inlineStr">
        <is>
          <t>1998-05-04</t>
        </is>
      </c>
      <c r="Y1528" t="n">
        <v>840</v>
      </c>
      <c r="Z1528" t="n">
        <v>759</v>
      </c>
      <c r="AA1528" t="n">
        <v>1378</v>
      </c>
      <c r="AB1528" t="n">
        <v>4</v>
      </c>
      <c r="AC1528" t="n">
        <v>20</v>
      </c>
      <c r="AD1528" t="n">
        <v>33</v>
      </c>
      <c r="AE1528" t="n">
        <v>48</v>
      </c>
      <c r="AF1528" t="n">
        <v>14</v>
      </c>
      <c r="AG1528" t="n">
        <v>18</v>
      </c>
      <c r="AH1528" t="n">
        <v>8</v>
      </c>
      <c r="AI1528" t="n">
        <v>9</v>
      </c>
      <c r="AJ1528" t="n">
        <v>18</v>
      </c>
      <c r="AK1528" t="n">
        <v>20</v>
      </c>
      <c r="AL1528" t="n">
        <v>2</v>
      </c>
      <c r="AM1528" t="n">
        <v>11</v>
      </c>
      <c r="AN1528" t="n">
        <v>1</v>
      </c>
      <c r="AO1528" t="n">
        <v>1</v>
      </c>
      <c r="AP1528" t="inlineStr">
        <is>
          <t>No</t>
        </is>
      </c>
      <c r="AQ1528" t="inlineStr">
        <is>
          <t>No</t>
        </is>
      </c>
      <c r="AS1528">
        <f>HYPERLINK("https://creighton-primo.hosted.exlibrisgroup.com/primo-explore/search?tab=default_tab&amp;search_scope=EVERYTHING&amp;vid=01CRU&amp;lang=en_US&amp;offset=0&amp;query=any,contains,991002727949702656","Catalog Record")</f>
        <v/>
      </c>
      <c r="AT1528">
        <f>HYPERLINK("http://www.worldcat.org/oclc/35777379","WorldCat Record")</f>
        <v/>
      </c>
      <c r="AU1528" t="inlineStr">
        <is>
          <t>799920051:eng</t>
        </is>
      </c>
      <c r="AV1528" t="inlineStr">
        <is>
          <t>35777379</t>
        </is>
      </c>
      <c r="AW1528" t="inlineStr">
        <is>
          <t>991002727949702656</t>
        </is>
      </c>
      <c r="AX1528" t="inlineStr">
        <is>
          <t>991002727949702656</t>
        </is>
      </c>
      <c r="AY1528" t="inlineStr">
        <is>
          <t>2267749710002656</t>
        </is>
      </c>
      <c r="AZ1528" t="inlineStr">
        <is>
          <t>BOOK</t>
        </is>
      </c>
      <c r="BB1528" t="inlineStr">
        <is>
          <t>9780814793015</t>
        </is>
      </c>
      <c r="BC1528" t="inlineStr">
        <is>
          <t>32285003405122</t>
        </is>
      </c>
      <c r="BD1528" t="inlineStr">
        <is>
          <t>893239420</t>
        </is>
      </c>
    </row>
    <row r="1529">
      <c r="A1529" t="inlineStr">
        <is>
          <t>No</t>
        </is>
      </c>
      <c r="B1529" t="inlineStr">
        <is>
          <t>DS559.8.C5 C43 1986</t>
        </is>
      </c>
      <c r="C1529" t="inlineStr">
        <is>
          <t>0                      DS 0559800C  5                  C  43          1986</t>
        </is>
      </c>
      <c r="D1529" t="inlineStr">
        <is>
          <t>Herbicidal warfare : the RANCH HAND Project in Vietnam / by Paul Frederick Cecil.</t>
        </is>
      </c>
      <c r="F1529" t="inlineStr">
        <is>
          <t>No</t>
        </is>
      </c>
      <c r="G1529" t="inlineStr">
        <is>
          <t>1</t>
        </is>
      </c>
      <c r="H1529" t="inlineStr">
        <is>
          <t>No</t>
        </is>
      </c>
      <c r="I1529" t="inlineStr">
        <is>
          <t>No</t>
        </is>
      </c>
      <c r="J1529" t="inlineStr">
        <is>
          <t>0</t>
        </is>
      </c>
      <c r="K1529" t="inlineStr">
        <is>
          <t>Cecil, Paul Frederick.</t>
        </is>
      </c>
      <c r="L1529" t="inlineStr">
        <is>
          <t>New York : Praeger, 1986.</t>
        </is>
      </c>
      <c r="M1529" t="inlineStr">
        <is>
          <t>1986</t>
        </is>
      </c>
      <c r="O1529" t="inlineStr">
        <is>
          <t>eng</t>
        </is>
      </c>
      <c r="P1529" t="inlineStr">
        <is>
          <t>nyu</t>
        </is>
      </c>
      <c r="R1529" t="inlineStr">
        <is>
          <t xml:space="preserve">DS </t>
        </is>
      </c>
      <c r="S1529" t="n">
        <v>2</v>
      </c>
      <c r="T1529" t="n">
        <v>2</v>
      </c>
      <c r="U1529" t="inlineStr">
        <is>
          <t>2010-11-18</t>
        </is>
      </c>
      <c r="V1529" t="inlineStr">
        <is>
          <t>2010-11-18</t>
        </is>
      </c>
      <c r="W1529" t="inlineStr">
        <is>
          <t>1990-03-06</t>
        </is>
      </c>
      <c r="X1529" t="inlineStr">
        <is>
          <t>1990-03-06</t>
        </is>
      </c>
      <c r="Y1529" t="n">
        <v>469</v>
      </c>
      <c r="Z1529" t="n">
        <v>429</v>
      </c>
      <c r="AA1529" t="n">
        <v>432</v>
      </c>
      <c r="AB1529" t="n">
        <v>2</v>
      </c>
      <c r="AC1529" t="n">
        <v>2</v>
      </c>
      <c r="AD1529" t="n">
        <v>11</v>
      </c>
      <c r="AE1529" t="n">
        <v>11</v>
      </c>
      <c r="AF1529" t="n">
        <v>3</v>
      </c>
      <c r="AG1529" t="n">
        <v>3</v>
      </c>
      <c r="AH1529" t="n">
        <v>3</v>
      </c>
      <c r="AI1529" t="n">
        <v>3</v>
      </c>
      <c r="AJ1529" t="n">
        <v>6</v>
      </c>
      <c r="AK1529" t="n">
        <v>6</v>
      </c>
      <c r="AL1529" t="n">
        <v>1</v>
      </c>
      <c r="AM1529" t="n">
        <v>1</v>
      </c>
      <c r="AN1529" t="n">
        <v>0</v>
      </c>
      <c r="AO1529" t="n">
        <v>0</v>
      </c>
      <c r="AP1529" t="inlineStr">
        <is>
          <t>No</t>
        </is>
      </c>
      <c r="AQ1529" t="inlineStr">
        <is>
          <t>Yes</t>
        </is>
      </c>
      <c r="AR1529">
        <f>HYPERLINK("http://catalog.hathitrust.org/Record/000485259","HathiTrust Record")</f>
        <v/>
      </c>
      <c r="AS1529">
        <f>HYPERLINK("https://creighton-primo.hosted.exlibrisgroup.com/primo-explore/search?tab=default_tab&amp;search_scope=EVERYTHING&amp;vid=01CRU&amp;lang=en_US&amp;offset=0&amp;query=any,contains,991000780979702656","Catalog Record")</f>
        <v/>
      </c>
      <c r="AT1529">
        <f>HYPERLINK("http://www.worldcat.org/oclc/13095930","WorldCat Record")</f>
        <v/>
      </c>
      <c r="AU1529" t="inlineStr">
        <is>
          <t>2561317:eng</t>
        </is>
      </c>
      <c r="AV1529" t="inlineStr">
        <is>
          <t>13095930</t>
        </is>
      </c>
      <c r="AW1529" t="inlineStr">
        <is>
          <t>991000780979702656</t>
        </is>
      </c>
      <c r="AX1529" t="inlineStr">
        <is>
          <t>991000780979702656</t>
        </is>
      </c>
      <c r="AY1529" t="inlineStr">
        <is>
          <t>2256154200002656</t>
        </is>
      </c>
      <c r="AZ1529" t="inlineStr">
        <is>
          <t>BOOK</t>
        </is>
      </c>
      <c r="BB1529" t="inlineStr">
        <is>
          <t>9780275920074</t>
        </is>
      </c>
      <c r="BC1529" t="inlineStr">
        <is>
          <t>32285000077429</t>
        </is>
      </c>
      <c r="BD1529" t="inlineStr">
        <is>
          <t>893696172</t>
        </is>
      </c>
    </row>
    <row r="1530">
      <c r="A1530" t="inlineStr">
        <is>
          <t>No</t>
        </is>
      </c>
      <c r="B1530" t="inlineStr">
        <is>
          <t>DS559.8.C5 G75 2003</t>
        </is>
      </c>
      <c r="C1530" t="inlineStr">
        <is>
          <t>0                      DS 0559800C  5                  G  75          2003</t>
        </is>
      </c>
      <c r="D1530" t="inlineStr">
        <is>
          <t>Agent Orange : "collateral damage" in Viet Nam / Philip Jones Griffiths.</t>
        </is>
      </c>
      <c r="F1530" t="inlineStr">
        <is>
          <t>No</t>
        </is>
      </c>
      <c r="G1530" t="inlineStr">
        <is>
          <t>1</t>
        </is>
      </c>
      <c r="H1530" t="inlineStr">
        <is>
          <t>No</t>
        </is>
      </c>
      <c r="I1530" t="inlineStr">
        <is>
          <t>No</t>
        </is>
      </c>
      <c r="J1530" t="inlineStr">
        <is>
          <t>0</t>
        </is>
      </c>
      <c r="K1530" t="inlineStr">
        <is>
          <t>Griffiths, Philip Jones.</t>
        </is>
      </c>
      <c r="L1530" t="inlineStr">
        <is>
          <t>London : Trolley, 2003.</t>
        </is>
      </c>
      <c r="M1530" t="inlineStr">
        <is>
          <t>2003</t>
        </is>
      </c>
      <c r="O1530" t="inlineStr">
        <is>
          <t>eng</t>
        </is>
      </c>
      <c r="P1530" t="inlineStr">
        <is>
          <t>enk</t>
        </is>
      </c>
      <c r="R1530" t="inlineStr">
        <is>
          <t xml:space="preserve">DS </t>
        </is>
      </c>
      <c r="S1530" t="n">
        <v>5</v>
      </c>
      <c r="T1530" t="n">
        <v>5</v>
      </c>
      <c r="U1530" t="inlineStr">
        <is>
          <t>2006-11-10</t>
        </is>
      </c>
      <c r="V1530" t="inlineStr">
        <is>
          <t>2006-11-10</t>
        </is>
      </c>
      <c r="W1530" t="inlineStr">
        <is>
          <t>2005-06-22</t>
        </is>
      </c>
      <c r="X1530" t="inlineStr">
        <is>
          <t>2005-06-22</t>
        </is>
      </c>
      <c r="Y1530" t="n">
        <v>300</v>
      </c>
      <c r="Z1530" t="n">
        <v>248</v>
      </c>
      <c r="AA1530" t="n">
        <v>257</v>
      </c>
      <c r="AB1530" t="n">
        <v>1</v>
      </c>
      <c r="AC1530" t="n">
        <v>1</v>
      </c>
      <c r="AD1530" t="n">
        <v>5</v>
      </c>
      <c r="AE1530" t="n">
        <v>5</v>
      </c>
      <c r="AF1530" t="n">
        <v>1</v>
      </c>
      <c r="AG1530" t="n">
        <v>1</v>
      </c>
      <c r="AH1530" t="n">
        <v>3</v>
      </c>
      <c r="AI1530" t="n">
        <v>3</v>
      </c>
      <c r="AJ1530" t="n">
        <v>3</v>
      </c>
      <c r="AK1530" t="n">
        <v>3</v>
      </c>
      <c r="AL1530" t="n">
        <v>0</v>
      </c>
      <c r="AM1530" t="n">
        <v>0</v>
      </c>
      <c r="AN1530" t="n">
        <v>0</v>
      </c>
      <c r="AO1530" t="n">
        <v>0</v>
      </c>
      <c r="AP1530" t="inlineStr">
        <is>
          <t>No</t>
        </is>
      </c>
      <c r="AQ1530" t="inlineStr">
        <is>
          <t>Yes</t>
        </is>
      </c>
      <c r="AR1530">
        <f>HYPERLINK("http://catalog.hathitrust.org/Record/004352210","HathiTrust Record")</f>
        <v/>
      </c>
      <c r="AS1530">
        <f>HYPERLINK("https://creighton-primo.hosted.exlibrisgroup.com/primo-explore/search?tab=default_tab&amp;search_scope=EVERYTHING&amp;vid=01CRU&amp;lang=en_US&amp;offset=0&amp;query=any,contains,991004586149702656","Catalog Record")</f>
        <v/>
      </c>
      <c r="AT1530">
        <f>HYPERLINK("http://www.worldcat.org/oclc/54001975","WorldCat Record")</f>
        <v/>
      </c>
      <c r="AU1530" t="inlineStr">
        <is>
          <t>839023039:eng</t>
        </is>
      </c>
      <c r="AV1530" t="inlineStr">
        <is>
          <t>54001975</t>
        </is>
      </c>
      <c r="AW1530" t="inlineStr">
        <is>
          <t>991004586149702656</t>
        </is>
      </c>
      <c r="AX1530" t="inlineStr">
        <is>
          <t>991004586149702656</t>
        </is>
      </c>
      <c r="AY1530" t="inlineStr">
        <is>
          <t>2265069600002656</t>
        </is>
      </c>
      <c r="AZ1530" t="inlineStr">
        <is>
          <t>BOOK</t>
        </is>
      </c>
      <c r="BB1530" t="inlineStr">
        <is>
          <t>9781904563051</t>
        </is>
      </c>
      <c r="BC1530" t="inlineStr">
        <is>
          <t>32285005093884</t>
        </is>
      </c>
      <c r="BD1530" t="inlineStr">
        <is>
          <t>893411719</t>
        </is>
      </c>
    </row>
    <row r="1531">
      <c r="A1531" t="inlineStr">
        <is>
          <t>No</t>
        </is>
      </c>
      <c r="B1531" t="inlineStr">
        <is>
          <t>DS559.8.C63 G56 1989</t>
        </is>
      </c>
      <c r="C1531" t="inlineStr">
        <is>
          <t>0                      DS 0559800C  63                 G  56          1989</t>
        </is>
      </c>
      <c r="D1531" t="inlineStr">
        <is>
          <t>Days of decision : an oral history of conscientious objectors in the military during the Vietnam war / Gerald R. Gioglio.</t>
        </is>
      </c>
      <c r="F1531" t="inlineStr">
        <is>
          <t>No</t>
        </is>
      </c>
      <c r="G1531" t="inlineStr">
        <is>
          <t>1</t>
        </is>
      </c>
      <c r="H1531" t="inlineStr">
        <is>
          <t>No</t>
        </is>
      </c>
      <c r="I1531" t="inlineStr">
        <is>
          <t>No</t>
        </is>
      </c>
      <c r="J1531" t="inlineStr">
        <is>
          <t>0</t>
        </is>
      </c>
      <c r="K1531" t="inlineStr">
        <is>
          <t>Gioglio, Gerald R.</t>
        </is>
      </c>
      <c r="L1531" t="inlineStr">
        <is>
          <t>Trenton, N.J. : Broken Rifle Press, c1989.</t>
        </is>
      </c>
      <c r="M1531" t="inlineStr">
        <is>
          <t>1989</t>
        </is>
      </c>
      <c r="O1531" t="inlineStr">
        <is>
          <t>eng</t>
        </is>
      </c>
      <c r="P1531" t="inlineStr">
        <is>
          <t>nju</t>
        </is>
      </c>
      <c r="R1531" t="inlineStr">
        <is>
          <t xml:space="preserve">DS </t>
        </is>
      </c>
      <c r="S1531" t="n">
        <v>1</v>
      </c>
      <c r="T1531" t="n">
        <v>1</v>
      </c>
      <c r="U1531" t="inlineStr">
        <is>
          <t>1996-02-20</t>
        </is>
      </c>
      <c r="V1531" t="inlineStr">
        <is>
          <t>1996-02-20</t>
        </is>
      </c>
      <c r="W1531" t="inlineStr">
        <is>
          <t>1995-07-12</t>
        </is>
      </c>
      <c r="X1531" t="inlineStr">
        <is>
          <t>1995-07-12</t>
        </is>
      </c>
      <c r="Y1531" t="n">
        <v>899</v>
      </c>
      <c r="Z1531" t="n">
        <v>860</v>
      </c>
      <c r="AA1531" t="n">
        <v>894</v>
      </c>
      <c r="AB1531" t="n">
        <v>6</v>
      </c>
      <c r="AC1531" t="n">
        <v>6</v>
      </c>
      <c r="AD1531" t="n">
        <v>25</v>
      </c>
      <c r="AE1531" t="n">
        <v>25</v>
      </c>
      <c r="AF1531" t="n">
        <v>11</v>
      </c>
      <c r="AG1531" t="n">
        <v>11</v>
      </c>
      <c r="AH1531" t="n">
        <v>5</v>
      </c>
      <c r="AI1531" t="n">
        <v>5</v>
      </c>
      <c r="AJ1531" t="n">
        <v>14</v>
      </c>
      <c r="AK1531" t="n">
        <v>14</v>
      </c>
      <c r="AL1531" t="n">
        <v>3</v>
      </c>
      <c r="AM1531" t="n">
        <v>3</v>
      </c>
      <c r="AN1531" t="n">
        <v>0</v>
      </c>
      <c r="AO1531" t="n">
        <v>0</v>
      </c>
      <c r="AP1531" t="inlineStr">
        <is>
          <t>No</t>
        </is>
      </c>
      <c r="AQ1531" t="inlineStr">
        <is>
          <t>No</t>
        </is>
      </c>
      <c r="AS1531">
        <f>HYPERLINK("https://creighton-primo.hosted.exlibrisgroup.com/primo-explore/search?tab=default_tab&amp;search_scope=EVERYTHING&amp;vid=01CRU&amp;lang=en_US&amp;offset=0&amp;query=any,contains,991001584599702656","Catalog Record")</f>
        <v/>
      </c>
      <c r="AT1531">
        <f>HYPERLINK("http://www.worldcat.org/oclc/20523508","WorldCat Record")</f>
        <v/>
      </c>
      <c r="AU1531" t="inlineStr">
        <is>
          <t>347401106:eng</t>
        </is>
      </c>
      <c r="AV1531" t="inlineStr">
        <is>
          <t>20523508</t>
        </is>
      </c>
      <c r="AW1531" t="inlineStr">
        <is>
          <t>991001584599702656</t>
        </is>
      </c>
      <c r="AX1531" t="inlineStr">
        <is>
          <t>991001584599702656</t>
        </is>
      </c>
      <c r="AY1531" t="inlineStr">
        <is>
          <t>2271565320002656</t>
        </is>
      </c>
      <c r="AZ1531" t="inlineStr">
        <is>
          <t>BOOK</t>
        </is>
      </c>
      <c r="BB1531" t="inlineStr">
        <is>
          <t>9780962002403</t>
        </is>
      </c>
      <c r="BC1531" t="inlineStr">
        <is>
          <t>32285002054053</t>
        </is>
      </c>
      <c r="BD1531" t="inlineStr">
        <is>
          <t>893866324</t>
        </is>
      </c>
    </row>
    <row r="1532">
      <c r="A1532" t="inlineStr">
        <is>
          <t>No</t>
        </is>
      </c>
      <c r="B1532" t="inlineStr">
        <is>
          <t>DS559.8.D4 T63 2001</t>
        </is>
      </c>
      <c r="C1532" t="inlineStr">
        <is>
          <t>0                      DS 0559800D  4                  T  63          2001</t>
        </is>
      </c>
      <c r="D1532" t="inlineStr">
        <is>
          <t>Desertion : in the time of Vietnam / Jack Todd.</t>
        </is>
      </c>
      <c r="F1532" t="inlineStr">
        <is>
          <t>No</t>
        </is>
      </c>
      <c r="G1532" t="inlineStr">
        <is>
          <t>1</t>
        </is>
      </c>
      <c r="H1532" t="inlineStr">
        <is>
          <t>No</t>
        </is>
      </c>
      <c r="I1532" t="inlineStr">
        <is>
          <t>No</t>
        </is>
      </c>
      <c r="J1532" t="inlineStr">
        <is>
          <t>0</t>
        </is>
      </c>
      <c r="K1532" t="inlineStr">
        <is>
          <t>Todd, Jack, 1946-</t>
        </is>
      </c>
      <c r="L1532" t="inlineStr">
        <is>
          <t>Boston : Houghton Mifflin, 2001.</t>
        </is>
      </c>
      <c r="M1532" t="inlineStr">
        <is>
          <t>2001</t>
        </is>
      </c>
      <c r="O1532" t="inlineStr">
        <is>
          <t>eng</t>
        </is>
      </c>
      <c r="P1532" t="inlineStr">
        <is>
          <t>mau</t>
        </is>
      </c>
      <c r="R1532" t="inlineStr">
        <is>
          <t xml:space="preserve">DS </t>
        </is>
      </c>
      <c r="S1532" t="n">
        <v>1</v>
      </c>
      <c r="T1532" t="n">
        <v>1</v>
      </c>
      <c r="U1532" t="inlineStr">
        <is>
          <t>2001-07-10</t>
        </is>
      </c>
      <c r="V1532" t="inlineStr">
        <is>
          <t>2001-07-10</t>
        </is>
      </c>
      <c r="W1532" t="inlineStr">
        <is>
          <t>2001-07-09</t>
        </is>
      </c>
      <c r="X1532" t="inlineStr">
        <is>
          <t>2001-07-09</t>
        </is>
      </c>
      <c r="Y1532" t="n">
        <v>624</v>
      </c>
      <c r="Z1532" t="n">
        <v>598</v>
      </c>
      <c r="AA1532" t="n">
        <v>603</v>
      </c>
      <c r="AB1532" t="n">
        <v>12</v>
      </c>
      <c r="AC1532" t="n">
        <v>12</v>
      </c>
      <c r="AD1532" t="n">
        <v>16</v>
      </c>
      <c r="AE1532" t="n">
        <v>16</v>
      </c>
      <c r="AF1532" t="n">
        <v>3</v>
      </c>
      <c r="AG1532" t="n">
        <v>3</v>
      </c>
      <c r="AH1532" t="n">
        <v>5</v>
      </c>
      <c r="AI1532" t="n">
        <v>5</v>
      </c>
      <c r="AJ1532" t="n">
        <v>7</v>
      </c>
      <c r="AK1532" t="n">
        <v>7</v>
      </c>
      <c r="AL1532" t="n">
        <v>4</v>
      </c>
      <c r="AM1532" t="n">
        <v>4</v>
      </c>
      <c r="AN1532" t="n">
        <v>0</v>
      </c>
      <c r="AO1532" t="n">
        <v>0</v>
      </c>
      <c r="AP1532" t="inlineStr">
        <is>
          <t>No</t>
        </is>
      </c>
      <c r="AQ1532" t="inlineStr">
        <is>
          <t>No</t>
        </is>
      </c>
      <c r="AS1532">
        <f>HYPERLINK("https://creighton-primo.hosted.exlibrisgroup.com/primo-explore/search?tab=default_tab&amp;search_scope=EVERYTHING&amp;vid=01CRU&amp;lang=en_US&amp;offset=0&amp;query=any,contains,991003539789702656","Catalog Record")</f>
        <v/>
      </c>
      <c r="AT1532">
        <f>HYPERLINK("http://www.worldcat.org/oclc/45223621","WorldCat Record")</f>
        <v/>
      </c>
      <c r="AU1532" t="inlineStr">
        <is>
          <t>2287346498:eng</t>
        </is>
      </c>
      <c r="AV1532" t="inlineStr">
        <is>
          <t>45223621</t>
        </is>
      </c>
      <c r="AW1532" t="inlineStr">
        <is>
          <t>991003539789702656</t>
        </is>
      </c>
      <c r="AX1532" t="inlineStr">
        <is>
          <t>991003539789702656</t>
        </is>
      </c>
      <c r="AY1532" t="inlineStr">
        <is>
          <t>2264777970002656</t>
        </is>
      </c>
      <c r="AZ1532" t="inlineStr">
        <is>
          <t>BOOK</t>
        </is>
      </c>
      <c r="BB1532" t="inlineStr">
        <is>
          <t>9780618091553</t>
        </is>
      </c>
      <c r="BC1532" t="inlineStr">
        <is>
          <t>32285004330378</t>
        </is>
      </c>
      <c r="BD1532" t="inlineStr">
        <is>
          <t>893711467</t>
        </is>
      </c>
    </row>
    <row r="1533">
      <c r="A1533" t="inlineStr">
        <is>
          <t>No</t>
        </is>
      </c>
      <c r="B1533" t="inlineStr">
        <is>
          <t>DS559.8.D7 H33 2001</t>
        </is>
      </c>
      <c r="C1533" t="inlineStr">
        <is>
          <t>0                      DS 0559800D  7                  H  33          2001</t>
        </is>
      </c>
      <c r="D1533" t="inlineStr">
        <is>
          <t>Northern passage : American Vietnam War resisters in Canada / John Hagan.</t>
        </is>
      </c>
      <c r="F1533" t="inlineStr">
        <is>
          <t>No</t>
        </is>
      </c>
      <c r="G1533" t="inlineStr">
        <is>
          <t>1</t>
        </is>
      </c>
      <c r="H1533" t="inlineStr">
        <is>
          <t>No</t>
        </is>
      </c>
      <c r="I1533" t="inlineStr">
        <is>
          <t>No</t>
        </is>
      </c>
      <c r="J1533" t="inlineStr">
        <is>
          <t>0</t>
        </is>
      </c>
      <c r="K1533" t="inlineStr">
        <is>
          <t>Hagan, John, 1946-</t>
        </is>
      </c>
      <c r="L1533" t="inlineStr">
        <is>
          <t>Cambridge, MA : Harvard University Press, 2001.</t>
        </is>
      </c>
      <c r="M1533" t="inlineStr">
        <is>
          <t>2001</t>
        </is>
      </c>
      <c r="O1533" t="inlineStr">
        <is>
          <t>eng</t>
        </is>
      </c>
      <c r="P1533" t="inlineStr">
        <is>
          <t>mau</t>
        </is>
      </c>
      <c r="R1533" t="inlineStr">
        <is>
          <t xml:space="preserve">DS </t>
        </is>
      </c>
      <c r="S1533" t="n">
        <v>3</v>
      </c>
      <c r="T1533" t="n">
        <v>3</v>
      </c>
      <c r="U1533" t="inlineStr">
        <is>
          <t>2002-01-28</t>
        </is>
      </c>
      <c r="V1533" t="inlineStr">
        <is>
          <t>2002-01-28</t>
        </is>
      </c>
      <c r="W1533" t="inlineStr">
        <is>
          <t>2002-01-09</t>
        </is>
      </c>
      <c r="X1533" t="inlineStr">
        <is>
          <t>2002-01-09</t>
        </is>
      </c>
      <c r="Y1533" t="n">
        <v>917</v>
      </c>
      <c r="Z1533" t="n">
        <v>796</v>
      </c>
      <c r="AA1533" t="n">
        <v>802</v>
      </c>
      <c r="AB1533" t="n">
        <v>5</v>
      </c>
      <c r="AC1533" t="n">
        <v>5</v>
      </c>
      <c r="AD1533" t="n">
        <v>38</v>
      </c>
      <c r="AE1533" t="n">
        <v>38</v>
      </c>
      <c r="AF1533" t="n">
        <v>16</v>
      </c>
      <c r="AG1533" t="n">
        <v>16</v>
      </c>
      <c r="AH1533" t="n">
        <v>8</v>
      </c>
      <c r="AI1533" t="n">
        <v>8</v>
      </c>
      <c r="AJ1533" t="n">
        <v>18</v>
      </c>
      <c r="AK1533" t="n">
        <v>18</v>
      </c>
      <c r="AL1533" t="n">
        <v>4</v>
      </c>
      <c r="AM1533" t="n">
        <v>4</v>
      </c>
      <c r="AN1533" t="n">
        <v>1</v>
      </c>
      <c r="AO1533" t="n">
        <v>1</v>
      </c>
      <c r="AP1533" t="inlineStr">
        <is>
          <t>No</t>
        </is>
      </c>
      <c r="AQ1533" t="inlineStr">
        <is>
          <t>Yes</t>
        </is>
      </c>
      <c r="AR1533">
        <f>HYPERLINK("http://catalog.hathitrust.org/Record/004177032","HathiTrust Record")</f>
        <v/>
      </c>
      <c r="AS1533">
        <f>HYPERLINK("https://creighton-primo.hosted.exlibrisgroup.com/primo-explore/search?tab=default_tab&amp;search_scope=EVERYTHING&amp;vid=01CRU&amp;lang=en_US&amp;offset=0&amp;query=any,contains,991003698989702656","Catalog Record")</f>
        <v/>
      </c>
      <c r="AT1533">
        <f>HYPERLINK("http://www.worldcat.org/oclc/45413548","WorldCat Record")</f>
        <v/>
      </c>
      <c r="AU1533" t="inlineStr">
        <is>
          <t>34622044:eng</t>
        </is>
      </c>
      <c r="AV1533" t="inlineStr">
        <is>
          <t>45413548</t>
        </is>
      </c>
      <c r="AW1533" t="inlineStr">
        <is>
          <t>991003698989702656</t>
        </is>
      </c>
      <c r="AX1533" t="inlineStr">
        <is>
          <t>991003698989702656</t>
        </is>
      </c>
      <c r="AY1533" t="inlineStr">
        <is>
          <t>2272194130002656</t>
        </is>
      </c>
      <c r="AZ1533" t="inlineStr">
        <is>
          <t>BOOK</t>
        </is>
      </c>
      <c r="BB1533" t="inlineStr">
        <is>
          <t>9780674004719</t>
        </is>
      </c>
      <c r="BC1533" t="inlineStr">
        <is>
          <t>32285004447016</t>
        </is>
      </c>
      <c r="BD1533" t="inlineStr">
        <is>
          <t>893887773</t>
        </is>
      </c>
    </row>
    <row r="1534">
      <c r="A1534" t="inlineStr">
        <is>
          <t>No</t>
        </is>
      </c>
      <c r="B1534" t="inlineStr">
        <is>
          <t>DS559.8.D7 K37</t>
        </is>
      </c>
      <c r="C1534" t="inlineStr">
        <is>
          <t>0                      DS 0559800D  7                  K  37</t>
        </is>
      </c>
      <c r="D1534" t="inlineStr">
        <is>
          <t>Refugees from militarism : draft-age Americans in Canada / by Renée G. Kasinsky.</t>
        </is>
      </c>
      <c r="F1534" t="inlineStr">
        <is>
          <t>No</t>
        </is>
      </c>
      <c r="G1534" t="inlineStr">
        <is>
          <t>1</t>
        </is>
      </c>
      <c r="H1534" t="inlineStr">
        <is>
          <t>No</t>
        </is>
      </c>
      <c r="I1534" t="inlineStr">
        <is>
          <t>No</t>
        </is>
      </c>
      <c r="J1534" t="inlineStr">
        <is>
          <t>0</t>
        </is>
      </c>
      <c r="K1534" t="inlineStr">
        <is>
          <t>Goldsmith-Kasinsky, Renee.</t>
        </is>
      </c>
      <c r="L1534" t="inlineStr">
        <is>
          <t>New Brunswick, N.J. : Transaction Books, c1976.</t>
        </is>
      </c>
      <c r="M1534" t="inlineStr">
        <is>
          <t>1976</t>
        </is>
      </c>
      <c r="O1534" t="inlineStr">
        <is>
          <t>eng</t>
        </is>
      </c>
      <c r="P1534" t="inlineStr">
        <is>
          <t>nju</t>
        </is>
      </c>
      <c r="R1534" t="inlineStr">
        <is>
          <t xml:space="preserve">DS </t>
        </is>
      </c>
      <c r="S1534" t="n">
        <v>2</v>
      </c>
      <c r="T1534" t="n">
        <v>2</v>
      </c>
      <c r="U1534" t="inlineStr">
        <is>
          <t>2000-11-01</t>
        </is>
      </c>
      <c r="V1534" t="inlineStr">
        <is>
          <t>2000-11-01</t>
        </is>
      </c>
      <c r="W1534" t="inlineStr">
        <is>
          <t>1997-03-11</t>
        </is>
      </c>
      <c r="X1534" t="inlineStr">
        <is>
          <t>1997-03-11</t>
        </is>
      </c>
      <c r="Y1534" t="n">
        <v>512</v>
      </c>
      <c r="Z1534" t="n">
        <v>460</v>
      </c>
      <c r="AA1534" t="n">
        <v>495</v>
      </c>
      <c r="AB1534" t="n">
        <v>4</v>
      </c>
      <c r="AC1534" t="n">
        <v>4</v>
      </c>
      <c r="AD1534" t="n">
        <v>16</v>
      </c>
      <c r="AE1534" t="n">
        <v>19</v>
      </c>
      <c r="AF1534" t="n">
        <v>5</v>
      </c>
      <c r="AG1534" t="n">
        <v>5</v>
      </c>
      <c r="AH1534" t="n">
        <v>4</v>
      </c>
      <c r="AI1534" t="n">
        <v>5</v>
      </c>
      <c r="AJ1534" t="n">
        <v>8</v>
      </c>
      <c r="AK1534" t="n">
        <v>10</v>
      </c>
      <c r="AL1534" t="n">
        <v>3</v>
      </c>
      <c r="AM1534" t="n">
        <v>3</v>
      </c>
      <c r="AN1534" t="n">
        <v>0</v>
      </c>
      <c r="AO1534" t="n">
        <v>0</v>
      </c>
      <c r="AP1534" t="inlineStr">
        <is>
          <t>No</t>
        </is>
      </c>
      <c r="AQ1534" t="inlineStr">
        <is>
          <t>No</t>
        </is>
      </c>
      <c r="AS1534">
        <f>HYPERLINK("https://creighton-primo.hosted.exlibrisgroup.com/primo-explore/search?tab=default_tab&amp;search_scope=EVERYTHING&amp;vid=01CRU&amp;lang=en_US&amp;offset=0&amp;query=any,contains,991003987599702656","Catalog Record")</f>
        <v/>
      </c>
      <c r="AT1534">
        <f>HYPERLINK("http://www.worldcat.org/oclc/2034828","WorldCat Record")</f>
        <v/>
      </c>
      <c r="AU1534" t="inlineStr">
        <is>
          <t>894502128:eng</t>
        </is>
      </c>
      <c r="AV1534" t="inlineStr">
        <is>
          <t>2034828</t>
        </is>
      </c>
      <c r="AW1534" t="inlineStr">
        <is>
          <t>991003987599702656</t>
        </is>
      </c>
      <c r="AX1534" t="inlineStr">
        <is>
          <t>991003987599702656</t>
        </is>
      </c>
      <c r="AY1534" t="inlineStr">
        <is>
          <t>2270152870002656</t>
        </is>
      </c>
      <c r="AZ1534" t="inlineStr">
        <is>
          <t>BOOK</t>
        </is>
      </c>
      <c r="BB1534" t="inlineStr">
        <is>
          <t>9780878551132</t>
        </is>
      </c>
      <c r="BC1534" t="inlineStr">
        <is>
          <t>32285002459997</t>
        </is>
      </c>
      <c r="BD1534" t="inlineStr">
        <is>
          <t>893806511</t>
        </is>
      </c>
    </row>
    <row r="1535">
      <c r="A1535" t="inlineStr">
        <is>
          <t>No</t>
        </is>
      </c>
      <c r="B1535" t="inlineStr">
        <is>
          <t>DS559.8.D7 S97 1982</t>
        </is>
      </c>
      <c r="C1535" t="inlineStr">
        <is>
          <t>0                      DS 0559800D  7                  S  97          1982</t>
        </is>
      </c>
      <c r="D1535" t="inlineStr">
        <is>
          <t>Choice of conscience : Vietnam era military and draft resisters in Canada / David S. Surrey.</t>
        </is>
      </c>
      <c r="F1535" t="inlineStr">
        <is>
          <t>No</t>
        </is>
      </c>
      <c r="G1535" t="inlineStr">
        <is>
          <t>1</t>
        </is>
      </c>
      <c r="H1535" t="inlineStr">
        <is>
          <t>No</t>
        </is>
      </c>
      <c r="I1535" t="inlineStr">
        <is>
          <t>No</t>
        </is>
      </c>
      <c r="J1535" t="inlineStr">
        <is>
          <t>0</t>
        </is>
      </c>
      <c r="K1535" t="inlineStr">
        <is>
          <t>Surrey, David S. (David Sterling)</t>
        </is>
      </c>
      <c r="L1535" t="inlineStr">
        <is>
          <t>New York : Praeger, 1982.</t>
        </is>
      </c>
      <c r="M1535" t="inlineStr">
        <is>
          <t>1982</t>
        </is>
      </c>
      <c r="O1535" t="inlineStr">
        <is>
          <t>eng</t>
        </is>
      </c>
      <c r="P1535" t="inlineStr">
        <is>
          <t>nyu</t>
        </is>
      </c>
      <c r="R1535" t="inlineStr">
        <is>
          <t xml:space="preserve">DS </t>
        </is>
      </c>
      <c r="S1535" t="n">
        <v>4</v>
      </c>
      <c r="T1535" t="n">
        <v>4</v>
      </c>
      <c r="U1535" t="inlineStr">
        <is>
          <t>2003-09-23</t>
        </is>
      </c>
      <c r="V1535" t="inlineStr">
        <is>
          <t>2003-09-23</t>
        </is>
      </c>
      <c r="W1535" t="inlineStr">
        <is>
          <t>1990-02-20</t>
        </is>
      </c>
      <c r="X1535" t="inlineStr">
        <is>
          <t>1990-02-20</t>
        </is>
      </c>
      <c r="Y1535" t="n">
        <v>607</v>
      </c>
      <c r="Z1535" t="n">
        <v>540</v>
      </c>
      <c r="AA1535" t="n">
        <v>541</v>
      </c>
      <c r="AB1535" t="n">
        <v>4</v>
      </c>
      <c r="AC1535" t="n">
        <v>4</v>
      </c>
      <c r="AD1535" t="n">
        <v>22</v>
      </c>
      <c r="AE1535" t="n">
        <v>22</v>
      </c>
      <c r="AF1535" t="n">
        <v>8</v>
      </c>
      <c r="AG1535" t="n">
        <v>8</v>
      </c>
      <c r="AH1535" t="n">
        <v>6</v>
      </c>
      <c r="AI1535" t="n">
        <v>6</v>
      </c>
      <c r="AJ1535" t="n">
        <v>12</v>
      </c>
      <c r="AK1535" t="n">
        <v>12</v>
      </c>
      <c r="AL1535" t="n">
        <v>3</v>
      </c>
      <c r="AM1535" t="n">
        <v>3</v>
      </c>
      <c r="AN1535" t="n">
        <v>0</v>
      </c>
      <c r="AO1535" t="n">
        <v>0</v>
      </c>
      <c r="AP1535" t="inlineStr">
        <is>
          <t>No</t>
        </is>
      </c>
      <c r="AQ1535" t="inlineStr">
        <is>
          <t>Yes</t>
        </is>
      </c>
      <c r="AR1535">
        <f>HYPERLINK("http://catalog.hathitrust.org/Record/000763941","HathiTrust Record")</f>
        <v/>
      </c>
      <c r="AS1535">
        <f>HYPERLINK("https://creighton-primo.hosted.exlibrisgroup.com/primo-explore/search?tab=default_tab&amp;search_scope=EVERYTHING&amp;vid=01CRU&amp;lang=en_US&amp;offset=0&amp;query=any,contains,991005183629702656","Catalog Record")</f>
        <v/>
      </c>
      <c r="AT1535">
        <f>HYPERLINK("http://www.worldcat.org/oclc/7948065","WorldCat Record")</f>
        <v/>
      </c>
      <c r="AU1535" t="inlineStr">
        <is>
          <t>152209315:eng</t>
        </is>
      </c>
      <c r="AV1535" t="inlineStr">
        <is>
          <t>7948065</t>
        </is>
      </c>
      <c r="AW1535" t="inlineStr">
        <is>
          <t>991005183629702656</t>
        </is>
      </c>
      <c r="AX1535" t="inlineStr">
        <is>
          <t>991005183629702656</t>
        </is>
      </c>
      <c r="AY1535" t="inlineStr">
        <is>
          <t>2270542780002656</t>
        </is>
      </c>
      <c r="AZ1535" t="inlineStr">
        <is>
          <t>BOOK</t>
        </is>
      </c>
      <c r="BB1535" t="inlineStr">
        <is>
          <t>9780030596636</t>
        </is>
      </c>
      <c r="BC1535" t="inlineStr">
        <is>
          <t>32285000055904</t>
        </is>
      </c>
      <c r="BD1535" t="inlineStr">
        <is>
          <t>893625578</t>
        </is>
      </c>
    </row>
    <row r="1536">
      <c r="A1536" t="inlineStr">
        <is>
          <t>No</t>
        </is>
      </c>
      <c r="B1536" t="inlineStr">
        <is>
          <t>DS559.8.J35 W47 1999</t>
        </is>
      </c>
      <c r="C1536" t="inlineStr">
        <is>
          <t>0                      DS 0559800J  35                 W  47          1999</t>
        </is>
      </c>
      <c r="D1536" t="inlineStr">
        <is>
          <t>From Pearl Harbor to Saigon : Japanese American soldiers and the Vietnam War / Toshio Whelchel.</t>
        </is>
      </c>
      <c r="F1536" t="inlineStr">
        <is>
          <t>No</t>
        </is>
      </c>
      <c r="G1536" t="inlineStr">
        <is>
          <t>1</t>
        </is>
      </c>
      <c r="H1536" t="inlineStr">
        <is>
          <t>No</t>
        </is>
      </c>
      <c r="I1536" t="inlineStr">
        <is>
          <t>No</t>
        </is>
      </c>
      <c r="J1536" t="inlineStr">
        <is>
          <t>0</t>
        </is>
      </c>
      <c r="K1536" t="inlineStr">
        <is>
          <t>Whelchel, Toshio.</t>
        </is>
      </c>
      <c r="L1536" t="inlineStr">
        <is>
          <t>London ; New York : Verso, 1999.</t>
        </is>
      </c>
      <c r="M1536" t="inlineStr">
        <is>
          <t>1999</t>
        </is>
      </c>
      <c r="O1536" t="inlineStr">
        <is>
          <t>eng</t>
        </is>
      </c>
      <c r="P1536" t="inlineStr">
        <is>
          <t>enk</t>
        </is>
      </c>
      <c r="Q1536" t="inlineStr">
        <is>
          <t>The Haymarket series</t>
        </is>
      </c>
      <c r="R1536" t="inlineStr">
        <is>
          <t xml:space="preserve">DS </t>
        </is>
      </c>
      <c r="S1536" t="n">
        <v>2</v>
      </c>
      <c r="T1536" t="n">
        <v>2</v>
      </c>
      <c r="U1536" t="inlineStr">
        <is>
          <t>2001-03-14</t>
        </is>
      </c>
      <c r="V1536" t="inlineStr">
        <is>
          <t>2001-03-14</t>
        </is>
      </c>
      <c r="W1536" t="inlineStr">
        <is>
          <t>2001-02-20</t>
        </is>
      </c>
      <c r="X1536" t="inlineStr">
        <is>
          <t>2001-02-20</t>
        </is>
      </c>
      <c r="Y1536" t="n">
        <v>242</v>
      </c>
      <c r="Z1536" t="n">
        <v>210</v>
      </c>
      <c r="AA1536" t="n">
        <v>220</v>
      </c>
      <c r="AB1536" t="n">
        <v>3</v>
      </c>
      <c r="AC1536" t="n">
        <v>3</v>
      </c>
      <c r="AD1536" t="n">
        <v>10</v>
      </c>
      <c r="AE1536" t="n">
        <v>10</v>
      </c>
      <c r="AF1536" t="n">
        <v>2</v>
      </c>
      <c r="AG1536" t="n">
        <v>2</v>
      </c>
      <c r="AH1536" t="n">
        <v>4</v>
      </c>
      <c r="AI1536" t="n">
        <v>4</v>
      </c>
      <c r="AJ1536" t="n">
        <v>5</v>
      </c>
      <c r="AK1536" t="n">
        <v>5</v>
      </c>
      <c r="AL1536" t="n">
        <v>2</v>
      </c>
      <c r="AM1536" t="n">
        <v>2</v>
      </c>
      <c r="AN1536" t="n">
        <v>0</v>
      </c>
      <c r="AO1536" t="n">
        <v>0</v>
      </c>
      <c r="AP1536" t="inlineStr">
        <is>
          <t>No</t>
        </is>
      </c>
      <c r="AQ1536" t="inlineStr">
        <is>
          <t>Yes</t>
        </is>
      </c>
      <c r="AR1536">
        <f>HYPERLINK("http://catalog.hathitrust.org/Record/004042911","HathiTrust Record")</f>
        <v/>
      </c>
      <c r="AS1536">
        <f>HYPERLINK("https://creighton-primo.hosted.exlibrisgroup.com/primo-explore/search?tab=default_tab&amp;search_scope=EVERYTHING&amp;vid=01CRU&amp;lang=en_US&amp;offset=0&amp;query=any,contains,991003479349702656","Catalog Record")</f>
        <v/>
      </c>
      <c r="AT1536">
        <f>HYPERLINK("http://www.worldcat.org/oclc/40954199","WorldCat Record")</f>
        <v/>
      </c>
      <c r="AU1536" t="inlineStr">
        <is>
          <t>836942881:eng</t>
        </is>
      </c>
      <c r="AV1536" t="inlineStr">
        <is>
          <t>40954199</t>
        </is>
      </c>
      <c r="AW1536" t="inlineStr">
        <is>
          <t>991003479349702656</t>
        </is>
      </c>
      <c r="AX1536" t="inlineStr">
        <is>
          <t>991003479349702656</t>
        </is>
      </c>
      <c r="AY1536" t="inlineStr">
        <is>
          <t>2262970350002656</t>
        </is>
      </c>
      <c r="AZ1536" t="inlineStr">
        <is>
          <t>BOOK</t>
        </is>
      </c>
      <c r="BB1536" t="inlineStr">
        <is>
          <t>9781859848593</t>
        </is>
      </c>
      <c r="BC1536" t="inlineStr">
        <is>
          <t>32285004295662</t>
        </is>
      </c>
      <c r="BD1536" t="inlineStr">
        <is>
          <t>893535476</t>
        </is>
      </c>
    </row>
    <row r="1537">
      <c r="A1537" t="inlineStr">
        <is>
          <t>No</t>
        </is>
      </c>
      <c r="B1537" t="inlineStr">
        <is>
          <t>DS559.8.M44 B46 1984</t>
        </is>
      </c>
      <c r="C1537" t="inlineStr">
        <is>
          <t>0                      DS 0559800M  44                 B  46          1984</t>
        </is>
      </c>
      <c r="D1537" t="inlineStr">
        <is>
          <t>The CBS Benjamin report : CBS reports : "The uncounted enemy, a Vietnam deception" : an examination / by Burton Benjamin ; with an introduction by Robert Goralski.</t>
        </is>
      </c>
      <c r="F1537" t="inlineStr">
        <is>
          <t>No</t>
        </is>
      </c>
      <c r="G1537" t="inlineStr">
        <is>
          <t>1</t>
        </is>
      </c>
      <c r="H1537" t="inlineStr">
        <is>
          <t>No</t>
        </is>
      </c>
      <c r="I1537" t="inlineStr">
        <is>
          <t>No</t>
        </is>
      </c>
      <c r="J1537" t="inlineStr">
        <is>
          <t>0</t>
        </is>
      </c>
      <c r="K1537" t="inlineStr">
        <is>
          <t>Benjamin, Burton.</t>
        </is>
      </c>
      <c r="L1537" t="inlineStr">
        <is>
          <t>Washington, D.C. : Media Institute, c1984.</t>
        </is>
      </c>
      <c r="M1537" t="inlineStr">
        <is>
          <t>1984</t>
        </is>
      </c>
      <c r="O1537" t="inlineStr">
        <is>
          <t>eng</t>
        </is>
      </c>
      <c r="P1537" t="inlineStr">
        <is>
          <t>dcu</t>
        </is>
      </c>
      <c r="R1537" t="inlineStr">
        <is>
          <t xml:space="preserve">DS </t>
        </is>
      </c>
      <c r="S1537" t="n">
        <v>4</v>
      </c>
      <c r="T1537" t="n">
        <v>4</v>
      </c>
      <c r="U1537" t="inlineStr">
        <is>
          <t>1998-01-23</t>
        </is>
      </c>
      <c r="V1537" t="inlineStr">
        <is>
          <t>1998-01-23</t>
        </is>
      </c>
      <c r="W1537" t="inlineStr">
        <is>
          <t>1990-03-27</t>
        </is>
      </c>
      <c r="X1537" t="inlineStr">
        <is>
          <t>1990-03-27</t>
        </is>
      </c>
      <c r="Y1537" t="n">
        <v>153</v>
      </c>
      <c r="Z1537" t="n">
        <v>144</v>
      </c>
      <c r="AA1537" t="n">
        <v>148</v>
      </c>
      <c r="AB1537" t="n">
        <v>3</v>
      </c>
      <c r="AC1537" t="n">
        <v>3</v>
      </c>
      <c r="AD1537" t="n">
        <v>12</v>
      </c>
      <c r="AE1537" t="n">
        <v>12</v>
      </c>
      <c r="AF1537" t="n">
        <v>4</v>
      </c>
      <c r="AG1537" t="n">
        <v>4</v>
      </c>
      <c r="AH1537" t="n">
        <v>2</v>
      </c>
      <c r="AI1537" t="n">
        <v>2</v>
      </c>
      <c r="AJ1537" t="n">
        <v>5</v>
      </c>
      <c r="AK1537" t="n">
        <v>5</v>
      </c>
      <c r="AL1537" t="n">
        <v>2</v>
      </c>
      <c r="AM1537" t="n">
        <v>2</v>
      </c>
      <c r="AN1537" t="n">
        <v>0</v>
      </c>
      <c r="AO1537" t="n">
        <v>0</v>
      </c>
      <c r="AP1537" t="inlineStr">
        <is>
          <t>No</t>
        </is>
      </c>
      <c r="AQ1537" t="inlineStr">
        <is>
          <t>No</t>
        </is>
      </c>
      <c r="AS1537">
        <f>HYPERLINK("https://creighton-primo.hosted.exlibrisgroup.com/primo-explore/search?tab=default_tab&amp;search_scope=EVERYTHING&amp;vid=01CRU&amp;lang=en_US&amp;offset=0&amp;query=any,contains,991000356849702656","Catalog Record")</f>
        <v/>
      </c>
      <c r="AT1537">
        <f>HYPERLINK("http://www.worldcat.org/oclc/10339895","WorldCat Record")</f>
        <v/>
      </c>
      <c r="AU1537" t="inlineStr">
        <is>
          <t>3582107:eng</t>
        </is>
      </c>
      <c r="AV1537" t="inlineStr">
        <is>
          <t>10339895</t>
        </is>
      </c>
      <c r="AW1537" t="inlineStr">
        <is>
          <t>991000356849702656</t>
        </is>
      </c>
      <c r="AX1537" t="inlineStr">
        <is>
          <t>991000356849702656</t>
        </is>
      </c>
      <c r="AY1537" t="inlineStr">
        <is>
          <t>2264977130002656</t>
        </is>
      </c>
      <c r="AZ1537" t="inlineStr">
        <is>
          <t>BOOK</t>
        </is>
      </c>
      <c r="BB1537" t="inlineStr">
        <is>
          <t>9780937790243</t>
        </is>
      </c>
      <c r="BC1537" t="inlineStr">
        <is>
          <t>32285000098847</t>
        </is>
      </c>
      <c r="BD1537" t="inlineStr">
        <is>
          <t>893607841</t>
        </is>
      </c>
    </row>
    <row r="1538">
      <c r="A1538" t="inlineStr">
        <is>
          <t>No</t>
        </is>
      </c>
      <c r="B1538" t="inlineStr">
        <is>
          <t>DS559.8.M44 C66 2000</t>
        </is>
      </c>
      <c r="C1538" t="inlineStr">
        <is>
          <t>0                      DS 0559800M  44                 C  66          2000</t>
        </is>
      </c>
      <c r="D1538" t="inlineStr">
        <is>
          <t>Spies and commandos : how America lost the secret war in North Vietnam / Kenneth Conboy and Dale Andradé.</t>
        </is>
      </c>
      <c r="F1538" t="inlineStr">
        <is>
          <t>No</t>
        </is>
      </c>
      <c r="G1538" t="inlineStr">
        <is>
          <t>1</t>
        </is>
      </c>
      <c r="H1538" t="inlineStr">
        <is>
          <t>No</t>
        </is>
      </c>
      <c r="I1538" t="inlineStr">
        <is>
          <t>No</t>
        </is>
      </c>
      <c r="J1538" t="inlineStr">
        <is>
          <t>0</t>
        </is>
      </c>
      <c r="K1538" t="inlineStr">
        <is>
          <t>Conboy, Kenneth J.</t>
        </is>
      </c>
      <c r="L1538" t="inlineStr">
        <is>
          <t>Lawrence, KS : University Press of Kansas, c2000.</t>
        </is>
      </c>
      <c r="M1538" t="inlineStr">
        <is>
          <t>2000</t>
        </is>
      </c>
      <c r="O1538" t="inlineStr">
        <is>
          <t>eng</t>
        </is>
      </c>
      <c r="P1538" t="inlineStr">
        <is>
          <t>ksu</t>
        </is>
      </c>
      <c r="Q1538" t="inlineStr">
        <is>
          <t>Modern war studies</t>
        </is>
      </c>
      <c r="R1538" t="inlineStr">
        <is>
          <t xml:space="preserve">DS </t>
        </is>
      </c>
      <c r="S1538" t="n">
        <v>1</v>
      </c>
      <c r="T1538" t="n">
        <v>1</v>
      </c>
      <c r="U1538" t="inlineStr">
        <is>
          <t>2003-10-24</t>
        </is>
      </c>
      <c r="V1538" t="inlineStr">
        <is>
          <t>2003-10-24</t>
        </is>
      </c>
      <c r="W1538" t="inlineStr">
        <is>
          <t>2002-01-08</t>
        </is>
      </c>
      <c r="X1538" t="inlineStr">
        <is>
          <t>2002-01-08</t>
        </is>
      </c>
      <c r="Y1538" t="n">
        <v>934</v>
      </c>
      <c r="Z1538" t="n">
        <v>848</v>
      </c>
      <c r="AA1538" t="n">
        <v>850</v>
      </c>
      <c r="AB1538" t="n">
        <v>4</v>
      </c>
      <c r="AC1538" t="n">
        <v>4</v>
      </c>
      <c r="AD1538" t="n">
        <v>31</v>
      </c>
      <c r="AE1538" t="n">
        <v>31</v>
      </c>
      <c r="AF1538" t="n">
        <v>15</v>
      </c>
      <c r="AG1538" t="n">
        <v>15</v>
      </c>
      <c r="AH1538" t="n">
        <v>9</v>
      </c>
      <c r="AI1538" t="n">
        <v>9</v>
      </c>
      <c r="AJ1538" t="n">
        <v>12</v>
      </c>
      <c r="AK1538" t="n">
        <v>12</v>
      </c>
      <c r="AL1538" t="n">
        <v>3</v>
      </c>
      <c r="AM1538" t="n">
        <v>3</v>
      </c>
      <c r="AN1538" t="n">
        <v>0</v>
      </c>
      <c r="AO1538" t="n">
        <v>0</v>
      </c>
      <c r="AP1538" t="inlineStr">
        <is>
          <t>No</t>
        </is>
      </c>
      <c r="AQ1538" t="inlineStr">
        <is>
          <t>Yes</t>
        </is>
      </c>
      <c r="AR1538">
        <f>HYPERLINK("http://catalog.hathitrust.org/Record/004067085","HathiTrust Record")</f>
        <v/>
      </c>
      <c r="AS1538">
        <f>HYPERLINK("https://creighton-primo.hosted.exlibrisgroup.com/primo-explore/search?tab=default_tab&amp;search_scope=EVERYTHING&amp;vid=01CRU&amp;lang=en_US&amp;offset=0&amp;query=any,contains,991003698929702656","Catalog Record")</f>
        <v/>
      </c>
      <c r="AT1538">
        <f>HYPERLINK("http://www.worldcat.org/oclc/42061137","WorldCat Record")</f>
        <v/>
      </c>
      <c r="AU1538" t="inlineStr">
        <is>
          <t>369526095:eng</t>
        </is>
      </c>
      <c r="AV1538" t="inlineStr">
        <is>
          <t>42061137</t>
        </is>
      </c>
      <c r="AW1538" t="inlineStr">
        <is>
          <t>991003698929702656</t>
        </is>
      </c>
      <c r="AX1538" t="inlineStr">
        <is>
          <t>991003698929702656</t>
        </is>
      </c>
      <c r="AY1538" t="inlineStr">
        <is>
          <t>2263411870002656</t>
        </is>
      </c>
      <c r="AZ1538" t="inlineStr">
        <is>
          <t>BOOK</t>
        </is>
      </c>
      <c r="BB1538" t="inlineStr">
        <is>
          <t>9780700610020</t>
        </is>
      </c>
      <c r="BC1538" t="inlineStr">
        <is>
          <t>32285004446307</t>
        </is>
      </c>
      <c r="BD1538" t="inlineStr">
        <is>
          <t>893240495</t>
        </is>
      </c>
    </row>
    <row r="1539">
      <c r="A1539" t="inlineStr">
        <is>
          <t>No</t>
        </is>
      </c>
      <c r="B1539" t="inlineStr">
        <is>
          <t>DS559.8.M44 K68 1984</t>
        </is>
      </c>
      <c r="C1539" t="inlineStr">
        <is>
          <t>0                      DS 0559800M  44                 K  68          1984</t>
        </is>
      </c>
      <c r="D1539" t="inlineStr">
        <is>
          <t>A matter of honor / Don Kowet.</t>
        </is>
      </c>
      <c r="F1539" t="inlineStr">
        <is>
          <t>No</t>
        </is>
      </c>
      <c r="G1539" t="inlineStr">
        <is>
          <t>1</t>
        </is>
      </c>
      <c r="H1539" t="inlineStr">
        <is>
          <t>No</t>
        </is>
      </c>
      <c r="I1539" t="inlineStr">
        <is>
          <t>No</t>
        </is>
      </c>
      <c r="J1539" t="inlineStr">
        <is>
          <t>0</t>
        </is>
      </c>
      <c r="K1539" t="inlineStr">
        <is>
          <t>Kowet, Don.</t>
        </is>
      </c>
      <c r="L1539" t="inlineStr">
        <is>
          <t>New York : Macmillan ; London : Collier Macmillan, c1984.</t>
        </is>
      </c>
      <c r="M1539" t="inlineStr">
        <is>
          <t>1984</t>
        </is>
      </c>
      <c r="O1539" t="inlineStr">
        <is>
          <t>eng</t>
        </is>
      </c>
      <c r="P1539" t="inlineStr">
        <is>
          <t>nyu</t>
        </is>
      </c>
      <c r="R1539" t="inlineStr">
        <is>
          <t xml:space="preserve">DS </t>
        </is>
      </c>
      <c r="S1539" t="n">
        <v>1</v>
      </c>
      <c r="T1539" t="n">
        <v>1</v>
      </c>
      <c r="U1539" t="inlineStr">
        <is>
          <t>1996-04-09</t>
        </is>
      </c>
      <c r="V1539" t="inlineStr">
        <is>
          <t>1996-04-09</t>
        </is>
      </c>
      <c r="W1539" t="inlineStr">
        <is>
          <t>1990-10-10</t>
        </is>
      </c>
      <c r="X1539" t="inlineStr">
        <is>
          <t>1990-10-10</t>
        </is>
      </c>
      <c r="Y1539" t="n">
        <v>879</v>
      </c>
      <c r="Z1539" t="n">
        <v>828</v>
      </c>
      <c r="AA1539" t="n">
        <v>835</v>
      </c>
      <c r="AB1539" t="n">
        <v>8</v>
      </c>
      <c r="AC1539" t="n">
        <v>8</v>
      </c>
      <c r="AD1539" t="n">
        <v>33</v>
      </c>
      <c r="AE1539" t="n">
        <v>33</v>
      </c>
      <c r="AF1539" t="n">
        <v>8</v>
      </c>
      <c r="AG1539" t="n">
        <v>8</v>
      </c>
      <c r="AH1539" t="n">
        <v>3</v>
      </c>
      <c r="AI1539" t="n">
        <v>3</v>
      </c>
      <c r="AJ1539" t="n">
        <v>11</v>
      </c>
      <c r="AK1539" t="n">
        <v>11</v>
      </c>
      <c r="AL1539" t="n">
        <v>4</v>
      </c>
      <c r="AM1539" t="n">
        <v>4</v>
      </c>
      <c r="AN1539" t="n">
        <v>11</v>
      </c>
      <c r="AO1539" t="n">
        <v>11</v>
      </c>
      <c r="AP1539" t="inlineStr">
        <is>
          <t>No</t>
        </is>
      </c>
      <c r="AQ1539" t="inlineStr">
        <is>
          <t>Yes</t>
        </is>
      </c>
      <c r="AR1539">
        <f>HYPERLINK("http://catalog.hathitrust.org/Record/000321340","HathiTrust Record")</f>
        <v/>
      </c>
      <c r="AS1539">
        <f>HYPERLINK("https://creighton-primo.hosted.exlibrisgroup.com/primo-explore/search?tab=default_tab&amp;search_scope=EVERYTHING&amp;vid=01CRU&amp;lang=en_US&amp;offset=0&amp;query=any,contains,991000370229702656","Catalog Record")</f>
        <v/>
      </c>
      <c r="AT1539">
        <f>HYPERLINK("http://www.worldcat.org/oclc/10429812","WorldCat Record")</f>
        <v/>
      </c>
      <c r="AU1539" t="inlineStr">
        <is>
          <t>3300603:eng</t>
        </is>
      </c>
      <c r="AV1539" t="inlineStr">
        <is>
          <t>10429812</t>
        </is>
      </c>
      <c r="AW1539" t="inlineStr">
        <is>
          <t>991000370229702656</t>
        </is>
      </c>
      <c r="AX1539" t="inlineStr">
        <is>
          <t>991000370229702656</t>
        </is>
      </c>
      <c r="AY1539" t="inlineStr">
        <is>
          <t>2259331350002656</t>
        </is>
      </c>
      <c r="AZ1539" t="inlineStr">
        <is>
          <t>BOOK</t>
        </is>
      </c>
      <c r="BB1539" t="inlineStr">
        <is>
          <t>9780025666009</t>
        </is>
      </c>
      <c r="BC1539" t="inlineStr">
        <is>
          <t>32285000337732</t>
        </is>
      </c>
      <c r="BD1539" t="inlineStr">
        <is>
          <t>893902973</t>
        </is>
      </c>
    </row>
    <row r="1540">
      <c r="A1540" t="inlineStr">
        <is>
          <t>No</t>
        </is>
      </c>
      <c r="B1540" t="inlineStr">
        <is>
          <t>DS559.8.M5 F73 1993</t>
        </is>
      </c>
      <c r="C1540" t="inlineStr">
        <is>
          <t>0                      DS 0559800M  5                  F  73          1993</t>
        </is>
      </c>
      <c r="D1540" t="inlineStr">
        <is>
          <t>M.I.A., or, Mythmaking in America / H. Bruce Franklin.</t>
        </is>
      </c>
      <c r="F1540" t="inlineStr">
        <is>
          <t>No</t>
        </is>
      </c>
      <c r="G1540" t="inlineStr">
        <is>
          <t>1</t>
        </is>
      </c>
      <c r="H1540" t="inlineStr">
        <is>
          <t>No</t>
        </is>
      </c>
      <c r="I1540" t="inlineStr">
        <is>
          <t>No</t>
        </is>
      </c>
      <c r="J1540" t="inlineStr">
        <is>
          <t>0</t>
        </is>
      </c>
      <c r="K1540" t="inlineStr">
        <is>
          <t>Franklin, H. Bruce (Howard Bruce), 1934-</t>
        </is>
      </c>
      <c r="L1540" t="inlineStr">
        <is>
          <t>New Brunswick, N.J. : Rutgers University Press, 1993.</t>
        </is>
      </c>
      <c r="M1540" t="inlineStr">
        <is>
          <t>1993</t>
        </is>
      </c>
      <c r="N1540" t="inlineStr">
        <is>
          <t>Expanded and updated ed.</t>
        </is>
      </c>
      <c r="O1540" t="inlineStr">
        <is>
          <t>eng</t>
        </is>
      </c>
      <c r="P1540" t="inlineStr">
        <is>
          <t>nju</t>
        </is>
      </c>
      <c r="R1540" t="inlineStr">
        <is>
          <t xml:space="preserve">DS </t>
        </is>
      </c>
      <c r="S1540" t="n">
        <v>4</v>
      </c>
      <c r="T1540" t="n">
        <v>4</v>
      </c>
      <c r="U1540" t="inlineStr">
        <is>
          <t>2001-01-30</t>
        </is>
      </c>
      <c r="V1540" t="inlineStr">
        <is>
          <t>2001-01-30</t>
        </is>
      </c>
      <c r="W1540" t="inlineStr">
        <is>
          <t>1998-10-20</t>
        </is>
      </c>
      <c r="X1540" t="inlineStr">
        <is>
          <t>1998-10-20</t>
        </is>
      </c>
      <c r="Y1540" t="n">
        <v>184</v>
      </c>
      <c r="Z1540" t="n">
        <v>153</v>
      </c>
      <c r="AA1540" t="n">
        <v>833</v>
      </c>
      <c r="AB1540" t="n">
        <v>2</v>
      </c>
      <c r="AC1540" t="n">
        <v>4</v>
      </c>
      <c r="AD1540" t="n">
        <v>3</v>
      </c>
      <c r="AE1540" t="n">
        <v>24</v>
      </c>
      <c r="AF1540" t="n">
        <v>0</v>
      </c>
      <c r="AG1540" t="n">
        <v>9</v>
      </c>
      <c r="AH1540" t="n">
        <v>1</v>
      </c>
      <c r="AI1540" t="n">
        <v>5</v>
      </c>
      <c r="AJ1540" t="n">
        <v>1</v>
      </c>
      <c r="AK1540" t="n">
        <v>13</v>
      </c>
      <c r="AL1540" t="n">
        <v>1</v>
      </c>
      <c r="AM1540" t="n">
        <v>3</v>
      </c>
      <c r="AN1540" t="n">
        <v>1</v>
      </c>
      <c r="AO1540" t="n">
        <v>1</v>
      </c>
      <c r="AP1540" t="inlineStr">
        <is>
          <t>No</t>
        </is>
      </c>
      <c r="AQ1540" t="inlineStr">
        <is>
          <t>No</t>
        </is>
      </c>
      <c r="AS1540">
        <f>HYPERLINK("https://creighton-primo.hosted.exlibrisgroup.com/primo-explore/search?tab=default_tab&amp;search_scope=EVERYTHING&amp;vid=01CRU&amp;lang=en_US&amp;offset=0&amp;query=any,contains,991002189299702656","Catalog Record")</f>
        <v/>
      </c>
      <c r="AT1540">
        <f>HYPERLINK("http://www.worldcat.org/oclc/28180915","WorldCat Record")</f>
        <v/>
      </c>
      <c r="AU1540" t="inlineStr">
        <is>
          <t>25978546:eng</t>
        </is>
      </c>
      <c r="AV1540" t="inlineStr">
        <is>
          <t>28180915</t>
        </is>
      </c>
      <c r="AW1540" t="inlineStr">
        <is>
          <t>991002189299702656</t>
        </is>
      </c>
      <c r="AX1540" t="inlineStr">
        <is>
          <t>991002189299702656</t>
        </is>
      </c>
      <c r="AY1540" t="inlineStr">
        <is>
          <t>2271441840002656</t>
        </is>
      </c>
      <c r="AZ1540" t="inlineStr">
        <is>
          <t>BOOK</t>
        </is>
      </c>
      <c r="BB1540" t="inlineStr">
        <is>
          <t>9780813520018</t>
        </is>
      </c>
      <c r="BC1540" t="inlineStr">
        <is>
          <t>32285003475190</t>
        </is>
      </c>
      <c r="BD1540" t="inlineStr">
        <is>
          <t>893316489</t>
        </is>
      </c>
    </row>
    <row r="1541">
      <c r="A1541" t="inlineStr">
        <is>
          <t>No</t>
        </is>
      </c>
      <c r="B1541" t="inlineStr">
        <is>
          <t>DS559.8.P65 C45</t>
        </is>
      </c>
      <c r="C1541" t="inlineStr">
        <is>
          <t>0                      DS 0559800P  65                 C  45</t>
        </is>
      </c>
      <c r="D1541" t="inlineStr">
        <is>
          <t>War of ideas : the U.S. propaganda campaign in Vietnam / [by] Robert W. Chandler.</t>
        </is>
      </c>
      <c r="F1541" t="inlineStr">
        <is>
          <t>No</t>
        </is>
      </c>
      <c r="G1541" t="inlineStr">
        <is>
          <t>1</t>
        </is>
      </c>
      <c r="H1541" t="inlineStr">
        <is>
          <t>No</t>
        </is>
      </c>
      <c r="I1541" t="inlineStr">
        <is>
          <t>No</t>
        </is>
      </c>
      <c r="J1541" t="inlineStr">
        <is>
          <t>0</t>
        </is>
      </c>
      <c r="K1541" t="inlineStr">
        <is>
          <t>Chandler, Robert W.</t>
        </is>
      </c>
      <c r="L1541" t="inlineStr">
        <is>
          <t>Boulder, CO : Westview Press, 1981.</t>
        </is>
      </c>
      <c r="M1541" t="inlineStr">
        <is>
          <t>1981</t>
        </is>
      </c>
      <c r="O1541" t="inlineStr">
        <is>
          <t>eng</t>
        </is>
      </c>
      <c r="P1541" t="inlineStr">
        <is>
          <t>cou</t>
        </is>
      </c>
      <c r="Q1541" t="inlineStr">
        <is>
          <t>WVSS in national defense and security</t>
        </is>
      </c>
      <c r="R1541" t="inlineStr">
        <is>
          <t xml:space="preserve">DS </t>
        </is>
      </c>
      <c r="S1541" t="n">
        <v>8</v>
      </c>
      <c r="T1541" t="n">
        <v>8</v>
      </c>
      <c r="U1541" t="inlineStr">
        <is>
          <t>2002-12-20</t>
        </is>
      </c>
      <c r="V1541" t="inlineStr">
        <is>
          <t>2002-12-20</t>
        </is>
      </c>
      <c r="W1541" t="inlineStr">
        <is>
          <t>1990-03-27</t>
        </is>
      </c>
      <c r="X1541" t="inlineStr">
        <is>
          <t>1990-03-27</t>
        </is>
      </c>
      <c r="Y1541" t="n">
        <v>561</v>
      </c>
      <c r="Z1541" t="n">
        <v>476</v>
      </c>
      <c r="AA1541" t="n">
        <v>497</v>
      </c>
      <c r="AB1541" t="n">
        <v>4</v>
      </c>
      <c r="AC1541" t="n">
        <v>4</v>
      </c>
      <c r="AD1541" t="n">
        <v>23</v>
      </c>
      <c r="AE1541" t="n">
        <v>23</v>
      </c>
      <c r="AF1541" t="n">
        <v>9</v>
      </c>
      <c r="AG1541" t="n">
        <v>9</v>
      </c>
      <c r="AH1541" t="n">
        <v>6</v>
      </c>
      <c r="AI1541" t="n">
        <v>6</v>
      </c>
      <c r="AJ1541" t="n">
        <v>12</v>
      </c>
      <c r="AK1541" t="n">
        <v>12</v>
      </c>
      <c r="AL1541" t="n">
        <v>3</v>
      </c>
      <c r="AM1541" t="n">
        <v>3</v>
      </c>
      <c r="AN1541" t="n">
        <v>0</v>
      </c>
      <c r="AO1541" t="n">
        <v>0</v>
      </c>
      <c r="AP1541" t="inlineStr">
        <is>
          <t>No</t>
        </is>
      </c>
      <c r="AQ1541" t="inlineStr">
        <is>
          <t>No</t>
        </is>
      </c>
      <c r="AS1541">
        <f>HYPERLINK("https://creighton-primo.hosted.exlibrisgroup.com/primo-explore/search?tab=default_tab&amp;search_scope=EVERYTHING&amp;vid=01CRU&amp;lang=en_US&amp;offset=0&amp;query=any,contains,991005044579702656","Catalog Record")</f>
        <v/>
      </c>
      <c r="AT1541">
        <f>HYPERLINK("http://www.worldcat.org/oclc/6815970","WorldCat Record")</f>
        <v/>
      </c>
      <c r="AU1541" t="inlineStr">
        <is>
          <t>292211315:eng</t>
        </is>
      </c>
      <c r="AV1541" t="inlineStr">
        <is>
          <t>6815970</t>
        </is>
      </c>
      <c r="AW1541" t="inlineStr">
        <is>
          <t>991005044579702656</t>
        </is>
      </c>
      <c r="AX1541" t="inlineStr">
        <is>
          <t>991005044579702656</t>
        </is>
      </c>
      <c r="AY1541" t="inlineStr">
        <is>
          <t>2265344180002656</t>
        </is>
      </c>
      <c r="AZ1541" t="inlineStr">
        <is>
          <t>BOOK</t>
        </is>
      </c>
      <c r="BC1541" t="inlineStr">
        <is>
          <t>32285000098862</t>
        </is>
      </c>
      <c r="BD1541" t="inlineStr">
        <is>
          <t>893625374</t>
        </is>
      </c>
    </row>
    <row r="1542">
      <c r="A1542" t="inlineStr">
        <is>
          <t>No</t>
        </is>
      </c>
      <c r="B1542" t="inlineStr">
        <is>
          <t>DS559.8.P7 C37 1984</t>
        </is>
      </c>
      <c r="C1542" t="inlineStr">
        <is>
          <t>0                      DS 0559800P  7                  C  37          1984</t>
        </is>
      </c>
      <c r="D1542" t="inlineStr">
        <is>
          <t>Casualties : death in Viet Nam, anguish and survival in America / [compiled by] Heather Brandon.</t>
        </is>
      </c>
      <c r="F1542" t="inlineStr">
        <is>
          <t>No</t>
        </is>
      </c>
      <c r="G1542" t="inlineStr">
        <is>
          <t>1</t>
        </is>
      </c>
      <c r="H1542" t="inlineStr">
        <is>
          <t>No</t>
        </is>
      </c>
      <c r="I1542" t="inlineStr">
        <is>
          <t>No</t>
        </is>
      </c>
      <c r="J1542" t="inlineStr">
        <is>
          <t>0</t>
        </is>
      </c>
      <c r="L1542" t="inlineStr">
        <is>
          <t>New York : St. Martin's Press, c1984.</t>
        </is>
      </c>
      <c r="M1542" t="inlineStr">
        <is>
          <t>1984</t>
        </is>
      </c>
      <c r="N1542" t="inlineStr">
        <is>
          <t>1st ed.</t>
        </is>
      </c>
      <c r="O1542" t="inlineStr">
        <is>
          <t>eng</t>
        </is>
      </c>
      <c r="P1542" t="inlineStr">
        <is>
          <t>nyu</t>
        </is>
      </c>
      <c r="R1542" t="inlineStr">
        <is>
          <t xml:space="preserve">DS </t>
        </is>
      </c>
      <c r="S1542" t="n">
        <v>1</v>
      </c>
      <c r="T1542" t="n">
        <v>1</v>
      </c>
      <c r="U1542" t="inlineStr">
        <is>
          <t>2002-09-10</t>
        </is>
      </c>
      <c r="V1542" t="inlineStr">
        <is>
          <t>2002-09-10</t>
        </is>
      </c>
      <c r="W1542" t="inlineStr">
        <is>
          <t>1990-03-27</t>
        </is>
      </c>
      <c r="X1542" t="inlineStr">
        <is>
          <t>1990-03-27</t>
        </is>
      </c>
      <c r="Y1542" t="n">
        <v>505</v>
      </c>
      <c r="Z1542" t="n">
        <v>484</v>
      </c>
      <c r="AA1542" t="n">
        <v>489</v>
      </c>
      <c r="AB1542" t="n">
        <v>5</v>
      </c>
      <c r="AC1542" t="n">
        <v>5</v>
      </c>
      <c r="AD1542" t="n">
        <v>15</v>
      </c>
      <c r="AE1542" t="n">
        <v>15</v>
      </c>
      <c r="AF1542" t="n">
        <v>5</v>
      </c>
      <c r="AG1542" t="n">
        <v>5</v>
      </c>
      <c r="AH1542" t="n">
        <v>3</v>
      </c>
      <c r="AI1542" t="n">
        <v>3</v>
      </c>
      <c r="AJ1542" t="n">
        <v>7</v>
      </c>
      <c r="AK1542" t="n">
        <v>7</v>
      </c>
      <c r="AL1542" t="n">
        <v>2</v>
      </c>
      <c r="AM1542" t="n">
        <v>2</v>
      </c>
      <c r="AN1542" t="n">
        <v>0</v>
      </c>
      <c r="AO1542" t="n">
        <v>0</v>
      </c>
      <c r="AP1542" t="inlineStr">
        <is>
          <t>No</t>
        </is>
      </c>
      <c r="AQ1542" t="inlineStr">
        <is>
          <t>No</t>
        </is>
      </c>
      <c r="AS1542">
        <f>HYPERLINK("https://creighton-primo.hosted.exlibrisgroup.com/primo-explore/search?tab=default_tab&amp;search_scope=EVERYTHING&amp;vid=01CRU&amp;lang=en_US&amp;offset=0&amp;query=any,contains,991000465039702656","Catalog Record")</f>
        <v/>
      </c>
      <c r="AT1542">
        <f>HYPERLINK("http://www.worldcat.org/oclc/10950299","WorldCat Record")</f>
        <v/>
      </c>
      <c r="AU1542" t="inlineStr">
        <is>
          <t>2824443:eng</t>
        </is>
      </c>
      <c r="AV1542" t="inlineStr">
        <is>
          <t>10950299</t>
        </is>
      </c>
      <c r="AW1542" t="inlineStr">
        <is>
          <t>991000465039702656</t>
        </is>
      </c>
      <c r="AX1542" t="inlineStr">
        <is>
          <t>991000465039702656</t>
        </is>
      </c>
      <c r="AY1542" t="inlineStr">
        <is>
          <t>2260968210002656</t>
        </is>
      </c>
      <c r="AZ1542" t="inlineStr">
        <is>
          <t>BOOK</t>
        </is>
      </c>
      <c r="BB1542" t="inlineStr">
        <is>
          <t>9780312123581</t>
        </is>
      </c>
      <c r="BC1542" t="inlineStr">
        <is>
          <t>32285000098854</t>
        </is>
      </c>
      <c r="BD1542" t="inlineStr">
        <is>
          <t>893444325</t>
        </is>
      </c>
    </row>
    <row r="1543">
      <c r="A1543" t="inlineStr">
        <is>
          <t>No</t>
        </is>
      </c>
      <c r="B1543" t="inlineStr">
        <is>
          <t>DS559.8.S4 W47 1998</t>
        </is>
      </c>
      <c r="C1543" t="inlineStr">
        <is>
          <t>0                      DS 0559800S  4                  W  47          1998</t>
        </is>
      </c>
      <c r="D1543" t="inlineStr">
        <is>
          <t>The rescue of Bat 21 / Darrel D Whitcomb.</t>
        </is>
      </c>
      <c r="F1543" t="inlineStr">
        <is>
          <t>No</t>
        </is>
      </c>
      <c r="G1543" t="inlineStr">
        <is>
          <t>1</t>
        </is>
      </c>
      <c r="H1543" t="inlineStr">
        <is>
          <t>No</t>
        </is>
      </c>
      <c r="I1543" t="inlineStr">
        <is>
          <t>No</t>
        </is>
      </c>
      <c r="J1543" t="inlineStr">
        <is>
          <t>0</t>
        </is>
      </c>
      <c r="K1543" t="inlineStr">
        <is>
          <t>Whitcomb, Darrel D., 1947-</t>
        </is>
      </c>
      <c r="L1543" t="inlineStr">
        <is>
          <t>Annapolis, Md. : Naval Institute Press, 1998.</t>
        </is>
      </c>
      <c r="M1543" t="inlineStr">
        <is>
          <t>1998</t>
        </is>
      </c>
      <c r="O1543" t="inlineStr">
        <is>
          <t>eng</t>
        </is>
      </c>
      <c r="P1543" t="inlineStr">
        <is>
          <t>mdu</t>
        </is>
      </c>
      <c r="R1543" t="inlineStr">
        <is>
          <t xml:space="preserve">DS </t>
        </is>
      </c>
      <c r="S1543" t="n">
        <v>5</v>
      </c>
      <c r="T1543" t="n">
        <v>5</v>
      </c>
      <c r="U1543" t="inlineStr">
        <is>
          <t>2006-12-08</t>
        </is>
      </c>
      <c r="V1543" t="inlineStr">
        <is>
          <t>2006-12-08</t>
        </is>
      </c>
      <c r="W1543" t="inlineStr">
        <is>
          <t>1999-10-27</t>
        </is>
      </c>
      <c r="X1543" t="inlineStr">
        <is>
          <t>1999-10-27</t>
        </is>
      </c>
      <c r="Y1543" t="n">
        <v>202</v>
      </c>
      <c r="Z1543" t="n">
        <v>189</v>
      </c>
      <c r="AA1543" t="n">
        <v>359</v>
      </c>
      <c r="AB1543" t="n">
        <v>2</v>
      </c>
      <c r="AC1543" t="n">
        <v>4</v>
      </c>
      <c r="AD1543" t="n">
        <v>3</v>
      </c>
      <c r="AE1543" t="n">
        <v>5</v>
      </c>
      <c r="AF1543" t="n">
        <v>2</v>
      </c>
      <c r="AG1543" t="n">
        <v>3</v>
      </c>
      <c r="AH1543" t="n">
        <v>0</v>
      </c>
      <c r="AI1543" t="n">
        <v>1</v>
      </c>
      <c r="AJ1543" t="n">
        <v>3</v>
      </c>
      <c r="AK1543" t="n">
        <v>3</v>
      </c>
      <c r="AL1543" t="n">
        <v>0</v>
      </c>
      <c r="AM1543" t="n">
        <v>1</v>
      </c>
      <c r="AN1543" t="n">
        <v>0</v>
      </c>
      <c r="AO1543" t="n">
        <v>0</v>
      </c>
      <c r="AP1543" t="inlineStr">
        <is>
          <t>No</t>
        </is>
      </c>
      <c r="AQ1543" t="inlineStr">
        <is>
          <t>Yes</t>
        </is>
      </c>
      <c r="AR1543">
        <f>HYPERLINK("http://catalog.hathitrust.org/Record/003971522","HathiTrust Record")</f>
        <v/>
      </c>
      <c r="AS1543">
        <f>HYPERLINK("https://creighton-primo.hosted.exlibrisgroup.com/primo-explore/search?tab=default_tab&amp;search_scope=EVERYTHING&amp;vid=01CRU&amp;lang=en_US&amp;offset=0&amp;query=any,contains,991002878979702656","Catalog Record")</f>
        <v/>
      </c>
      <c r="AT1543">
        <f>HYPERLINK("http://www.worldcat.org/oclc/37935232","WorldCat Record")</f>
        <v/>
      </c>
      <c r="AU1543" t="inlineStr">
        <is>
          <t>667784:eng</t>
        </is>
      </c>
      <c r="AV1543" t="inlineStr">
        <is>
          <t>37935232</t>
        </is>
      </c>
      <c r="AW1543" t="inlineStr">
        <is>
          <t>991002878979702656</t>
        </is>
      </c>
      <c r="AX1543" t="inlineStr">
        <is>
          <t>991002878979702656</t>
        </is>
      </c>
      <c r="AY1543" t="inlineStr">
        <is>
          <t>2266314740002656</t>
        </is>
      </c>
      <c r="AZ1543" t="inlineStr">
        <is>
          <t>BOOK</t>
        </is>
      </c>
      <c r="BB1543" t="inlineStr">
        <is>
          <t>9781557509468</t>
        </is>
      </c>
      <c r="BC1543" t="inlineStr">
        <is>
          <t>32285003614673</t>
        </is>
      </c>
      <c r="BD1543" t="inlineStr">
        <is>
          <t>893893114</t>
        </is>
      </c>
    </row>
    <row r="1544">
      <c r="A1544" t="inlineStr">
        <is>
          <t>No</t>
        </is>
      </c>
      <c r="B1544" t="inlineStr">
        <is>
          <t>DS559.8.W6 M37 1988</t>
        </is>
      </c>
      <c r="C1544" t="inlineStr">
        <is>
          <t>0                      DS 0559800W  6                  M  37          1988</t>
        </is>
      </c>
      <c r="D1544" t="inlineStr">
        <is>
          <t>In the combat zone : vivid personal recollections of the Vietnam War from the women who served there / Kathryn Marshall.</t>
        </is>
      </c>
      <c r="F1544" t="inlineStr">
        <is>
          <t>No</t>
        </is>
      </c>
      <c r="G1544" t="inlineStr">
        <is>
          <t>1</t>
        </is>
      </c>
      <c r="H1544" t="inlineStr">
        <is>
          <t>No</t>
        </is>
      </c>
      <c r="I1544" t="inlineStr">
        <is>
          <t>No</t>
        </is>
      </c>
      <c r="J1544" t="inlineStr">
        <is>
          <t>0</t>
        </is>
      </c>
      <c r="K1544" t="inlineStr">
        <is>
          <t>Marshall, Kathryn.</t>
        </is>
      </c>
      <c r="L1544" t="inlineStr">
        <is>
          <t>New York, NY : Penguin Books, 1988, c1987.</t>
        </is>
      </c>
      <c r="M1544" t="inlineStr">
        <is>
          <t>1988</t>
        </is>
      </c>
      <c r="O1544" t="inlineStr">
        <is>
          <t>eng</t>
        </is>
      </c>
      <c r="P1544" t="inlineStr">
        <is>
          <t>nyu</t>
        </is>
      </c>
      <c r="R1544" t="inlineStr">
        <is>
          <t xml:space="preserve">DS </t>
        </is>
      </c>
      <c r="S1544" t="n">
        <v>11</v>
      </c>
      <c r="T1544" t="n">
        <v>11</v>
      </c>
      <c r="U1544" t="inlineStr">
        <is>
          <t>1997-03-11</t>
        </is>
      </c>
      <c r="V1544" t="inlineStr">
        <is>
          <t>1997-03-11</t>
        </is>
      </c>
      <c r="W1544" t="inlineStr">
        <is>
          <t>1990-03-27</t>
        </is>
      </c>
      <c r="X1544" t="inlineStr">
        <is>
          <t>1990-03-27</t>
        </is>
      </c>
      <c r="Y1544" t="n">
        <v>146</v>
      </c>
      <c r="Z1544" t="n">
        <v>140</v>
      </c>
      <c r="AA1544" t="n">
        <v>140</v>
      </c>
      <c r="AB1544" t="n">
        <v>3</v>
      </c>
      <c r="AC1544" t="n">
        <v>3</v>
      </c>
      <c r="AD1544" t="n">
        <v>6</v>
      </c>
      <c r="AE1544" t="n">
        <v>6</v>
      </c>
      <c r="AF1544" t="n">
        <v>3</v>
      </c>
      <c r="AG1544" t="n">
        <v>3</v>
      </c>
      <c r="AH1544" t="n">
        <v>2</v>
      </c>
      <c r="AI1544" t="n">
        <v>2</v>
      </c>
      <c r="AJ1544" t="n">
        <v>3</v>
      </c>
      <c r="AK1544" t="n">
        <v>3</v>
      </c>
      <c r="AL1544" t="n">
        <v>1</v>
      </c>
      <c r="AM1544" t="n">
        <v>1</v>
      </c>
      <c r="AN1544" t="n">
        <v>0</v>
      </c>
      <c r="AO1544" t="n">
        <v>0</v>
      </c>
      <c r="AP1544" t="inlineStr">
        <is>
          <t>No</t>
        </is>
      </c>
      <c r="AQ1544" t="inlineStr">
        <is>
          <t>No</t>
        </is>
      </c>
      <c r="AS1544">
        <f>HYPERLINK("https://creighton-primo.hosted.exlibrisgroup.com/primo-explore/search?tab=default_tab&amp;search_scope=EVERYTHING&amp;vid=01CRU&amp;lang=en_US&amp;offset=0&amp;query=any,contains,991001165829702656","Catalog Record")</f>
        <v/>
      </c>
      <c r="AT1544">
        <f>HYPERLINK("http://www.worldcat.org/oclc/16923159","WorldCat Record")</f>
        <v/>
      </c>
      <c r="AU1544" t="inlineStr">
        <is>
          <t>3943477346:eng</t>
        </is>
      </c>
      <c r="AV1544" t="inlineStr">
        <is>
          <t>16923159</t>
        </is>
      </c>
      <c r="AW1544" t="inlineStr">
        <is>
          <t>991001165829702656</t>
        </is>
      </c>
      <c r="AX1544" t="inlineStr">
        <is>
          <t>991001165829702656</t>
        </is>
      </c>
      <c r="AY1544" t="inlineStr">
        <is>
          <t>2269792180002656</t>
        </is>
      </c>
      <c r="AZ1544" t="inlineStr">
        <is>
          <t>BOOK</t>
        </is>
      </c>
      <c r="BB1544" t="inlineStr">
        <is>
          <t>9780140108293</t>
        </is>
      </c>
      <c r="BC1544" t="inlineStr">
        <is>
          <t>32285000097427</t>
        </is>
      </c>
      <c r="BD1544" t="inlineStr">
        <is>
          <t>893614840</t>
        </is>
      </c>
    </row>
    <row r="1545">
      <c r="A1545" t="inlineStr">
        <is>
          <t>No</t>
        </is>
      </c>
      <c r="B1545" t="inlineStr">
        <is>
          <t>DS559.8.W6 N67 1990</t>
        </is>
      </c>
      <c r="C1545" t="inlineStr">
        <is>
          <t>0                      DS 0559800W  6                  N  67          1990</t>
        </is>
      </c>
      <c r="D1545" t="inlineStr">
        <is>
          <t>Women at war : the story of fifty military nurses who served in Vietnam / Elizabeth M. Norman.</t>
        </is>
      </c>
      <c r="F1545" t="inlineStr">
        <is>
          <t>No</t>
        </is>
      </c>
      <c r="G1545" t="inlineStr">
        <is>
          <t>1</t>
        </is>
      </c>
      <c r="H1545" t="inlineStr">
        <is>
          <t>No</t>
        </is>
      </c>
      <c r="I1545" t="inlineStr">
        <is>
          <t>No</t>
        </is>
      </c>
      <c r="J1545" t="inlineStr">
        <is>
          <t>0</t>
        </is>
      </c>
      <c r="K1545" t="inlineStr">
        <is>
          <t>Norman, Elizabeth M.</t>
        </is>
      </c>
      <c r="L1545" t="inlineStr">
        <is>
          <t>Philadelphia : University of Pennsylvania Press, c1990.</t>
        </is>
      </c>
      <c r="M1545" t="inlineStr">
        <is>
          <t>1990</t>
        </is>
      </c>
      <c r="O1545" t="inlineStr">
        <is>
          <t>eng</t>
        </is>
      </c>
      <c r="P1545" t="inlineStr">
        <is>
          <t>pau</t>
        </is>
      </c>
      <c r="R1545" t="inlineStr">
        <is>
          <t xml:space="preserve">DS </t>
        </is>
      </c>
      <c r="S1545" t="n">
        <v>21</v>
      </c>
      <c r="T1545" t="n">
        <v>21</v>
      </c>
      <c r="U1545" t="inlineStr">
        <is>
          <t>2000-03-13</t>
        </is>
      </c>
      <c r="V1545" t="inlineStr">
        <is>
          <t>2000-03-13</t>
        </is>
      </c>
      <c r="W1545" t="inlineStr">
        <is>
          <t>1990-11-27</t>
        </is>
      </c>
      <c r="X1545" t="inlineStr">
        <is>
          <t>1990-11-27</t>
        </is>
      </c>
      <c r="Y1545" t="n">
        <v>957</v>
      </c>
      <c r="Z1545" t="n">
        <v>886</v>
      </c>
      <c r="AA1545" t="n">
        <v>1252</v>
      </c>
      <c r="AB1545" t="n">
        <v>9</v>
      </c>
      <c r="AC1545" t="n">
        <v>11</v>
      </c>
      <c r="AD1545" t="n">
        <v>39</v>
      </c>
      <c r="AE1545" t="n">
        <v>51</v>
      </c>
      <c r="AF1545" t="n">
        <v>17</v>
      </c>
      <c r="AG1545" t="n">
        <v>21</v>
      </c>
      <c r="AH1545" t="n">
        <v>8</v>
      </c>
      <c r="AI1545" t="n">
        <v>11</v>
      </c>
      <c r="AJ1545" t="n">
        <v>15</v>
      </c>
      <c r="AK1545" t="n">
        <v>20</v>
      </c>
      <c r="AL1545" t="n">
        <v>7</v>
      </c>
      <c r="AM1545" t="n">
        <v>9</v>
      </c>
      <c r="AN1545" t="n">
        <v>0</v>
      </c>
      <c r="AO1545" t="n">
        <v>1</v>
      </c>
      <c r="AP1545" t="inlineStr">
        <is>
          <t>No</t>
        </is>
      </c>
      <c r="AQ1545" t="inlineStr">
        <is>
          <t>Yes</t>
        </is>
      </c>
      <c r="AR1545">
        <f>HYPERLINK("http://catalog.hathitrust.org/Record/002210233","HathiTrust Record")</f>
        <v/>
      </c>
      <c r="AS1545">
        <f>HYPERLINK("https://creighton-primo.hosted.exlibrisgroup.com/primo-explore/search?tab=default_tab&amp;search_scope=EVERYTHING&amp;vid=01CRU&amp;lang=en_US&amp;offset=0&amp;query=any,contains,991001676869702656","Catalog Record")</f>
        <v/>
      </c>
      <c r="AT1545">
        <f>HYPERLINK("http://www.worldcat.org/oclc/21332836","WorldCat Record")</f>
        <v/>
      </c>
      <c r="AU1545" t="inlineStr">
        <is>
          <t>836885823:eng</t>
        </is>
      </c>
      <c r="AV1545" t="inlineStr">
        <is>
          <t>21332836</t>
        </is>
      </c>
      <c r="AW1545" t="inlineStr">
        <is>
          <t>991001676869702656</t>
        </is>
      </c>
      <c r="AX1545" t="inlineStr">
        <is>
          <t>991001676869702656</t>
        </is>
      </c>
      <c r="AY1545" t="inlineStr">
        <is>
          <t>2261059820002656</t>
        </is>
      </c>
      <c r="AZ1545" t="inlineStr">
        <is>
          <t>BOOK</t>
        </is>
      </c>
      <c r="BB1545" t="inlineStr">
        <is>
          <t>9780812213171</t>
        </is>
      </c>
      <c r="BC1545" t="inlineStr">
        <is>
          <t>32285000357524</t>
        </is>
      </c>
      <c r="BD1545" t="inlineStr">
        <is>
          <t>893334488</t>
        </is>
      </c>
    </row>
    <row r="1546">
      <c r="A1546" t="inlineStr">
        <is>
          <t>No</t>
        </is>
      </c>
      <c r="B1546" t="inlineStr">
        <is>
          <t>DS559.8.W6 S73 2000</t>
        </is>
      </c>
      <c r="C1546" t="inlineStr">
        <is>
          <t>0                      DS 0559800W  6                  S  73          2000</t>
        </is>
      </c>
      <c r="D1546" t="inlineStr">
        <is>
          <t>Women in Vietnam / Ron Steinman.</t>
        </is>
      </c>
      <c r="F1546" t="inlineStr">
        <is>
          <t>No</t>
        </is>
      </c>
      <c r="G1546" t="inlineStr">
        <is>
          <t>1</t>
        </is>
      </c>
      <c r="H1546" t="inlineStr">
        <is>
          <t>No</t>
        </is>
      </c>
      <c r="I1546" t="inlineStr">
        <is>
          <t>No</t>
        </is>
      </c>
      <c r="J1546" t="inlineStr">
        <is>
          <t>0</t>
        </is>
      </c>
      <c r="K1546" t="inlineStr">
        <is>
          <t>Steinman, Ron, 1934-</t>
        </is>
      </c>
      <c r="L1546" t="inlineStr">
        <is>
          <t>New York : TV Books, c2000.</t>
        </is>
      </c>
      <c r="M1546" t="inlineStr">
        <is>
          <t>2000</t>
        </is>
      </c>
      <c r="O1546" t="inlineStr">
        <is>
          <t>eng</t>
        </is>
      </c>
      <c r="P1546" t="inlineStr">
        <is>
          <t>nyu</t>
        </is>
      </c>
      <c r="R1546" t="inlineStr">
        <is>
          <t xml:space="preserve">DS </t>
        </is>
      </c>
      <c r="S1546" t="n">
        <v>1</v>
      </c>
      <c r="T1546" t="n">
        <v>1</v>
      </c>
      <c r="U1546" t="inlineStr">
        <is>
          <t>2000-10-24</t>
        </is>
      </c>
      <c r="V1546" t="inlineStr">
        <is>
          <t>2000-10-24</t>
        </is>
      </c>
      <c r="W1546" t="inlineStr">
        <is>
          <t>2000-10-24</t>
        </is>
      </c>
      <c r="X1546" t="inlineStr">
        <is>
          <t>2000-10-24</t>
        </is>
      </c>
      <c r="Y1546" t="n">
        <v>502</v>
      </c>
      <c r="Z1546" t="n">
        <v>472</v>
      </c>
      <c r="AA1546" t="n">
        <v>477</v>
      </c>
      <c r="AB1546" t="n">
        <v>4</v>
      </c>
      <c r="AC1546" t="n">
        <v>4</v>
      </c>
      <c r="AD1546" t="n">
        <v>16</v>
      </c>
      <c r="AE1546" t="n">
        <v>16</v>
      </c>
      <c r="AF1546" t="n">
        <v>4</v>
      </c>
      <c r="AG1546" t="n">
        <v>4</v>
      </c>
      <c r="AH1546" t="n">
        <v>4</v>
      </c>
      <c r="AI1546" t="n">
        <v>4</v>
      </c>
      <c r="AJ1546" t="n">
        <v>10</v>
      </c>
      <c r="AK1546" t="n">
        <v>10</v>
      </c>
      <c r="AL1546" t="n">
        <v>3</v>
      </c>
      <c r="AM1546" t="n">
        <v>3</v>
      </c>
      <c r="AN1546" t="n">
        <v>0</v>
      </c>
      <c r="AO1546" t="n">
        <v>0</v>
      </c>
      <c r="AP1546" t="inlineStr">
        <is>
          <t>No</t>
        </is>
      </c>
      <c r="AQ1546" t="inlineStr">
        <is>
          <t>No</t>
        </is>
      </c>
      <c r="AS1546">
        <f>HYPERLINK("https://creighton-primo.hosted.exlibrisgroup.com/primo-explore/search?tab=default_tab&amp;search_scope=EVERYTHING&amp;vid=01CRU&amp;lang=en_US&amp;offset=0&amp;query=any,contains,991003284399702656","Catalog Record")</f>
        <v/>
      </c>
      <c r="AT1546">
        <f>HYPERLINK("http://www.worldcat.org/oclc/44089161","WorldCat Record")</f>
        <v/>
      </c>
      <c r="AU1546" t="inlineStr">
        <is>
          <t>3943761061:eng</t>
        </is>
      </c>
      <c r="AV1546" t="inlineStr">
        <is>
          <t>44089161</t>
        </is>
      </c>
      <c r="AW1546" t="inlineStr">
        <is>
          <t>991003284399702656</t>
        </is>
      </c>
      <c r="AX1546" t="inlineStr">
        <is>
          <t>991003284399702656</t>
        </is>
      </c>
      <c r="AY1546" t="inlineStr">
        <is>
          <t>2263058870002656</t>
        </is>
      </c>
      <c r="AZ1546" t="inlineStr">
        <is>
          <t>BOOK</t>
        </is>
      </c>
      <c r="BB1546" t="inlineStr">
        <is>
          <t>9781575001395</t>
        </is>
      </c>
      <c r="BC1546" t="inlineStr">
        <is>
          <t>32285004260047</t>
        </is>
      </c>
      <c r="BD1546" t="inlineStr">
        <is>
          <t>893330166</t>
        </is>
      </c>
    </row>
    <row r="1547">
      <c r="A1547" t="inlineStr">
        <is>
          <t>No</t>
        </is>
      </c>
      <c r="B1547" t="inlineStr">
        <is>
          <t>DS559.83.W18 S37 1992</t>
        </is>
      </c>
      <c r="C1547" t="inlineStr">
        <is>
          <t>0                      DS 0559830W  18                 S  37          1992</t>
        </is>
      </c>
      <c r="D1547" t="inlineStr">
        <is>
          <t>The Wall that heals / by Jan Scruggs ; with editorial assistance from Kim Murphy.</t>
        </is>
      </c>
      <c r="F1547" t="inlineStr">
        <is>
          <t>No</t>
        </is>
      </c>
      <c r="G1547" t="inlineStr">
        <is>
          <t>1</t>
        </is>
      </c>
      <c r="H1547" t="inlineStr">
        <is>
          <t>No</t>
        </is>
      </c>
      <c r="I1547" t="inlineStr">
        <is>
          <t>No</t>
        </is>
      </c>
      <c r="J1547" t="inlineStr">
        <is>
          <t>0</t>
        </is>
      </c>
      <c r="K1547" t="inlineStr">
        <is>
          <t>Scruggs, Jan C.</t>
        </is>
      </c>
      <c r="L1547" t="inlineStr">
        <is>
          <t>[Washington, D.C.] : Vietnam Veterans Memorial Fund, c1992.</t>
        </is>
      </c>
      <c r="M1547" t="inlineStr">
        <is>
          <t>1992</t>
        </is>
      </c>
      <c r="N1547" t="inlineStr">
        <is>
          <t>1st ed.</t>
        </is>
      </c>
      <c r="O1547" t="inlineStr">
        <is>
          <t>eng</t>
        </is>
      </c>
      <c r="P1547" t="inlineStr">
        <is>
          <t>dcu</t>
        </is>
      </c>
      <c r="R1547" t="inlineStr">
        <is>
          <t xml:space="preserve">DS </t>
        </is>
      </c>
      <c r="S1547" t="n">
        <v>3</v>
      </c>
      <c r="T1547" t="n">
        <v>3</v>
      </c>
      <c r="U1547" t="inlineStr">
        <is>
          <t>2001-01-17</t>
        </is>
      </c>
      <c r="V1547" t="inlineStr">
        <is>
          <t>2001-01-17</t>
        </is>
      </c>
      <c r="W1547" t="inlineStr">
        <is>
          <t>1995-12-11</t>
        </is>
      </c>
      <c r="X1547" t="inlineStr">
        <is>
          <t>1995-12-11</t>
        </is>
      </c>
      <c r="Y1547" t="n">
        <v>196</v>
      </c>
      <c r="Z1547" t="n">
        <v>195</v>
      </c>
      <c r="AA1547" t="n">
        <v>200</v>
      </c>
      <c r="AB1547" t="n">
        <v>11</v>
      </c>
      <c r="AC1547" t="n">
        <v>11</v>
      </c>
      <c r="AD1547" t="n">
        <v>4</v>
      </c>
      <c r="AE1547" t="n">
        <v>4</v>
      </c>
      <c r="AF1547" t="n">
        <v>2</v>
      </c>
      <c r="AG1547" t="n">
        <v>2</v>
      </c>
      <c r="AH1547" t="n">
        <v>0</v>
      </c>
      <c r="AI1547" t="n">
        <v>0</v>
      </c>
      <c r="AJ1547" t="n">
        <v>0</v>
      </c>
      <c r="AK1547" t="n">
        <v>0</v>
      </c>
      <c r="AL1547" t="n">
        <v>2</v>
      </c>
      <c r="AM1547" t="n">
        <v>2</v>
      </c>
      <c r="AN1547" t="n">
        <v>0</v>
      </c>
      <c r="AO1547" t="n">
        <v>0</v>
      </c>
      <c r="AP1547" t="inlineStr">
        <is>
          <t>No</t>
        </is>
      </c>
      <c r="AQ1547" t="inlineStr">
        <is>
          <t>No</t>
        </is>
      </c>
      <c r="AS1547">
        <f>HYPERLINK("https://creighton-primo.hosted.exlibrisgroup.com/primo-explore/search?tab=default_tab&amp;search_scope=EVERYTHING&amp;vid=01CRU&amp;lang=en_US&amp;offset=0&amp;query=any,contains,991002035969702656","Catalog Record")</f>
        <v/>
      </c>
      <c r="AT1547">
        <f>HYPERLINK("http://www.worldcat.org/oclc/25963756","WorldCat Record")</f>
        <v/>
      </c>
      <c r="AU1547" t="inlineStr">
        <is>
          <t>28522856:eng</t>
        </is>
      </c>
      <c r="AV1547" t="inlineStr">
        <is>
          <t>25963756</t>
        </is>
      </c>
      <c r="AW1547" t="inlineStr">
        <is>
          <t>991002035969702656</t>
        </is>
      </c>
      <c r="AX1547" t="inlineStr">
        <is>
          <t>991002035969702656</t>
        </is>
      </c>
      <c r="AY1547" t="inlineStr">
        <is>
          <t>2259882610002656</t>
        </is>
      </c>
      <c r="AZ1547" t="inlineStr">
        <is>
          <t>BOOK</t>
        </is>
      </c>
      <c r="BC1547" t="inlineStr">
        <is>
          <t>32285002110806</t>
        </is>
      </c>
      <c r="BD1547" t="inlineStr">
        <is>
          <t>893703599</t>
        </is>
      </c>
    </row>
    <row r="1548">
      <c r="A1548" t="inlineStr">
        <is>
          <t>No</t>
        </is>
      </c>
      <c r="B1548" t="inlineStr">
        <is>
          <t>DS559.9.S24 B87 1985</t>
        </is>
      </c>
      <c r="C1548" t="inlineStr">
        <is>
          <t>0                      DS 0559900S  24                 B  87          1985</t>
        </is>
      </c>
      <c r="D1548" t="inlineStr">
        <is>
          <t>The fall of Saigon : scenes from the sudden end of a long war / David Butler.</t>
        </is>
      </c>
      <c r="F1548" t="inlineStr">
        <is>
          <t>No</t>
        </is>
      </c>
      <c r="G1548" t="inlineStr">
        <is>
          <t>1</t>
        </is>
      </c>
      <c r="H1548" t="inlineStr">
        <is>
          <t>No</t>
        </is>
      </c>
      <c r="I1548" t="inlineStr">
        <is>
          <t>No</t>
        </is>
      </c>
      <c r="J1548" t="inlineStr">
        <is>
          <t>0</t>
        </is>
      </c>
      <c r="K1548" t="inlineStr">
        <is>
          <t>Butler, David, 1941-</t>
        </is>
      </c>
      <c r="L1548" t="inlineStr">
        <is>
          <t>New York : Simon and Schuster, c1985.</t>
        </is>
      </c>
      <c r="M1548" t="inlineStr">
        <is>
          <t>1985</t>
        </is>
      </c>
      <c r="O1548" t="inlineStr">
        <is>
          <t>eng</t>
        </is>
      </c>
      <c r="P1548" t="inlineStr">
        <is>
          <t>nyu</t>
        </is>
      </c>
      <c r="R1548" t="inlineStr">
        <is>
          <t xml:space="preserve">DS </t>
        </is>
      </c>
      <c r="S1548" t="n">
        <v>3</v>
      </c>
      <c r="T1548" t="n">
        <v>3</v>
      </c>
      <c r="U1548" t="inlineStr">
        <is>
          <t>2002-09-10</t>
        </is>
      </c>
      <c r="V1548" t="inlineStr">
        <is>
          <t>2002-09-10</t>
        </is>
      </c>
      <c r="W1548" t="inlineStr">
        <is>
          <t>1990-05-08</t>
        </is>
      </c>
      <c r="X1548" t="inlineStr">
        <is>
          <t>1990-05-08</t>
        </is>
      </c>
      <c r="Y1548" t="n">
        <v>1174</v>
      </c>
      <c r="Z1548" t="n">
        <v>1108</v>
      </c>
      <c r="AA1548" t="n">
        <v>1167</v>
      </c>
      <c r="AB1548" t="n">
        <v>10</v>
      </c>
      <c r="AC1548" t="n">
        <v>11</v>
      </c>
      <c r="AD1548" t="n">
        <v>26</v>
      </c>
      <c r="AE1548" t="n">
        <v>29</v>
      </c>
      <c r="AF1548" t="n">
        <v>12</v>
      </c>
      <c r="AG1548" t="n">
        <v>14</v>
      </c>
      <c r="AH1548" t="n">
        <v>4</v>
      </c>
      <c r="AI1548" t="n">
        <v>4</v>
      </c>
      <c r="AJ1548" t="n">
        <v>15</v>
      </c>
      <c r="AK1548" t="n">
        <v>16</v>
      </c>
      <c r="AL1548" t="n">
        <v>2</v>
      </c>
      <c r="AM1548" t="n">
        <v>3</v>
      </c>
      <c r="AN1548" t="n">
        <v>0</v>
      </c>
      <c r="AO1548" t="n">
        <v>0</v>
      </c>
      <c r="AP1548" t="inlineStr">
        <is>
          <t>No</t>
        </is>
      </c>
      <c r="AQ1548" t="inlineStr">
        <is>
          <t>Yes</t>
        </is>
      </c>
      <c r="AR1548">
        <f>HYPERLINK("http://catalog.hathitrust.org/Record/000373428","HathiTrust Record")</f>
        <v/>
      </c>
      <c r="AS1548">
        <f>HYPERLINK("https://creighton-primo.hosted.exlibrisgroup.com/primo-explore/search?tab=default_tab&amp;search_scope=EVERYTHING&amp;vid=01CRU&amp;lang=en_US&amp;offset=0&amp;query=any,contains,991000589089702656","Catalog Record")</f>
        <v/>
      </c>
      <c r="AT1548">
        <f>HYPERLINK("http://www.worldcat.org/oclc/11783687","WorldCat Record")</f>
        <v/>
      </c>
      <c r="AU1548" t="inlineStr">
        <is>
          <t>4607593:eng</t>
        </is>
      </c>
      <c r="AV1548" t="inlineStr">
        <is>
          <t>11783687</t>
        </is>
      </c>
      <c r="AW1548" t="inlineStr">
        <is>
          <t>991000589089702656</t>
        </is>
      </c>
      <c r="AX1548" t="inlineStr">
        <is>
          <t>991000589089702656</t>
        </is>
      </c>
      <c r="AY1548" t="inlineStr">
        <is>
          <t>2255307980002656</t>
        </is>
      </c>
      <c r="AZ1548" t="inlineStr">
        <is>
          <t>BOOK</t>
        </is>
      </c>
      <c r="BB1548" t="inlineStr">
        <is>
          <t>9780671466756</t>
        </is>
      </c>
      <c r="BC1548" t="inlineStr">
        <is>
          <t>32285000150697</t>
        </is>
      </c>
      <c r="BD1548" t="inlineStr">
        <is>
          <t>893626369</t>
        </is>
      </c>
    </row>
    <row r="1549">
      <c r="A1549" t="inlineStr">
        <is>
          <t>No</t>
        </is>
      </c>
      <c r="B1549" t="inlineStr">
        <is>
          <t>DS559.9.S24 T6313 1990</t>
        </is>
      </c>
      <c r="C1549" t="inlineStr">
        <is>
          <t>0                      DS 0559900S  24                 T  6313        1990</t>
        </is>
      </c>
      <c r="D1549" t="inlineStr">
        <is>
          <t>Cruel April : the fall of Saigon / by Olivier Todd ; translated from the French by Stephen Becker.</t>
        </is>
      </c>
      <c r="F1549" t="inlineStr">
        <is>
          <t>No</t>
        </is>
      </c>
      <c r="G1549" t="inlineStr">
        <is>
          <t>1</t>
        </is>
      </c>
      <c r="H1549" t="inlineStr">
        <is>
          <t>No</t>
        </is>
      </c>
      <c r="I1549" t="inlineStr">
        <is>
          <t>No</t>
        </is>
      </c>
      <c r="J1549" t="inlineStr">
        <is>
          <t>0</t>
        </is>
      </c>
      <c r="K1549" t="inlineStr">
        <is>
          <t>Todd, Olivier.</t>
        </is>
      </c>
      <c r="L1549" t="inlineStr">
        <is>
          <t>New York : Norton, c1990.</t>
        </is>
      </c>
      <c r="M1549" t="inlineStr">
        <is>
          <t>1990</t>
        </is>
      </c>
      <c r="O1549" t="inlineStr">
        <is>
          <t>eng</t>
        </is>
      </c>
      <c r="P1549" t="inlineStr">
        <is>
          <t>nyu</t>
        </is>
      </c>
      <c r="R1549" t="inlineStr">
        <is>
          <t xml:space="preserve">DS </t>
        </is>
      </c>
      <c r="S1549" t="n">
        <v>2</v>
      </c>
      <c r="T1549" t="n">
        <v>2</v>
      </c>
      <c r="U1549" t="inlineStr">
        <is>
          <t>2003-04-21</t>
        </is>
      </c>
      <c r="V1549" t="inlineStr">
        <is>
          <t>2003-04-21</t>
        </is>
      </c>
      <c r="W1549" t="inlineStr">
        <is>
          <t>1991-01-17</t>
        </is>
      </c>
      <c r="X1549" t="inlineStr">
        <is>
          <t>1991-01-17</t>
        </is>
      </c>
      <c r="Y1549" t="n">
        <v>786</v>
      </c>
      <c r="Z1549" t="n">
        <v>716</v>
      </c>
      <c r="AA1549" t="n">
        <v>716</v>
      </c>
      <c r="AB1549" t="n">
        <v>6</v>
      </c>
      <c r="AC1549" t="n">
        <v>6</v>
      </c>
      <c r="AD1549" t="n">
        <v>18</v>
      </c>
      <c r="AE1549" t="n">
        <v>18</v>
      </c>
      <c r="AF1549" t="n">
        <v>4</v>
      </c>
      <c r="AG1549" t="n">
        <v>4</v>
      </c>
      <c r="AH1549" t="n">
        <v>4</v>
      </c>
      <c r="AI1549" t="n">
        <v>4</v>
      </c>
      <c r="AJ1549" t="n">
        <v>11</v>
      </c>
      <c r="AK1549" t="n">
        <v>11</v>
      </c>
      <c r="AL1549" t="n">
        <v>3</v>
      </c>
      <c r="AM1549" t="n">
        <v>3</v>
      </c>
      <c r="AN1549" t="n">
        <v>0</v>
      </c>
      <c r="AO1549" t="n">
        <v>0</v>
      </c>
      <c r="AP1549" t="inlineStr">
        <is>
          <t>No</t>
        </is>
      </c>
      <c r="AQ1549" t="inlineStr">
        <is>
          <t>No</t>
        </is>
      </c>
      <c r="AS1549">
        <f>HYPERLINK("https://creighton-primo.hosted.exlibrisgroup.com/primo-explore/search?tab=default_tab&amp;search_scope=EVERYTHING&amp;vid=01CRU&amp;lang=en_US&amp;offset=0&amp;query=any,contains,991001570639702656","Catalog Record")</f>
        <v/>
      </c>
      <c r="AT1549">
        <f>HYPERLINK("http://www.worldcat.org/oclc/20391025","WorldCat Record")</f>
        <v/>
      </c>
      <c r="AU1549" t="inlineStr">
        <is>
          <t>356315773:eng</t>
        </is>
      </c>
      <c r="AV1549" t="inlineStr">
        <is>
          <t>20391025</t>
        </is>
      </c>
      <c r="AW1549" t="inlineStr">
        <is>
          <t>991001570639702656</t>
        </is>
      </c>
      <c r="AX1549" t="inlineStr">
        <is>
          <t>991001570639702656</t>
        </is>
      </c>
      <c r="AY1549" t="inlineStr">
        <is>
          <t>2270813850002656</t>
        </is>
      </c>
      <c r="AZ1549" t="inlineStr">
        <is>
          <t>BOOK</t>
        </is>
      </c>
      <c r="BB1549" t="inlineStr">
        <is>
          <t>9780393027877</t>
        </is>
      </c>
      <c r="BC1549" t="inlineStr">
        <is>
          <t>32285000408616</t>
        </is>
      </c>
      <c r="BD1549" t="inlineStr">
        <is>
          <t>893522644</t>
        </is>
      </c>
    </row>
    <row r="1550">
      <c r="A1550" t="inlineStr">
        <is>
          <t>No</t>
        </is>
      </c>
      <c r="B1550" t="inlineStr">
        <is>
          <t>DS559.9.T48 T78</t>
        </is>
      </c>
      <c r="C1550" t="inlineStr">
        <is>
          <t>0                      DS 0559900T  48                 T  78</t>
        </is>
      </c>
      <c r="D1550" t="inlineStr">
        <is>
          <t>Village at war : an account of revolution in Vietnam / James Walker Trullinger, Jr.</t>
        </is>
      </c>
      <c r="F1550" t="inlineStr">
        <is>
          <t>No</t>
        </is>
      </c>
      <c r="G1550" t="inlineStr">
        <is>
          <t>1</t>
        </is>
      </c>
      <c r="H1550" t="inlineStr">
        <is>
          <t>No</t>
        </is>
      </c>
      <c r="I1550" t="inlineStr">
        <is>
          <t>No</t>
        </is>
      </c>
      <c r="J1550" t="inlineStr">
        <is>
          <t>0</t>
        </is>
      </c>
      <c r="K1550" t="inlineStr">
        <is>
          <t>Trullinger, James Walker.</t>
        </is>
      </c>
      <c r="L1550" t="inlineStr">
        <is>
          <t>New York : Longman, c1980.</t>
        </is>
      </c>
      <c r="M1550" t="inlineStr">
        <is>
          <t>1980</t>
        </is>
      </c>
      <c r="O1550" t="inlineStr">
        <is>
          <t>eng</t>
        </is>
      </c>
      <c r="P1550" t="inlineStr">
        <is>
          <t>nyu</t>
        </is>
      </c>
      <c r="R1550" t="inlineStr">
        <is>
          <t xml:space="preserve">DS </t>
        </is>
      </c>
      <c r="S1550" t="n">
        <v>2</v>
      </c>
      <c r="T1550" t="n">
        <v>2</v>
      </c>
      <c r="U1550" t="inlineStr">
        <is>
          <t>2008-11-11</t>
        </is>
      </c>
      <c r="V1550" t="inlineStr">
        <is>
          <t>2008-11-11</t>
        </is>
      </c>
      <c r="W1550" t="inlineStr">
        <is>
          <t>1990-10-10</t>
        </is>
      </c>
      <c r="X1550" t="inlineStr">
        <is>
          <t>1990-10-10</t>
        </is>
      </c>
      <c r="Y1550" t="n">
        <v>562</v>
      </c>
      <c r="Z1550" t="n">
        <v>470</v>
      </c>
      <c r="AA1550" t="n">
        <v>474</v>
      </c>
      <c r="AB1550" t="n">
        <v>4</v>
      </c>
      <c r="AC1550" t="n">
        <v>4</v>
      </c>
      <c r="AD1550" t="n">
        <v>25</v>
      </c>
      <c r="AE1550" t="n">
        <v>25</v>
      </c>
      <c r="AF1550" t="n">
        <v>14</v>
      </c>
      <c r="AG1550" t="n">
        <v>14</v>
      </c>
      <c r="AH1550" t="n">
        <v>4</v>
      </c>
      <c r="AI1550" t="n">
        <v>4</v>
      </c>
      <c r="AJ1550" t="n">
        <v>13</v>
      </c>
      <c r="AK1550" t="n">
        <v>13</v>
      </c>
      <c r="AL1550" t="n">
        <v>3</v>
      </c>
      <c r="AM1550" t="n">
        <v>3</v>
      </c>
      <c r="AN1550" t="n">
        <v>0</v>
      </c>
      <c r="AO1550" t="n">
        <v>0</v>
      </c>
      <c r="AP1550" t="inlineStr">
        <is>
          <t>No</t>
        </is>
      </c>
      <c r="AQ1550" t="inlineStr">
        <is>
          <t>Yes</t>
        </is>
      </c>
      <c r="AR1550">
        <f>HYPERLINK("http://catalog.hathitrust.org/Record/000700369","HathiTrust Record")</f>
        <v/>
      </c>
      <c r="AS1550">
        <f>HYPERLINK("https://creighton-primo.hosted.exlibrisgroup.com/primo-explore/search?tab=default_tab&amp;search_scope=EVERYTHING&amp;vid=01CRU&amp;lang=en_US&amp;offset=0&amp;query=any,contains,991004877579702656","Catalog Record")</f>
        <v/>
      </c>
      <c r="AT1550">
        <f>HYPERLINK("http://www.worldcat.org/oclc/5799016","WorldCat Record")</f>
        <v/>
      </c>
      <c r="AU1550" t="inlineStr">
        <is>
          <t>890000959:eng</t>
        </is>
      </c>
      <c r="AV1550" t="inlineStr">
        <is>
          <t>5799016</t>
        </is>
      </c>
      <c r="AW1550" t="inlineStr">
        <is>
          <t>991004877579702656</t>
        </is>
      </c>
      <c r="AX1550" t="inlineStr">
        <is>
          <t>991004877579702656</t>
        </is>
      </c>
      <c r="AY1550" t="inlineStr">
        <is>
          <t>2269106620002656</t>
        </is>
      </c>
      <c r="AZ1550" t="inlineStr">
        <is>
          <t>BOOK</t>
        </is>
      </c>
      <c r="BB1550" t="inlineStr">
        <is>
          <t>9780582281813</t>
        </is>
      </c>
      <c r="BC1550" t="inlineStr">
        <is>
          <t>32285000337757</t>
        </is>
      </c>
      <c r="BD1550" t="inlineStr">
        <is>
          <t>893807575</t>
        </is>
      </c>
    </row>
    <row r="1551">
      <c r="A1551" t="inlineStr">
        <is>
          <t>No</t>
        </is>
      </c>
      <c r="B1551" t="inlineStr">
        <is>
          <t>DS559.912 .B67 1984</t>
        </is>
      </c>
      <c r="C1551" t="inlineStr">
        <is>
          <t>0                      DS 0559912B  67          1984</t>
        </is>
      </c>
      <c r="D1551" t="inlineStr">
        <is>
          <t>Sensing the enemy / Lady Borton.</t>
        </is>
      </c>
      <c r="F1551" t="inlineStr">
        <is>
          <t>No</t>
        </is>
      </c>
      <c r="G1551" t="inlineStr">
        <is>
          <t>1</t>
        </is>
      </c>
      <c r="H1551" t="inlineStr">
        <is>
          <t>No</t>
        </is>
      </c>
      <c r="I1551" t="inlineStr">
        <is>
          <t>No</t>
        </is>
      </c>
      <c r="J1551" t="inlineStr">
        <is>
          <t>0</t>
        </is>
      </c>
      <c r="K1551" t="inlineStr">
        <is>
          <t>Borton, Lady.</t>
        </is>
      </c>
      <c r="L1551" t="inlineStr">
        <is>
          <t>Garden City, N.Y. : Dial, 1984.</t>
        </is>
      </c>
      <c r="M1551" t="inlineStr">
        <is>
          <t>1984</t>
        </is>
      </c>
      <c r="O1551" t="inlineStr">
        <is>
          <t>eng</t>
        </is>
      </c>
      <c r="P1551" t="inlineStr">
        <is>
          <t>nyu</t>
        </is>
      </c>
      <c r="R1551" t="inlineStr">
        <is>
          <t xml:space="preserve">DS </t>
        </is>
      </c>
      <c r="S1551" t="n">
        <v>4</v>
      </c>
      <c r="T1551" t="n">
        <v>4</v>
      </c>
      <c r="U1551" t="inlineStr">
        <is>
          <t>1998-09-11</t>
        </is>
      </c>
      <c r="V1551" t="inlineStr">
        <is>
          <t>1998-09-11</t>
        </is>
      </c>
      <c r="W1551" t="inlineStr">
        <is>
          <t>1990-10-10</t>
        </is>
      </c>
      <c r="X1551" t="inlineStr">
        <is>
          <t>1990-10-10</t>
        </is>
      </c>
      <c r="Y1551" t="n">
        <v>483</v>
      </c>
      <c r="Z1551" t="n">
        <v>446</v>
      </c>
      <c r="AA1551" t="n">
        <v>453</v>
      </c>
      <c r="AB1551" t="n">
        <v>2</v>
      </c>
      <c r="AC1551" t="n">
        <v>2</v>
      </c>
      <c r="AD1551" t="n">
        <v>5</v>
      </c>
      <c r="AE1551" t="n">
        <v>5</v>
      </c>
      <c r="AF1551" t="n">
        <v>1</v>
      </c>
      <c r="AG1551" t="n">
        <v>1</v>
      </c>
      <c r="AH1551" t="n">
        <v>2</v>
      </c>
      <c r="AI1551" t="n">
        <v>2</v>
      </c>
      <c r="AJ1551" t="n">
        <v>3</v>
      </c>
      <c r="AK1551" t="n">
        <v>3</v>
      </c>
      <c r="AL1551" t="n">
        <v>0</v>
      </c>
      <c r="AM1551" t="n">
        <v>0</v>
      </c>
      <c r="AN1551" t="n">
        <v>0</v>
      </c>
      <c r="AO1551" t="n">
        <v>0</v>
      </c>
      <c r="AP1551" t="inlineStr">
        <is>
          <t>No</t>
        </is>
      </c>
      <c r="AQ1551" t="inlineStr">
        <is>
          <t>No</t>
        </is>
      </c>
      <c r="AS1551">
        <f>HYPERLINK("https://creighton-primo.hosted.exlibrisgroup.com/primo-explore/search?tab=default_tab&amp;search_scope=EVERYTHING&amp;vid=01CRU&amp;lang=en_US&amp;offset=0&amp;query=any,contains,991000263959702656","Catalog Record")</f>
        <v/>
      </c>
      <c r="AT1551">
        <f>HYPERLINK("http://www.worldcat.org/oclc/9827889","WorldCat Record")</f>
        <v/>
      </c>
      <c r="AU1551" t="inlineStr">
        <is>
          <t>43232180:eng</t>
        </is>
      </c>
      <c r="AV1551" t="inlineStr">
        <is>
          <t>9827889</t>
        </is>
      </c>
      <c r="AW1551" t="inlineStr">
        <is>
          <t>991000263959702656</t>
        </is>
      </c>
      <c r="AX1551" t="inlineStr">
        <is>
          <t>991000263959702656</t>
        </is>
      </c>
      <c r="AY1551" t="inlineStr">
        <is>
          <t>2269146190002656</t>
        </is>
      </c>
      <c r="AZ1551" t="inlineStr">
        <is>
          <t>BOOK</t>
        </is>
      </c>
      <c r="BB1551" t="inlineStr">
        <is>
          <t>9780385277549</t>
        </is>
      </c>
      <c r="BC1551" t="inlineStr">
        <is>
          <t>32285000337765</t>
        </is>
      </c>
      <c r="BD1551" t="inlineStr">
        <is>
          <t>893595436</t>
        </is>
      </c>
    </row>
    <row r="1552">
      <c r="A1552" t="inlineStr">
        <is>
          <t>No</t>
        </is>
      </c>
      <c r="B1552" t="inlineStr">
        <is>
          <t>DS559.912 .N37</t>
        </is>
      </c>
      <c r="C1552" t="inlineStr">
        <is>
          <t>0                      DS 0559912N  37</t>
        </is>
      </c>
      <c r="D1552" t="inlineStr">
        <is>
          <t>The will of heaven : a story of one Vietnamese and the end of his world / Nguyẽ̂n Ngọc Ngạn with E.E. Richey.</t>
        </is>
      </c>
      <c r="F1552" t="inlineStr">
        <is>
          <t>No</t>
        </is>
      </c>
      <c r="G1552" t="inlineStr">
        <is>
          <t>1</t>
        </is>
      </c>
      <c r="H1552" t="inlineStr">
        <is>
          <t>No</t>
        </is>
      </c>
      <c r="I1552" t="inlineStr">
        <is>
          <t>No</t>
        </is>
      </c>
      <c r="J1552" t="inlineStr">
        <is>
          <t>0</t>
        </is>
      </c>
      <c r="K1552" t="inlineStr">
        <is>
          <t>Nguyễn, Ngọc Ngạn.</t>
        </is>
      </c>
      <c r="L1552" t="inlineStr">
        <is>
          <t>New York : Dutton, c1982.</t>
        </is>
      </c>
      <c r="M1552" t="inlineStr">
        <is>
          <t>1982</t>
        </is>
      </c>
      <c r="N1552" t="inlineStr">
        <is>
          <t>1st ed.</t>
        </is>
      </c>
      <c r="O1552" t="inlineStr">
        <is>
          <t>eng</t>
        </is>
      </c>
      <c r="P1552" t="inlineStr">
        <is>
          <t>nyu</t>
        </is>
      </c>
      <c r="R1552" t="inlineStr">
        <is>
          <t xml:space="preserve">DS </t>
        </is>
      </c>
      <c r="S1552" t="n">
        <v>4</v>
      </c>
      <c r="T1552" t="n">
        <v>4</v>
      </c>
      <c r="U1552" t="inlineStr">
        <is>
          <t>1996-03-18</t>
        </is>
      </c>
      <c r="V1552" t="inlineStr">
        <is>
          <t>1996-03-18</t>
        </is>
      </c>
      <c r="W1552" t="inlineStr">
        <is>
          <t>1990-10-10</t>
        </is>
      </c>
      <c r="X1552" t="inlineStr">
        <is>
          <t>1990-10-10</t>
        </is>
      </c>
      <c r="Y1552" t="n">
        <v>322</v>
      </c>
      <c r="Z1552" t="n">
        <v>278</v>
      </c>
      <c r="AA1552" t="n">
        <v>298</v>
      </c>
      <c r="AB1552" t="n">
        <v>2</v>
      </c>
      <c r="AC1552" t="n">
        <v>2</v>
      </c>
      <c r="AD1552" t="n">
        <v>4</v>
      </c>
      <c r="AE1552" t="n">
        <v>4</v>
      </c>
      <c r="AF1552" t="n">
        <v>1</v>
      </c>
      <c r="AG1552" t="n">
        <v>1</v>
      </c>
      <c r="AH1552" t="n">
        <v>1</v>
      </c>
      <c r="AI1552" t="n">
        <v>1</v>
      </c>
      <c r="AJ1552" t="n">
        <v>4</v>
      </c>
      <c r="AK1552" t="n">
        <v>4</v>
      </c>
      <c r="AL1552" t="n">
        <v>0</v>
      </c>
      <c r="AM1552" t="n">
        <v>0</v>
      </c>
      <c r="AN1552" t="n">
        <v>0</v>
      </c>
      <c r="AO1552" t="n">
        <v>0</v>
      </c>
      <c r="AP1552" t="inlineStr">
        <is>
          <t>No</t>
        </is>
      </c>
      <c r="AQ1552" t="inlineStr">
        <is>
          <t>Yes</t>
        </is>
      </c>
      <c r="AR1552">
        <f>HYPERLINK("http://catalog.hathitrust.org/Record/000226615","HathiTrust Record")</f>
        <v/>
      </c>
      <c r="AS1552">
        <f>HYPERLINK("https://creighton-primo.hosted.exlibrisgroup.com/primo-explore/search?tab=default_tab&amp;search_scope=EVERYTHING&amp;vid=01CRU&amp;lang=en_US&amp;offset=0&amp;query=any,contains,991005128039702656","Catalog Record")</f>
        <v/>
      </c>
      <c r="AT1552">
        <f>HYPERLINK("http://www.worldcat.org/oclc/7554852","WorldCat Record")</f>
        <v/>
      </c>
      <c r="AU1552" t="inlineStr">
        <is>
          <t>18526081:eng</t>
        </is>
      </c>
      <c r="AV1552" t="inlineStr">
        <is>
          <t>7554852</t>
        </is>
      </c>
      <c r="AW1552" t="inlineStr">
        <is>
          <t>991005128039702656</t>
        </is>
      </c>
      <c r="AX1552" t="inlineStr">
        <is>
          <t>991005128039702656</t>
        </is>
      </c>
      <c r="AY1552" t="inlineStr">
        <is>
          <t>2264629170002656</t>
        </is>
      </c>
      <c r="AZ1552" t="inlineStr">
        <is>
          <t>BOOK</t>
        </is>
      </c>
      <c r="BC1552" t="inlineStr">
        <is>
          <t>32285000337773</t>
        </is>
      </c>
      <c r="BD1552" t="inlineStr">
        <is>
          <t>893507654</t>
        </is>
      </c>
    </row>
    <row r="1553">
      <c r="A1553" t="inlineStr">
        <is>
          <t>No</t>
        </is>
      </c>
      <c r="B1553" t="inlineStr">
        <is>
          <t>DS559.912 .S52 1986</t>
        </is>
      </c>
      <c r="C1553" t="inlineStr">
        <is>
          <t>0                      DS 0559912S  52          1986</t>
        </is>
      </c>
      <c r="D1553" t="inlineStr">
        <is>
          <t>Bitter victory / Robert Shaplen.</t>
        </is>
      </c>
      <c r="F1553" t="inlineStr">
        <is>
          <t>No</t>
        </is>
      </c>
      <c r="G1553" t="inlineStr">
        <is>
          <t>1</t>
        </is>
      </c>
      <c r="H1553" t="inlineStr">
        <is>
          <t>No</t>
        </is>
      </c>
      <c r="I1553" t="inlineStr">
        <is>
          <t>No</t>
        </is>
      </c>
      <c r="J1553" t="inlineStr">
        <is>
          <t>0</t>
        </is>
      </c>
      <c r="K1553" t="inlineStr">
        <is>
          <t>Shaplen, Robert, 1917-1988.</t>
        </is>
      </c>
      <c r="L1553" t="inlineStr">
        <is>
          <t>New York : Harper &amp; Row, c1986.</t>
        </is>
      </c>
      <c r="M1553" t="inlineStr">
        <is>
          <t>1986</t>
        </is>
      </c>
      <c r="N1553" t="inlineStr">
        <is>
          <t>1st ed.</t>
        </is>
      </c>
      <c r="O1553" t="inlineStr">
        <is>
          <t>eng</t>
        </is>
      </c>
      <c r="P1553" t="inlineStr">
        <is>
          <t>nyu</t>
        </is>
      </c>
      <c r="R1553" t="inlineStr">
        <is>
          <t xml:space="preserve">DS </t>
        </is>
      </c>
      <c r="S1553" t="n">
        <v>5</v>
      </c>
      <c r="T1553" t="n">
        <v>5</v>
      </c>
      <c r="U1553" t="inlineStr">
        <is>
          <t>2003-04-21</t>
        </is>
      </c>
      <c r="V1553" t="inlineStr">
        <is>
          <t>2003-04-21</t>
        </is>
      </c>
      <c r="W1553" t="inlineStr">
        <is>
          <t>1990-10-10</t>
        </is>
      </c>
      <c r="X1553" t="inlineStr">
        <is>
          <t>1990-10-10</t>
        </is>
      </c>
      <c r="Y1553" t="n">
        <v>611</v>
      </c>
      <c r="Z1553" t="n">
        <v>562</v>
      </c>
      <c r="AA1553" t="n">
        <v>575</v>
      </c>
      <c r="AB1553" t="n">
        <v>2</v>
      </c>
      <c r="AC1553" t="n">
        <v>2</v>
      </c>
      <c r="AD1553" t="n">
        <v>15</v>
      </c>
      <c r="AE1553" t="n">
        <v>16</v>
      </c>
      <c r="AF1553" t="n">
        <v>5</v>
      </c>
      <c r="AG1553" t="n">
        <v>5</v>
      </c>
      <c r="AH1553" t="n">
        <v>3</v>
      </c>
      <c r="AI1553" t="n">
        <v>4</v>
      </c>
      <c r="AJ1553" t="n">
        <v>9</v>
      </c>
      <c r="AK1553" t="n">
        <v>10</v>
      </c>
      <c r="AL1553" t="n">
        <v>1</v>
      </c>
      <c r="AM1553" t="n">
        <v>1</v>
      </c>
      <c r="AN1553" t="n">
        <v>0</v>
      </c>
      <c r="AO1553" t="n">
        <v>0</v>
      </c>
      <c r="AP1553" t="inlineStr">
        <is>
          <t>No</t>
        </is>
      </c>
      <c r="AQ1553" t="inlineStr">
        <is>
          <t>Yes</t>
        </is>
      </c>
      <c r="AR1553">
        <f>HYPERLINK("http://catalog.hathitrust.org/Record/000396884","HathiTrust Record")</f>
        <v/>
      </c>
      <c r="AS1553">
        <f>HYPERLINK("https://creighton-primo.hosted.exlibrisgroup.com/primo-explore/search?tab=default_tab&amp;search_scope=EVERYTHING&amp;vid=01CRU&amp;lang=en_US&amp;offset=0&amp;query=any,contains,991000782819702656","Catalog Record")</f>
        <v/>
      </c>
      <c r="AT1553">
        <f>HYPERLINK("http://www.worldcat.org/oclc/13113989","WorldCat Record")</f>
        <v/>
      </c>
      <c r="AU1553" t="inlineStr">
        <is>
          <t>3943342798:eng</t>
        </is>
      </c>
      <c r="AV1553" t="inlineStr">
        <is>
          <t>13113989</t>
        </is>
      </c>
      <c r="AW1553" t="inlineStr">
        <is>
          <t>991000782819702656</t>
        </is>
      </c>
      <c r="AX1553" t="inlineStr">
        <is>
          <t>991000782819702656</t>
        </is>
      </c>
      <c r="AY1553" t="inlineStr">
        <is>
          <t>2258115540002656</t>
        </is>
      </c>
      <c r="AZ1553" t="inlineStr">
        <is>
          <t>BOOK</t>
        </is>
      </c>
      <c r="BB1553" t="inlineStr">
        <is>
          <t>9780060155865</t>
        </is>
      </c>
      <c r="BC1553" t="inlineStr">
        <is>
          <t>32285000337781</t>
        </is>
      </c>
      <c r="BD1553" t="inlineStr">
        <is>
          <t>893528385</t>
        </is>
      </c>
    </row>
    <row r="1554">
      <c r="A1554" t="inlineStr">
        <is>
          <t>No</t>
        </is>
      </c>
      <c r="B1554" t="inlineStr">
        <is>
          <t>DS559.92.D56 A5</t>
        </is>
      </c>
      <c r="C1554" t="inlineStr">
        <is>
          <t>0                      DS 0559920D  56                 A  5</t>
        </is>
      </c>
      <c r="D1554" t="inlineStr">
        <is>
          <t>The village war : Vietnamese Communist revolutionary activities in Dinh Tuong province, 1960-1964 / William R. Andrews.</t>
        </is>
      </c>
      <c r="F1554" t="inlineStr">
        <is>
          <t>No</t>
        </is>
      </c>
      <c r="G1554" t="inlineStr">
        <is>
          <t>1</t>
        </is>
      </c>
      <c r="H1554" t="inlineStr">
        <is>
          <t>No</t>
        </is>
      </c>
      <c r="I1554" t="inlineStr">
        <is>
          <t>No</t>
        </is>
      </c>
      <c r="J1554" t="inlineStr">
        <is>
          <t>0</t>
        </is>
      </c>
      <c r="K1554" t="inlineStr">
        <is>
          <t>Andrews, William R.</t>
        </is>
      </c>
      <c r="L1554" t="inlineStr">
        <is>
          <t>Columbia : University of Missouri Press, 1973.</t>
        </is>
      </c>
      <c r="M1554" t="inlineStr">
        <is>
          <t>1973</t>
        </is>
      </c>
      <c r="O1554" t="inlineStr">
        <is>
          <t>eng</t>
        </is>
      </c>
      <c r="P1554" t="inlineStr">
        <is>
          <t>mou</t>
        </is>
      </c>
      <c r="R1554" t="inlineStr">
        <is>
          <t xml:space="preserve">DS </t>
        </is>
      </c>
      <c r="S1554" t="n">
        <v>1</v>
      </c>
      <c r="T1554" t="n">
        <v>1</v>
      </c>
      <c r="U1554" t="inlineStr">
        <is>
          <t>2008-11-10</t>
        </is>
      </c>
      <c r="V1554" t="inlineStr">
        <is>
          <t>2008-11-10</t>
        </is>
      </c>
      <c r="W1554" t="inlineStr">
        <is>
          <t>1997-03-11</t>
        </is>
      </c>
      <c r="X1554" t="inlineStr">
        <is>
          <t>1997-03-11</t>
        </is>
      </c>
      <c r="Y1554" t="n">
        <v>381</v>
      </c>
      <c r="Z1554" t="n">
        <v>311</v>
      </c>
      <c r="AA1554" t="n">
        <v>318</v>
      </c>
      <c r="AB1554" t="n">
        <v>4</v>
      </c>
      <c r="AC1554" t="n">
        <v>4</v>
      </c>
      <c r="AD1554" t="n">
        <v>15</v>
      </c>
      <c r="AE1554" t="n">
        <v>15</v>
      </c>
      <c r="AF1554" t="n">
        <v>4</v>
      </c>
      <c r="AG1554" t="n">
        <v>4</v>
      </c>
      <c r="AH1554" t="n">
        <v>4</v>
      </c>
      <c r="AI1554" t="n">
        <v>4</v>
      </c>
      <c r="AJ1554" t="n">
        <v>8</v>
      </c>
      <c r="AK1554" t="n">
        <v>8</v>
      </c>
      <c r="AL1554" t="n">
        <v>3</v>
      </c>
      <c r="AM1554" t="n">
        <v>3</v>
      </c>
      <c r="AN1554" t="n">
        <v>0</v>
      </c>
      <c r="AO1554" t="n">
        <v>0</v>
      </c>
      <c r="AP1554" t="inlineStr">
        <is>
          <t>No</t>
        </is>
      </c>
      <c r="AQ1554" t="inlineStr">
        <is>
          <t>Yes</t>
        </is>
      </c>
      <c r="AR1554">
        <f>HYPERLINK("http://catalog.hathitrust.org/Record/001267077","HathiTrust Record")</f>
        <v/>
      </c>
      <c r="AS1554">
        <f>HYPERLINK("https://creighton-primo.hosted.exlibrisgroup.com/primo-explore/search?tab=default_tab&amp;search_scope=EVERYTHING&amp;vid=01CRU&amp;lang=en_US&amp;offset=0&amp;query=any,contains,991003329619702656","Catalog Record")</f>
        <v/>
      </c>
      <c r="AT1554">
        <f>HYPERLINK("http://www.worldcat.org/oclc/859990","WorldCat Record")</f>
        <v/>
      </c>
      <c r="AU1554" t="inlineStr">
        <is>
          <t>234523045:eng</t>
        </is>
      </c>
      <c r="AV1554" t="inlineStr">
        <is>
          <t>859990</t>
        </is>
      </c>
      <c r="AW1554" t="inlineStr">
        <is>
          <t>991003329619702656</t>
        </is>
      </c>
      <c r="AX1554" t="inlineStr">
        <is>
          <t>991003329619702656</t>
        </is>
      </c>
      <c r="AY1554" t="inlineStr">
        <is>
          <t>2270109800002656</t>
        </is>
      </c>
      <c r="AZ1554" t="inlineStr">
        <is>
          <t>BOOK</t>
        </is>
      </c>
      <c r="BB1554" t="inlineStr">
        <is>
          <t>9780826201508</t>
        </is>
      </c>
      <c r="BC1554" t="inlineStr">
        <is>
          <t>32285002460003</t>
        </is>
      </c>
      <c r="BD1554" t="inlineStr">
        <is>
          <t>893348568</t>
        </is>
      </c>
    </row>
    <row r="1555">
      <c r="A1555" t="inlineStr">
        <is>
          <t>No</t>
        </is>
      </c>
      <c r="B1555" t="inlineStr">
        <is>
          <t>DS559.93.H36 L64 2000</t>
        </is>
      </c>
      <c r="C1555" t="inlineStr">
        <is>
          <t>0                      DS 0559930H  36                 L  64          2000</t>
        </is>
      </c>
      <c r="D1555" t="inlineStr">
        <is>
          <t>Hanoi, biography of a city / William S. Logan.</t>
        </is>
      </c>
      <c r="F1555" t="inlineStr">
        <is>
          <t>No</t>
        </is>
      </c>
      <c r="G1555" t="inlineStr">
        <is>
          <t>1</t>
        </is>
      </c>
      <c r="H1555" t="inlineStr">
        <is>
          <t>No</t>
        </is>
      </c>
      <c r="I1555" t="inlineStr">
        <is>
          <t>No</t>
        </is>
      </c>
      <c r="J1555" t="inlineStr">
        <is>
          <t>0</t>
        </is>
      </c>
      <c r="K1555" t="inlineStr">
        <is>
          <t>Logan, William Stewart, 1942-</t>
        </is>
      </c>
      <c r="L1555" t="inlineStr">
        <is>
          <t>Seattle, WA : University of Washington Press, 2000.</t>
        </is>
      </c>
      <c r="M1555" t="inlineStr">
        <is>
          <t>2000</t>
        </is>
      </c>
      <c r="O1555" t="inlineStr">
        <is>
          <t>eng</t>
        </is>
      </c>
      <c r="P1555" t="inlineStr">
        <is>
          <t>wau</t>
        </is>
      </c>
      <c r="R1555" t="inlineStr">
        <is>
          <t xml:space="preserve">DS </t>
        </is>
      </c>
      <c r="S1555" t="n">
        <v>2</v>
      </c>
      <c r="T1555" t="n">
        <v>2</v>
      </c>
      <c r="U1555" t="inlineStr">
        <is>
          <t>2002-04-29</t>
        </is>
      </c>
      <c r="V1555" t="inlineStr">
        <is>
          <t>2002-04-29</t>
        </is>
      </c>
      <c r="W1555" t="inlineStr">
        <is>
          <t>2002-04-18</t>
        </is>
      </c>
      <c r="X1555" t="inlineStr">
        <is>
          <t>2002-04-18</t>
        </is>
      </c>
      <c r="Y1555" t="n">
        <v>511</v>
      </c>
      <c r="Z1555" t="n">
        <v>467</v>
      </c>
      <c r="AA1555" t="n">
        <v>468</v>
      </c>
      <c r="AB1555" t="n">
        <v>3</v>
      </c>
      <c r="AC1555" t="n">
        <v>3</v>
      </c>
      <c r="AD1555" t="n">
        <v>28</v>
      </c>
      <c r="AE1555" t="n">
        <v>28</v>
      </c>
      <c r="AF1555" t="n">
        <v>13</v>
      </c>
      <c r="AG1555" t="n">
        <v>13</v>
      </c>
      <c r="AH1555" t="n">
        <v>7</v>
      </c>
      <c r="AI1555" t="n">
        <v>7</v>
      </c>
      <c r="AJ1555" t="n">
        <v>16</v>
      </c>
      <c r="AK1555" t="n">
        <v>16</v>
      </c>
      <c r="AL1555" t="n">
        <v>2</v>
      </c>
      <c r="AM1555" t="n">
        <v>2</v>
      </c>
      <c r="AN1555" t="n">
        <v>0</v>
      </c>
      <c r="AO1555" t="n">
        <v>0</v>
      </c>
      <c r="AP1555" t="inlineStr">
        <is>
          <t>No</t>
        </is>
      </c>
      <c r="AQ1555" t="inlineStr">
        <is>
          <t>No</t>
        </is>
      </c>
      <c r="AS1555">
        <f>HYPERLINK("https://creighton-primo.hosted.exlibrisgroup.com/primo-explore/search?tab=default_tab&amp;search_scope=EVERYTHING&amp;vid=01CRU&amp;lang=en_US&amp;offset=0&amp;query=any,contains,991003787189702656","Catalog Record")</f>
        <v/>
      </c>
      <c r="AT1555">
        <f>HYPERLINK("http://www.worldcat.org/oclc/44634410","WorldCat Record")</f>
        <v/>
      </c>
      <c r="AU1555" t="inlineStr">
        <is>
          <t>35773306:eng</t>
        </is>
      </c>
      <c r="AV1555" t="inlineStr">
        <is>
          <t>44634410</t>
        </is>
      </c>
      <c r="AW1555" t="inlineStr">
        <is>
          <t>991003787189702656</t>
        </is>
      </c>
      <c r="AX1555" t="inlineStr">
        <is>
          <t>991003787189702656</t>
        </is>
      </c>
      <c r="AY1555" t="inlineStr">
        <is>
          <t>2257259350002656</t>
        </is>
      </c>
      <c r="AZ1555" t="inlineStr">
        <is>
          <t>BOOK</t>
        </is>
      </c>
      <c r="BB1555" t="inlineStr">
        <is>
          <t>9780295980140</t>
        </is>
      </c>
      <c r="BC1555" t="inlineStr">
        <is>
          <t>32285004481387</t>
        </is>
      </c>
      <c r="BD1555" t="inlineStr">
        <is>
          <t>893429224</t>
        </is>
      </c>
    </row>
    <row r="1556">
      <c r="A1556" t="inlineStr">
        <is>
          <t>No</t>
        </is>
      </c>
      <c r="B1556" t="inlineStr">
        <is>
          <t>DS559.93.H36 S23 2000</t>
        </is>
      </c>
      <c r="C1556" t="inlineStr">
        <is>
          <t>0                      DS 0559930H  36                 S  23          2000</t>
        </is>
      </c>
      <c r="D1556" t="inlineStr">
        <is>
          <t>The house on Dream Street : memoir of an American woman in Vietnam / by Dana Sachs.</t>
        </is>
      </c>
      <c r="F1556" t="inlineStr">
        <is>
          <t>No</t>
        </is>
      </c>
      <c r="G1556" t="inlineStr">
        <is>
          <t>1</t>
        </is>
      </c>
      <c r="H1556" t="inlineStr">
        <is>
          <t>No</t>
        </is>
      </c>
      <c r="I1556" t="inlineStr">
        <is>
          <t>No</t>
        </is>
      </c>
      <c r="J1556" t="inlineStr">
        <is>
          <t>0</t>
        </is>
      </c>
      <c r="K1556" t="inlineStr">
        <is>
          <t>Sachs, Dana.</t>
        </is>
      </c>
      <c r="L1556" t="inlineStr">
        <is>
          <t>Chapel Hill, NC : Algonquin Books of Chapel Hill, 2000.</t>
        </is>
      </c>
      <c r="M1556" t="inlineStr">
        <is>
          <t>2000</t>
        </is>
      </c>
      <c r="N1556" t="inlineStr">
        <is>
          <t>1st ed.</t>
        </is>
      </c>
      <c r="O1556" t="inlineStr">
        <is>
          <t>eng</t>
        </is>
      </c>
      <c r="P1556" t="inlineStr">
        <is>
          <t>ncu</t>
        </is>
      </c>
      <c r="R1556" t="inlineStr">
        <is>
          <t xml:space="preserve">DS </t>
        </is>
      </c>
      <c r="S1556" t="n">
        <v>1</v>
      </c>
      <c r="T1556" t="n">
        <v>1</v>
      </c>
      <c r="U1556" t="inlineStr">
        <is>
          <t>2010-11-17</t>
        </is>
      </c>
      <c r="V1556" t="inlineStr">
        <is>
          <t>2010-11-17</t>
        </is>
      </c>
      <c r="W1556" t="inlineStr">
        <is>
          <t>2007-09-25</t>
        </is>
      </c>
      <c r="X1556" t="inlineStr">
        <is>
          <t>2007-09-25</t>
        </is>
      </c>
      <c r="Y1556" t="n">
        <v>365</v>
      </c>
      <c r="Z1556" t="n">
        <v>352</v>
      </c>
      <c r="AA1556" t="n">
        <v>514</v>
      </c>
      <c r="AB1556" t="n">
        <v>3</v>
      </c>
      <c r="AC1556" t="n">
        <v>3</v>
      </c>
      <c r="AD1556" t="n">
        <v>9</v>
      </c>
      <c r="AE1556" t="n">
        <v>11</v>
      </c>
      <c r="AF1556" t="n">
        <v>2</v>
      </c>
      <c r="AG1556" t="n">
        <v>4</v>
      </c>
      <c r="AH1556" t="n">
        <v>2</v>
      </c>
      <c r="AI1556" t="n">
        <v>3</v>
      </c>
      <c r="AJ1556" t="n">
        <v>6</v>
      </c>
      <c r="AK1556" t="n">
        <v>6</v>
      </c>
      <c r="AL1556" t="n">
        <v>1</v>
      </c>
      <c r="AM1556" t="n">
        <v>1</v>
      </c>
      <c r="AN1556" t="n">
        <v>0</v>
      </c>
      <c r="AO1556" t="n">
        <v>0</v>
      </c>
      <c r="AP1556" t="inlineStr">
        <is>
          <t>No</t>
        </is>
      </c>
      <c r="AQ1556" t="inlineStr">
        <is>
          <t>Yes</t>
        </is>
      </c>
      <c r="AR1556">
        <f>HYPERLINK("http://catalog.hathitrust.org/Record/004124708","HathiTrust Record")</f>
        <v/>
      </c>
      <c r="AS1556">
        <f>HYPERLINK("https://creighton-primo.hosted.exlibrisgroup.com/primo-explore/search?tab=default_tab&amp;search_scope=EVERYTHING&amp;vid=01CRU&amp;lang=en_US&amp;offset=0&amp;query=any,contains,991005120109702656","Catalog Record")</f>
        <v/>
      </c>
      <c r="AT1556">
        <f>HYPERLINK("http://www.worldcat.org/oclc/44313450","WorldCat Record")</f>
        <v/>
      </c>
      <c r="AU1556" t="inlineStr">
        <is>
          <t>55248:eng</t>
        </is>
      </c>
      <c r="AV1556" t="inlineStr">
        <is>
          <t>44313450</t>
        </is>
      </c>
      <c r="AW1556" t="inlineStr">
        <is>
          <t>991005120109702656</t>
        </is>
      </c>
      <c r="AX1556" t="inlineStr">
        <is>
          <t>991005120109702656</t>
        </is>
      </c>
      <c r="AY1556" t="inlineStr">
        <is>
          <t>2257068720002656</t>
        </is>
      </c>
      <c r="AZ1556" t="inlineStr">
        <is>
          <t>BOOK</t>
        </is>
      </c>
      <c r="BB1556" t="inlineStr">
        <is>
          <t>9781565122918</t>
        </is>
      </c>
      <c r="BC1556" t="inlineStr">
        <is>
          <t>32285005326201</t>
        </is>
      </c>
      <c r="BD1556" t="inlineStr">
        <is>
          <t>893719802</t>
        </is>
      </c>
    </row>
    <row r="1557">
      <c r="A1557" t="inlineStr">
        <is>
          <t>No</t>
        </is>
      </c>
      <c r="B1557" t="inlineStr">
        <is>
          <t>DS559.93.S66 L86 1992</t>
        </is>
      </c>
      <c r="C1557" t="inlineStr">
        <is>
          <t>0                      DS 0559930S  66                 L  86          1992</t>
        </is>
      </c>
      <c r="D1557" t="inlineStr">
        <is>
          <t>Revolution in the village : tradition and transformation in North Vietnam, 1925-1988 / Hy V. Luong with the collaboration of Nguyen Dac Bang.</t>
        </is>
      </c>
      <c r="F1557" t="inlineStr">
        <is>
          <t>No</t>
        </is>
      </c>
      <c r="G1557" t="inlineStr">
        <is>
          <t>1</t>
        </is>
      </c>
      <c r="H1557" t="inlineStr">
        <is>
          <t>No</t>
        </is>
      </c>
      <c r="I1557" t="inlineStr">
        <is>
          <t>No</t>
        </is>
      </c>
      <c r="J1557" t="inlineStr">
        <is>
          <t>0</t>
        </is>
      </c>
      <c r="K1557" t="inlineStr">
        <is>
          <t>Luong, Hy V.</t>
        </is>
      </c>
      <c r="L1557" t="inlineStr">
        <is>
          <t>Honolulu : University of Hawaii Press, 1992.</t>
        </is>
      </c>
      <c r="M1557" t="inlineStr">
        <is>
          <t>1992</t>
        </is>
      </c>
      <c r="O1557" t="inlineStr">
        <is>
          <t>eng</t>
        </is>
      </c>
      <c r="P1557" t="inlineStr">
        <is>
          <t>hiu</t>
        </is>
      </c>
      <c r="R1557" t="inlineStr">
        <is>
          <t xml:space="preserve">DS </t>
        </is>
      </c>
      <c r="S1557" t="n">
        <v>3</v>
      </c>
      <c r="T1557" t="n">
        <v>3</v>
      </c>
      <c r="U1557" t="inlineStr">
        <is>
          <t>2008-11-10</t>
        </is>
      </c>
      <c r="V1557" t="inlineStr">
        <is>
          <t>2008-11-10</t>
        </is>
      </c>
      <c r="W1557" t="inlineStr">
        <is>
          <t>1992-06-22</t>
        </is>
      </c>
      <c r="X1557" t="inlineStr">
        <is>
          <t>1992-06-22</t>
        </is>
      </c>
      <c r="Y1557" t="n">
        <v>376</v>
      </c>
      <c r="Z1557" t="n">
        <v>284</v>
      </c>
      <c r="AA1557" t="n">
        <v>759</v>
      </c>
      <c r="AB1557" t="n">
        <v>4</v>
      </c>
      <c r="AC1557" t="n">
        <v>6</v>
      </c>
      <c r="AD1557" t="n">
        <v>19</v>
      </c>
      <c r="AE1557" t="n">
        <v>23</v>
      </c>
      <c r="AF1557" t="n">
        <v>7</v>
      </c>
      <c r="AG1557" t="n">
        <v>9</v>
      </c>
      <c r="AH1557" t="n">
        <v>5</v>
      </c>
      <c r="AI1557" t="n">
        <v>5</v>
      </c>
      <c r="AJ1557" t="n">
        <v>10</v>
      </c>
      <c r="AK1557" t="n">
        <v>10</v>
      </c>
      <c r="AL1557" t="n">
        <v>3</v>
      </c>
      <c r="AM1557" t="n">
        <v>5</v>
      </c>
      <c r="AN1557" t="n">
        <v>0</v>
      </c>
      <c r="AO1557" t="n">
        <v>0</v>
      </c>
      <c r="AP1557" t="inlineStr">
        <is>
          <t>No</t>
        </is>
      </c>
      <c r="AQ1557" t="inlineStr">
        <is>
          <t>Yes</t>
        </is>
      </c>
      <c r="AR1557">
        <f>HYPERLINK("http://catalog.hathitrust.org/Record/002556153","HathiTrust Record")</f>
        <v/>
      </c>
      <c r="AS1557">
        <f>HYPERLINK("https://creighton-primo.hosted.exlibrisgroup.com/primo-explore/search?tab=default_tab&amp;search_scope=EVERYTHING&amp;vid=01CRU&amp;lang=en_US&amp;offset=0&amp;query=any,contains,991001965179702656","Catalog Record")</f>
        <v/>
      </c>
      <c r="AT1557">
        <f>HYPERLINK("http://www.worldcat.org/oclc/24908392","WorldCat Record")</f>
        <v/>
      </c>
      <c r="AU1557" t="inlineStr">
        <is>
          <t>797128415:eng</t>
        </is>
      </c>
      <c r="AV1557" t="inlineStr">
        <is>
          <t>24908392</t>
        </is>
      </c>
      <c r="AW1557" t="inlineStr">
        <is>
          <t>991001965179702656</t>
        </is>
      </c>
      <c r="AX1557" t="inlineStr">
        <is>
          <t>991001965179702656</t>
        </is>
      </c>
      <c r="AY1557" t="inlineStr">
        <is>
          <t>2267012410002656</t>
        </is>
      </c>
      <c r="AZ1557" t="inlineStr">
        <is>
          <t>BOOK</t>
        </is>
      </c>
      <c r="BB1557" t="inlineStr">
        <is>
          <t>9780824813826</t>
        </is>
      </c>
      <c r="BC1557" t="inlineStr">
        <is>
          <t>32285001129039</t>
        </is>
      </c>
      <c r="BD1557" t="inlineStr">
        <is>
          <t>893322404</t>
        </is>
      </c>
    </row>
    <row r="1558">
      <c r="A1558" t="inlineStr">
        <is>
          <t>No</t>
        </is>
      </c>
      <c r="B1558" t="inlineStr">
        <is>
          <t>DS56 .A735 2005</t>
        </is>
      </c>
      <c r="C1558" t="inlineStr">
        <is>
          <t>0                      DS 0056000A  735         2005</t>
        </is>
      </c>
      <c r="D1558" t="inlineStr">
        <is>
          <t>Archaeologies of the Middle East : critical perspectives / edited by Susan Pollock and Reinhard Bernbeck.</t>
        </is>
      </c>
      <c r="F1558" t="inlineStr">
        <is>
          <t>No</t>
        </is>
      </c>
      <c r="G1558" t="inlineStr">
        <is>
          <t>1</t>
        </is>
      </c>
      <c r="H1558" t="inlineStr">
        <is>
          <t>No</t>
        </is>
      </c>
      <c r="I1558" t="inlineStr">
        <is>
          <t>No</t>
        </is>
      </c>
      <c r="J1558" t="inlineStr">
        <is>
          <t>0</t>
        </is>
      </c>
      <c r="L1558" t="inlineStr">
        <is>
          <t>Malden, MA : Blackwell Pub., 2005.</t>
        </is>
      </c>
      <c r="M1558" t="inlineStr">
        <is>
          <t>2005</t>
        </is>
      </c>
      <c r="O1558" t="inlineStr">
        <is>
          <t>eng</t>
        </is>
      </c>
      <c r="P1558" t="inlineStr">
        <is>
          <t>mau</t>
        </is>
      </c>
      <c r="Q1558" t="inlineStr">
        <is>
          <t>Blackwell studies in global archaeology</t>
        </is>
      </c>
      <c r="R1558" t="inlineStr">
        <is>
          <t xml:space="preserve">DS </t>
        </is>
      </c>
      <c r="S1558" t="n">
        <v>3</v>
      </c>
      <c r="T1558" t="n">
        <v>3</v>
      </c>
      <c r="U1558" t="inlineStr">
        <is>
          <t>2007-03-29</t>
        </is>
      </c>
      <c r="V1558" t="inlineStr">
        <is>
          <t>2007-03-29</t>
        </is>
      </c>
      <c r="W1558" t="inlineStr">
        <is>
          <t>2006-03-08</t>
        </is>
      </c>
      <c r="X1558" t="inlineStr">
        <is>
          <t>2006-03-08</t>
        </is>
      </c>
      <c r="Y1558" t="n">
        <v>376</v>
      </c>
      <c r="Z1558" t="n">
        <v>267</v>
      </c>
      <c r="AA1558" t="n">
        <v>613</v>
      </c>
      <c r="AB1558" t="n">
        <v>1</v>
      </c>
      <c r="AC1558" t="n">
        <v>5</v>
      </c>
      <c r="AD1558" t="n">
        <v>14</v>
      </c>
      <c r="AE1558" t="n">
        <v>31</v>
      </c>
      <c r="AF1558" t="n">
        <v>6</v>
      </c>
      <c r="AG1558" t="n">
        <v>11</v>
      </c>
      <c r="AH1558" t="n">
        <v>5</v>
      </c>
      <c r="AI1558" t="n">
        <v>9</v>
      </c>
      <c r="AJ1558" t="n">
        <v>6</v>
      </c>
      <c r="AK1558" t="n">
        <v>11</v>
      </c>
      <c r="AL1558" t="n">
        <v>0</v>
      </c>
      <c r="AM1558" t="n">
        <v>4</v>
      </c>
      <c r="AN1558" t="n">
        <v>0</v>
      </c>
      <c r="AO1558" t="n">
        <v>1</v>
      </c>
      <c r="AP1558" t="inlineStr">
        <is>
          <t>No</t>
        </is>
      </c>
      <c r="AQ1558" t="inlineStr">
        <is>
          <t>No</t>
        </is>
      </c>
      <c r="AS1558">
        <f>HYPERLINK("https://creighton-primo.hosted.exlibrisgroup.com/primo-explore/search?tab=default_tab&amp;search_scope=EVERYTHING&amp;vid=01CRU&amp;lang=en_US&amp;offset=0&amp;query=any,contains,991004716259702656","Catalog Record")</f>
        <v/>
      </c>
      <c r="AT1558">
        <f>HYPERLINK("http://www.worldcat.org/oclc/54989224","WorldCat Record")</f>
        <v/>
      </c>
      <c r="AU1558" t="inlineStr">
        <is>
          <t>801559656:eng</t>
        </is>
      </c>
      <c r="AV1558" t="inlineStr">
        <is>
          <t>54989224</t>
        </is>
      </c>
      <c r="AW1558" t="inlineStr">
        <is>
          <t>991004716259702656</t>
        </is>
      </c>
      <c r="AX1558" t="inlineStr">
        <is>
          <t>991004716259702656</t>
        </is>
      </c>
      <c r="AY1558" t="inlineStr">
        <is>
          <t>2264322790002656</t>
        </is>
      </c>
      <c r="AZ1558" t="inlineStr">
        <is>
          <t>BOOK</t>
        </is>
      </c>
      <c r="BB1558" t="inlineStr">
        <is>
          <t>9780631230007</t>
        </is>
      </c>
      <c r="BC1558" t="inlineStr">
        <is>
          <t>32285005164602</t>
        </is>
      </c>
      <c r="BD1558" t="inlineStr">
        <is>
          <t>893507149</t>
        </is>
      </c>
    </row>
    <row r="1559">
      <c r="A1559" t="inlineStr">
        <is>
          <t>No</t>
        </is>
      </c>
      <c r="B1559" t="inlineStr">
        <is>
          <t>DS56 .B87</t>
        </is>
      </c>
      <c r="C1559" t="inlineStr">
        <is>
          <t>0                      DS 0056000B  87</t>
        </is>
      </c>
      <c r="D1559" t="inlineStr">
        <is>
          <t>The ancient Near East / Charles Burney.</t>
        </is>
      </c>
      <c r="F1559" t="inlineStr">
        <is>
          <t>No</t>
        </is>
      </c>
      <c r="G1559" t="inlineStr">
        <is>
          <t>1</t>
        </is>
      </c>
      <c r="H1559" t="inlineStr">
        <is>
          <t>No</t>
        </is>
      </c>
      <c r="I1559" t="inlineStr">
        <is>
          <t>No</t>
        </is>
      </c>
      <c r="J1559" t="inlineStr">
        <is>
          <t>0</t>
        </is>
      </c>
      <c r="K1559" t="inlineStr">
        <is>
          <t>Burney, Charles, 1930-</t>
        </is>
      </c>
      <c r="L1559" t="inlineStr">
        <is>
          <t>Ithaca, N.Y. : Cornell University Press, 1977.</t>
        </is>
      </c>
      <c r="M1559" t="inlineStr">
        <is>
          <t>1977</t>
        </is>
      </c>
      <c r="O1559" t="inlineStr">
        <is>
          <t>eng</t>
        </is>
      </c>
      <c r="P1559" t="inlineStr">
        <is>
          <t>nyu</t>
        </is>
      </c>
      <c r="R1559" t="inlineStr">
        <is>
          <t xml:space="preserve">DS </t>
        </is>
      </c>
      <c r="S1559" t="n">
        <v>7</v>
      </c>
      <c r="T1559" t="n">
        <v>7</v>
      </c>
      <c r="U1559" t="inlineStr">
        <is>
          <t>1999-10-19</t>
        </is>
      </c>
      <c r="V1559" t="inlineStr">
        <is>
          <t>1999-10-19</t>
        </is>
      </c>
      <c r="W1559" t="inlineStr">
        <is>
          <t>1993-12-01</t>
        </is>
      </c>
      <c r="X1559" t="inlineStr">
        <is>
          <t>1993-12-01</t>
        </is>
      </c>
      <c r="Y1559" t="n">
        <v>622</v>
      </c>
      <c r="Z1559" t="n">
        <v>558</v>
      </c>
      <c r="AA1559" t="n">
        <v>564</v>
      </c>
      <c r="AB1559" t="n">
        <v>5</v>
      </c>
      <c r="AC1559" t="n">
        <v>5</v>
      </c>
      <c r="AD1559" t="n">
        <v>21</v>
      </c>
      <c r="AE1559" t="n">
        <v>21</v>
      </c>
      <c r="AF1559" t="n">
        <v>8</v>
      </c>
      <c r="AG1559" t="n">
        <v>8</v>
      </c>
      <c r="AH1559" t="n">
        <v>4</v>
      </c>
      <c r="AI1559" t="n">
        <v>4</v>
      </c>
      <c r="AJ1559" t="n">
        <v>10</v>
      </c>
      <c r="AK1559" t="n">
        <v>10</v>
      </c>
      <c r="AL1559" t="n">
        <v>4</v>
      </c>
      <c r="AM1559" t="n">
        <v>4</v>
      </c>
      <c r="AN1559" t="n">
        <v>0</v>
      </c>
      <c r="AO1559" t="n">
        <v>0</v>
      </c>
      <c r="AP1559" t="inlineStr">
        <is>
          <t>No</t>
        </is>
      </c>
      <c r="AQ1559" t="inlineStr">
        <is>
          <t>Yes</t>
        </is>
      </c>
      <c r="AR1559">
        <f>HYPERLINK("http://catalog.hathitrust.org/Record/000748052","HathiTrust Record")</f>
        <v/>
      </c>
      <c r="AS1559">
        <f>HYPERLINK("https://creighton-primo.hosted.exlibrisgroup.com/primo-explore/search?tab=default_tab&amp;search_scope=EVERYTHING&amp;vid=01CRU&amp;lang=en_US&amp;offset=0&amp;query=any,contains,991004400669702656","Catalog Record")</f>
        <v/>
      </c>
      <c r="AT1559">
        <f>HYPERLINK("http://www.worldcat.org/oclc/3297125","WorldCat Record")</f>
        <v/>
      </c>
      <c r="AU1559" t="inlineStr">
        <is>
          <t>9715354:eng</t>
        </is>
      </c>
      <c r="AV1559" t="inlineStr">
        <is>
          <t>3297125</t>
        </is>
      </c>
      <c r="AW1559" t="inlineStr">
        <is>
          <t>991004400669702656</t>
        </is>
      </c>
      <c r="AX1559" t="inlineStr">
        <is>
          <t>991004400669702656</t>
        </is>
      </c>
      <c r="AY1559" t="inlineStr">
        <is>
          <t>2259179920002656</t>
        </is>
      </c>
      <c r="AZ1559" t="inlineStr">
        <is>
          <t>BOOK</t>
        </is>
      </c>
      <c r="BB1559" t="inlineStr">
        <is>
          <t>9780801410802</t>
        </is>
      </c>
      <c r="BC1559" t="inlineStr">
        <is>
          <t>32285001805398</t>
        </is>
      </c>
      <c r="BD1559" t="inlineStr">
        <is>
          <t>893417577</t>
        </is>
      </c>
    </row>
    <row r="1560">
      <c r="A1560" t="inlineStr">
        <is>
          <t>No</t>
        </is>
      </c>
      <c r="B1560" t="inlineStr">
        <is>
          <t>DS56 .B88</t>
        </is>
      </c>
      <c r="C1560" t="inlineStr">
        <is>
          <t>0                      DS 0056000B  88</t>
        </is>
      </c>
      <c r="D1560" t="inlineStr">
        <is>
          <t>From village to empire : an introduction to Near Eastern archaeology / Charles Burney.</t>
        </is>
      </c>
      <c r="F1560" t="inlineStr">
        <is>
          <t>No</t>
        </is>
      </c>
      <c r="G1560" t="inlineStr">
        <is>
          <t>1</t>
        </is>
      </c>
      <c r="H1560" t="inlineStr">
        <is>
          <t>No</t>
        </is>
      </c>
      <c r="I1560" t="inlineStr">
        <is>
          <t>No</t>
        </is>
      </c>
      <c r="J1560" t="inlineStr">
        <is>
          <t>0</t>
        </is>
      </c>
      <c r="K1560" t="inlineStr">
        <is>
          <t>Burney, Charles, 1930-</t>
        </is>
      </c>
      <c r="L1560" t="inlineStr">
        <is>
          <t>Oxford : Phaidon, 1977.</t>
        </is>
      </c>
      <c r="M1560" t="inlineStr">
        <is>
          <t>1977</t>
        </is>
      </c>
      <c r="O1560" t="inlineStr">
        <is>
          <t>eng</t>
        </is>
      </c>
      <c r="P1560" t="inlineStr">
        <is>
          <t>enk</t>
        </is>
      </c>
      <c r="R1560" t="inlineStr">
        <is>
          <t xml:space="preserve">DS </t>
        </is>
      </c>
      <c r="S1560" t="n">
        <v>1</v>
      </c>
      <c r="T1560" t="n">
        <v>1</v>
      </c>
      <c r="U1560" t="inlineStr">
        <is>
          <t>2007-03-13</t>
        </is>
      </c>
      <c r="V1560" t="inlineStr">
        <is>
          <t>2007-03-13</t>
        </is>
      </c>
      <c r="W1560" t="inlineStr">
        <is>
          <t>1990-09-13</t>
        </is>
      </c>
      <c r="X1560" t="inlineStr">
        <is>
          <t>1990-09-13</t>
        </is>
      </c>
      <c r="Y1560" t="n">
        <v>336</v>
      </c>
      <c r="Z1560" t="n">
        <v>152</v>
      </c>
      <c r="AA1560" t="n">
        <v>159</v>
      </c>
      <c r="AB1560" t="n">
        <v>3</v>
      </c>
      <c r="AC1560" t="n">
        <v>3</v>
      </c>
      <c r="AD1560" t="n">
        <v>8</v>
      </c>
      <c r="AE1560" t="n">
        <v>8</v>
      </c>
      <c r="AF1560" t="n">
        <v>2</v>
      </c>
      <c r="AG1560" t="n">
        <v>2</v>
      </c>
      <c r="AH1560" t="n">
        <v>0</v>
      </c>
      <c r="AI1560" t="n">
        <v>0</v>
      </c>
      <c r="AJ1560" t="n">
        <v>5</v>
      </c>
      <c r="AK1560" t="n">
        <v>5</v>
      </c>
      <c r="AL1560" t="n">
        <v>2</v>
      </c>
      <c r="AM1560" t="n">
        <v>2</v>
      </c>
      <c r="AN1560" t="n">
        <v>0</v>
      </c>
      <c r="AO1560" t="n">
        <v>0</v>
      </c>
      <c r="AP1560" t="inlineStr">
        <is>
          <t>No</t>
        </is>
      </c>
      <c r="AQ1560" t="inlineStr">
        <is>
          <t>Yes</t>
        </is>
      </c>
      <c r="AR1560">
        <f>HYPERLINK("http://catalog.hathitrust.org/Record/000091956","HathiTrust Record")</f>
        <v/>
      </c>
      <c r="AS1560">
        <f>HYPERLINK("https://creighton-primo.hosted.exlibrisgroup.com/primo-explore/search?tab=default_tab&amp;search_scope=EVERYTHING&amp;vid=01CRU&amp;lang=en_US&amp;offset=0&amp;query=any,contains,991004479449702656","Catalog Record")</f>
        <v/>
      </c>
      <c r="AT1560">
        <f>HYPERLINK("http://www.worldcat.org/oclc/3623826","WorldCat Record")</f>
        <v/>
      </c>
      <c r="AU1560" t="inlineStr">
        <is>
          <t>889401048:eng</t>
        </is>
      </c>
      <c r="AV1560" t="inlineStr">
        <is>
          <t>3623826</t>
        </is>
      </c>
      <c r="AW1560" t="inlineStr">
        <is>
          <t>991004479449702656</t>
        </is>
      </c>
      <c r="AX1560" t="inlineStr">
        <is>
          <t>991004479449702656</t>
        </is>
      </c>
      <c r="AY1560" t="inlineStr">
        <is>
          <t>2270956830002656</t>
        </is>
      </c>
      <c r="AZ1560" t="inlineStr">
        <is>
          <t>BOOK</t>
        </is>
      </c>
      <c r="BB1560" t="inlineStr">
        <is>
          <t>9780714817309</t>
        </is>
      </c>
      <c r="BC1560" t="inlineStr">
        <is>
          <t>32285000291764</t>
        </is>
      </c>
      <c r="BD1560" t="inlineStr">
        <is>
          <t>893235546</t>
        </is>
      </c>
    </row>
    <row r="1561">
      <c r="A1561" t="inlineStr">
        <is>
          <t>No</t>
        </is>
      </c>
      <c r="B1561" t="inlineStr">
        <is>
          <t>DS56 .L44 1998</t>
        </is>
      </c>
      <c r="C1561" t="inlineStr">
        <is>
          <t>0                      DS 0056000L  44          1998</t>
        </is>
      </c>
      <c r="D1561" t="inlineStr">
        <is>
          <t>The legacy of Mesopotamia / by Stephanie Dalley ... [et al.] ; with drawings by Stephanie Dalley and Marion Cox ; edited by Stephanie Dalley.</t>
        </is>
      </c>
      <c r="F1561" t="inlineStr">
        <is>
          <t>No</t>
        </is>
      </c>
      <c r="G1561" t="inlineStr">
        <is>
          <t>1</t>
        </is>
      </c>
      <c r="H1561" t="inlineStr">
        <is>
          <t>No</t>
        </is>
      </c>
      <c r="I1561" t="inlineStr">
        <is>
          <t>No</t>
        </is>
      </c>
      <c r="J1561" t="inlineStr">
        <is>
          <t>0</t>
        </is>
      </c>
      <c r="L1561" t="inlineStr">
        <is>
          <t>Oxford ; New York : Oxford University Press, 1998.</t>
        </is>
      </c>
      <c r="M1561" t="inlineStr">
        <is>
          <t>1998</t>
        </is>
      </c>
      <c r="O1561" t="inlineStr">
        <is>
          <t>eng</t>
        </is>
      </c>
      <c r="P1561" t="inlineStr">
        <is>
          <t>enk</t>
        </is>
      </c>
      <c r="R1561" t="inlineStr">
        <is>
          <t xml:space="preserve">DS </t>
        </is>
      </c>
      <c r="S1561" t="n">
        <v>3</v>
      </c>
      <c r="T1561" t="n">
        <v>3</v>
      </c>
      <c r="U1561" t="inlineStr">
        <is>
          <t>2008-04-29</t>
        </is>
      </c>
      <c r="V1561" t="inlineStr">
        <is>
          <t>2008-04-29</t>
        </is>
      </c>
      <c r="W1561" t="inlineStr">
        <is>
          <t>1999-01-14</t>
        </is>
      </c>
      <c r="X1561" t="inlineStr">
        <is>
          <t>1999-01-14</t>
        </is>
      </c>
      <c r="Y1561" t="n">
        <v>377</v>
      </c>
      <c r="Z1561" t="n">
        <v>280</v>
      </c>
      <c r="AA1561" t="n">
        <v>295</v>
      </c>
      <c r="AB1561" t="n">
        <v>3</v>
      </c>
      <c r="AC1561" t="n">
        <v>3</v>
      </c>
      <c r="AD1561" t="n">
        <v>17</v>
      </c>
      <c r="AE1561" t="n">
        <v>18</v>
      </c>
      <c r="AF1561" t="n">
        <v>7</v>
      </c>
      <c r="AG1561" t="n">
        <v>8</v>
      </c>
      <c r="AH1561" t="n">
        <v>4</v>
      </c>
      <c r="AI1561" t="n">
        <v>5</v>
      </c>
      <c r="AJ1561" t="n">
        <v>9</v>
      </c>
      <c r="AK1561" t="n">
        <v>9</v>
      </c>
      <c r="AL1561" t="n">
        <v>2</v>
      </c>
      <c r="AM1561" t="n">
        <v>2</v>
      </c>
      <c r="AN1561" t="n">
        <v>0</v>
      </c>
      <c r="AO1561" t="n">
        <v>0</v>
      </c>
      <c r="AP1561" t="inlineStr">
        <is>
          <t>No</t>
        </is>
      </c>
      <c r="AQ1561" t="inlineStr">
        <is>
          <t>No</t>
        </is>
      </c>
      <c r="AS1561">
        <f>HYPERLINK("https://creighton-primo.hosted.exlibrisgroup.com/primo-explore/search?tab=default_tab&amp;search_scope=EVERYTHING&amp;vid=01CRU&amp;lang=en_US&amp;offset=0&amp;query=any,contains,991002789379702656","Catalog Record")</f>
        <v/>
      </c>
      <c r="AT1561">
        <f>HYPERLINK("http://www.worldcat.org/oclc/36640774","WorldCat Record")</f>
        <v/>
      </c>
      <c r="AU1561" t="inlineStr">
        <is>
          <t>598227:eng</t>
        </is>
      </c>
      <c r="AV1561" t="inlineStr">
        <is>
          <t>36640774</t>
        </is>
      </c>
      <c r="AW1561" t="inlineStr">
        <is>
          <t>991002789379702656</t>
        </is>
      </c>
      <c r="AX1561" t="inlineStr">
        <is>
          <t>991002789379702656</t>
        </is>
      </c>
      <c r="AY1561" t="inlineStr">
        <is>
          <t>2267471520002656</t>
        </is>
      </c>
      <c r="AZ1561" t="inlineStr">
        <is>
          <t>BOOK</t>
        </is>
      </c>
      <c r="BB1561" t="inlineStr">
        <is>
          <t>9780198149460</t>
        </is>
      </c>
      <c r="BC1561" t="inlineStr">
        <is>
          <t>32285003512513</t>
        </is>
      </c>
      <c r="BD1561" t="inlineStr">
        <is>
          <t>893786553</t>
        </is>
      </c>
    </row>
    <row r="1562">
      <c r="A1562" t="inlineStr">
        <is>
          <t>No</t>
        </is>
      </c>
      <c r="B1562" t="inlineStr">
        <is>
          <t>DS56 .L56</t>
        </is>
      </c>
      <c r="C1562" t="inlineStr">
        <is>
          <t>0                      DS 0056000L  56</t>
        </is>
      </c>
      <c r="D1562" t="inlineStr">
        <is>
          <t>Mounds of the Near East.</t>
        </is>
      </c>
      <c r="F1562" t="inlineStr">
        <is>
          <t>No</t>
        </is>
      </c>
      <c r="G1562" t="inlineStr">
        <is>
          <t>1</t>
        </is>
      </c>
      <c r="H1562" t="inlineStr">
        <is>
          <t>No</t>
        </is>
      </c>
      <c r="I1562" t="inlineStr">
        <is>
          <t>No</t>
        </is>
      </c>
      <c r="J1562" t="inlineStr">
        <is>
          <t>0</t>
        </is>
      </c>
      <c r="K1562" t="inlineStr">
        <is>
          <t>Lloyd, Seton.</t>
        </is>
      </c>
      <c r="L1562" t="inlineStr">
        <is>
          <t>[Edinburgh] : Edinburgh University Press, [c1963]</t>
        </is>
      </c>
      <c r="M1562" t="inlineStr">
        <is>
          <t>1963</t>
        </is>
      </c>
      <c r="O1562" t="inlineStr">
        <is>
          <t>eng</t>
        </is>
      </c>
      <c r="P1562" t="inlineStr">
        <is>
          <t>stk</t>
        </is>
      </c>
      <c r="Q1562" t="inlineStr">
        <is>
          <t>The Rhind lectures, 1961-1962</t>
        </is>
      </c>
      <c r="R1562" t="inlineStr">
        <is>
          <t xml:space="preserve">DS </t>
        </is>
      </c>
      <c r="S1562" t="n">
        <v>3</v>
      </c>
      <c r="T1562" t="n">
        <v>3</v>
      </c>
      <c r="U1562" t="inlineStr">
        <is>
          <t>1999-11-23</t>
        </is>
      </c>
      <c r="V1562" t="inlineStr">
        <is>
          <t>1999-11-23</t>
        </is>
      </c>
      <c r="W1562" t="inlineStr">
        <is>
          <t>1992-02-03</t>
        </is>
      </c>
      <c r="X1562" t="inlineStr">
        <is>
          <t>1992-02-03</t>
        </is>
      </c>
      <c r="Y1562" t="n">
        <v>586</v>
      </c>
      <c r="Z1562" t="n">
        <v>483</v>
      </c>
      <c r="AA1562" t="n">
        <v>487</v>
      </c>
      <c r="AB1562" t="n">
        <v>3</v>
      </c>
      <c r="AC1562" t="n">
        <v>3</v>
      </c>
      <c r="AD1562" t="n">
        <v>20</v>
      </c>
      <c r="AE1562" t="n">
        <v>20</v>
      </c>
      <c r="AF1562" t="n">
        <v>6</v>
      </c>
      <c r="AG1562" t="n">
        <v>6</v>
      </c>
      <c r="AH1562" t="n">
        <v>4</v>
      </c>
      <c r="AI1562" t="n">
        <v>4</v>
      </c>
      <c r="AJ1562" t="n">
        <v>11</v>
      </c>
      <c r="AK1562" t="n">
        <v>11</v>
      </c>
      <c r="AL1562" t="n">
        <v>2</v>
      </c>
      <c r="AM1562" t="n">
        <v>2</v>
      </c>
      <c r="AN1562" t="n">
        <v>0</v>
      </c>
      <c r="AO1562" t="n">
        <v>0</v>
      </c>
      <c r="AP1562" t="inlineStr">
        <is>
          <t>No</t>
        </is>
      </c>
      <c r="AQ1562" t="inlineStr">
        <is>
          <t>Yes</t>
        </is>
      </c>
      <c r="AR1562">
        <f>HYPERLINK("http://catalog.hathitrust.org/Record/001246748","HathiTrust Record")</f>
        <v/>
      </c>
      <c r="AS1562">
        <f>HYPERLINK("https://creighton-primo.hosted.exlibrisgroup.com/primo-explore/search?tab=default_tab&amp;search_scope=EVERYTHING&amp;vid=01CRU&amp;lang=en_US&amp;offset=0&amp;query=any,contains,991003064139702656","Catalog Record")</f>
        <v/>
      </c>
      <c r="AT1562">
        <f>HYPERLINK("http://www.worldcat.org/oclc/620811","WorldCat Record")</f>
        <v/>
      </c>
      <c r="AU1562" t="inlineStr">
        <is>
          <t>1687611:eng</t>
        </is>
      </c>
      <c r="AV1562" t="inlineStr">
        <is>
          <t>620811</t>
        </is>
      </c>
      <c r="AW1562" t="inlineStr">
        <is>
          <t>991003064139702656</t>
        </is>
      </c>
      <c r="AX1562" t="inlineStr">
        <is>
          <t>991003064139702656</t>
        </is>
      </c>
      <c r="AY1562" t="inlineStr">
        <is>
          <t>2255436220002656</t>
        </is>
      </c>
      <c r="AZ1562" t="inlineStr">
        <is>
          <t>BOOK</t>
        </is>
      </c>
      <c r="BC1562" t="inlineStr">
        <is>
          <t>32285000933084</t>
        </is>
      </c>
      <c r="BD1562" t="inlineStr">
        <is>
          <t>893422134</t>
        </is>
      </c>
    </row>
    <row r="1563">
      <c r="A1563" t="inlineStr">
        <is>
          <t>No</t>
        </is>
      </c>
      <c r="B1563" t="inlineStr">
        <is>
          <t>DS56 .N4</t>
        </is>
      </c>
      <c r="C1563" t="inlineStr">
        <is>
          <t>0                      DS 0056000N  4</t>
        </is>
      </c>
      <c r="D1563" t="inlineStr">
        <is>
          <t>Near Eastern archaeology in the twentieth century : essays in honor of Nelson Glueck / edited by James A. Sanders.</t>
        </is>
      </c>
      <c r="F1563" t="inlineStr">
        <is>
          <t>No</t>
        </is>
      </c>
      <c r="G1563" t="inlineStr">
        <is>
          <t>1</t>
        </is>
      </c>
      <c r="H1563" t="inlineStr">
        <is>
          <t>No</t>
        </is>
      </c>
      <c r="I1563" t="inlineStr">
        <is>
          <t>No</t>
        </is>
      </c>
      <c r="J1563" t="inlineStr">
        <is>
          <t>0</t>
        </is>
      </c>
      <c r="L1563" t="inlineStr">
        <is>
          <t>Garden City, N.Y. : Doubleday, 1970.</t>
        </is>
      </c>
      <c r="M1563" t="inlineStr">
        <is>
          <t>1970</t>
        </is>
      </c>
      <c r="N1563" t="inlineStr">
        <is>
          <t>[1st ed.]</t>
        </is>
      </c>
      <c r="O1563" t="inlineStr">
        <is>
          <t>eng</t>
        </is>
      </c>
      <c r="P1563" t="inlineStr">
        <is>
          <t>nyu</t>
        </is>
      </c>
      <c r="R1563" t="inlineStr">
        <is>
          <t xml:space="preserve">DS </t>
        </is>
      </c>
      <c r="S1563" t="n">
        <v>16</v>
      </c>
      <c r="T1563" t="n">
        <v>16</v>
      </c>
      <c r="U1563" t="inlineStr">
        <is>
          <t>2009-09-23</t>
        </is>
      </c>
      <c r="V1563" t="inlineStr">
        <is>
          <t>2009-09-23</t>
        </is>
      </c>
      <c r="W1563" t="inlineStr">
        <is>
          <t>1992-01-20</t>
        </is>
      </c>
      <c r="X1563" t="inlineStr">
        <is>
          <t>1992-01-20</t>
        </is>
      </c>
      <c r="Y1563" t="n">
        <v>747</v>
      </c>
      <c r="Z1563" t="n">
        <v>609</v>
      </c>
      <c r="AA1563" t="n">
        <v>615</v>
      </c>
      <c r="AB1563" t="n">
        <v>5</v>
      </c>
      <c r="AC1563" t="n">
        <v>5</v>
      </c>
      <c r="AD1563" t="n">
        <v>26</v>
      </c>
      <c r="AE1563" t="n">
        <v>26</v>
      </c>
      <c r="AF1563" t="n">
        <v>10</v>
      </c>
      <c r="AG1563" t="n">
        <v>10</v>
      </c>
      <c r="AH1563" t="n">
        <v>5</v>
      </c>
      <c r="AI1563" t="n">
        <v>5</v>
      </c>
      <c r="AJ1563" t="n">
        <v>12</v>
      </c>
      <c r="AK1563" t="n">
        <v>12</v>
      </c>
      <c r="AL1563" t="n">
        <v>4</v>
      </c>
      <c r="AM1563" t="n">
        <v>4</v>
      </c>
      <c r="AN1563" t="n">
        <v>0</v>
      </c>
      <c r="AO1563" t="n">
        <v>0</v>
      </c>
      <c r="AP1563" t="inlineStr">
        <is>
          <t>No</t>
        </is>
      </c>
      <c r="AQ1563" t="inlineStr">
        <is>
          <t>Yes</t>
        </is>
      </c>
      <c r="AR1563">
        <f>HYPERLINK("http://catalog.hathitrust.org/Record/001241016","HathiTrust Record")</f>
        <v/>
      </c>
      <c r="AS1563">
        <f>HYPERLINK("https://creighton-primo.hosted.exlibrisgroup.com/primo-explore/search?tab=default_tab&amp;search_scope=EVERYTHING&amp;vid=01CRU&amp;lang=en_US&amp;offset=0&amp;query=any,contains,991000542299702656","Catalog Record")</f>
        <v/>
      </c>
      <c r="AT1563">
        <f>HYPERLINK("http://www.worldcat.org/oclc/90693","WorldCat Record")</f>
        <v/>
      </c>
      <c r="AU1563" t="inlineStr">
        <is>
          <t>568274727:eng</t>
        </is>
      </c>
      <c r="AV1563" t="inlineStr">
        <is>
          <t>90693</t>
        </is>
      </c>
      <c r="AW1563" t="inlineStr">
        <is>
          <t>991000542299702656</t>
        </is>
      </c>
      <c r="AX1563" t="inlineStr">
        <is>
          <t>991000542299702656</t>
        </is>
      </c>
      <c r="AY1563" t="inlineStr">
        <is>
          <t>2266346980002656</t>
        </is>
      </c>
      <c r="AZ1563" t="inlineStr">
        <is>
          <t>BOOK</t>
        </is>
      </c>
      <c r="BC1563" t="inlineStr">
        <is>
          <t>32285000915834</t>
        </is>
      </c>
      <c r="BD1563" t="inlineStr">
        <is>
          <t>893702215</t>
        </is>
      </c>
    </row>
    <row r="1564">
      <c r="A1564" t="inlineStr">
        <is>
          <t>No</t>
        </is>
      </c>
      <c r="B1564" t="inlineStr">
        <is>
          <t>DS565 .B13 1881</t>
        </is>
      </c>
      <c r="C1564" t="inlineStr">
        <is>
          <t>0                      DS 0565000B  13          1881</t>
        </is>
      </c>
      <c r="D1564" t="inlineStr">
        <is>
          <t>Siam, the land of the white elephant, as it was and is. Compiled and arranged by George B. Bacon.</t>
        </is>
      </c>
      <c r="F1564" t="inlineStr">
        <is>
          <t>No</t>
        </is>
      </c>
      <c r="G1564" t="inlineStr">
        <is>
          <t>1</t>
        </is>
      </c>
      <c r="H1564" t="inlineStr">
        <is>
          <t>No</t>
        </is>
      </c>
      <c r="I1564" t="inlineStr">
        <is>
          <t>No</t>
        </is>
      </c>
      <c r="J1564" t="inlineStr">
        <is>
          <t>0</t>
        </is>
      </c>
      <c r="K1564" t="inlineStr">
        <is>
          <t>Bacon, George B. (George Blagden), 1836-1876.</t>
        </is>
      </c>
      <c r="L1564" t="inlineStr">
        <is>
          <t>New York, Charles Scribner's Sons, 1881.</t>
        </is>
      </c>
      <c r="M1564" t="inlineStr">
        <is>
          <t>1881</t>
        </is>
      </c>
      <c r="O1564" t="inlineStr">
        <is>
          <t>eng</t>
        </is>
      </c>
      <c r="P1564" t="inlineStr">
        <is>
          <t xml:space="preserve">xx </t>
        </is>
      </c>
      <c r="Q1564" t="inlineStr">
        <is>
          <t>Illustrated library of travel</t>
        </is>
      </c>
      <c r="R1564" t="inlineStr">
        <is>
          <t xml:space="preserve">DS </t>
        </is>
      </c>
      <c r="S1564" t="n">
        <v>6</v>
      </c>
      <c r="T1564" t="n">
        <v>6</v>
      </c>
      <c r="U1564" t="inlineStr">
        <is>
          <t>2005-01-17</t>
        </is>
      </c>
      <c r="V1564" t="inlineStr">
        <is>
          <t>2005-01-17</t>
        </is>
      </c>
      <c r="W1564" t="inlineStr">
        <is>
          <t>1996-08-09</t>
        </is>
      </c>
      <c r="X1564" t="inlineStr">
        <is>
          <t>1996-08-09</t>
        </is>
      </c>
      <c r="Y1564" t="n">
        <v>36</v>
      </c>
      <c r="Z1564" t="n">
        <v>31</v>
      </c>
      <c r="AA1564" t="n">
        <v>297</v>
      </c>
      <c r="AB1564" t="n">
        <v>1</v>
      </c>
      <c r="AC1564" t="n">
        <v>3</v>
      </c>
      <c r="AD1564" t="n">
        <v>0</v>
      </c>
      <c r="AE1564" t="n">
        <v>18</v>
      </c>
      <c r="AF1564" t="n">
        <v>0</v>
      </c>
      <c r="AG1564" t="n">
        <v>4</v>
      </c>
      <c r="AH1564" t="n">
        <v>0</v>
      </c>
      <c r="AI1564" t="n">
        <v>4</v>
      </c>
      <c r="AJ1564" t="n">
        <v>0</v>
      </c>
      <c r="AK1564" t="n">
        <v>11</v>
      </c>
      <c r="AL1564" t="n">
        <v>0</v>
      </c>
      <c r="AM1564" t="n">
        <v>2</v>
      </c>
      <c r="AN1564" t="n">
        <v>0</v>
      </c>
      <c r="AO1564" t="n">
        <v>0</v>
      </c>
      <c r="AP1564" t="inlineStr">
        <is>
          <t>Yes</t>
        </is>
      </c>
      <c r="AQ1564" t="inlineStr">
        <is>
          <t>No</t>
        </is>
      </c>
      <c r="AR1564">
        <f>HYPERLINK("http://catalog.hathitrust.org/Record/008922202","HathiTrust Record")</f>
        <v/>
      </c>
      <c r="AS1564">
        <f>HYPERLINK("https://creighton-primo.hosted.exlibrisgroup.com/primo-explore/search?tab=default_tab&amp;search_scope=EVERYTHING&amp;vid=01CRU&amp;lang=en_US&amp;offset=0&amp;query=any,contains,991004289639702656","Catalog Record")</f>
        <v/>
      </c>
      <c r="AT1564">
        <f>HYPERLINK("http://www.worldcat.org/oclc/2939290","WorldCat Record")</f>
        <v/>
      </c>
      <c r="AU1564" t="inlineStr">
        <is>
          <t>2499004:eng</t>
        </is>
      </c>
      <c r="AV1564" t="inlineStr">
        <is>
          <t>2939290</t>
        </is>
      </c>
      <c r="AW1564" t="inlineStr">
        <is>
          <t>991004289639702656</t>
        </is>
      </c>
      <c r="AX1564" t="inlineStr">
        <is>
          <t>991004289639702656</t>
        </is>
      </c>
      <c r="AY1564" t="inlineStr">
        <is>
          <t>2261376870002656</t>
        </is>
      </c>
      <c r="AZ1564" t="inlineStr">
        <is>
          <t>BOOK</t>
        </is>
      </c>
      <c r="BC1564" t="inlineStr">
        <is>
          <t>32285002273455</t>
        </is>
      </c>
      <c r="BD1564" t="inlineStr">
        <is>
          <t>893901064</t>
        </is>
      </c>
    </row>
    <row r="1565">
      <c r="A1565" t="inlineStr">
        <is>
          <t>No</t>
        </is>
      </c>
      <c r="B1565" t="inlineStr">
        <is>
          <t>DS566 .P4 1976</t>
        </is>
      </c>
      <c r="C1565" t="inlineStr">
        <is>
          <t>0                      DS 0566000P  4           1976</t>
        </is>
      </c>
      <c r="D1565" t="inlineStr">
        <is>
          <t>Thailand : aspects of landscape and life / by Robert L. Pendleton, with the assistance of Robert C. Kingsbury and others.</t>
        </is>
      </c>
      <c r="F1565" t="inlineStr">
        <is>
          <t>No</t>
        </is>
      </c>
      <c r="G1565" t="inlineStr">
        <is>
          <t>1</t>
        </is>
      </c>
      <c r="H1565" t="inlineStr">
        <is>
          <t>No</t>
        </is>
      </c>
      <c r="I1565" t="inlineStr">
        <is>
          <t>No</t>
        </is>
      </c>
      <c r="J1565" t="inlineStr">
        <is>
          <t>0</t>
        </is>
      </c>
      <c r="K1565" t="inlineStr">
        <is>
          <t>Pendleton, Robert Larimore, 1890-1957.</t>
        </is>
      </c>
      <c r="L1565" t="inlineStr">
        <is>
          <t>Westport, Conn. : Greenwood Press, 1976, c1962.</t>
        </is>
      </c>
      <c r="M1565" t="inlineStr">
        <is>
          <t>1976</t>
        </is>
      </c>
      <c r="O1565" t="inlineStr">
        <is>
          <t>eng</t>
        </is>
      </c>
      <c r="P1565" t="inlineStr">
        <is>
          <t>ctu</t>
        </is>
      </c>
      <c r="R1565" t="inlineStr">
        <is>
          <t xml:space="preserve">DS </t>
        </is>
      </c>
      <c r="S1565" t="n">
        <v>8</v>
      </c>
      <c r="T1565" t="n">
        <v>8</v>
      </c>
      <c r="U1565" t="inlineStr">
        <is>
          <t>2000-03-01</t>
        </is>
      </c>
      <c r="V1565" t="inlineStr">
        <is>
          <t>2000-03-01</t>
        </is>
      </c>
      <c r="W1565" t="inlineStr">
        <is>
          <t>1991-03-08</t>
        </is>
      </c>
      <c r="X1565" t="inlineStr">
        <is>
          <t>1991-03-08</t>
        </is>
      </c>
      <c r="Y1565" t="n">
        <v>54</v>
      </c>
      <c r="Z1565" t="n">
        <v>50</v>
      </c>
      <c r="AA1565" t="n">
        <v>516</v>
      </c>
      <c r="AB1565" t="n">
        <v>1</v>
      </c>
      <c r="AC1565" t="n">
        <v>7</v>
      </c>
      <c r="AD1565" t="n">
        <v>7</v>
      </c>
      <c r="AE1565" t="n">
        <v>25</v>
      </c>
      <c r="AF1565" t="n">
        <v>4</v>
      </c>
      <c r="AG1565" t="n">
        <v>8</v>
      </c>
      <c r="AH1565" t="n">
        <v>2</v>
      </c>
      <c r="AI1565" t="n">
        <v>7</v>
      </c>
      <c r="AJ1565" t="n">
        <v>4</v>
      </c>
      <c r="AK1565" t="n">
        <v>9</v>
      </c>
      <c r="AL1565" t="n">
        <v>0</v>
      </c>
      <c r="AM1565" t="n">
        <v>6</v>
      </c>
      <c r="AN1565" t="n">
        <v>0</v>
      </c>
      <c r="AO1565" t="n">
        <v>0</v>
      </c>
      <c r="AP1565" t="inlineStr">
        <is>
          <t>No</t>
        </is>
      </c>
      <c r="AQ1565" t="inlineStr">
        <is>
          <t>Yes</t>
        </is>
      </c>
      <c r="AR1565">
        <f>HYPERLINK("http://catalog.hathitrust.org/Record/004410645","HathiTrust Record")</f>
        <v/>
      </c>
      <c r="AS1565">
        <f>HYPERLINK("https://creighton-primo.hosted.exlibrisgroup.com/primo-explore/search?tab=default_tab&amp;search_scope=EVERYTHING&amp;vid=01CRU&amp;lang=en_US&amp;offset=0&amp;query=any,contains,991004107019702656","Catalog Record")</f>
        <v/>
      </c>
      <c r="AT1565">
        <f>HYPERLINK("http://www.worldcat.org/oclc/2387757","WorldCat Record")</f>
        <v/>
      </c>
      <c r="AU1565" t="inlineStr">
        <is>
          <t>1709411:eng</t>
        </is>
      </c>
      <c r="AV1565" t="inlineStr">
        <is>
          <t>2387757</t>
        </is>
      </c>
      <c r="AW1565" t="inlineStr">
        <is>
          <t>991004107019702656</t>
        </is>
      </c>
      <c r="AX1565" t="inlineStr">
        <is>
          <t>991004107019702656</t>
        </is>
      </c>
      <c r="AY1565" t="inlineStr">
        <is>
          <t>2258681420002656</t>
        </is>
      </c>
      <c r="AZ1565" t="inlineStr">
        <is>
          <t>BOOK</t>
        </is>
      </c>
      <c r="BB1565" t="inlineStr">
        <is>
          <t>9780837184104</t>
        </is>
      </c>
      <c r="BC1565" t="inlineStr">
        <is>
          <t>32285000545599</t>
        </is>
      </c>
      <c r="BD1565" t="inlineStr">
        <is>
          <t>893712165</t>
        </is>
      </c>
    </row>
    <row r="1566">
      <c r="A1566" t="inlineStr">
        <is>
          <t>No</t>
        </is>
      </c>
      <c r="B1566" t="inlineStr">
        <is>
          <t>DS57 .A4131</t>
        </is>
      </c>
      <c r="C1566" t="inlineStr">
        <is>
          <t>0                      DS 0057000A  4131</t>
        </is>
      </c>
      <c r="D1566" t="inlineStr">
        <is>
          <t>Anatolia I [by] Bahabir Alkim. Translated from the French by James Hogarth.</t>
        </is>
      </c>
      <c r="E1566" t="inlineStr">
        <is>
          <t>V.1</t>
        </is>
      </c>
      <c r="F1566" t="inlineStr">
        <is>
          <t>Yes</t>
        </is>
      </c>
      <c r="G1566" t="inlineStr">
        <is>
          <t>1</t>
        </is>
      </c>
      <c r="H1566" t="inlineStr">
        <is>
          <t>No</t>
        </is>
      </c>
      <c r="I1566" t="inlineStr">
        <is>
          <t>No</t>
        </is>
      </c>
      <c r="J1566" t="inlineStr">
        <is>
          <t>0</t>
        </is>
      </c>
      <c r="K1566" t="inlineStr">
        <is>
          <t>Alkım, U. Bahadır, -1981.</t>
        </is>
      </c>
      <c r="L1566" t="inlineStr">
        <is>
          <t>Geneva [etc] Nagel Publishers [1970]</t>
        </is>
      </c>
      <c r="M1566" t="inlineStr">
        <is>
          <t>1970</t>
        </is>
      </c>
      <c r="O1566" t="inlineStr">
        <is>
          <t>eng</t>
        </is>
      </c>
      <c r="P1566" t="inlineStr">
        <is>
          <t xml:space="preserve">sz </t>
        </is>
      </c>
      <c r="Q1566" t="inlineStr">
        <is>
          <t>Archaeologia Mvndi</t>
        </is>
      </c>
      <c r="R1566" t="inlineStr">
        <is>
          <t xml:space="preserve">DS </t>
        </is>
      </c>
      <c r="S1566" t="n">
        <v>1</v>
      </c>
      <c r="T1566" t="n">
        <v>2</v>
      </c>
      <c r="U1566" t="inlineStr">
        <is>
          <t>2008-07-09</t>
        </is>
      </c>
      <c r="V1566" t="inlineStr">
        <is>
          <t>2008-07-09</t>
        </is>
      </c>
      <c r="W1566" t="inlineStr">
        <is>
          <t>1997-02-21</t>
        </is>
      </c>
      <c r="X1566" t="inlineStr">
        <is>
          <t>1997-02-21</t>
        </is>
      </c>
      <c r="Y1566" t="n">
        <v>6</v>
      </c>
      <c r="Z1566" t="n">
        <v>4</v>
      </c>
      <c r="AA1566" t="n">
        <v>4</v>
      </c>
      <c r="AB1566" t="n">
        <v>1</v>
      </c>
      <c r="AC1566" t="n">
        <v>1</v>
      </c>
      <c r="AD1566" t="n">
        <v>0</v>
      </c>
      <c r="AE1566" t="n">
        <v>0</v>
      </c>
      <c r="AF1566" t="n">
        <v>0</v>
      </c>
      <c r="AG1566" t="n">
        <v>0</v>
      </c>
      <c r="AH1566" t="n">
        <v>0</v>
      </c>
      <c r="AI1566" t="n">
        <v>0</v>
      </c>
      <c r="AJ1566" t="n">
        <v>0</v>
      </c>
      <c r="AK1566" t="n">
        <v>0</v>
      </c>
      <c r="AL1566" t="n">
        <v>0</v>
      </c>
      <c r="AM1566" t="n">
        <v>0</v>
      </c>
      <c r="AN1566" t="n">
        <v>0</v>
      </c>
      <c r="AO1566" t="n">
        <v>0</v>
      </c>
      <c r="AP1566" t="inlineStr">
        <is>
          <t>No</t>
        </is>
      </c>
      <c r="AQ1566" t="inlineStr">
        <is>
          <t>No</t>
        </is>
      </c>
      <c r="AS1566">
        <f>HYPERLINK("https://creighton-primo.hosted.exlibrisgroup.com/primo-explore/search?tab=default_tab&amp;search_scope=EVERYTHING&amp;vid=01CRU&amp;lang=en_US&amp;offset=0&amp;query=any,contains,991002453909702656","Catalog Record")</f>
        <v/>
      </c>
      <c r="AT1566">
        <f>HYPERLINK("http://www.worldcat.org/oclc/32011157","WorldCat Record")</f>
        <v/>
      </c>
      <c r="AU1566" t="inlineStr">
        <is>
          <t>5612012131:eng</t>
        </is>
      </c>
      <c r="AV1566" t="inlineStr">
        <is>
          <t>32011157</t>
        </is>
      </c>
      <c r="AW1566" t="inlineStr">
        <is>
          <t>991002453909702656</t>
        </is>
      </c>
      <c r="AX1566" t="inlineStr">
        <is>
          <t>991002453909702656</t>
        </is>
      </c>
      <c r="AY1566" t="inlineStr">
        <is>
          <t>2258554110002656</t>
        </is>
      </c>
      <c r="AZ1566" t="inlineStr">
        <is>
          <t>BOOK</t>
        </is>
      </c>
      <c r="BC1566" t="inlineStr">
        <is>
          <t>32285002469020</t>
        </is>
      </c>
      <c r="BD1566" t="inlineStr">
        <is>
          <t>893530014</t>
        </is>
      </c>
    </row>
    <row r="1567">
      <c r="A1567" t="inlineStr">
        <is>
          <t>No</t>
        </is>
      </c>
      <c r="B1567" t="inlineStr">
        <is>
          <t>DS57 .A4131</t>
        </is>
      </c>
      <c r="C1567" t="inlineStr">
        <is>
          <t>0                      DS 0057000A  4131</t>
        </is>
      </c>
      <c r="D1567" t="inlineStr">
        <is>
          <t>Anatolia I [by] Bahabir Alkim. Translated from the French by James Hogarth.</t>
        </is>
      </c>
      <c r="E1567" t="inlineStr">
        <is>
          <t>V.2</t>
        </is>
      </c>
      <c r="F1567" t="inlineStr">
        <is>
          <t>Yes</t>
        </is>
      </c>
      <c r="G1567" t="inlineStr">
        <is>
          <t>1</t>
        </is>
      </c>
      <c r="H1567" t="inlineStr">
        <is>
          <t>No</t>
        </is>
      </c>
      <c r="I1567" t="inlineStr">
        <is>
          <t>No</t>
        </is>
      </c>
      <c r="J1567" t="inlineStr">
        <is>
          <t>0</t>
        </is>
      </c>
      <c r="K1567" t="inlineStr">
        <is>
          <t>Alkım, U. Bahadır, -1981.</t>
        </is>
      </c>
      <c r="L1567" t="inlineStr">
        <is>
          <t>Geneva [etc] Nagel Publishers [1970]</t>
        </is>
      </c>
      <c r="M1567" t="inlineStr">
        <is>
          <t>1970</t>
        </is>
      </c>
      <c r="O1567" t="inlineStr">
        <is>
          <t>eng</t>
        </is>
      </c>
      <c r="P1567" t="inlineStr">
        <is>
          <t xml:space="preserve">sz </t>
        </is>
      </c>
      <c r="Q1567" t="inlineStr">
        <is>
          <t>Archaeologia Mvndi</t>
        </is>
      </c>
      <c r="R1567" t="inlineStr">
        <is>
          <t xml:space="preserve">DS </t>
        </is>
      </c>
      <c r="S1567" t="n">
        <v>1</v>
      </c>
      <c r="T1567" t="n">
        <v>2</v>
      </c>
      <c r="U1567" t="inlineStr">
        <is>
          <t>2008-07-09</t>
        </is>
      </c>
      <c r="V1567" t="inlineStr">
        <is>
          <t>2008-07-09</t>
        </is>
      </c>
      <c r="W1567" t="inlineStr">
        <is>
          <t>1997-02-21</t>
        </is>
      </c>
      <c r="X1567" t="inlineStr">
        <is>
          <t>1997-02-21</t>
        </is>
      </c>
      <c r="Y1567" t="n">
        <v>6</v>
      </c>
      <c r="Z1567" t="n">
        <v>4</v>
      </c>
      <c r="AA1567" t="n">
        <v>4</v>
      </c>
      <c r="AB1567" t="n">
        <v>1</v>
      </c>
      <c r="AC1567" t="n">
        <v>1</v>
      </c>
      <c r="AD1567" t="n">
        <v>0</v>
      </c>
      <c r="AE1567" t="n">
        <v>0</v>
      </c>
      <c r="AF1567" t="n">
        <v>0</v>
      </c>
      <c r="AG1567" t="n">
        <v>0</v>
      </c>
      <c r="AH1567" t="n">
        <v>0</v>
      </c>
      <c r="AI1567" t="n">
        <v>0</v>
      </c>
      <c r="AJ1567" t="n">
        <v>0</v>
      </c>
      <c r="AK1567" t="n">
        <v>0</v>
      </c>
      <c r="AL1567" t="n">
        <v>0</v>
      </c>
      <c r="AM1567" t="n">
        <v>0</v>
      </c>
      <c r="AN1567" t="n">
        <v>0</v>
      </c>
      <c r="AO1567" t="n">
        <v>0</v>
      </c>
      <c r="AP1567" t="inlineStr">
        <is>
          <t>No</t>
        </is>
      </c>
      <c r="AQ1567" t="inlineStr">
        <is>
          <t>No</t>
        </is>
      </c>
      <c r="AS1567">
        <f>HYPERLINK("https://creighton-primo.hosted.exlibrisgroup.com/primo-explore/search?tab=default_tab&amp;search_scope=EVERYTHING&amp;vid=01CRU&amp;lang=en_US&amp;offset=0&amp;query=any,contains,991002453909702656","Catalog Record")</f>
        <v/>
      </c>
      <c r="AT1567">
        <f>HYPERLINK("http://www.worldcat.org/oclc/32011157","WorldCat Record")</f>
        <v/>
      </c>
      <c r="AU1567" t="inlineStr">
        <is>
          <t>5612012131:eng</t>
        </is>
      </c>
      <c r="AV1567" t="inlineStr">
        <is>
          <t>32011157</t>
        </is>
      </c>
      <c r="AW1567" t="inlineStr">
        <is>
          <t>991002453909702656</t>
        </is>
      </c>
      <c r="AX1567" t="inlineStr">
        <is>
          <t>991002453909702656</t>
        </is>
      </c>
      <c r="AY1567" t="inlineStr">
        <is>
          <t>2258554110002656</t>
        </is>
      </c>
      <c r="AZ1567" t="inlineStr">
        <is>
          <t>BOOK</t>
        </is>
      </c>
      <c r="BC1567" t="inlineStr">
        <is>
          <t>32285002469038</t>
        </is>
      </c>
      <c r="BD1567" t="inlineStr">
        <is>
          <t>893523636</t>
        </is>
      </c>
    </row>
    <row r="1568">
      <c r="A1568" t="inlineStr">
        <is>
          <t>No</t>
        </is>
      </c>
      <c r="B1568" t="inlineStr">
        <is>
          <t>DS57 .B34 1983</t>
        </is>
      </c>
      <c r="C1568" t="inlineStr">
        <is>
          <t>0                      DS 0057000B  34          1983</t>
        </is>
      </c>
      <c r="D1568" t="inlineStr">
        <is>
          <t>Peoples and cultures of the Middle East / Daniel G. Bates, Amal Rassam.</t>
        </is>
      </c>
      <c r="F1568" t="inlineStr">
        <is>
          <t>No</t>
        </is>
      </c>
      <c r="G1568" t="inlineStr">
        <is>
          <t>1</t>
        </is>
      </c>
      <c r="H1568" t="inlineStr">
        <is>
          <t>No</t>
        </is>
      </c>
      <c r="I1568" t="inlineStr">
        <is>
          <t>No</t>
        </is>
      </c>
      <c r="J1568" t="inlineStr">
        <is>
          <t>0</t>
        </is>
      </c>
      <c r="K1568" t="inlineStr">
        <is>
          <t>Bates, Daniel G.</t>
        </is>
      </c>
      <c r="L1568" t="inlineStr">
        <is>
          <t>Englewood Cliffs, NJ : Prentice-Hall, c1983.</t>
        </is>
      </c>
      <c r="M1568" t="inlineStr">
        <is>
          <t>1983</t>
        </is>
      </c>
      <c r="O1568" t="inlineStr">
        <is>
          <t>eng</t>
        </is>
      </c>
      <c r="P1568" t="inlineStr">
        <is>
          <t>nju</t>
        </is>
      </c>
      <c r="R1568" t="inlineStr">
        <is>
          <t xml:space="preserve">DS </t>
        </is>
      </c>
      <c r="S1568" t="n">
        <v>6</v>
      </c>
      <c r="T1568" t="n">
        <v>6</v>
      </c>
      <c r="U1568" t="inlineStr">
        <is>
          <t>2006-10-01</t>
        </is>
      </c>
      <c r="V1568" t="inlineStr">
        <is>
          <t>2006-10-01</t>
        </is>
      </c>
      <c r="W1568" t="inlineStr">
        <is>
          <t>2000-07-26</t>
        </is>
      </c>
      <c r="X1568" t="inlineStr">
        <is>
          <t>2000-07-26</t>
        </is>
      </c>
      <c r="Y1568" t="n">
        <v>450</v>
      </c>
      <c r="Z1568" t="n">
        <v>356</v>
      </c>
      <c r="AA1568" t="n">
        <v>518</v>
      </c>
      <c r="AB1568" t="n">
        <v>3</v>
      </c>
      <c r="AC1568" t="n">
        <v>3</v>
      </c>
      <c r="AD1568" t="n">
        <v>11</v>
      </c>
      <c r="AE1568" t="n">
        <v>20</v>
      </c>
      <c r="AF1568" t="n">
        <v>2</v>
      </c>
      <c r="AG1568" t="n">
        <v>6</v>
      </c>
      <c r="AH1568" t="n">
        <v>3</v>
      </c>
      <c r="AI1568" t="n">
        <v>4</v>
      </c>
      <c r="AJ1568" t="n">
        <v>6</v>
      </c>
      <c r="AK1568" t="n">
        <v>12</v>
      </c>
      <c r="AL1568" t="n">
        <v>2</v>
      </c>
      <c r="AM1568" t="n">
        <v>2</v>
      </c>
      <c r="AN1568" t="n">
        <v>0</v>
      </c>
      <c r="AO1568" t="n">
        <v>0</v>
      </c>
      <c r="AP1568" t="inlineStr">
        <is>
          <t>No</t>
        </is>
      </c>
      <c r="AQ1568" t="inlineStr">
        <is>
          <t>Yes</t>
        </is>
      </c>
      <c r="AR1568">
        <f>HYPERLINK("http://catalog.hathitrust.org/Record/000319059","HathiTrust Record")</f>
        <v/>
      </c>
      <c r="AS1568">
        <f>HYPERLINK("https://creighton-primo.hosted.exlibrisgroup.com/primo-explore/search?tab=default_tab&amp;search_scope=EVERYTHING&amp;vid=01CRU&amp;lang=en_US&amp;offset=0&amp;query=any,contains,991003222479702656","Catalog Record")</f>
        <v/>
      </c>
      <c r="AT1568">
        <f>HYPERLINK("http://www.worldcat.org/oclc/8952723","WorldCat Record")</f>
        <v/>
      </c>
      <c r="AU1568" t="inlineStr">
        <is>
          <t>33305911:eng</t>
        </is>
      </c>
      <c r="AV1568" t="inlineStr">
        <is>
          <t>8952723</t>
        </is>
      </c>
      <c r="AW1568" t="inlineStr">
        <is>
          <t>991003222479702656</t>
        </is>
      </c>
      <c r="AX1568" t="inlineStr">
        <is>
          <t>991003222479702656</t>
        </is>
      </c>
      <c r="AY1568" t="inlineStr">
        <is>
          <t>2271971900002656</t>
        </is>
      </c>
      <c r="AZ1568" t="inlineStr">
        <is>
          <t>BOOK</t>
        </is>
      </c>
      <c r="BB1568" t="inlineStr">
        <is>
          <t>9780136567936</t>
        </is>
      </c>
      <c r="BC1568" t="inlineStr">
        <is>
          <t>32285003687893</t>
        </is>
      </c>
      <c r="BD1568" t="inlineStr">
        <is>
          <t>893348451</t>
        </is>
      </c>
    </row>
    <row r="1569">
      <c r="A1569" t="inlineStr">
        <is>
          <t>No</t>
        </is>
      </c>
      <c r="B1569" t="inlineStr">
        <is>
          <t>DS57 .B6813 2000</t>
        </is>
      </c>
      <c r="C1569" t="inlineStr">
        <is>
          <t>0                      DS 0057000B  6813        2000</t>
        </is>
      </c>
      <c r="D1569" t="inlineStr">
        <is>
          <t>Ancestor of the West : writing, reasoning, and religion in Mesopotamia, Elam, and Greece / Jean Bottéro, Clarisse Herrenschmidt and Jean-Pierre Vernant ; with a foreword by François Zabbal ; translated by Teresa Lavender Fagan.</t>
        </is>
      </c>
      <c r="F1569" t="inlineStr">
        <is>
          <t>No</t>
        </is>
      </c>
      <c r="G1569" t="inlineStr">
        <is>
          <t>1</t>
        </is>
      </c>
      <c r="H1569" t="inlineStr">
        <is>
          <t>No</t>
        </is>
      </c>
      <c r="I1569" t="inlineStr">
        <is>
          <t>No</t>
        </is>
      </c>
      <c r="J1569" t="inlineStr">
        <is>
          <t>0</t>
        </is>
      </c>
      <c r="K1569" t="inlineStr">
        <is>
          <t>Bottéro, Jean.</t>
        </is>
      </c>
      <c r="L1569" t="inlineStr">
        <is>
          <t>Chicago : University of Chicago Press, c2000.</t>
        </is>
      </c>
      <c r="M1569" t="inlineStr">
        <is>
          <t>2000</t>
        </is>
      </c>
      <c r="O1569" t="inlineStr">
        <is>
          <t>eng</t>
        </is>
      </c>
      <c r="P1569" t="inlineStr">
        <is>
          <t>ilu</t>
        </is>
      </c>
      <c r="R1569" t="inlineStr">
        <is>
          <t xml:space="preserve">DS </t>
        </is>
      </c>
      <c r="S1569" t="n">
        <v>1</v>
      </c>
      <c r="T1569" t="n">
        <v>1</v>
      </c>
      <c r="U1569" t="inlineStr">
        <is>
          <t>2003-10-09</t>
        </is>
      </c>
      <c r="V1569" t="inlineStr">
        <is>
          <t>2003-10-09</t>
        </is>
      </c>
      <c r="W1569" t="inlineStr">
        <is>
          <t>2003-10-09</t>
        </is>
      </c>
      <c r="X1569" t="inlineStr">
        <is>
          <t>2003-10-09</t>
        </is>
      </c>
      <c r="Y1569" t="n">
        <v>476</v>
      </c>
      <c r="Z1569" t="n">
        <v>379</v>
      </c>
      <c r="AA1569" t="n">
        <v>384</v>
      </c>
      <c r="AB1569" t="n">
        <v>3</v>
      </c>
      <c r="AC1569" t="n">
        <v>3</v>
      </c>
      <c r="AD1569" t="n">
        <v>22</v>
      </c>
      <c r="AE1569" t="n">
        <v>22</v>
      </c>
      <c r="AF1569" t="n">
        <v>8</v>
      </c>
      <c r="AG1569" t="n">
        <v>8</v>
      </c>
      <c r="AH1569" t="n">
        <v>6</v>
      </c>
      <c r="AI1569" t="n">
        <v>6</v>
      </c>
      <c r="AJ1569" t="n">
        <v>12</v>
      </c>
      <c r="AK1569" t="n">
        <v>12</v>
      </c>
      <c r="AL1569" t="n">
        <v>2</v>
      </c>
      <c r="AM1569" t="n">
        <v>2</v>
      </c>
      <c r="AN1569" t="n">
        <v>0</v>
      </c>
      <c r="AO1569" t="n">
        <v>0</v>
      </c>
      <c r="AP1569" t="inlineStr">
        <is>
          <t>No</t>
        </is>
      </c>
      <c r="AQ1569" t="inlineStr">
        <is>
          <t>No</t>
        </is>
      </c>
      <c r="AS1569">
        <f>HYPERLINK("https://creighton-primo.hosted.exlibrisgroup.com/primo-explore/search?tab=default_tab&amp;search_scope=EVERYTHING&amp;vid=01CRU&amp;lang=en_US&amp;offset=0&amp;query=any,contains,991004108279702656","Catalog Record")</f>
        <v/>
      </c>
      <c r="AT1569">
        <f>HYPERLINK("http://www.worldcat.org/oclc/41049566","WorldCat Record")</f>
        <v/>
      </c>
      <c r="AU1569" t="inlineStr">
        <is>
          <t>3901377125:eng</t>
        </is>
      </c>
      <c r="AV1569" t="inlineStr">
        <is>
          <t>41049566</t>
        </is>
      </c>
      <c r="AW1569" t="inlineStr">
        <is>
          <t>991004108279702656</t>
        </is>
      </c>
      <c r="AX1569" t="inlineStr">
        <is>
          <t>991004108279702656</t>
        </is>
      </c>
      <c r="AY1569" t="inlineStr">
        <is>
          <t>2259314150002656</t>
        </is>
      </c>
      <c r="AZ1569" t="inlineStr">
        <is>
          <t>BOOK</t>
        </is>
      </c>
      <c r="BB1569" t="inlineStr">
        <is>
          <t>9780226067155</t>
        </is>
      </c>
      <c r="BC1569" t="inlineStr">
        <is>
          <t>32285004787833</t>
        </is>
      </c>
      <c r="BD1569" t="inlineStr">
        <is>
          <t>893627985</t>
        </is>
      </c>
    </row>
    <row r="1570">
      <c r="A1570" t="inlineStr">
        <is>
          <t>No</t>
        </is>
      </c>
      <c r="B1570" t="inlineStr">
        <is>
          <t>DS57 .C56 2005</t>
        </is>
      </c>
      <c r="C1570" t="inlineStr">
        <is>
          <t>0                      DS 0057000C  56          2005</t>
        </is>
      </c>
      <c r="D1570" t="inlineStr">
        <is>
          <t>A companion to the ancient Near East / edited by Daniel C. Snell.</t>
        </is>
      </c>
      <c r="F1570" t="inlineStr">
        <is>
          <t>No</t>
        </is>
      </c>
      <c r="G1570" t="inlineStr">
        <is>
          <t>1</t>
        </is>
      </c>
      <c r="H1570" t="inlineStr">
        <is>
          <t>No</t>
        </is>
      </c>
      <c r="I1570" t="inlineStr">
        <is>
          <t>No</t>
        </is>
      </c>
      <c r="J1570" t="inlineStr">
        <is>
          <t>0</t>
        </is>
      </c>
      <c r="L1570" t="inlineStr">
        <is>
          <t>Malden, MA : Blackwell Pub., 2005.</t>
        </is>
      </c>
      <c r="M1570" t="inlineStr">
        <is>
          <t>2005</t>
        </is>
      </c>
      <c r="O1570" t="inlineStr">
        <is>
          <t>eng</t>
        </is>
      </c>
      <c r="P1570" t="inlineStr">
        <is>
          <t>mau</t>
        </is>
      </c>
      <c r="Q1570" t="inlineStr">
        <is>
          <t>Blackwell companions to the ancient world. Ancient history</t>
        </is>
      </c>
      <c r="R1570" t="inlineStr">
        <is>
          <t xml:space="preserve">DS </t>
        </is>
      </c>
      <c r="S1570" t="n">
        <v>6</v>
      </c>
      <c r="T1570" t="n">
        <v>6</v>
      </c>
      <c r="U1570" t="inlineStr">
        <is>
          <t>2007-09-25</t>
        </is>
      </c>
      <c r="V1570" t="inlineStr">
        <is>
          <t>2007-09-25</t>
        </is>
      </c>
      <c r="W1570" t="inlineStr">
        <is>
          <t>2006-07-12</t>
        </is>
      </c>
      <c r="X1570" t="inlineStr">
        <is>
          <t>2006-07-12</t>
        </is>
      </c>
      <c r="Y1570" t="n">
        <v>489</v>
      </c>
      <c r="Z1570" t="n">
        <v>365</v>
      </c>
      <c r="AA1570" t="n">
        <v>807</v>
      </c>
      <c r="AB1570" t="n">
        <v>2</v>
      </c>
      <c r="AC1570" t="n">
        <v>6</v>
      </c>
      <c r="AD1570" t="n">
        <v>22</v>
      </c>
      <c r="AE1570" t="n">
        <v>42</v>
      </c>
      <c r="AF1570" t="n">
        <v>12</v>
      </c>
      <c r="AG1570" t="n">
        <v>18</v>
      </c>
      <c r="AH1570" t="n">
        <v>3</v>
      </c>
      <c r="AI1570" t="n">
        <v>8</v>
      </c>
      <c r="AJ1570" t="n">
        <v>11</v>
      </c>
      <c r="AK1570" t="n">
        <v>19</v>
      </c>
      <c r="AL1570" t="n">
        <v>1</v>
      </c>
      <c r="AM1570" t="n">
        <v>5</v>
      </c>
      <c r="AN1570" t="n">
        <v>0</v>
      </c>
      <c r="AO1570" t="n">
        <v>1</v>
      </c>
      <c r="AP1570" t="inlineStr">
        <is>
          <t>No</t>
        </is>
      </c>
      <c r="AQ1570" t="inlineStr">
        <is>
          <t>No</t>
        </is>
      </c>
      <c r="AS1570">
        <f>HYPERLINK("https://creighton-primo.hosted.exlibrisgroup.com/primo-explore/search?tab=default_tab&amp;search_scope=EVERYTHING&amp;vid=01CRU&amp;lang=en_US&amp;offset=0&amp;query=any,contains,991004861099702656","Catalog Record")</f>
        <v/>
      </c>
      <c r="AT1570">
        <f>HYPERLINK("http://www.worldcat.org/oclc/55616343","WorldCat Record")</f>
        <v/>
      </c>
      <c r="AU1570" t="inlineStr">
        <is>
          <t>766933285:eng</t>
        </is>
      </c>
      <c r="AV1570" t="inlineStr">
        <is>
          <t>55616343</t>
        </is>
      </c>
      <c r="AW1570" t="inlineStr">
        <is>
          <t>991004861099702656</t>
        </is>
      </c>
      <c r="AX1570" t="inlineStr">
        <is>
          <t>991004861099702656</t>
        </is>
      </c>
      <c r="AY1570" t="inlineStr">
        <is>
          <t>2258627650002656</t>
        </is>
      </c>
      <c r="AZ1570" t="inlineStr">
        <is>
          <t>BOOK</t>
        </is>
      </c>
      <c r="BB1570" t="inlineStr">
        <is>
          <t>9780631232933</t>
        </is>
      </c>
      <c r="BC1570" t="inlineStr">
        <is>
          <t>32285005194286</t>
        </is>
      </c>
      <c r="BD1570" t="inlineStr">
        <is>
          <t>893338213</t>
        </is>
      </c>
    </row>
    <row r="1571">
      <c r="A1571" t="inlineStr">
        <is>
          <t>No</t>
        </is>
      </c>
      <c r="B1571" t="inlineStr">
        <is>
          <t>DS57 .D68 1988</t>
        </is>
      </c>
      <c r="C1571" t="inlineStr">
        <is>
          <t>0                      DS 0057000D  68          1988</t>
        </is>
      </c>
      <c r="D1571" t="inlineStr">
        <is>
          <t>Mesopotamian religious architecture : Alexander through the Parthians / Susan B. Downey.</t>
        </is>
      </c>
      <c r="F1571" t="inlineStr">
        <is>
          <t>No</t>
        </is>
      </c>
      <c r="G1571" t="inlineStr">
        <is>
          <t>1</t>
        </is>
      </c>
      <c r="H1571" t="inlineStr">
        <is>
          <t>No</t>
        </is>
      </c>
      <c r="I1571" t="inlineStr">
        <is>
          <t>No</t>
        </is>
      </c>
      <c r="J1571" t="inlineStr">
        <is>
          <t>0</t>
        </is>
      </c>
      <c r="K1571" t="inlineStr">
        <is>
          <t>Downey, Susan B., 1938-</t>
        </is>
      </c>
      <c r="L1571" t="inlineStr">
        <is>
          <t>Princeton, N.J. : Princeton University Press, c1988.</t>
        </is>
      </c>
      <c r="M1571" t="inlineStr">
        <is>
          <t>1988</t>
        </is>
      </c>
      <c r="O1571" t="inlineStr">
        <is>
          <t>eng</t>
        </is>
      </c>
      <c r="P1571" t="inlineStr">
        <is>
          <t>nju</t>
        </is>
      </c>
      <c r="R1571" t="inlineStr">
        <is>
          <t xml:space="preserve">DS </t>
        </is>
      </c>
      <c r="S1571" t="n">
        <v>2</v>
      </c>
      <c r="T1571" t="n">
        <v>2</v>
      </c>
      <c r="U1571" t="inlineStr">
        <is>
          <t>2004-11-12</t>
        </is>
      </c>
      <c r="V1571" t="inlineStr">
        <is>
          <t>2004-11-12</t>
        </is>
      </c>
      <c r="W1571" t="inlineStr">
        <is>
          <t>1990-09-14</t>
        </is>
      </c>
      <c r="X1571" t="inlineStr">
        <is>
          <t>1990-09-14</t>
        </is>
      </c>
      <c r="Y1571" t="n">
        <v>403</v>
      </c>
      <c r="Z1571" t="n">
        <v>296</v>
      </c>
      <c r="AA1571" t="n">
        <v>302</v>
      </c>
      <c r="AB1571" t="n">
        <v>2</v>
      </c>
      <c r="AC1571" t="n">
        <v>2</v>
      </c>
      <c r="AD1571" t="n">
        <v>14</v>
      </c>
      <c r="AE1571" t="n">
        <v>14</v>
      </c>
      <c r="AF1571" t="n">
        <v>4</v>
      </c>
      <c r="AG1571" t="n">
        <v>4</v>
      </c>
      <c r="AH1571" t="n">
        <v>5</v>
      </c>
      <c r="AI1571" t="n">
        <v>5</v>
      </c>
      <c r="AJ1571" t="n">
        <v>8</v>
      </c>
      <c r="AK1571" t="n">
        <v>8</v>
      </c>
      <c r="AL1571" t="n">
        <v>1</v>
      </c>
      <c r="AM1571" t="n">
        <v>1</v>
      </c>
      <c r="AN1571" t="n">
        <v>0</v>
      </c>
      <c r="AO1571" t="n">
        <v>0</v>
      </c>
      <c r="AP1571" t="inlineStr">
        <is>
          <t>No</t>
        </is>
      </c>
      <c r="AQ1571" t="inlineStr">
        <is>
          <t>No</t>
        </is>
      </c>
      <c r="AS1571">
        <f>HYPERLINK("https://creighton-primo.hosted.exlibrisgroup.com/primo-explore/search?tab=default_tab&amp;search_scope=EVERYTHING&amp;vid=01CRU&amp;lang=en_US&amp;offset=0&amp;query=any,contains,991001070119702656","Catalog Record")</f>
        <v/>
      </c>
      <c r="AT1571">
        <f>HYPERLINK("http://www.worldcat.org/oclc/15860345","WorldCat Record")</f>
        <v/>
      </c>
      <c r="AU1571" t="inlineStr">
        <is>
          <t>836627903:eng</t>
        </is>
      </c>
      <c r="AV1571" t="inlineStr">
        <is>
          <t>15860345</t>
        </is>
      </c>
      <c r="AW1571" t="inlineStr">
        <is>
          <t>991001070119702656</t>
        </is>
      </c>
      <c r="AX1571" t="inlineStr">
        <is>
          <t>991001070119702656</t>
        </is>
      </c>
      <c r="AY1571" t="inlineStr">
        <is>
          <t>2258965970002656</t>
        </is>
      </c>
      <c r="AZ1571" t="inlineStr">
        <is>
          <t>BOOK</t>
        </is>
      </c>
      <c r="BB1571" t="inlineStr">
        <is>
          <t>9780691035895</t>
        </is>
      </c>
      <c r="BC1571" t="inlineStr">
        <is>
          <t>32285000291814</t>
        </is>
      </c>
      <c r="BD1571" t="inlineStr">
        <is>
          <t>893327850</t>
        </is>
      </c>
    </row>
    <row r="1572">
      <c r="A1572" t="inlineStr">
        <is>
          <t>No</t>
        </is>
      </c>
      <c r="B1572" t="inlineStr">
        <is>
          <t>DS57 .H388 1987</t>
        </is>
      </c>
      <c r="C1572" t="inlineStr">
        <is>
          <t>0                      DS 0057000H  388         1987</t>
        </is>
      </c>
      <c r="D1572" t="inlineStr">
        <is>
          <t>Hellenism in the East : the interaction of Greek and non-Greek civilizations from Syria to Central Asia after Alexander / edited by Amélie Kuhrt and Susan Sherwin-White.</t>
        </is>
      </c>
      <c r="F1572" t="inlineStr">
        <is>
          <t>No</t>
        </is>
      </c>
      <c r="G1572" t="inlineStr">
        <is>
          <t>1</t>
        </is>
      </c>
      <c r="H1572" t="inlineStr">
        <is>
          <t>No</t>
        </is>
      </c>
      <c r="I1572" t="inlineStr">
        <is>
          <t>No</t>
        </is>
      </c>
      <c r="J1572" t="inlineStr">
        <is>
          <t>0</t>
        </is>
      </c>
      <c r="L1572" t="inlineStr">
        <is>
          <t>Berkeley : University of California Press, 1987.</t>
        </is>
      </c>
      <c r="M1572" t="inlineStr">
        <is>
          <t>1987</t>
        </is>
      </c>
      <c r="O1572" t="inlineStr">
        <is>
          <t>eng</t>
        </is>
      </c>
      <c r="P1572" t="inlineStr">
        <is>
          <t>cau</t>
        </is>
      </c>
      <c r="R1572" t="inlineStr">
        <is>
          <t xml:space="preserve">DS </t>
        </is>
      </c>
      <c r="S1572" t="n">
        <v>8</v>
      </c>
      <c r="T1572" t="n">
        <v>8</v>
      </c>
      <c r="U1572" t="inlineStr">
        <is>
          <t>2010-10-14</t>
        </is>
      </c>
      <c r="V1572" t="inlineStr">
        <is>
          <t>2010-10-14</t>
        </is>
      </c>
      <c r="W1572" t="inlineStr">
        <is>
          <t>1990-09-14</t>
        </is>
      </c>
      <c r="X1572" t="inlineStr">
        <is>
          <t>1990-09-14</t>
        </is>
      </c>
      <c r="Y1572" t="n">
        <v>356</v>
      </c>
      <c r="Z1572" t="n">
        <v>292</v>
      </c>
      <c r="AA1572" t="n">
        <v>346</v>
      </c>
      <c r="AB1572" t="n">
        <v>1</v>
      </c>
      <c r="AC1572" t="n">
        <v>2</v>
      </c>
      <c r="AD1572" t="n">
        <v>14</v>
      </c>
      <c r="AE1572" t="n">
        <v>17</v>
      </c>
      <c r="AF1572" t="n">
        <v>7</v>
      </c>
      <c r="AG1572" t="n">
        <v>7</v>
      </c>
      <c r="AH1572" t="n">
        <v>2</v>
      </c>
      <c r="AI1572" t="n">
        <v>4</v>
      </c>
      <c r="AJ1572" t="n">
        <v>9</v>
      </c>
      <c r="AK1572" t="n">
        <v>11</v>
      </c>
      <c r="AL1572" t="n">
        <v>0</v>
      </c>
      <c r="AM1572" t="n">
        <v>1</v>
      </c>
      <c r="AN1572" t="n">
        <v>0</v>
      </c>
      <c r="AO1572" t="n">
        <v>0</v>
      </c>
      <c r="AP1572" t="inlineStr">
        <is>
          <t>No</t>
        </is>
      </c>
      <c r="AQ1572" t="inlineStr">
        <is>
          <t>No</t>
        </is>
      </c>
      <c r="AS1572">
        <f>HYPERLINK("https://creighton-primo.hosted.exlibrisgroup.com/primo-explore/search?tab=default_tab&amp;search_scope=EVERYTHING&amp;vid=01CRU&amp;lang=en_US&amp;offset=0&amp;query=any,contains,991001000219702656","Catalog Record")</f>
        <v/>
      </c>
      <c r="AT1572">
        <f>HYPERLINK("http://www.worldcat.org/oclc/15197178","WorldCat Record")</f>
        <v/>
      </c>
      <c r="AU1572" t="inlineStr">
        <is>
          <t>836726438:eng</t>
        </is>
      </c>
      <c r="AV1572" t="inlineStr">
        <is>
          <t>15197178</t>
        </is>
      </c>
      <c r="AW1572" t="inlineStr">
        <is>
          <t>991001000219702656</t>
        </is>
      </c>
      <c r="AX1572" t="inlineStr">
        <is>
          <t>991001000219702656</t>
        </is>
      </c>
      <c r="AY1572" t="inlineStr">
        <is>
          <t>2259944560002656</t>
        </is>
      </c>
      <c r="AZ1572" t="inlineStr">
        <is>
          <t>BOOK</t>
        </is>
      </c>
      <c r="BB1572" t="inlineStr">
        <is>
          <t>9780520060548</t>
        </is>
      </c>
      <c r="BC1572" t="inlineStr">
        <is>
          <t>32285000291830</t>
        </is>
      </c>
      <c r="BD1572" t="inlineStr">
        <is>
          <t>893884950</t>
        </is>
      </c>
    </row>
    <row r="1573">
      <c r="A1573" t="inlineStr">
        <is>
          <t>No</t>
        </is>
      </c>
      <c r="B1573" t="inlineStr">
        <is>
          <t>DS57 .P3 1967</t>
        </is>
      </c>
      <c r="C1573" t="inlineStr">
        <is>
          <t>0                      DS 0057000P  3           1967</t>
        </is>
      </c>
      <c r="D1573" t="inlineStr">
        <is>
          <t>Golden River to Golden Road; society, culture, and change in the Middle East.</t>
        </is>
      </c>
      <c r="F1573" t="inlineStr">
        <is>
          <t>No</t>
        </is>
      </c>
      <c r="G1573" t="inlineStr">
        <is>
          <t>1</t>
        </is>
      </c>
      <c r="H1573" t="inlineStr">
        <is>
          <t>No</t>
        </is>
      </c>
      <c r="I1573" t="inlineStr">
        <is>
          <t>No</t>
        </is>
      </c>
      <c r="J1573" t="inlineStr">
        <is>
          <t>0</t>
        </is>
      </c>
      <c r="K1573" t="inlineStr">
        <is>
          <t>Patai, Raphael, 1910-1996.</t>
        </is>
      </c>
      <c r="L1573" t="inlineStr">
        <is>
          <t>Philadelphia, University of Pennsylvania Press [1967]</t>
        </is>
      </c>
      <c r="M1573" t="inlineStr">
        <is>
          <t>1967</t>
        </is>
      </c>
      <c r="N1573" t="inlineStr">
        <is>
          <t>[2d ed.]</t>
        </is>
      </c>
      <c r="O1573" t="inlineStr">
        <is>
          <t>eng</t>
        </is>
      </c>
      <c r="P1573" t="inlineStr">
        <is>
          <t>pau</t>
        </is>
      </c>
      <c r="R1573" t="inlineStr">
        <is>
          <t xml:space="preserve">DS </t>
        </is>
      </c>
      <c r="S1573" t="n">
        <v>1</v>
      </c>
      <c r="T1573" t="n">
        <v>1</v>
      </c>
      <c r="U1573" t="inlineStr">
        <is>
          <t>2004-11-09</t>
        </is>
      </c>
      <c r="V1573" t="inlineStr">
        <is>
          <t>2004-11-09</t>
        </is>
      </c>
      <c r="W1573" t="inlineStr">
        <is>
          <t>1997-02-21</t>
        </is>
      </c>
      <c r="X1573" t="inlineStr">
        <is>
          <t>1997-02-21</t>
        </is>
      </c>
      <c r="Y1573" t="n">
        <v>184</v>
      </c>
      <c r="Z1573" t="n">
        <v>172</v>
      </c>
      <c r="AA1573" t="n">
        <v>746</v>
      </c>
      <c r="AB1573" t="n">
        <v>3</v>
      </c>
      <c r="AC1573" t="n">
        <v>3</v>
      </c>
      <c r="AD1573" t="n">
        <v>6</v>
      </c>
      <c r="AE1573" t="n">
        <v>31</v>
      </c>
      <c r="AF1573" t="n">
        <v>1</v>
      </c>
      <c r="AG1573" t="n">
        <v>14</v>
      </c>
      <c r="AH1573" t="n">
        <v>1</v>
      </c>
      <c r="AI1573" t="n">
        <v>8</v>
      </c>
      <c r="AJ1573" t="n">
        <v>3</v>
      </c>
      <c r="AK1573" t="n">
        <v>16</v>
      </c>
      <c r="AL1573" t="n">
        <v>2</v>
      </c>
      <c r="AM1573" t="n">
        <v>2</v>
      </c>
      <c r="AN1573" t="n">
        <v>0</v>
      </c>
      <c r="AO1573" t="n">
        <v>0</v>
      </c>
      <c r="AP1573" t="inlineStr">
        <is>
          <t>No</t>
        </is>
      </c>
      <c r="AQ1573" t="inlineStr">
        <is>
          <t>Yes</t>
        </is>
      </c>
      <c r="AR1573">
        <f>HYPERLINK("http://catalog.hathitrust.org/Record/001241046","HathiTrust Record")</f>
        <v/>
      </c>
      <c r="AS1573">
        <f>HYPERLINK("https://creighton-primo.hosted.exlibrisgroup.com/primo-explore/search?tab=default_tab&amp;search_scope=EVERYTHING&amp;vid=01CRU&amp;lang=en_US&amp;offset=0&amp;query=any,contains,991004171249702656","Catalog Record")</f>
        <v/>
      </c>
      <c r="AT1573">
        <f>HYPERLINK("http://www.worldcat.org/oclc/2581628","WorldCat Record")</f>
        <v/>
      </c>
      <c r="AU1573" t="inlineStr">
        <is>
          <t>257254581:eng</t>
        </is>
      </c>
      <c r="AV1573" t="inlineStr">
        <is>
          <t>2581628</t>
        </is>
      </c>
      <c r="AW1573" t="inlineStr">
        <is>
          <t>991004171249702656</t>
        </is>
      </c>
      <c r="AX1573" t="inlineStr">
        <is>
          <t>991004171249702656</t>
        </is>
      </c>
      <c r="AY1573" t="inlineStr">
        <is>
          <t>2260014600002656</t>
        </is>
      </c>
      <c r="AZ1573" t="inlineStr">
        <is>
          <t>BOOK</t>
        </is>
      </c>
      <c r="BC1573" t="inlineStr">
        <is>
          <t>32285002469053</t>
        </is>
      </c>
      <c r="BD1573" t="inlineStr">
        <is>
          <t>893882135</t>
        </is>
      </c>
    </row>
    <row r="1574">
      <c r="A1574" t="inlineStr">
        <is>
          <t>No</t>
        </is>
      </c>
      <c r="B1574" t="inlineStr">
        <is>
          <t>DS57 .P44</t>
        </is>
      </c>
      <c r="C1574" t="inlineStr">
        <is>
          <t>0                      DS 0057000P  44</t>
        </is>
      </c>
      <c r="D1574" t="inlineStr">
        <is>
          <t>Peoples of Old Testament times, edited by D. J. Wiseman for the Society for Old Testament Study.</t>
        </is>
      </c>
      <c r="F1574" t="inlineStr">
        <is>
          <t>No</t>
        </is>
      </c>
      <c r="G1574" t="inlineStr">
        <is>
          <t>1</t>
        </is>
      </c>
      <c r="H1574" t="inlineStr">
        <is>
          <t>No</t>
        </is>
      </c>
      <c r="I1574" t="inlineStr">
        <is>
          <t>No</t>
        </is>
      </c>
      <c r="J1574" t="inlineStr">
        <is>
          <t>0</t>
        </is>
      </c>
      <c r="L1574" t="inlineStr">
        <is>
          <t>Oxford, Clarendon Press, 1973.</t>
        </is>
      </c>
      <c r="M1574" t="inlineStr">
        <is>
          <t>1973</t>
        </is>
      </c>
      <c r="O1574" t="inlineStr">
        <is>
          <t>eng</t>
        </is>
      </c>
      <c r="P1574" t="inlineStr">
        <is>
          <t>enk</t>
        </is>
      </c>
      <c r="R1574" t="inlineStr">
        <is>
          <t xml:space="preserve">DS </t>
        </is>
      </c>
      <c r="S1574" t="n">
        <v>2</v>
      </c>
      <c r="T1574" t="n">
        <v>2</v>
      </c>
      <c r="U1574" t="inlineStr">
        <is>
          <t>2006-11-07</t>
        </is>
      </c>
      <c r="V1574" t="inlineStr">
        <is>
          <t>2006-11-07</t>
        </is>
      </c>
      <c r="W1574" t="inlineStr">
        <is>
          <t>1990-09-14</t>
        </is>
      </c>
      <c r="X1574" t="inlineStr">
        <is>
          <t>1990-09-14</t>
        </is>
      </c>
      <c r="Y1574" t="n">
        <v>1193</v>
      </c>
      <c r="Z1574" t="n">
        <v>959</v>
      </c>
      <c r="AA1574" t="n">
        <v>965</v>
      </c>
      <c r="AB1574" t="n">
        <v>9</v>
      </c>
      <c r="AC1574" t="n">
        <v>9</v>
      </c>
      <c r="AD1574" t="n">
        <v>38</v>
      </c>
      <c r="AE1574" t="n">
        <v>38</v>
      </c>
      <c r="AF1574" t="n">
        <v>15</v>
      </c>
      <c r="AG1574" t="n">
        <v>15</v>
      </c>
      <c r="AH1574" t="n">
        <v>9</v>
      </c>
      <c r="AI1574" t="n">
        <v>9</v>
      </c>
      <c r="AJ1574" t="n">
        <v>16</v>
      </c>
      <c r="AK1574" t="n">
        <v>16</v>
      </c>
      <c r="AL1574" t="n">
        <v>7</v>
      </c>
      <c r="AM1574" t="n">
        <v>7</v>
      </c>
      <c r="AN1574" t="n">
        <v>0</v>
      </c>
      <c r="AO1574" t="n">
        <v>0</v>
      </c>
      <c r="AP1574" t="inlineStr">
        <is>
          <t>No</t>
        </is>
      </c>
      <c r="AQ1574" t="inlineStr">
        <is>
          <t>Yes</t>
        </is>
      </c>
      <c r="AR1574">
        <f>HYPERLINK("http://catalog.hathitrust.org/Record/001246755","HathiTrust Record")</f>
        <v/>
      </c>
      <c r="AS1574">
        <f>HYPERLINK("https://creighton-primo.hosted.exlibrisgroup.com/primo-explore/search?tab=default_tab&amp;search_scope=EVERYTHING&amp;vid=01CRU&amp;lang=en_US&amp;offset=0&amp;query=any,contains,991003277759702656","Catalog Record")</f>
        <v/>
      </c>
      <c r="AT1574">
        <f>HYPERLINK("http://www.worldcat.org/oclc/781474","WorldCat Record")</f>
        <v/>
      </c>
      <c r="AU1574" t="inlineStr">
        <is>
          <t>351514047:eng</t>
        </is>
      </c>
      <c r="AV1574" t="inlineStr">
        <is>
          <t>781474</t>
        </is>
      </c>
      <c r="AW1574" t="inlineStr">
        <is>
          <t>991003277759702656</t>
        </is>
      </c>
      <c r="AX1574" t="inlineStr">
        <is>
          <t>991003277759702656</t>
        </is>
      </c>
      <c r="AY1574" t="inlineStr">
        <is>
          <t>2267533460002656</t>
        </is>
      </c>
      <c r="AZ1574" t="inlineStr">
        <is>
          <t>BOOK</t>
        </is>
      </c>
      <c r="BB1574" t="inlineStr">
        <is>
          <t>9780198263166</t>
        </is>
      </c>
      <c r="BC1574" t="inlineStr">
        <is>
          <t>32285000291855</t>
        </is>
      </c>
      <c r="BD1574" t="inlineStr">
        <is>
          <t>893617182</t>
        </is>
      </c>
    </row>
    <row r="1575">
      <c r="A1575" t="inlineStr">
        <is>
          <t>No</t>
        </is>
      </c>
      <c r="B1575" t="inlineStr">
        <is>
          <t>DS57 .P46</t>
        </is>
      </c>
      <c r="C1575" t="inlineStr">
        <is>
          <t>0                      DS 0057000P  46</t>
        </is>
      </c>
      <c r="D1575" t="inlineStr">
        <is>
          <t>The harvest of Hellenism; a history of the Near East from Alexander the Great to the triumph of Christianity [by] F. E. Peters.</t>
        </is>
      </c>
      <c r="F1575" t="inlineStr">
        <is>
          <t>No</t>
        </is>
      </c>
      <c r="G1575" t="inlineStr">
        <is>
          <t>1</t>
        </is>
      </c>
      <c r="H1575" t="inlineStr">
        <is>
          <t>No</t>
        </is>
      </c>
      <c r="I1575" t="inlineStr">
        <is>
          <t>No</t>
        </is>
      </c>
      <c r="J1575" t="inlineStr">
        <is>
          <t>0</t>
        </is>
      </c>
      <c r="K1575" t="inlineStr">
        <is>
          <t>Peters, F. E. (Francis E.)</t>
        </is>
      </c>
      <c r="L1575" t="inlineStr">
        <is>
          <t>New York, Simon and Schuster [1971, c1970]</t>
        </is>
      </c>
      <c r="M1575" t="inlineStr">
        <is>
          <t>1971</t>
        </is>
      </c>
      <c r="O1575" t="inlineStr">
        <is>
          <t>eng</t>
        </is>
      </c>
      <c r="P1575" t="inlineStr">
        <is>
          <t>nyu</t>
        </is>
      </c>
      <c r="R1575" t="inlineStr">
        <is>
          <t xml:space="preserve">DS </t>
        </is>
      </c>
      <c r="S1575" t="n">
        <v>3</v>
      </c>
      <c r="T1575" t="n">
        <v>3</v>
      </c>
      <c r="U1575" t="inlineStr">
        <is>
          <t>2010-10-14</t>
        </is>
      </c>
      <c r="V1575" t="inlineStr">
        <is>
          <t>2010-10-14</t>
        </is>
      </c>
      <c r="W1575" t="inlineStr">
        <is>
          <t>1997-02-21</t>
        </is>
      </c>
      <c r="X1575" t="inlineStr">
        <is>
          <t>1997-02-21</t>
        </is>
      </c>
      <c r="Y1575" t="n">
        <v>904</v>
      </c>
      <c r="Z1575" t="n">
        <v>830</v>
      </c>
      <c r="AA1575" t="n">
        <v>1043</v>
      </c>
      <c r="AB1575" t="n">
        <v>8</v>
      </c>
      <c r="AC1575" t="n">
        <v>9</v>
      </c>
      <c r="AD1575" t="n">
        <v>33</v>
      </c>
      <c r="AE1575" t="n">
        <v>36</v>
      </c>
      <c r="AF1575" t="n">
        <v>10</v>
      </c>
      <c r="AG1575" t="n">
        <v>12</v>
      </c>
      <c r="AH1575" t="n">
        <v>7</v>
      </c>
      <c r="AI1575" t="n">
        <v>8</v>
      </c>
      <c r="AJ1575" t="n">
        <v>16</v>
      </c>
      <c r="AK1575" t="n">
        <v>17</v>
      </c>
      <c r="AL1575" t="n">
        <v>7</v>
      </c>
      <c r="AM1575" t="n">
        <v>7</v>
      </c>
      <c r="AN1575" t="n">
        <v>0</v>
      </c>
      <c r="AO1575" t="n">
        <v>0</v>
      </c>
      <c r="AP1575" t="inlineStr">
        <is>
          <t>No</t>
        </is>
      </c>
      <c r="AQ1575" t="inlineStr">
        <is>
          <t>Yes</t>
        </is>
      </c>
      <c r="AR1575">
        <f>HYPERLINK("http://catalog.hathitrust.org/Record/001241047","HathiTrust Record")</f>
        <v/>
      </c>
      <c r="AS1575">
        <f>HYPERLINK("https://creighton-primo.hosted.exlibrisgroup.com/primo-explore/search?tab=default_tab&amp;search_scope=EVERYTHING&amp;vid=01CRU&amp;lang=en_US&amp;offset=0&amp;query=any,contains,991000823959702656","Catalog Record")</f>
        <v/>
      </c>
      <c r="AT1575">
        <f>HYPERLINK("http://www.worldcat.org/oclc/146156","WorldCat Record")</f>
        <v/>
      </c>
      <c r="AU1575" t="inlineStr">
        <is>
          <t>1325233:eng</t>
        </is>
      </c>
      <c r="AV1575" t="inlineStr">
        <is>
          <t>146156</t>
        </is>
      </c>
      <c r="AW1575" t="inlineStr">
        <is>
          <t>991000823959702656</t>
        </is>
      </c>
      <c r="AX1575" t="inlineStr">
        <is>
          <t>991000823959702656</t>
        </is>
      </c>
      <c r="AY1575" t="inlineStr">
        <is>
          <t>2256229340002656</t>
        </is>
      </c>
      <c r="AZ1575" t="inlineStr">
        <is>
          <t>BOOK</t>
        </is>
      </c>
      <c r="BB1575" t="inlineStr">
        <is>
          <t>9780671206581</t>
        </is>
      </c>
      <c r="BC1575" t="inlineStr">
        <is>
          <t>32285002469061</t>
        </is>
      </c>
      <c r="BD1575" t="inlineStr">
        <is>
          <t>893509143</t>
        </is>
      </c>
    </row>
    <row r="1576">
      <c r="A1576" t="inlineStr">
        <is>
          <t>No</t>
        </is>
      </c>
      <c r="B1576" t="inlineStr">
        <is>
          <t>DS57 .P67 1997</t>
        </is>
      </c>
      <c r="C1576" t="inlineStr">
        <is>
          <t>0                      DS 0057000P  67          1997</t>
        </is>
      </c>
      <c r="D1576" t="inlineStr">
        <is>
          <t>Mesopotamian civilization : the material foundations / D.T. Potts.</t>
        </is>
      </c>
      <c r="F1576" t="inlineStr">
        <is>
          <t>No</t>
        </is>
      </c>
      <c r="G1576" t="inlineStr">
        <is>
          <t>1</t>
        </is>
      </c>
      <c r="H1576" t="inlineStr">
        <is>
          <t>No</t>
        </is>
      </c>
      <c r="I1576" t="inlineStr">
        <is>
          <t>No</t>
        </is>
      </c>
      <c r="J1576" t="inlineStr">
        <is>
          <t>0</t>
        </is>
      </c>
      <c r="K1576" t="inlineStr">
        <is>
          <t>Potts, Daniel T.</t>
        </is>
      </c>
      <c r="L1576" t="inlineStr">
        <is>
          <t>Ithaca, N.Y. : Cornell University Press, 1997.</t>
        </is>
      </c>
      <c r="M1576" t="inlineStr">
        <is>
          <t>1997</t>
        </is>
      </c>
      <c r="O1576" t="inlineStr">
        <is>
          <t>eng</t>
        </is>
      </c>
      <c r="P1576" t="inlineStr">
        <is>
          <t>nyu</t>
        </is>
      </c>
      <c r="R1576" t="inlineStr">
        <is>
          <t xml:space="preserve">DS </t>
        </is>
      </c>
      <c r="S1576" t="n">
        <v>2</v>
      </c>
      <c r="T1576" t="n">
        <v>2</v>
      </c>
      <c r="U1576" t="inlineStr">
        <is>
          <t>2003-02-21</t>
        </is>
      </c>
      <c r="V1576" t="inlineStr">
        <is>
          <t>2003-02-21</t>
        </is>
      </c>
      <c r="W1576" t="inlineStr">
        <is>
          <t>1998-04-13</t>
        </is>
      </c>
      <c r="X1576" t="inlineStr">
        <is>
          <t>1998-04-13</t>
        </is>
      </c>
      <c r="Y1576" t="n">
        <v>396</v>
      </c>
      <c r="Z1576" t="n">
        <v>339</v>
      </c>
      <c r="AA1576" t="n">
        <v>360</v>
      </c>
      <c r="AB1576" t="n">
        <v>5</v>
      </c>
      <c r="AC1576" t="n">
        <v>5</v>
      </c>
      <c r="AD1576" t="n">
        <v>20</v>
      </c>
      <c r="AE1576" t="n">
        <v>22</v>
      </c>
      <c r="AF1576" t="n">
        <v>4</v>
      </c>
      <c r="AG1576" t="n">
        <v>4</v>
      </c>
      <c r="AH1576" t="n">
        <v>4</v>
      </c>
      <c r="AI1576" t="n">
        <v>6</v>
      </c>
      <c r="AJ1576" t="n">
        <v>12</v>
      </c>
      <c r="AK1576" t="n">
        <v>14</v>
      </c>
      <c r="AL1576" t="n">
        <v>4</v>
      </c>
      <c r="AM1576" t="n">
        <v>4</v>
      </c>
      <c r="AN1576" t="n">
        <v>0</v>
      </c>
      <c r="AO1576" t="n">
        <v>0</v>
      </c>
      <c r="AP1576" t="inlineStr">
        <is>
          <t>No</t>
        </is>
      </c>
      <c r="AQ1576" t="inlineStr">
        <is>
          <t>No</t>
        </is>
      </c>
      <c r="AS1576">
        <f>HYPERLINK("https://creighton-primo.hosted.exlibrisgroup.com/primo-explore/search?tab=default_tab&amp;search_scope=EVERYTHING&amp;vid=01CRU&amp;lang=en_US&amp;offset=0&amp;query=any,contains,991002700579702656","Catalog Record")</f>
        <v/>
      </c>
      <c r="AT1576">
        <f>HYPERLINK("http://www.worldcat.org/oclc/35262365","WorldCat Record")</f>
        <v/>
      </c>
      <c r="AU1576" t="inlineStr">
        <is>
          <t>837073437:eng</t>
        </is>
      </c>
      <c r="AV1576" t="inlineStr">
        <is>
          <t>35262365</t>
        </is>
      </c>
      <c r="AW1576" t="inlineStr">
        <is>
          <t>991002700579702656</t>
        </is>
      </c>
      <c r="AX1576" t="inlineStr">
        <is>
          <t>991002700579702656</t>
        </is>
      </c>
      <c r="AY1576" t="inlineStr">
        <is>
          <t>2264306620002656</t>
        </is>
      </c>
      <c r="AZ1576" t="inlineStr">
        <is>
          <t>BOOK</t>
        </is>
      </c>
      <c r="BB1576" t="inlineStr">
        <is>
          <t>9780801433399</t>
        </is>
      </c>
      <c r="BC1576" t="inlineStr">
        <is>
          <t>32285003384723</t>
        </is>
      </c>
      <c r="BD1576" t="inlineStr">
        <is>
          <t>893773932</t>
        </is>
      </c>
    </row>
    <row r="1577">
      <c r="A1577" t="inlineStr">
        <is>
          <t>No</t>
        </is>
      </c>
      <c r="B1577" t="inlineStr">
        <is>
          <t>DS57 .R4</t>
        </is>
      </c>
      <c r="C1577" t="inlineStr">
        <is>
          <t>0                      DS 0057000R  4</t>
        </is>
      </c>
      <c r="D1577" t="inlineStr">
        <is>
          <t>The rise of civilization : from early farmers to urban society in the ancient Near East / Charles L. Redman.</t>
        </is>
      </c>
      <c r="F1577" t="inlineStr">
        <is>
          <t>No</t>
        </is>
      </c>
      <c r="G1577" t="inlineStr">
        <is>
          <t>1</t>
        </is>
      </c>
      <c r="H1577" t="inlineStr">
        <is>
          <t>No</t>
        </is>
      </c>
      <c r="I1577" t="inlineStr">
        <is>
          <t>No</t>
        </is>
      </c>
      <c r="J1577" t="inlineStr">
        <is>
          <t>0</t>
        </is>
      </c>
      <c r="K1577" t="inlineStr">
        <is>
          <t>Redman, Charles L.</t>
        </is>
      </c>
      <c r="L1577" t="inlineStr">
        <is>
          <t>San Francisco : W. H. Freeman, c1978.</t>
        </is>
      </c>
      <c r="M1577" t="inlineStr">
        <is>
          <t>1978</t>
        </is>
      </c>
      <c r="O1577" t="inlineStr">
        <is>
          <t>eng</t>
        </is>
      </c>
      <c r="P1577" t="inlineStr">
        <is>
          <t>cau</t>
        </is>
      </c>
      <c r="R1577" t="inlineStr">
        <is>
          <t xml:space="preserve">DS </t>
        </is>
      </c>
      <c r="S1577" t="n">
        <v>9</v>
      </c>
      <c r="T1577" t="n">
        <v>9</v>
      </c>
      <c r="U1577" t="inlineStr">
        <is>
          <t>1999-10-19</t>
        </is>
      </c>
      <c r="V1577" t="inlineStr">
        <is>
          <t>1999-10-19</t>
        </is>
      </c>
      <c r="W1577" t="inlineStr">
        <is>
          <t>1990-09-14</t>
        </is>
      </c>
      <c r="X1577" t="inlineStr">
        <is>
          <t>1990-09-14</t>
        </is>
      </c>
      <c r="Y1577" t="n">
        <v>535</v>
      </c>
      <c r="Z1577" t="n">
        <v>397</v>
      </c>
      <c r="AA1577" t="n">
        <v>402</v>
      </c>
      <c r="AB1577" t="n">
        <v>5</v>
      </c>
      <c r="AC1577" t="n">
        <v>5</v>
      </c>
      <c r="AD1577" t="n">
        <v>15</v>
      </c>
      <c r="AE1577" t="n">
        <v>15</v>
      </c>
      <c r="AF1577" t="n">
        <v>5</v>
      </c>
      <c r="AG1577" t="n">
        <v>5</v>
      </c>
      <c r="AH1577" t="n">
        <v>1</v>
      </c>
      <c r="AI1577" t="n">
        <v>1</v>
      </c>
      <c r="AJ1577" t="n">
        <v>6</v>
      </c>
      <c r="AK1577" t="n">
        <v>6</v>
      </c>
      <c r="AL1577" t="n">
        <v>4</v>
      </c>
      <c r="AM1577" t="n">
        <v>4</v>
      </c>
      <c r="AN1577" t="n">
        <v>0</v>
      </c>
      <c r="AO1577" t="n">
        <v>0</v>
      </c>
      <c r="AP1577" t="inlineStr">
        <is>
          <t>No</t>
        </is>
      </c>
      <c r="AQ1577" t="inlineStr">
        <is>
          <t>No</t>
        </is>
      </c>
      <c r="AS1577">
        <f>HYPERLINK("https://creighton-primo.hosted.exlibrisgroup.com/primo-explore/search?tab=default_tab&amp;search_scope=EVERYTHING&amp;vid=01CRU&amp;lang=en_US&amp;offset=0&amp;query=any,contains,991004487719702656","Catalog Record")</f>
        <v/>
      </c>
      <c r="AT1577">
        <f>HYPERLINK("http://www.worldcat.org/oclc/3649928","WorldCat Record")</f>
        <v/>
      </c>
      <c r="AU1577" t="inlineStr">
        <is>
          <t>12280352:eng</t>
        </is>
      </c>
      <c r="AV1577" t="inlineStr">
        <is>
          <t>3649928</t>
        </is>
      </c>
      <c r="AW1577" t="inlineStr">
        <is>
          <t>991004487719702656</t>
        </is>
      </c>
      <c r="AX1577" t="inlineStr">
        <is>
          <t>991004487719702656</t>
        </is>
      </c>
      <c r="AY1577" t="inlineStr">
        <is>
          <t>2255897520002656</t>
        </is>
      </c>
      <c r="AZ1577" t="inlineStr">
        <is>
          <t>BOOK</t>
        </is>
      </c>
      <c r="BB1577" t="inlineStr">
        <is>
          <t>9780716700562</t>
        </is>
      </c>
      <c r="BC1577" t="inlineStr">
        <is>
          <t>32285000291863</t>
        </is>
      </c>
      <c r="BD1577" t="inlineStr">
        <is>
          <t>893241499</t>
        </is>
      </c>
    </row>
    <row r="1578">
      <c r="A1578" t="inlineStr">
        <is>
          <t>No</t>
        </is>
      </c>
      <c r="B1578" t="inlineStr">
        <is>
          <t>DS57 .S286 2008</t>
        </is>
      </c>
      <c r="C1578" t="inlineStr">
        <is>
          <t>0                      DS 0057000S  286         2008</t>
        </is>
      </c>
      <c r="D1578" t="inlineStr">
        <is>
          <t>Culture and conflict in the Middle East / Philip Carl Salzman.</t>
        </is>
      </c>
      <c r="F1578" t="inlineStr">
        <is>
          <t>No</t>
        </is>
      </c>
      <c r="G1578" t="inlineStr">
        <is>
          <t>1</t>
        </is>
      </c>
      <c r="H1578" t="inlineStr">
        <is>
          <t>No</t>
        </is>
      </c>
      <c r="I1578" t="inlineStr">
        <is>
          <t>No</t>
        </is>
      </c>
      <c r="J1578" t="inlineStr">
        <is>
          <t>0</t>
        </is>
      </c>
      <c r="K1578" t="inlineStr">
        <is>
          <t>Salzman, Philip Carl.</t>
        </is>
      </c>
      <c r="L1578" t="inlineStr">
        <is>
          <t>Amherst, N.Y. : Humanity Books, 2008.</t>
        </is>
      </c>
      <c r="M1578" t="inlineStr">
        <is>
          <t>2008</t>
        </is>
      </c>
      <c r="O1578" t="inlineStr">
        <is>
          <t>eng</t>
        </is>
      </c>
      <c r="P1578" t="inlineStr">
        <is>
          <t>nyu</t>
        </is>
      </c>
      <c r="R1578" t="inlineStr">
        <is>
          <t xml:space="preserve">DS </t>
        </is>
      </c>
      <c r="S1578" t="n">
        <v>1</v>
      </c>
      <c r="T1578" t="n">
        <v>1</v>
      </c>
      <c r="U1578" t="inlineStr">
        <is>
          <t>2010-02-03</t>
        </is>
      </c>
      <c r="V1578" t="inlineStr">
        <is>
          <t>2010-02-03</t>
        </is>
      </c>
      <c r="W1578" t="inlineStr">
        <is>
          <t>2010-02-03</t>
        </is>
      </c>
      <c r="X1578" t="inlineStr">
        <is>
          <t>2010-02-03</t>
        </is>
      </c>
      <c r="Y1578" t="n">
        <v>436</v>
      </c>
      <c r="Z1578" t="n">
        <v>358</v>
      </c>
      <c r="AA1578" t="n">
        <v>367</v>
      </c>
      <c r="AB1578" t="n">
        <v>2</v>
      </c>
      <c r="AC1578" t="n">
        <v>2</v>
      </c>
      <c r="AD1578" t="n">
        <v>12</v>
      </c>
      <c r="AE1578" t="n">
        <v>12</v>
      </c>
      <c r="AF1578" t="n">
        <v>5</v>
      </c>
      <c r="AG1578" t="n">
        <v>5</v>
      </c>
      <c r="AH1578" t="n">
        <v>3</v>
      </c>
      <c r="AI1578" t="n">
        <v>3</v>
      </c>
      <c r="AJ1578" t="n">
        <v>6</v>
      </c>
      <c r="AK1578" t="n">
        <v>6</v>
      </c>
      <c r="AL1578" t="n">
        <v>1</v>
      </c>
      <c r="AM1578" t="n">
        <v>1</v>
      </c>
      <c r="AN1578" t="n">
        <v>0</v>
      </c>
      <c r="AO1578" t="n">
        <v>0</v>
      </c>
      <c r="AP1578" t="inlineStr">
        <is>
          <t>No</t>
        </is>
      </c>
      <c r="AQ1578" t="inlineStr">
        <is>
          <t>Yes</t>
        </is>
      </c>
      <c r="AR1578">
        <f>HYPERLINK("http://catalog.hathitrust.org/Record/005660538","HathiTrust Record")</f>
        <v/>
      </c>
      <c r="AS1578">
        <f>HYPERLINK("https://creighton-primo.hosted.exlibrisgroup.com/primo-explore/search?tab=default_tab&amp;search_scope=EVERYTHING&amp;vid=01CRU&amp;lang=en_US&amp;offset=0&amp;query=any,contains,991005358439702656","Catalog Record")</f>
        <v/>
      </c>
      <c r="AT1578">
        <f>HYPERLINK("http://www.worldcat.org/oclc/182552907","WorldCat Record")</f>
        <v/>
      </c>
      <c r="AU1578" t="inlineStr">
        <is>
          <t>117007045:eng</t>
        </is>
      </c>
      <c r="AV1578" t="inlineStr">
        <is>
          <t>182552907</t>
        </is>
      </c>
      <c r="AW1578" t="inlineStr">
        <is>
          <t>991005358439702656</t>
        </is>
      </c>
      <c r="AX1578" t="inlineStr">
        <is>
          <t>991005358439702656</t>
        </is>
      </c>
      <c r="AY1578" t="inlineStr">
        <is>
          <t>2269829470002656</t>
        </is>
      </c>
      <c r="AZ1578" t="inlineStr">
        <is>
          <t>BOOK</t>
        </is>
      </c>
      <c r="BB1578" t="inlineStr">
        <is>
          <t>9781591025870</t>
        </is>
      </c>
      <c r="BC1578" t="inlineStr">
        <is>
          <t>32285005571509</t>
        </is>
      </c>
      <c r="BD1578" t="inlineStr">
        <is>
          <t>893796036</t>
        </is>
      </c>
    </row>
    <row r="1579">
      <c r="A1579" t="inlineStr">
        <is>
          <t>No</t>
        </is>
      </c>
      <c r="B1579" t="inlineStr">
        <is>
          <t>DS570.98 .S78 1978</t>
        </is>
      </c>
      <c r="C1579" t="inlineStr">
        <is>
          <t>0                      DS 0570980S  78          1978</t>
        </is>
      </c>
      <c r="D1579" t="inlineStr">
        <is>
          <t>The study of Thailand : analyses of knowledge, approaches and prospects in anthropology, art history, economics, history, and political science / edited by Eliezer B. Ayal.</t>
        </is>
      </c>
      <c r="F1579" t="inlineStr">
        <is>
          <t>No</t>
        </is>
      </c>
      <c r="G1579" t="inlineStr">
        <is>
          <t>1</t>
        </is>
      </c>
      <c r="H1579" t="inlineStr">
        <is>
          <t>No</t>
        </is>
      </c>
      <c r="I1579" t="inlineStr">
        <is>
          <t>No</t>
        </is>
      </c>
      <c r="J1579" t="inlineStr">
        <is>
          <t>0</t>
        </is>
      </c>
      <c r="L1579" t="inlineStr">
        <is>
          <t>Athens : Ohio University Center for International Studies, Southeast Asia Program, 1978.</t>
        </is>
      </c>
      <c r="M1579" t="inlineStr">
        <is>
          <t>1978</t>
        </is>
      </c>
      <c r="O1579" t="inlineStr">
        <is>
          <t>eng</t>
        </is>
      </c>
      <c r="P1579" t="inlineStr">
        <is>
          <t>ohu</t>
        </is>
      </c>
      <c r="Q1579" t="inlineStr">
        <is>
          <t>Southeast Asia series ; no. 54</t>
        </is>
      </c>
      <c r="R1579" t="inlineStr">
        <is>
          <t xml:space="preserve">DS </t>
        </is>
      </c>
      <c r="S1579" t="n">
        <v>7</v>
      </c>
      <c r="T1579" t="n">
        <v>7</v>
      </c>
      <c r="U1579" t="inlineStr">
        <is>
          <t>2000-01-28</t>
        </is>
      </c>
      <c r="V1579" t="inlineStr">
        <is>
          <t>2000-01-28</t>
        </is>
      </c>
      <c r="W1579" t="inlineStr">
        <is>
          <t>1990-10-10</t>
        </is>
      </c>
      <c r="X1579" t="inlineStr">
        <is>
          <t>1990-10-10</t>
        </is>
      </c>
      <c r="Y1579" t="n">
        <v>190</v>
      </c>
      <c r="Z1579" t="n">
        <v>136</v>
      </c>
      <c r="AA1579" t="n">
        <v>138</v>
      </c>
      <c r="AB1579" t="n">
        <v>2</v>
      </c>
      <c r="AC1579" t="n">
        <v>2</v>
      </c>
      <c r="AD1579" t="n">
        <v>4</v>
      </c>
      <c r="AE1579" t="n">
        <v>4</v>
      </c>
      <c r="AF1579" t="n">
        <v>0</v>
      </c>
      <c r="AG1579" t="n">
        <v>0</v>
      </c>
      <c r="AH1579" t="n">
        <v>1</v>
      </c>
      <c r="AI1579" t="n">
        <v>1</v>
      </c>
      <c r="AJ1579" t="n">
        <v>3</v>
      </c>
      <c r="AK1579" t="n">
        <v>3</v>
      </c>
      <c r="AL1579" t="n">
        <v>1</v>
      </c>
      <c r="AM1579" t="n">
        <v>1</v>
      </c>
      <c r="AN1579" t="n">
        <v>0</v>
      </c>
      <c r="AO1579" t="n">
        <v>0</v>
      </c>
      <c r="AP1579" t="inlineStr">
        <is>
          <t>No</t>
        </is>
      </c>
      <c r="AQ1579" t="inlineStr">
        <is>
          <t>No</t>
        </is>
      </c>
      <c r="AS1579">
        <f>HYPERLINK("https://creighton-primo.hosted.exlibrisgroup.com/primo-explore/search?tab=default_tab&amp;search_scope=EVERYTHING&amp;vid=01CRU&amp;lang=en_US&amp;offset=0&amp;query=any,contains,991004716489702656","Catalog Record")</f>
        <v/>
      </c>
      <c r="AT1579">
        <f>HYPERLINK("http://www.worldcat.org/oclc/4776394","WorldCat Record")</f>
        <v/>
      </c>
      <c r="AU1579" t="inlineStr">
        <is>
          <t>896931166:eng</t>
        </is>
      </c>
      <c r="AV1579" t="inlineStr">
        <is>
          <t>4776394</t>
        </is>
      </c>
      <c r="AW1579" t="inlineStr">
        <is>
          <t>991004716489702656</t>
        </is>
      </c>
      <c r="AX1579" t="inlineStr">
        <is>
          <t>991004716489702656</t>
        </is>
      </c>
      <c r="AY1579" t="inlineStr">
        <is>
          <t>2256565500002656</t>
        </is>
      </c>
      <c r="AZ1579" t="inlineStr">
        <is>
          <t>BOOK</t>
        </is>
      </c>
      <c r="BB1579" t="inlineStr">
        <is>
          <t>9780896800793</t>
        </is>
      </c>
      <c r="BC1579" t="inlineStr">
        <is>
          <t>32285000337807</t>
        </is>
      </c>
      <c r="BD1579" t="inlineStr">
        <is>
          <t>893500881</t>
        </is>
      </c>
    </row>
    <row r="1580">
      <c r="A1580" t="inlineStr">
        <is>
          <t>No</t>
        </is>
      </c>
      <c r="B1580" t="inlineStr">
        <is>
          <t>DS570.C5 C6 1976</t>
        </is>
      </c>
      <c r="C1580" t="inlineStr">
        <is>
          <t>0                      DS 0570000C  5                  C  6           1976</t>
        </is>
      </c>
      <c r="D1580" t="inlineStr">
        <is>
          <t>Double identity : the Chinese in modern Thailand / by Richard J. Coughlin.</t>
        </is>
      </c>
      <c r="F1580" t="inlineStr">
        <is>
          <t>No</t>
        </is>
      </c>
      <c r="G1580" t="inlineStr">
        <is>
          <t>1</t>
        </is>
      </c>
      <c r="H1580" t="inlineStr">
        <is>
          <t>No</t>
        </is>
      </c>
      <c r="I1580" t="inlineStr">
        <is>
          <t>No</t>
        </is>
      </c>
      <c r="J1580" t="inlineStr">
        <is>
          <t>0</t>
        </is>
      </c>
      <c r="K1580" t="inlineStr">
        <is>
          <t>Coughlin, Richard J.</t>
        </is>
      </c>
      <c r="L1580" t="inlineStr">
        <is>
          <t>Westport, Conn. : Greenwood Press, 1976, c1960.</t>
        </is>
      </c>
      <c r="M1580" t="inlineStr">
        <is>
          <t>1976</t>
        </is>
      </c>
      <c r="O1580" t="inlineStr">
        <is>
          <t>eng</t>
        </is>
      </c>
      <c r="P1580" t="inlineStr">
        <is>
          <t>ctu</t>
        </is>
      </c>
      <c r="R1580" t="inlineStr">
        <is>
          <t xml:space="preserve">DS </t>
        </is>
      </c>
      <c r="S1580" t="n">
        <v>6</v>
      </c>
      <c r="T1580" t="n">
        <v>6</v>
      </c>
      <c r="U1580" t="inlineStr">
        <is>
          <t>2000-01-28</t>
        </is>
      </c>
      <c r="V1580" t="inlineStr">
        <is>
          <t>2000-01-28</t>
        </is>
      </c>
      <c r="W1580" t="inlineStr">
        <is>
          <t>1997-03-11</t>
        </is>
      </c>
      <c r="X1580" t="inlineStr">
        <is>
          <t>1997-03-11</t>
        </is>
      </c>
      <c r="Y1580" t="n">
        <v>72</v>
      </c>
      <c r="Z1580" t="n">
        <v>57</v>
      </c>
      <c r="AA1580" t="n">
        <v>381</v>
      </c>
      <c r="AB1580" t="n">
        <v>1</v>
      </c>
      <c r="AC1580" t="n">
        <v>2</v>
      </c>
      <c r="AD1580" t="n">
        <v>3</v>
      </c>
      <c r="AE1580" t="n">
        <v>18</v>
      </c>
      <c r="AF1580" t="n">
        <v>2</v>
      </c>
      <c r="AG1580" t="n">
        <v>5</v>
      </c>
      <c r="AH1580" t="n">
        <v>0</v>
      </c>
      <c r="AI1580" t="n">
        <v>5</v>
      </c>
      <c r="AJ1580" t="n">
        <v>2</v>
      </c>
      <c r="AK1580" t="n">
        <v>11</v>
      </c>
      <c r="AL1580" t="n">
        <v>0</v>
      </c>
      <c r="AM1580" t="n">
        <v>1</v>
      </c>
      <c r="AN1580" t="n">
        <v>0</v>
      </c>
      <c r="AO1580" t="n">
        <v>0</v>
      </c>
      <c r="AP1580" t="inlineStr">
        <is>
          <t>No</t>
        </is>
      </c>
      <c r="AQ1580" t="inlineStr">
        <is>
          <t>Yes</t>
        </is>
      </c>
      <c r="AR1580">
        <f>HYPERLINK("http://catalog.hathitrust.org/Record/000763534","HathiTrust Record")</f>
        <v/>
      </c>
      <c r="AS1580">
        <f>HYPERLINK("https://creighton-primo.hosted.exlibrisgroup.com/primo-explore/search?tab=default_tab&amp;search_scope=EVERYTHING&amp;vid=01CRU&amp;lang=en_US&amp;offset=0&amp;query=any,contains,991004124639702656","Catalog Record")</f>
        <v/>
      </c>
      <c r="AT1580">
        <f>HYPERLINK("http://www.worldcat.org/oclc/2439545","WorldCat Record")</f>
        <v/>
      </c>
      <c r="AU1580" t="inlineStr">
        <is>
          <t>1340613:eng</t>
        </is>
      </c>
      <c r="AV1580" t="inlineStr">
        <is>
          <t>2439545</t>
        </is>
      </c>
      <c r="AW1580" t="inlineStr">
        <is>
          <t>991004124639702656</t>
        </is>
      </c>
      <c r="AX1580" t="inlineStr">
        <is>
          <t>991004124639702656</t>
        </is>
      </c>
      <c r="AY1580" t="inlineStr">
        <is>
          <t>2262174850002656</t>
        </is>
      </c>
      <c r="AZ1580" t="inlineStr">
        <is>
          <t>BOOK</t>
        </is>
      </c>
      <c r="BB1580" t="inlineStr">
        <is>
          <t>9780837192925</t>
        </is>
      </c>
      <c r="BC1580" t="inlineStr">
        <is>
          <t>32285002445012</t>
        </is>
      </c>
      <c r="BD1580" t="inlineStr">
        <is>
          <t>893775647</t>
        </is>
      </c>
    </row>
    <row r="1581">
      <c r="A1581" t="inlineStr">
        <is>
          <t>No</t>
        </is>
      </c>
      <c r="B1581" t="inlineStr">
        <is>
          <t>DS570.M3 F7</t>
        </is>
      </c>
      <c r="C1581" t="inlineStr">
        <is>
          <t>0                      DS 0570000M  3                  F  7</t>
        </is>
      </c>
      <c r="D1581" t="inlineStr">
        <is>
          <t>Fishermen of South Thailand : the Malay villagers / by Thomas M. Fraser, Jr.</t>
        </is>
      </c>
      <c r="F1581" t="inlineStr">
        <is>
          <t>No</t>
        </is>
      </c>
      <c r="G1581" t="inlineStr">
        <is>
          <t>1</t>
        </is>
      </c>
      <c r="H1581" t="inlineStr">
        <is>
          <t>No</t>
        </is>
      </c>
      <c r="I1581" t="inlineStr">
        <is>
          <t>No</t>
        </is>
      </c>
      <c r="J1581" t="inlineStr">
        <is>
          <t>0</t>
        </is>
      </c>
      <c r="K1581" t="inlineStr">
        <is>
          <t>Fraser, Thomas M.</t>
        </is>
      </c>
      <c r="L1581" t="inlineStr">
        <is>
          <t>New York : Holt, Rinehart and Winston, [1966]</t>
        </is>
      </c>
      <c r="M1581" t="inlineStr">
        <is>
          <t>1966</t>
        </is>
      </c>
      <c r="O1581" t="inlineStr">
        <is>
          <t>eng</t>
        </is>
      </c>
      <c r="P1581" t="inlineStr">
        <is>
          <t>nyu</t>
        </is>
      </c>
      <c r="Q1581" t="inlineStr">
        <is>
          <t>Case studies in cultural anthropology</t>
        </is>
      </c>
      <c r="R1581" t="inlineStr">
        <is>
          <t xml:space="preserve">DS </t>
        </is>
      </c>
      <c r="S1581" t="n">
        <v>7</v>
      </c>
      <c r="T1581" t="n">
        <v>7</v>
      </c>
      <c r="U1581" t="inlineStr">
        <is>
          <t>1994-11-06</t>
        </is>
      </c>
      <c r="V1581" t="inlineStr">
        <is>
          <t>1994-11-06</t>
        </is>
      </c>
      <c r="W1581" t="inlineStr">
        <is>
          <t>1992-10-13</t>
        </is>
      </c>
      <c r="X1581" t="inlineStr">
        <is>
          <t>1992-10-13</t>
        </is>
      </c>
      <c r="Y1581" t="n">
        <v>835</v>
      </c>
      <c r="Z1581" t="n">
        <v>663</v>
      </c>
      <c r="AA1581" t="n">
        <v>722</v>
      </c>
      <c r="AB1581" t="n">
        <v>6</v>
      </c>
      <c r="AC1581" t="n">
        <v>6</v>
      </c>
      <c r="AD1581" t="n">
        <v>27</v>
      </c>
      <c r="AE1581" t="n">
        <v>30</v>
      </c>
      <c r="AF1581" t="n">
        <v>11</v>
      </c>
      <c r="AG1581" t="n">
        <v>13</v>
      </c>
      <c r="AH1581" t="n">
        <v>5</v>
      </c>
      <c r="AI1581" t="n">
        <v>5</v>
      </c>
      <c r="AJ1581" t="n">
        <v>12</v>
      </c>
      <c r="AK1581" t="n">
        <v>13</v>
      </c>
      <c r="AL1581" t="n">
        <v>5</v>
      </c>
      <c r="AM1581" t="n">
        <v>5</v>
      </c>
      <c r="AN1581" t="n">
        <v>0</v>
      </c>
      <c r="AO1581" t="n">
        <v>0</v>
      </c>
      <c r="AP1581" t="inlineStr">
        <is>
          <t>No</t>
        </is>
      </c>
      <c r="AQ1581" t="inlineStr">
        <is>
          <t>Yes</t>
        </is>
      </c>
      <c r="AR1581">
        <f>HYPERLINK("http://catalog.hathitrust.org/Record/000005756","HathiTrust Record")</f>
        <v/>
      </c>
      <c r="AS1581">
        <f>HYPERLINK("https://creighton-primo.hosted.exlibrisgroup.com/primo-explore/search?tab=default_tab&amp;search_scope=EVERYTHING&amp;vid=01CRU&amp;lang=en_US&amp;offset=0&amp;query=any,contains,991002717399702656","Catalog Record")</f>
        <v/>
      </c>
      <c r="AT1581">
        <f>HYPERLINK("http://www.worldcat.org/oclc/411684","WorldCat Record")</f>
        <v/>
      </c>
      <c r="AU1581" t="inlineStr">
        <is>
          <t>1459082:eng</t>
        </is>
      </c>
      <c r="AV1581" t="inlineStr">
        <is>
          <t>411684</t>
        </is>
      </c>
      <c r="AW1581" t="inlineStr">
        <is>
          <t>991002717399702656</t>
        </is>
      </c>
      <c r="AX1581" t="inlineStr">
        <is>
          <t>991002717399702656</t>
        </is>
      </c>
      <c r="AY1581" t="inlineStr">
        <is>
          <t>2264990300002656</t>
        </is>
      </c>
      <c r="AZ1581" t="inlineStr">
        <is>
          <t>BOOK</t>
        </is>
      </c>
      <c r="BC1581" t="inlineStr">
        <is>
          <t>32285001346658</t>
        </is>
      </c>
      <c r="BD1581" t="inlineStr">
        <is>
          <t>893445318</t>
        </is>
      </c>
    </row>
    <row r="1582">
      <c r="A1582" t="inlineStr">
        <is>
          <t>No</t>
        </is>
      </c>
      <c r="B1582" t="inlineStr">
        <is>
          <t>DS570.M5 G4</t>
        </is>
      </c>
      <c r="C1582" t="inlineStr">
        <is>
          <t>0                      DS 0570000M  5                  G  4</t>
        </is>
      </c>
      <c r="D1582" t="inlineStr">
        <is>
          <t>Migrants of the mountains : the cultural ecology of the Blue Miao (Hmong Njua) of Thailand / by William Robert Geddes.</t>
        </is>
      </c>
      <c r="F1582" t="inlineStr">
        <is>
          <t>No</t>
        </is>
      </c>
      <c r="G1582" t="inlineStr">
        <is>
          <t>1</t>
        </is>
      </c>
      <c r="H1582" t="inlineStr">
        <is>
          <t>No</t>
        </is>
      </c>
      <c r="I1582" t="inlineStr">
        <is>
          <t>No</t>
        </is>
      </c>
      <c r="J1582" t="inlineStr">
        <is>
          <t>0</t>
        </is>
      </c>
      <c r="K1582" t="inlineStr">
        <is>
          <t>Geddes, W. R. (William Robert)</t>
        </is>
      </c>
      <c r="L1582" t="inlineStr">
        <is>
          <t>Oxford : Clarendon Press, 1976.</t>
        </is>
      </c>
      <c r="M1582" t="inlineStr">
        <is>
          <t>1976</t>
        </is>
      </c>
      <c r="O1582" t="inlineStr">
        <is>
          <t>eng</t>
        </is>
      </c>
      <c r="P1582" t="inlineStr">
        <is>
          <t>enk</t>
        </is>
      </c>
      <c r="R1582" t="inlineStr">
        <is>
          <t xml:space="preserve">DS </t>
        </is>
      </c>
      <c r="S1582" t="n">
        <v>16</v>
      </c>
      <c r="T1582" t="n">
        <v>16</v>
      </c>
      <c r="U1582" t="inlineStr">
        <is>
          <t>2006-11-14</t>
        </is>
      </c>
      <c r="V1582" t="inlineStr">
        <is>
          <t>2006-11-14</t>
        </is>
      </c>
      <c r="W1582" t="inlineStr">
        <is>
          <t>1992-10-13</t>
        </is>
      </c>
      <c r="X1582" t="inlineStr">
        <is>
          <t>1992-10-13</t>
        </is>
      </c>
      <c r="Y1582" t="n">
        <v>476</v>
      </c>
      <c r="Z1582" t="n">
        <v>345</v>
      </c>
      <c r="AA1582" t="n">
        <v>347</v>
      </c>
      <c r="AB1582" t="n">
        <v>3</v>
      </c>
      <c r="AC1582" t="n">
        <v>3</v>
      </c>
      <c r="AD1582" t="n">
        <v>13</v>
      </c>
      <c r="AE1582" t="n">
        <v>13</v>
      </c>
      <c r="AF1582" t="n">
        <v>3</v>
      </c>
      <c r="AG1582" t="n">
        <v>3</v>
      </c>
      <c r="AH1582" t="n">
        <v>4</v>
      </c>
      <c r="AI1582" t="n">
        <v>4</v>
      </c>
      <c r="AJ1582" t="n">
        <v>7</v>
      </c>
      <c r="AK1582" t="n">
        <v>7</v>
      </c>
      <c r="AL1582" t="n">
        <v>2</v>
      </c>
      <c r="AM1582" t="n">
        <v>2</v>
      </c>
      <c r="AN1582" t="n">
        <v>0</v>
      </c>
      <c r="AO1582" t="n">
        <v>0</v>
      </c>
      <c r="AP1582" t="inlineStr">
        <is>
          <t>No</t>
        </is>
      </c>
      <c r="AQ1582" t="inlineStr">
        <is>
          <t>Yes</t>
        </is>
      </c>
      <c r="AR1582">
        <f>HYPERLINK("http://catalog.hathitrust.org/Record/000683542","HathiTrust Record")</f>
        <v/>
      </c>
      <c r="AS1582">
        <f>HYPERLINK("https://creighton-primo.hosted.exlibrisgroup.com/primo-explore/search?tab=default_tab&amp;search_scope=EVERYTHING&amp;vid=01CRU&amp;lang=en_US&amp;offset=0&amp;query=any,contains,991004012499702656","Catalog Record")</f>
        <v/>
      </c>
      <c r="AT1582">
        <f>HYPERLINK("http://www.worldcat.org/oclc/2094754","WorldCat Record")</f>
        <v/>
      </c>
      <c r="AU1582" t="inlineStr">
        <is>
          <t>292337970:eng</t>
        </is>
      </c>
      <c r="AV1582" t="inlineStr">
        <is>
          <t>2094754</t>
        </is>
      </c>
      <c r="AW1582" t="inlineStr">
        <is>
          <t>991004012499702656</t>
        </is>
      </c>
      <c r="AX1582" t="inlineStr">
        <is>
          <t>991004012499702656</t>
        </is>
      </c>
      <c r="AY1582" t="inlineStr">
        <is>
          <t>2268284860002656</t>
        </is>
      </c>
      <c r="AZ1582" t="inlineStr">
        <is>
          <t>BOOK</t>
        </is>
      </c>
      <c r="BB1582" t="inlineStr">
        <is>
          <t>9780198231875</t>
        </is>
      </c>
      <c r="BC1582" t="inlineStr">
        <is>
          <t>32285001346641</t>
        </is>
      </c>
      <c r="BD1582" t="inlineStr">
        <is>
          <t>893875584</t>
        </is>
      </c>
    </row>
    <row r="1583">
      <c r="A1583" t="inlineStr">
        <is>
          <t>No</t>
        </is>
      </c>
      <c r="B1583" t="inlineStr">
        <is>
          <t>DS570.V5 P6 1970</t>
        </is>
      </c>
      <c r="C1583" t="inlineStr">
        <is>
          <t>0                      DS 0570000V  5                  P  6           1970</t>
        </is>
      </c>
      <c r="D1583" t="inlineStr">
        <is>
          <t>The Vietnamese in Thailand; a historical perspective [by] Peter A. Poole.</t>
        </is>
      </c>
      <c r="F1583" t="inlineStr">
        <is>
          <t>No</t>
        </is>
      </c>
      <c r="G1583" t="inlineStr">
        <is>
          <t>1</t>
        </is>
      </c>
      <c r="H1583" t="inlineStr">
        <is>
          <t>No</t>
        </is>
      </c>
      <c r="I1583" t="inlineStr">
        <is>
          <t>No</t>
        </is>
      </c>
      <c r="J1583" t="inlineStr">
        <is>
          <t>0</t>
        </is>
      </c>
      <c r="K1583" t="inlineStr">
        <is>
          <t>Poole, Peter A.</t>
        </is>
      </c>
      <c r="L1583" t="inlineStr">
        <is>
          <t>Ithaca [N.Y.] Cornell University Press [1970]</t>
        </is>
      </c>
      <c r="M1583" t="inlineStr">
        <is>
          <t>1970</t>
        </is>
      </c>
      <c r="O1583" t="inlineStr">
        <is>
          <t>eng</t>
        </is>
      </c>
      <c r="P1583" t="inlineStr">
        <is>
          <t>nyu</t>
        </is>
      </c>
      <c r="R1583" t="inlineStr">
        <is>
          <t xml:space="preserve">DS </t>
        </is>
      </c>
      <c r="S1583" t="n">
        <v>8</v>
      </c>
      <c r="T1583" t="n">
        <v>8</v>
      </c>
      <c r="U1583" t="inlineStr">
        <is>
          <t>2005-04-15</t>
        </is>
      </c>
      <c r="V1583" t="inlineStr">
        <is>
          <t>2005-04-15</t>
        </is>
      </c>
      <c r="W1583" t="inlineStr">
        <is>
          <t>1997-03-11</t>
        </is>
      </c>
      <c r="X1583" t="inlineStr">
        <is>
          <t>1997-03-11</t>
        </is>
      </c>
      <c r="Y1583" t="n">
        <v>454</v>
      </c>
      <c r="Z1583" t="n">
        <v>378</v>
      </c>
      <c r="AA1583" t="n">
        <v>380</v>
      </c>
      <c r="AB1583" t="n">
        <v>3</v>
      </c>
      <c r="AC1583" t="n">
        <v>3</v>
      </c>
      <c r="AD1583" t="n">
        <v>18</v>
      </c>
      <c r="AE1583" t="n">
        <v>18</v>
      </c>
      <c r="AF1583" t="n">
        <v>5</v>
      </c>
      <c r="AG1583" t="n">
        <v>5</v>
      </c>
      <c r="AH1583" t="n">
        <v>5</v>
      </c>
      <c r="AI1583" t="n">
        <v>5</v>
      </c>
      <c r="AJ1583" t="n">
        <v>8</v>
      </c>
      <c r="AK1583" t="n">
        <v>8</v>
      </c>
      <c r="AL1583" t="n">
        <v>2</v>
      </c>
      <c r="AM1583" t="n">
        <v>2</v>
      </c>
      <c r="AN1583" t="n">
        <v>0</v>
      </c>
      <c r="AO1583" t="n">
        <v>0</v>
      </c>
      <c r="AP1583" t="inlineStr">
        <is>
          <t>No</t>
        </is>
      </c>
      <c r="AQ1583" t="inlineStr">
        <is>
          <t>Yes</t>
        </is>
      </c>
      <c r="AR1583">
        <f>HYPERLINK("http://catalog.hathitrust.org/Record/001870393","HathiTrust Record")</f>
        <v/>
      </c>
      <c r="AS1583">
        <f>HYPERLINK("https://creighton-primo.hosted.exlibrisgroup.com/primo-explore/search?tab=default_tab&amp;search_scope=EVERYTHING&amp;vid=01CRU&amp;lang=en_US&amp;offset=0&amp;query=any,contains,991000520189702656","Catalog Record")</f>
        <v/>
      </c>
      <c r="AT1583">
        <f>HYPERLINK("http://www.worldcat.org/oclc/87866","WorldCat Record")</f>
        <v/>
      </c>
      <c r="AU1583" t="inlineStr">
        <is>
          <t>293175378:eng</t>
        </is>
      </c>
      <c r="AV1583" t="inlineStr">
        <is>
          <t>87866</t>
        </is>
      </c>
      <c r="AW1583" t="inlineStr">
        <is>
          <t>991000520189702656</t>
        </is>
      </c>
      <c r="AX1583" t="inlineStr">
        <is>
          <t>991000520189702656</t>
        </is>
      </c>
      <c r="AY1583" t="inlineStr">
        <is>
          <t>2270799900002656</t>
        </is>
      </c>
      <c r="AZ1583" t="inlineStr">
        <is>
          <t>BOOK</t>
        </is>
      </c>
      <c r="BB1583" t="inlineStr">
        <is>
          <t>9780801405716</t>
        </is>
      </c>
      <c r="BC1583" t="inlineStr">
        <is>
          <t>32285002445038</t>
        </is>
      </c>
      <c r="BD1583" t="inlineStr">
        <is>
          <t>893784292</t>
        </is>
      </c>
    </row>
    <row r="1584">
      <c r="A1584" t="inlineStr">
        <is>
          <t>No</t>
        </is>
      </c>
      <c r="B1584" t="inlineStr">
        <is>
          <t>DS571 .W92 2003</t>
        </is>
      </c>
      <c r="C1584" t="inlineStr">
        <is>
          <t>0                      DS 0571000W  92          2003</t>
        </is>
      </c>
      <c r="D1584" t="inlineStr">
        <is>
          <t>Thailand : a short history / David K. Wyatt.</t>
        </is>
      </c>
      <c r="F1584" t="inlineStr">
        <is>
          <t>No</t>
        </is>
      </c>
      <c r="G1584" t="inlineStr">
        <is>
          <t>1</t>
        </is>
      </c>
      <c r="H1584" t="inlineStr">
        <is>
          <t>No</t>
        </is>
      </c>
      <c r="I1584" t="inlineStr">
        <is>
          <t>No</t>
        </is>
      </c>
      <c r="J1584" t="inlineStr">
        <is>
          <t>0</t>
        </is>
      </c>
      <c r="K1584" t="inlineStr">
        <is>
          <t>Wyatt, David K.</t>
        </is>
      </c>
      <c r="L1584" t="inlineStr">
        <is>
          <t>New Haven, Conn. : Yale University Press, 2003.</t>
        </is>
      </c>
      <c r="M1584" t="inlineStr">
        <is>
          <t>2003</t>
        </is>
      </c>
      <c r="N1584" t="inlineStr">
        <is>
          <t>2nd ed.</t>
        </is>
      </c>
      <c r="O1584" t="inlineStr">
        <is>
          <t>eng</t>
        </is>
      </c>
      <c r="P1584" t="inlineStr">
        <is>
          <t>ctu</t>
        </is>
      </c>
      <c r="R1584" t="inlineStr">
        <is>
          <t xml:space="preserve">DS </t>
        </is>
      </c>
      <c r="S1584" t="n">
        <v>11</v>
      </c>
      <c r="T1584" t="n">
        <v>11</v>
      </c>
      <c r="U1584" t="inlineStr">
        <is>
          <t>2006-02-27</t>
        </is>
      </c>
      <c r="V1584" t="inlineStr">
        <is>
          <t>2006-02-27</t>
        </is>
      </c>
      <c r="W1584" t="inlineStr">
        <is>
          <t>2004-03-29</t>
        </is>
      </c>
      <c r="X1584" t="inlineStr">
        <is>
          <t>2004-03-29</t>
        </is>
      </c>
      <c r="Y1584" t="n">
        <v>471</v>
      </c>
      <c r="Z1584" t="n">
        <v>374</v>
      </c>
      <c r="AA1584" t="n">
        <v>1320</v>
      </c>
      <c r="AB1584" t="n">
        <v>2</v>
      </c>
      <c r="AC1584" t="n">
        <v>6</v>
      </c>
      <c r="AD1584" t="n">
        <v>15</v>
      </c>
      <c r="AE1584" t="n">
        <v>37</v>
      </c>
      <c r="AF1584" t="n">
        <v>7</v>
      </c>
      <c r="AG1584" t="n">
        <v>17</v>
      </c>
      <c r="AH1584" t="n">
        <v>5</v>
      </c>
      <c r="AI1584" t="n">
        <v>9</v>
      </c>
      <c r="AJ1584" t="n">
        <v>8</v>
      </c>
      <c r="AK1584" t="n">
        <v>17</v>
      </c>
      <c r="AL1584" t="n">
        <v>1</v>
      </c>
      <c r="AM1584" t="n">
        <v>5</v>
      </c>
      <c r="AN1584" t="n">
        <v>0</v>
      </c>
      <c r="AO1584" t="n">
        <v>0</v>
      </c>
      <c r="AP1584" t="inlineStr">
        <is>
          <t>No</t>
        </is>
      </c>
      <c r="AQ1584" t="inlineStr">
        <is>
          <t>No</t>
        </is>
      </c>
      <c r="AS1584">
        <f>HYPERLINK("https://creighton-primo.hosted.exlibrisgroup.com/primo-explore/search?tab=default_tab&amp;search_scope=EVERYTHING&amp;vid=01CRU&amp;lang=en_US&amp;offset=0&amp;query=any,contains,991004251409702656","Catalog Record")</f>
        <v/>
      </c>
      <c r="AT1584">
        <f>HYPERLINK("http://www.worldcat.org/oclc/53392823","WorldCat Record")</f>
        <v/>
      </c>
      <c r="AU1584" t="inlineStr">
        <is>
          <t>389454965:eng</t>
        </is>
      </c>
      <c r="AV1584" t="inlineStr">
        <is>
          <t>53392823</t>
        </is>
      </c>
      <c r="AW1584" t="inlineStr">
        <is>
          <t>991004251409702656</t>
        </is>
      </c>
      <c r="AX1584" t="inlineStr">
        <is>
          <t>991004251409702656</t>
        </is>
      </c>
      <c r="AY1584" t="inlineStr">
        <is>
          <t>2262611820002656</t>
        </is>
      </c>
      <c r="AZ1584" t="inlineStr">
        <is>
          <t>BOOK</t>
        </is>
      </c>
      <c r="BB1584" t="inlineStr">
        <is>
          <t>9780300084757</t>
        </is>
      </c>
      <c r="BC1584" t="inlineStr">
        <is>
          <t>32285004897749</t>
        </is>
      </c>
      <c r="BD1584" t="inlineStr">
        <is>
          <t>893247351</t>
        </is>
      </c>
    </row>
    <row r="1585">
      <c r="A1585" t="inlineStr">
        <is>
          <t>No</t>
        </is>
      </c>
      <c r="B1585" t="inlineStr">
        <is>
          <t>DS577 .W4513</t>
        </is>
      </c>
      <c r="C1585" t="inlineStr">
        <is>
          <t>0                      DS 0577000W  4513</t>
        </is>
      </c>
      <c r="D1585" t="inlineStr">
        <is>
          <t>The restoration of Thailand under Rama I, 1782-1809. Translated from the German by Greeley Stahl.</t>
        </is>
      </c>
      <c r="F1585" t="inlineStr">
        <is>
          <t>No</t>
        </is>
      </c>
      <c r="G1585" t="inlineStr">
        <is>
          <t>1</t>
        </is>
      </c>
      <c r="H1585" t="inlineStr">
        <is>
          <t>No</t>
        </is>
      </c>
      <c r="I1585" t="inlineStr">
        <is>
          <t>No</t>
        </is>
      </c>
      <c r="J1585" t="inlineStr">
        <is>
          <t>0</t>
        </is>
      </c>
      <c r="K1585" t="inlineStr">
        <is>
          <t>Wenk, Klaus.</t>
        </is>
      </c>
      <c r="L1585" t="inlineStr">
        <is>
          <t>Tucson, Published for the Association for Asian Studies by the University of Arizona Press [1968]</t>
        </is>
      </c>
      <c r="M1585" t="inlineStr">
        <is>
          <t>1968</t>
        </is>
      </c>
      <c r="O1585" t="inlineStr">
        <is>
          <t>eng</t>
        </is>
      </c>
      <c r="P1585" t="inlineStr">
        <is>
          <t>azu</t>
        </is>
      </c>
      <c r="Q1585" t="inlineStr">
        <is>
          <t>Association for Asian Studies. Monographs and papers, no. 24</t>
        </is>
      </c>
      <c r="R1585" t="inlineStr">
        <is>
          <t xml:space="preserve">DS </t>
        </is>
      </c>
      <c r="S1585" t="n">
        <v>1</v>
      </c>
      <c r="T1585" t="n">
        <v>1</v>
      </c>
      <c r="U1585" t="inlineStr">
        <is>
          <t>2005-01-17</t>
        </is>
      </c>
      <c r="V1585" t="inlineStr">
        <is>
          <t>2005-01-17</t>
        </is>
      </c>
      <c r="W1585" t="inlineStr">
        <is>
          <t>1997-03-11</t>
        </is>
      </c>
      <c r="X1585" t="inlineStr">
        <is>
          <t>1997-03-11</t>
        </is>
      </c>
      <c r="Y1585" t="n">
        <v>336</v>
      </c>
      <c r="Z1585" t="n">
        <v>267</v>
      </c>
      <c r="AA1585" t="n">
        <v>271</v>
      </c>
      <c r="AB1585" t="n">
        <v>3</v>
      </c>
      <c r="AC1585" t="n">
        <v>3</v>
      </c>
      <c r="AD1585" t="n">
        <v>13</v>
      </c>
      <c r="AE1585" t="n">
        <v>13</v>
      </c>
      <c r="AF1585" t="n">
        <v>3</v>
      </c>
      <c r="AG1585" t="n">
        <v>3</v>
      </c>
      <c r="AH1585" t="n">
        <v>4</v>
      </c>
      <c r="AI1585" t="n">
        <v>4</v>
      </c>
      <c r="AJ1585" t="n">
        <v>7</v>
      </c>
      <c r="AK1585" t="n">
        <v>7</v>
      </c>
      <c r="AL1585" t="n">
        <v>2</v>
      </c>
      <c r="AM1585" t="n">
        <v>2</v>
      </c>
      <c r="AN1585" t="n">
        <v>0</v>
      </c>
      <c r="AO1585" t="n">
        <v>0</v>
      </c>
      <c r="AP1585" t="inlineStr">
        <is>
          <t>No</t>
        </is>
      </c>
      <c r="AQ1585" t="inlineStr">
        <is>
          <t>Yes</t>
        </is>
      </c>
      <c r="AR1585">
        <f>HYPERLINK("http://catalog.hathitrust.org/Record/001255856","HathiTrust Record")</f>
        <v/>
      </c>
      <c r="AS1585">
        <f>HYPERLINK("https://creighton-primo.hosted.exlibrisgroup.com/primo-explore/search?tab=default_tab&amp;search_scope=EVERYTHING&amp;vid=01CRU&amp;lang=en_US&amp;offset=0&amp;query=any,contains,991000915219702656","Catalog Record")</f>
        <v/>
      </c>
      <c r="AT1585">
        <f>HYPERLINK("http://www.worldcat.org/oclc/160452","WorldCat Record")</f>
        <v/>
      </c>
      <c r="AU1585" t="inlineStr">
        <is>
          <t>1264893:eng</t>
        </is>
      </c>
      <c r="AV1585" t="inlineStr">
        <is>
          <t>160452</t>
        </is>
      </c>
      <c r="AW1585" t="inlineStr">
        <is>
          <t>991000915219702656</t>
        </is>
      </c>
      <c r="AX1585" t="inlineStr">
        <is>
          <t>991000915219702656</t>
        </is>
      </c>
      <c r="AY1585" t="inlineStr">
        <is>
          <t>2267207530002656</t>
        </is>
      </c>
      <c r="AZ1585" t="inlineStr">
        <is>
          <t>BOOK</t>
        </is>
      </c>
      <c r="BC1585" t="inlineStr">
        <is>
          <t>32285002445046</t>
        </is>
      </c>
      <c r="BD1585" t="inlineStr">
        <is>
          <t>893509222</t>
        </is>
      </c>
    </row>
    <row r="1586">
      <c r="A1586" t="inlineStr">
        <is>
          <t>No</t>
        </is>
      </c>
      <c r="B1586" t="inlineStr">
        <is>
          <t>DS578 .N8</t>
        </is>
      </c>
      <c r="C1586" t="inlineStr">
        <is>
          <t>0                      DS 0578000N  8</t>
        </is>
      </c>
      <c r="D1586" t="inlineStr">
        <is>
          <t>Thailand and the struggle for Southeast Asia, by Donald E. Nuechterlein.</t>
        </is>
      </c>
      <c r="F1586" t="inlineStr">
        <is>
          <t>No</t>
        </is>
      </c>
      <c r="G1586" t="inlineStr">
        <is>
          <t>1</t>
        </is>
      </c>
      <c r="H1586" t="inlineStr">
        <is>
          <t>No</t>
        </is>
      </c>
      <c r="I1586" t="inlineStr">
        <is>
          <t>No</t>
        </is>
      </c>
      <c r="J1586" t="inlineStr">
        <is>
          <t>0</t>
        </is>
      </c>
      <c r="K1586" t="inlineStr">
        <is>
          <t>Nuechterlein, Donald E., 1925-</t>
        </is>
      </c>
      <c r="L1586" t="inlineStr">
        <is>
          <t>Ithaca, N.Y., Cornell University Press [1965]</t>
        </is>
      </c>
      <c r="M1586" t="inlineStr">
        <is>
          <t>1965</t>
        </is>
      </c>
      <c r="O1586" t="inlineStr">
        <is>
          <t>eng</t>
        </is>
      </c>
      <c r="P1586" t="inlineStr">
        <is>
          <t>nyu</t>
        </is>
      </c>
      <c r="R1586" t="inlineStr">
        <is>
          <t xml:space="preserve">DS </t>
        </is>
      </c>
      <c r="S1586" t="n">
        <v>5</v>
      </c>
      <c r="T1586" t="n">
        <v>5</v>
      </c>
      <c r="U1586" t="inlineStr">
        <is>
          <t>2005-04-27</t>
        </is>
      </c>
      <c r="V1586" t="inlineStr">
        <is>
          <t>2005-04-27</t>
        </is>
      </c>
      <c r="W1586" t="inlineStr">
        <is>
          <t>1997-03-11</t>
        </is>
      </c>
      <c r="X1586" t="inlineStr">
        <is>
          <t>1997-03-11</t>
        </is>
      </c>
      <c r="Y1586" t="n">
        <v>822</v>
      </c>
      <c r="Z1586" t="n">
        <v>699</v>
      </c>
      <c r="AA1586" t="n">
        <v>708</v>
      </c>
      <c r="AB1586" t="n">
        <v>6</v>
      </c>
      <c r="AC1586" t="n">
        <v>6</v>
      </c>
      <c r="AD1586" t="n">
        <v>35</v>
      </c>
      <c r="AE1586" t="n">
        <v>35</v>
      </c>
      <c r="AF1586" t="n">
        <v>14</v>
      </c>
      <c r="AG1586" t="n">
        <v>14</v>
      </c>
      <c r="AH1586" t="n">
        <v>9</v>
      </c>
      <c r="AI1586" t="n">
        <v>9</v>
      </c>
      <c r="AJ1586" t="n">
        <v>19</v>
      </c>
      <c r="AK1586" t="n">
        <v>19</v>
      </c>
      <c r="AL1586" t="n">
        <v>5</v>
      </c>
      <c r="AM1586" t="n">
        <v>5</v>
      </c>
      <c r="AN1586" t="n">
        <v>0</v>
      </c>
      <c r="AO1586" t="n">
        <v>0</v>
      </c>
      <c r="AP1586" t="inlineStr">
        <is>
          <t>No</t>
        </is>
      </c>
      <c r="AQ1586" t="inlineStr">
        <is>
          <t>Yes</t>
        </is>
      </c>
      <c r="AR1586">
        <f>HYPERLINK("http://catalog.hathitrust.org/Record/001255859","HathiTrust Record")</f>
        <v/>
      </c>
      <c r="AS1586">
        <f>HYPERLINK("https://creighton-primo.hosted.exlibrisgroup.com/primo-explore/search?tab=default_tab&amp;search_scope=EVERYTHING&amp;vid=01CRU&amp;lang=en_US&amp;offset=0&amp;query=any,contains,991001098399702656","Catalog Record")</f>
        <v/>
      </c>
      <c r="AT1586">
        <f>HYPERLINK("http://www.worldcat.org/oclc/183415","WorldCat Record")</f>
        <v/>
      </c>
      <c r="AU1586" t="inlineStr">
        <is>
          <t>1328952:eng</t>
        </is>
      </c>
      <c r="AV1586" t="inlineStr">
        <is>
          <t>183415</t>
        </is>
      </c>
      <c r="AW1586" t="inlineStr">
        <is>
          <t>991001098399702656</t>
        </is>
      </c>
      <c r="AX1586" t="inlineStr">
        <is>
          <t>991001098399702656</t>
        </is>
      </c>
      <c r="AY1586" t="inlineStr">
        <is>
          <t>2267551970002656</t>
        </is>
      </c>
      <c r="AZ1586" t="inlineStr">
        <is>
          <t>BOOK</t>
        </is>
      </c>
      <c r="BC1586" t="inlineStr">
        <is>
          <t>32285002445053</t>
        </is>
      </c>
      <c r="BD1586" t="inlineStr">
        <is>
          <t>893496814</t>
        </is>
      </c>
    </row>
    <row r="1587">
      <c r="A1587" t="inlineStr">
        <is>
          <t>No</t>
        </is>
      </c>
      <c r="B1587" t="inlineStr">
        <is>
          <t>DS58 .N57 1991</t>
        </is>
      </c>
      <c r="C1587" t="inlineStr">
        <is>
          <t>0                      DS 0058000N  57          1991</t>
        </is>
      </c>
      <c r="D1587" t="inlineStr">
        <is>
          <t>Minorities in the Middle East : a history of struggle and self-expression / by Mordechai Nisan.</t>
        </is>
      </c>
      <c r="F1587" t="inlineStr">
        <is>
          <t>No</t>
        </is>
      </c>
      <c r="G1587" t="inlineStr">
        <is>
          <t>1</t>
        </is>
      </c>
      <c r="H1587" t="inlineStr">
        <is>
          <t>No</t>
        </is>
      </c>
      <c r="I1587" t="inlineStr">
        <is>
          <t>No</t>
        </is>
      </c>
      <c r="J1587" t="inlineStr">
        <is>
          <t>0</t>
        </is>
      </c>
      <c r="K1587" t="inlineStr">
        <is>
          <t>Nisan, Mordechai.</t>
        </is>
      </c>
      <c r="L1587" t="inlineStr">
        <is>
          <t>Jefferson, N.C. : McFarland, 1991.</t>
        </is>
      </c>
      <c r="M1587" t="inlineStr">
        <is>
          <t>1991</t>
        </is>
      </c>
      <c r="O1587" t="inlineStr">
        <is>
          <t>eng</t>
        </is>
      </c>
      <c r="P1587" t="inlineStr">
        <is>
          <t>ncu</t>
        </is>
      </c>
      <c r="R1587" t="inlineStr">
        <is>
          <t xml:space="preserve">DS </t>
        </is>
      </c>
      <c r="S1587" t="n">
        <v>9</v>
      </c>
      <c r="T1587" t="n">
        <v>9</v>
      </c>
      <c r="U1587" t="inlineStr">
        <is>
          <t>2009-11-02</t>
        </is>
      </c>
      <c r="V1587" t="inlineStr">
        <is>
          <t>2009-11-02</t>
        </is>
      </c>
      <c r="W1587" t="inlineStr">
        <is>
          <t>1991-12-02</t>
        </is>
      </c>
      <c r="X1587" t="inlineStr">
        <is>
          <t>1991-12-02</t>
        </is>
      </c>
      <c r="Y1587" t="n">
        <v>413</v>
      </c>
      <c r="Z1587" t="n">
        <v>339</v>
      </c>
      <c r="AA1587" t="n">
        <v>486</v>
      </c>
      <c r="AB1587" t="n">
        <v>4</v>
      </c>
      <c r="AC1587" t="n">
        <v>4</v>
      </c>
      <c r="AD1587" t="n">
        <v>15</v>
      </c>
      <c r="AE1587" t="n">
        <v>26</v>
      </c>
      <c r="AF1587" t="n">
        <v>3</v>
      </c>
      <c r="AG1587" t="n">
        <v>9</v>
      </c>
      <c r="AH1587" t="n">
        <v>5</v>
      </c>
      <c r="AI1587" t="n">
        <v>8</v>
      </c>
      <c r="AJ1587" t="n">
        <v>8</v>
      </c>
      <c r="AK1587" t="n">
        <v>13</v>
      </c>
      <c r="AL1587" t="n">
        <v>3</v>
      </c>
      <c r="AM1587" t="n">
        <v>3</v>
      </c>
      <c r="AN1587" t="n">
        <v>0</v>
      </c>
      <c r="AO1587" t="n">
        <v>0</v>
      </c>
      <c r="AP1587" t="inlineStr">
        <is>
          <t>No</t>
        </is>
      </c>
      <c r="AQ1587" t="inlineStr">
        <is>
          <t>Yes</t>
        </is>
      </c>
      <c r="AR1587">
        <f>HYPERLINK("http://catalog.hathitrust.org/Record/002477290","HathiTrust Record")</f>
        <v/>
      </c>
      <c r="AS1587">
        <f>HYPERLINK("https://creighton-primo.hosted.exlibrisgroup.com/primo-explore/search?tab=default_tab&amp;search_scope=EVERYTHING&amp;vid=01CRU&amp;lang=en_US&amp;offset=0&amp;query=any,contains,991001857039702656","Catalog Record")</f>
        <v/>
      </c>
      <c r="AT1587">
        <f>HYPERLINK("http://www.worldcat.org/oclc/23287820","WorldCat Record")</f>
        <v/>
      </c>
      <c r="AU1587" t="inlineStr">
        <is>
          <t>1050662:eng</t>
        </is>
      </c>
      <c r="AV1587" t="inlineStr">
        <is>
          <t>23287820</t>
        </is>
      </c>
      <c r="AW1587" t="inlineStr">
        <is>
          <t>991001857039702656</t>
        </is>
      </c>
      <c r="AX1587" t="inlineStr">
        <is>
          <t>991001857039702656</t>
        </is>
      </c>
      <c r="AY1587" t="inlineStr">
        <is>
          <t>2271966880002656</t>
        </is>
      </c>
      <c r="AZ1587" t="inlineStr">
        <is>
          <t>BOOK</t>
        </is>
      </c>
      <c r="BB1587" t="inlineStr">
        <is>
          <t>9780899505640</t>
        </is>
      </c>
      <c r="BC1587" t="inlineStr">
        <is>
          <t>32285000818350</t>
        </is>
      </c>
      <c r="BD1587" t="inlineStr">
        <is>
          <t>893510009</t>
        </is>
      </c>
    </row>
    <row r="1588">
      <c r="A1588" t="inlineStr">
        <is>
          <t>No</t>
        </is>
      </c>
      <c r="B1588" t="inlineStr">
        <is>
          <t>DS586 .L6</t>
        </is>
      </c>
      <c r="C1588" t="inlineStr">
        <is>
          <t>0                      DS 0586000L  6</t>
        </is>
      </c>
      <c r="D1588" t="inlineStr">
        <is>
          <t>Thailand : the war that is, the war that will be / [by] Louis E. Lomax.</t>
        </is>
      </c>
      <c r="F1588" t="inlineStr">
        <is>
          <t>No</t>
        </is>
      </c>
      <c r="G1588" t="inlineStr">
        <is>
          <t>1</t>
        </is>
      </c>
      <c r="H1588" t="inlineStr">
        <is>
          <t>No</t>
        </is>
      </c>
      <c r="I1588" t="inlineStr">
        <is>
          <t>No</t>
        </is>
      </c>
      <c r="J1588" t="inlineStr">
        <is>
          <t>0</t>
        </is>
      </c>
      <c r="K1588" t="inlineStr">
        <is>
          <t>Lomax, Louis E., 1922-1970.</t>
        </is>
      </c>
      <c r="L1588" t="inlineStr">
        <is>
          <t>New York : Random House, [1967]</t>
        </is>
      </c>
      <c r="M1588" t="inlineStr">
        <is>
          <t>1967</t>
        </is>
      </c>
      <c r="O1588" t="inlineStr">
        <is>
          <t>eng</t>
        </is>
      </c>
      <c r="P1588" t="inlineStr">
        <is>
          <t>nyu</t>
        </is>
      </c>
      <c r="R1588" t="inlineStr">
        <is>
          <t xml:space="preserve">DS </t>
        </is>
      </c>
      <c r="S1588" t="n">
        <v>3</v>
      </c>
      <c r="T1588" t="n">
        <v>3</v>
      </c>
      <c r="U1588" t="inlineStr">
        <is>
          <t>1996-04-08</t>
        </is>
      </c>
      <c r="V1588" t="inlineStr">
        <is>
          <t>1996-04-08</t>
        </is>
      </c>
      <c r="W1588" t="inlineStr">
        <is>
          <t>1992-10-13</t>
        </is>
      </c>
      <c r="X1588" t="inlineStr">
        <is>
          <t>1992-10-13</t>
        </is>
      </c>
      <c r="Y1588" t="n">
        <v>616</v>
      </c>
      <c r="Z1588" t="n">
        <v>561</v>
      </c>
      <c r="AA1588" t="n">
        <v>664</v>
      </c>
      <c r="AB1588" t="n">
        <v>4</v>
      </c>
      <c r="AC1588" t="n">
        <v>4</v>
      </c>
      <c r="AD1588" t="n">
        <v>14</v>
      </c>
      <c r="AE1588" t="n">
        <v>15</v>
      </c>
      <c r="AF1588" t="n">
        <v>5</v>
      </c>
      <c r="AG1588" t="n">
        <v>5</v>
      </c>
      <c r="AH1588" t="n">
        <v>4</v>
      </c>
      <c r="AI1588" t="n">
        <v>5</v>
      </c>
      <c r="AJ1588" t="n">
        <v>5</v>
      </c>
      <c r="AK1588" t="n">
        <v>5</v>
      </c>
      <c r="AL1588" t="n">
        <v>3</v>
      </c>
      <c r="AM1588" t="n">
        <v>3</v>
      </c>
      <c r="AN1588" t="n">
        <v>0</v>
      </c>
      <c r="AO1588" t="n">
        <v>0</v>
      </c>
      <c r="AP1588" t="inlineStr">
        <is>
          <t>No</t>
        </is>
      </c>
      <c r="AQ1588" t="inlineStr">
        <is>
          <t>Yes</t>
        </is>
      </c>
      <c r="AR1588">
        <f>HYPERLINK("http://catalog.hathitrust.org/Record/001255871","HathiTrust Record")</f>
        <v/>
      </c>
      <c r="AS1588">
        <f>HYPERLINK("https://creighton-primo.hosted.exlibrisgroup.com/primo-explore/search?tab=default_tab&amp;search_scope=EVERYTHING&amp;vid=01CRU&amp;lang=en_US&amp;offset=0&amp;query=any,contains,991003958559702656","Catalog Record")</f>
        <v/>
      </c>
      <c r="AT1588">
        <f>HYPERLINK("http://www.worldcat.org/oclc/1973717","WorldCat Record")</f>
        <v/>
      </c>
      <c r="AU1588" t="inlineStr">
        <is>
          <t>2719803:eng</t>
        </is>
      </c>
      <c r="AV1588" t="inlineStr">
        <is>
          <t>1973717</t>
        </is>
      </c>
      <c r="AW1588" t="inlineStr">
        <is>
          <t>991003958559702656</t>
        </is>
      </c>
      <c r="AX1588" t="inlineStr">
        <is>
          <t>991003958559702656</t>
        </is>
      </c>
      <c r="AY1588" t="inlineStr">
        <is>
          <t>2266034730002656</t>
        </is>
      </c>
      <c r="AZ1588" t="inlineStr">
        <is>
          <t>BOOK</t>
        </is>
      </c>
      <c r="BC1588" t="inlineStr">
        <is>
          <t>32285001346625</t>
        </is>
      </c>
      <c r="BD1588" t="inlineStr">
        <is>
          <t>893525472</t>
        </is>
      </c>
    </row>
    <row r="1589">
      <c r="A1589" t="inlineStr">
        <is>
          <t>No</t>
        </is>
      </c>
      <c r="B1589" t="inlineStr">
        <is>
          <t>DS59.K86 E58 1992</t>
        </is>
      </c>
      <c r="C1589" t="inlineStr">
        <is>
          <t>0                      DS 0059000K  86                 E  58          1992</t>
        </is>
      </c>
      <c r="D1589" t="inlineStr">
        <is>
          <t>Kurdish ethnonationalism / Nader Entessar.</t>
        </is>
      </c>
      <c r="F1589" t="inlineStr">
        <is>
          <t>No</t>
        </is>
      </c>
      <c r="G1589" t="inlineStr">
        <is>
          <t>1</t>
        </is>
      </c>
      <c r="H1589" t="inlineStr">
        <is>
          <t>No</t>
        </is>
      </c>
      <c r="I1589" t="inlineStr">
        <is>
          <t>No</t>
        </is>
      </c>
      <c r="J1589" t="inlineStr">
        <is>
          <t>0</t>
        </is>
      </c>
      <c r="K1589" t="inlineStr">
        <is>
          <t>Entessar, Nader.</t>
        </is>
      </c>
      <c r="L1589" t="inlineStr">
        <is>
          <t>Boulder : Lynn Rienner Publishers, 1992.</t>
        </is>
      </c>
      <c r="M1589" t="inlineStr">
        <is>
          <t>1992</t>
        </is>
      </c>
      <c r="O1589" t="inlineStr">
        <is>
          <t>eng</t>
        </is>
      </c>
      <c r="P1589" t="inlineStr">
        <is>
          <t>cou</t>
        </is>
      </c>
      <c r="R1589" t="inlineStr">
        <is>
          <t xml:space="preserve">DS </t>
        </is>
      </c>
      <c r="S1589" t="n">
        <v>15</v>
      </c>
      <c r="T1589" t="n">
        <v>15</v>
      </c>
      <c r="U1589" t="inlineStr">
        <is>
          <t>2009-10-13</t>
        </is>
      </c>
      <c r="V1589" t="inlineStr">
        <is>
          <t>2009-10-13</t>
        </is>
      </c>
      <c r="W1589" t="inlineStr">
        <is>
          <t>1992-10-19</t>
        </is>
      </c>
      <c r="X1589" t="inlineStr">
        <is>
          <t>1992-10-19</t>
        </is>
      </c>
      <c r="Y1589" t="n">
        <v>458</v>
      </c>
      <c r="Z1589" t="n">
        <v>367</v>
      </c>
      <c r="AA1589" t="n">
        <v>372</v>
      </c>
      <c r="AB1589" t="n">
        <v>6</v>
      </c>
      <c r="AC1589" t="n">
        <v>6</v>
      </c>
      <c r="AD1589" t="n">
        <v>23</v>
      </c>
      <c r="AE1589" t="n">
        <v>23</v>
      </c>
      <c r="AF1589" t="n">
        <v>7</v>
      </c>
      <c r="AG1589" t="n">
        <v>7</v>
      </c>
      <c r="AH1589" t="n">
        <v>5</v>
      </c>
      <c r="AI1589" t="n">
        <v>5</v>
      </c>
      <c r="AJ1589" t="n">
        <v>13</v>
      </c>
      <c r="AK1589" t="n">
        <v>13</v>
      </c>
      <c r="AL1589" t="n">
        <v>5</v>
      </c>
      <c r="AM1589" t="n">
        <v>5</v>
      </c>
      <c r="AN1589" t="n">
        <v>0</v>
      </c>
      <c r="AO1589" t="n">
        <v>0</v>
      </c>
      <c r="AP1589" t="inlineStr">
        <is>
          <t>No</t>
        </is>
      </c>
      <c r="AQ1589" t="inlineStr">
        <is>
          <t>No</t>
        </is>
      </c>
      <c r="AS1589">
        <f>HYPERLINK("https://creighton-primo.hosted.exlibrisgroup.com/primo-explore/search?tab=default_tab&amp;search_scope=EVERYTHING&amp;vid=01CRU&amp;lang=en_US&amp;offset=0&amp;query=any,contains,991001987769702656","Catalog Record")</f>
        <v/>
      </c>
      <c r="AT1589">
        <f>HYPERLINK("http://www.worldcat.org/oclc/25246709","WorldCat Record")</f>
        <v/>
      </c>
      <c r="AU1589" t="inlineStr">
        <is>
          <t>28404058:eng</t>
        </is>
      </c>
      <c r="AV1589" t="inlineStr">
        <is>
          <t>25246709</t>
        </is>
      </c>
      <c r="AW1589" t="inlineStr">
        <is>
          <t>991001987769702656</t>
        </is>
      </c>
      <c r="AX1589" t="inlineStr">
        <is>
          <t>991001987769702656</t>
        </is>
      </c>
      <c r="AY1589" t="inlineStr">
        <is>
          <t>2256212150002656</t>
        </is>
      </c>
      <c r="AZ1589" t="inlineStr">
        <is>
          <t>BOOK</t>
        </is>
      </c>
      <c r="BB1589" t="inlineStr">
        <is>
          <t>9781555872502</t>
        </is>
      </c>
      <c r="BC1589" t="inlineStr">
        <is>
          <t>32285001318491</t>
        </is>
      </c>
      <c r="BD1589" t="inlineStr">
        <is>
          <t>893346972</t>
        </is>
      </c>
    </row>
    <row r="1590">
      <c r="A1590" t="inlineStr">
        <is>
          <t>No</t>
        </is>
      </c>
      <c r="B1590" t="inlineStr">
        <is>
          <t>DS59.K86 H68 2001</t>
        </is>
      </c>
      <c r="C1590" t="inlineStr">
        <is>
          <t>0                      DS 0059000K  86                 H  68          2001</t>
        </is>
      </c>
      <c r="D1590" t="inlineStr">
        <is>
          <t>Islam, Kurds and the Turkish nation state / Christopher Houston.</t>
        </is>
      </c>
      <c r="F1590" t="inlineStr">
        <is>
          <t>No</t>
        </is>
      </c>
      <c r="G1590" t="inlineStr">
        <is>
          <t>1</t>
        </is>
      </c>
      <c r="H1590" t="inlineStr">
        <is>
          <t>No</t>
        </is>
      </c>
      <c r="I1590" t="inlineStr">
        <is>
          <t>No</t>
        </is>
      </c>
      <c r="J1590" t="inlineStr">
        <is>
          <t>0</t>
        </is>
      </c>
      <c r="K1590" t="inlineStr">
        <is>
          <t>Houston, Christopher.</t>
        </is>
      </c>
      <c r="L1590" t="inlineStr">
        <is>
          <t>Oxford ; New York : Berg, 2001.</t>
        </is>
      </c>
      <c r="M1590" t="inlineStr">
        <is>
          <t>2001</t>
        </is>
      </c>
      <c r="O1590" t="inlineStr">
        <is>
          <t>eng</t>
        </is>
      </c>
      <c r="P1590" t="inlineStr">
        <is>
          <t>enk</t>
        </is>
      </c>
      <c r="R1590" t="inlineStr">
        <is>
          <t xml:space="preserve">DS </t>
        </is>
      </c>
      <c r="S1590" t="n">
        <v>7</v>
      </c>
      <c r="T1590" t="n">
        <v>7</v>
      </c>
      <c r="U1590" t="inlineStr">
        <is>
          <t>2009-10-13</t>
        </is>
      </c>
      <c r="V1590" t="inlineStr">
        <is>
          <t>2009-10-13</t>
        </is>
      </c>
      <c r="W1590" t="inlineStr">
        <is>
          <t>2001-10-31</t>
        </is>
      </c>
      <c r="X1590" t="inlineStr">
        <is>
          <t>2001-10-31</t>
        </is>
      </c>
      <c r="Y1590" t="n">
        <v>563</v>
      </c>
      <c r="Z1590" t="n">
        <v>462</v>
      </c>
      <c r="AA1590" t="n">
        <v>975</v>
      </c>
      <c r="AB1590" t="n">
        <v>4</v>
      </c>
      <c r="AC1590" t="n">
        <v>30</v>
      </c>
      <c r="AD1590" t="n">
        <v>24</v>
      </c>
      <c r="AE1590" t="n">
        <v>43</v>
      </c>
      <c r="AF1590" t="n">
        <v>14</v>
      </c>
      <c r="AG1590" t="n">
        <v>18</v>
      </c>
      <c r="AH1590" t="n">
        <v>4</v>
      </c>
      <c r="AI1590" t="n">
        <v>5</v>
      </c>
      <c r="AJ1590" t="n">
        <v>9</v>
      </c>
      <c r="AK1590" t="n">
        <v>13</v>
      </c>
      <c r="AL1590" t="n">
        <v>3</v>
      </c>
      <c r="AM1590" t="n">
        <v>15</v>
      </c>
      <c r="AN1590" t="n">
        <v>0</v>
      </c>
      <c r="AO1590" t="n">
        <v>0</v>
      </c>
      <c r="AP1590" t="inlineStr">
        <is>
          <t>No</t>
        </is>
      </c>
      <c r="AQ1590" t="inlineStr">
        <is>
          <t>Yes</t>
        </is>
      </c>
      <c r="AR1590">
        <f>HYPERLINK("http://catalog.hathitrust.org/Record/004183243","HathiTrust Record")</f>
        <v/>
      </c>
      <c r="AS1590">
        <f>HYPERLINK("https://creighton-primo.hosted.exlibrisgroup.com/primo-explore/search?tab=default_tab&amp;search_scope=EVERYTHING&amp;vid=01CRU&amp;lang=en_US&amp;offset=0&amp;query=any,contains,991003647929702656","Catalog Record")</f>
        <v/>
      </c>
      <c r="AT1590">
        <f>HYPERLINK("http://www.worldcat.org/oclc/46504968","WorldCat Record")</f>
        <v/>
      </c>
      <c r="AU1590" t="inlineStr">
        <is>
          <t>9581103:eng</t>
        </is>
      </c>
      <c r="AV1590" t="inlineStr">
        <is>
          <t>46504968</t>
        </is>
      </c>
      <c r="AW1590" t="inlineStr">
        <is>
          <t>991003647929702656</t>
        </is>
      </c>
      <c r="AX1590" t="inlineStr">
        <is>
          <t>991003647929702656</t>
        </is>
      </c>
      <c r="AY1590" t="inlineStr">
        <is>
          <t>2266355520002656</t>
        </is>
      </c>
      <c r="AZ1590" t="inlineStr">
        <is>
          <t>BOOK</t>
        </is>
      </c>
      <c r="BB1590" t="inlineStr">
        <is>
          <t>9781859734728</t>
        </is>
      </c>
      <c r="BC1590" t="inlineStr">
        <is>
          <t>32285004417415</t>
        </is>
      </c>
      <c r="BD1590" t="inlineStr">
        <is>
          <t>893887705</t>
        </is>
      </c>
    </row>
    <row r="1591">
      <c r="A1591" t="inlineStr">
        <is>
          <t>No</t>
        </is>
      </c>
      <c r="B1591" t="inlineStr">
        <is>
          <t>DS59.K86 K865 2006</t>
        </is>
      </c>
      <c r="C1591" t="inlineStr">
        <is>
          <t>0                      DS 0059000K  86                 K  865         2006</t>
        </is>
      </c>
      <c r="D1591" t="inlineStr">
        <is>
          <t>The Kurds : nationalism and politics / edited by Faleh A. Jabar and Hosham Dawod.</t>
        </is>
      </c>
      <c r="F1591" t="inlineStr">
        <is>
          <t>No</t>
        </is>
      </c>
      <c r="G1591" t="inlineStr">
        <is>
          <t>1</t>
        </is>
      </c>
      <c r="H1591" t="inlineStr">
        <is>
          <t>No</t>
        </is>
      </c>
      <c r="I1591" t="inlineStr">
        <is>
          <t>No</t>
        </is>
      </c>
      <c r="J1591" t="inlineStr">
        <is>
          <t>0</t>
        </is>
      </c>
      <c r="L1591" t="inlineStr">
        <is>
          <t>London : Saqi, c2006.</t>
        </is>
      </c>
      <c r="M1591" t="inlineStr">
        <is>
          <t>2006</t>
        </is>
      </c>
      <c r="O1591" t="inlineStr">
        <is>
          <t>eng</t>
        </is>
      </c>
      <c r="P1591" t="inlineStr">
        <is>
          <t>enk</t>
        </is>
      </c>
      <c r="R1591" t="inlineStr">
        <is>
          <t xml:space="preserve">DS </t>
        </is>
      </c>
      <c r="S1591" t="n">
        <v>5</v>
      </c>
      <c r="T1591" t="n">
        <v>5</v>
      </c>
      <c r="U1591" t="inlineStr">
        <is>
          <t>2009-10-13</t>
        </is>
      </c>
      <c r="V1591" t="inlineStr">
        <is>
          <t>2009-10-13</t>
        </is>
      </c>
      <c r="W1591" t="inlineStr">
        <is>
          <t>2007-10-11</t>
        </is>
      </c>
      <c r="X1591" t="inlineStr">
        <is>
          <t>2007-10-11</t>
        </is>
      </c>
      <c r="Y1591" t="n">
        <v>423</v>
      </c>
      <c r="Z1591" t="n">
        <v>341</v>
      </c>
      <c r="AA1591" t="n">
        <v>342</v>
      </c>
      <c r="AB1591" t="n">
        <v>2</v>
      </c>
      <c r="AC1591" t="n">
        <v>2</v>
      </c>
      <c r="AD1591" t="n">
        <v>20</v>
      </c>
      <c r="AE1591" t="n">
        <v>20</v>
      </c>
      <c r="AF1591" t="n">
        <v>10</v>
      </c>
      <c r="AG1591" t="n">
        <v>10</v>
      </c>
      <c r="AH1591" t="n">
        <v>6</v>
      </c>
      <c r="AI1591" t="n">
        <v>6</v>
      </c>
      <c r="AJ1591" t="n">
        <v>9</v>
      </c>
      <c r="AK1591" t="n">
        <v>9</v>
      </c>
      <c r="AL1591" t="n">
        <v>1</v>
      </c>
      <c r="AM1591" t="n">
        <v>1</v>
      </c>
      <c r="AN1591" t="n">
        <v>0</v>
      </c>
      <c r="AO1591" t="n">
        <v>0</v>
      </c>
      <c r="AP1591" t="inlineStr">
        <is>
          <t>No</t>
        </is>
      </c>
      <c r="AQ1591" t="inlineStr">
        <is>
          <t>Yes</t>
        </is>
      </c>
      <c r="AR1591">
        <f>HYPERLINK("http://catalog.hathitrust.org/Record/005553962","HathiTrust Record")</f>
        <v/>
      </c>
      <c r="AS1591">
        <f>HYPERLINK("https://creighton-primo.hosted.exlibrisgroup.com/primo-explore/search?tab=default_tab&amp;search_scope=EVERYTHING&amp;vid=01CRU&amp;lang=en_US&amp;offset=0&amp;query=any,contains,991005115549702656","Catalog Record")</f>
        <v/>
      </c>
      <c r="AT1591">
        <f>HYPERLINK("http://www.worldcat.org/oclc/67374962","WorldCat Record")</f>
        <v/>
      </c>
      <c r="AU1591" t="inlineStr">
        <is>
          <t>891514615:eng</t>
        </is>
      </c>
      <c r="AV1591" t="inlineStr">
        <is>
          <t>67374962</t>
        </is>
      </c>
      <c r="AW1591" t="inlineStr">
        <is>
          <t>991005115549702656</t>
        </is>
      </c>
      <c r="AX1591" t="inlineStr">
        <is>
          <t>991005115549702656</t>
        </is>
      </c>
      <c r="AY1591" t="inlineStr">
        <is>
          <t>2269906390002656</t>
        </is>
      </c>
      <c r="AZ1591" t="inlineStr">
        <is>
          <t>BOOK</t>
        </is>
      </c>
      <c r="BB1591" t="inlineStr">
        <is>
          <t>9780863568251</t>
        </is>
      </c>
      <c r="BC1591" t="inlineStr">
        <is>
          <t>32285005329601</t>
        </is>
      </c>
      <c r="BD1591" t="inlineStr">
        <is>
          <t>893688612</t>
        </is>
      </c>
    </row>
    <row r="1592">
      <c r="A1592" t="inlineStr">
        <is>
          <t>No</t>
        </is>
      </c>
      <c r="B1592" t="inlineStr">
        <is>
          <t>DS59.K86 N38 2005</t>
        </is>
      </c>
      <c r="C1592" t="inlineStr">
        <is>
          <t>0                      DS 0059000K  86                 N  38          2005</t>
        </is>
      </c>
      <c r="D1592" t="inlineStr">
        <is>
          <t>The Kurds and the state : evolving national identity in Iraq, Turkey, and Iran / Denise Natali.</t>
        </is>
      </c>
      <c r="F1592" t="inlineStr">
        <is>
          <t>No</t>
        </is>
      </c>
      <c r="G1592" t="inlineStr">
        <is>
          <t>1</t>
        </is>
      </c>
      <c r="H1592" t="inlineStr">
        <is>
          <t>No</t>
        </is>
      </c>
      <c r="I1592" t="inlineStr">
        <is>
          <t>No</t>
        </is>
      </c>
      <c r="J1592" t="inlineStr">
        <is>
          <t>0</t>
        </is>
      </c>
      <c r="K1592" t="inlineStr">
        <is>
          <t>Natali, Denise.</t>
        </is>
      </c>
      <c r="L1592" t="inlineStr">
        <is>
          <t>Syracuse, N.Y. : Syracuse University Press, 2005.</t>
        </is>
      </c>
      <c r="M1592" t="inlineStr">
        <is>
          <t>2005</t>
        </is>
      </c>
      <c r="N1592" t="inlineStr">
        <is>
          <t>1st ed.</t>
        </is>
      </c>
      <c r="O1592" t="inlineStr">
        <is>
          <t>eng</t>
        </is>
      </c>
      <c r="P1592" t="inlineStr">
        <is>
          <t>nyu</t>
        </is>
      </c>
      <c r="Q1592" t="inlineStr">
        <is>
          <t>Modern intellectual and political history of the Middle East</t>
        </is>
      </c>
      <c r="R1592" t="inlineStr">
        <is>
          <t xml:space="preserve">DS </t>
        </is>
      </c>
      <c r="S1592" t="n">
        <v>5</v>
      </c>
      <c r="T1592" t="n">
        <v>5</v>
      </c>
      <c r="U1592" t="inlineStr">
        <is>
          <t>2009-10-13</t>
        </is>
      </c>
      <c r="V1592" t="inlineStr">
        <is>
          <t>2009-10-13</t>
        </is>
      </c>
      <c r="W1592" t="inlineStr">
        <is>
          <t>2006-05-15</t>
        </is>
      </c>
      <c r="X1592" t="inlineStr">
        <is>
          <t>2006-05-15</t>
        </is>
      </c>
      <c r="Y1592" t="n">
        <v>676</v>
      </c>
      <c r="Z1592" t="n">
        <v>569</v>
      </c>
      <c r="AA1592" t="n">
        <v>571</v>
      </c>
      <c r="AB1592" t="n">
        <v>6</v>
      </c>
      <c r="AC1592" t="n">
        <v>6</v>
      </c>
      <c r="AD1592" t="n">
        <v>32</v>
      </c>
      <c r="AE1592" t="n">
        <v>32</v>
      </c>
      <c r="AF1592" t="n">
        <v>15</v>
      </c>
      <c r="AG1592" t="n">
        <v>15</v>
      </c>
      <c r="AH1592" t="n">
        <v>8</v>
      </c>
      <c r="AI1592" t="n">
        <v>8</v>
      </c>
      <c r="AJ1592" t="n">
        <v>11</v>
      </c>
      <c r="AK1592" t="n">
        <v>11</v>
      </c>
      <c r="AL1592" t="n">
        <v>5</v>
      </c>
      <c r="AM1592" t="n">
        <v>5</v>
      </c>
      <c r="AN1592" t="n">
        <v>0</v>
      </c>
      <c r="AO1592" t="n">
        <v>0</v>
      </c>
      <c r="AP1592" t="inlineStr">
        <is>
          <t>No</t>
        </is>
      </c>
      <c r="AQ1592" t="inlineStr">
        <is>
          <t>Yes</t>
        </is>
      </c>
      <c r="AR1592">
        <f>HYPERLINK("http://catalog.hathitrust.org/Record/005097493","HathiTrust Record")</f>
        <v/>
      </c>
      <c r="AS1592">
        <f>HYPERLINK("https://creighton-primo.hosted.exlibrisgroup.com/primo-explore/search?tab=default_tab&amp;search_scope=EVERYTHING&amp;vid=01CRU&amp;lang=en_US&amp;offset=0&amp;query=any,contains,991004802889702656","Catalog Record")</f>
        <v/>
      </c>
      <c r="AT1592">
        <f>HYPERLINK("http://www.worldcat.org/oclc/60856153","WorldCat Record")</f>
        <v/>
      </c>
      <c r="AU1592" t="inlineStr">
        <is>
          <t>31043:eng</t>
        </is>
      </c>
      <c r="AV1592" t="inlineStr">
        <is>
          <t>60856153</t>
        </is>
      </c>
      <c r="AW1592" t="inlineStr">
        <is>
          <t>991004802889702656</t>
        </is>
      </c>
      <c r="AX1592" t="inlineStr">
        <is>
          <t>991004802889702656</t>
        </is>
      </c>
      <c r="AY1592" t="inlineStr">
        <is>
          <t>2269487200002656</t>
        </is>
      </c>
      <c r="AZ1592" t="inlineStr">
        <is>
          <t>BOOK</t>
        </is>
      </c>
      <c r="BB1592" t="inlineStr">
        <is>
          <t>9780815630845</t>
        </is>
      </c>
      <c r="BC1592" t="inlineStr">
        <is>
          <t>32285005187298</t>
        </is>
      </c>
      <c r="BD1592" t="inlineStr">
        <is>
          <t>893254114</t>
        </is>
      </c>
    </row>
    <row r="1593">
      <c r="A1593" t="inlineStr">
        <is>
          <t>No</t>
        </is>
      </c>
      <c r="B1593" t="inlineStr">
        <is>
          <t>DS59.K86 O47 2005</t>
        </is>
      </c>
      <c r="C1593" t="inlineStr">
        <is>
          <t>0                      DS 0059000K  86                 O  47          2005</t>
        </is>
      </c>
      <c r="D1593" t="inlineStr">
        <is>
          <t>The goat and the butcher : nationalism and state formation in Kurdistan-Iraq since the Iraqi war / Robert Olson.</t>
        </is>
      </c>
      <c r="F1593" t="inlineStr">
        <is>
          <t>No</t>
        </is>
      </c>
      <c r="G1593" t="inlineStr">
        <is>
          <t>1</t>
        </is>
      </c>
      <c r="H1593" t="inlineStr">
        <is>
          <t>No</t>
        </is>
      </c>
      <c r="I1593" t="inlineStr">
        <is>
          <t>No</t>
        </is>
      </c>
      <c r="J1593" t="inlineStr">
        <is>
          <t>0</t>
        </is>
      </c>
      <c r="K1593" t="inlineStr">
        <is>
          <t>Olson, Robert W.</t>
        </is>
      </c>
      <c r="L1593" t="inlineStr">
        <is>
          <t>Costa Mesa, Calif. : Mazda Publishers, 2005.</t>
        </is>
      </c>
      <c r="M1593" t="inlineStr">
        <is>
          <t>2005</t>
        </is>
      </c>
      <c r="O1593" t="inlineStr">
        <is>
          <t>eng</t>
        </is>
      </c>
      <c r="P1593" t="inlineStr">
        <is>
          <t>cau</t>
        </is>
      </c>
      <c r="Q1593" t="inlineStr">
        <is>
          <t>Kurdish studies series ; no. 6</t>
        </is>
      </c>
      <c r="R1593" t="inlineStr">
        <is>
          <t xml:space="preserve">DS </t>
        </is>
      </c>
      <c r="S1593" t="n">
        <v>4</v>
      </c>
      <c r="T1593" t="n">
        <v>4</v>
      </c>
      <c r="U1593" t="inlineStr">
        <is>
          <t>2009-10-13</t>
        </is>
      </c>
      <c r="V1593" t="inlineStr">
        <is>
          <t>2009-10-13</t>
        </is>
      </c>
      <c r="W1593" t="inlineStr">
        <is>
          <t>2008-01-07</t>
        </is>
      </c>
      <c r="X1593" t="inlineStr">
        <is>
          <t>2008-01-07</t>
        </is>
      </c>
      <c r="Y1593" t="n">
        <v>278</v>
      </c>
      <c r="Z1593" t="n">
        <v>227</v>
      </c>
      <c r="AA1593" t="n">
        <v>228</v>
      </c>
      <c r="AB1593" t="n">
        <v>2</v>
      </c>
      <c r="AC1593" t="n">
        <v>2</v>
      </c>
      <c r="AD1593" t="n">
        <v>12</v>
      </c>
      <c r="AE1593" t="n">
        <v>12</v>
      </c>
      <c r="AF1593" t="n">
        <v>6</v>
      </c>
      <c r="AG1593" t="n">
        <v>6</v>
      </c>
      <c r="AH1593" t="n">
        <v>3</v>
      </c>
      <c r="AI1593" t="n">
        <v>3</v>
      </c>
      <c r="AJ1593" t="n">
        <v>5</v>
      </c>
      <c r="AK1593" t="n">
        <v>5</v>
      </c>
      <c r="AL1593" t="n">
        <v>1</v>
      </c>
      <c r="AM1593" t="n">
        <v>1</v>
      </c>
      <c r="AN1593" t="n">
        <v>0</v>
      </c>
      <c r="AO1593" t="n">
        <v>0</v>
      </c>
      <c r="AP1593" t="inlineStr">
        <is>
          <t>No</t>
        </is>
      </c>
      <c r="AQ1593" t="inlineStr">
        <is>
          <t>Yes</t>
        </is>
      </c>
      <c r="AR1593">
        <f>HYPERLINK("http://catalog.hathitrust.org/Record/005137540","HathiTrust Record")</f>
        <v/>
      </c>
      <c r="AS1593">
        <f>HYPERLINK("https://creighton-primo.hosted.exlibrisgroup.com/primo-explore/search?tab=default_tab&amp;search_scope=EVERYTHING&amp;vid=01CRU&amp;lang=en_US&amp;offset=0&amp;query=any,contains,991005155319702656","Catalog Record")</f>
        <v/>
      </c>
      <c r="AT1593">
        <f>HYPERLINK("http://www.worldcat.org/oclc/60589236","WorldCat Record")</f>
        <v/>
      </c>
      <c r="AU1593" t="inlineStr">
        <is>
          <t>2547:eng</t>
        </is>
      </c>
      <c r="AV1593" t="inlineStr">
        <is>
          <t>60589236</t>
        </is>
      </c>
      <c r="AW1593" t="inlineStr">
        <is>
          <t>991005155319702656</t>
        </is>
      </c>
      <c r="AX1593" t="inlineStr">
        <is>
          <t>991005155319702656</t>
        </is>
      </c>
      <c r="AY1593" t="inlineStr">
        <is>
          <t>2262595770002656</t>
        </is>
      </c>
      <c r="AZ1593" t="inlineStr">
        <is>
          <t>BOOK</t>
        </is>
      </c>
      <c r="BB1593" t="inlineStr">
        <is>
          <t>9781568591865</t>
        </is>
      </c>
      <c r="BC1593" t="inlineStr">
        <is>
          <t>32285005374474</t>
        </is>
      </c>
      <c r="BD1593" t="inlineStr">
        <is>
          <t>893514135</t>
        </is>
      </c>
    </row>
    <row r="1594">
      <c r="A1594" t="inlineStr">
        <is>
          <t>No</t>
        </is>
      </c>
      <c r="B1594" t="inlineStr">
        <is>
          <t>DS591.5 .W47 1993</t>
        </is>
      </c>
      <c r="C1594" t="inlineStr">
        <is>
          <t>0                      DS 0591500W  47          1993</t>
        </is>
      </c>
      <c r="D1594" t="inlineStr">
        <is>
          <t>West Malaysia and Singapore / edited by Wendy Moore.</t>
        </is>
      </c>
      <c r="F1594" t="inlineStr">
        <is>
          <t>No</t>
        </is>
      </c>
      <c r="G1594" t="inlineStr">
        <is>
          <t>1</t>
        </is>
      </c>
      <c r="H1594" t="inlineStr">
        <is>
          <t>No</t>
        </is>
      </c>
      <c r="I1594" t="inlineStr">
        <is>
          <t>No</t>
        </is>
      </c>
      <c r="J1594" t="inlineStr">
        <is>
          <t>0</t>
        </is>
      </c>
      <c r="L1594" t="inlineStr">
        <is>
          <t>Lincolnwood, Ill. : Passport Books, c1993.</t>
        </is>
      </c>
      <c r="M1594" t="inlineStr">
        <is>
          <t>1993</t>
        </is>
      </c>
      <c r="O1594" t="inlineStr">
        <is>
          <t>eng</t>
        </is>
      </c>
      <c r="P1594" t="inlineStr">
        <is>
          <t>ilu</t>
        </is>
      </c>
      <c r="Q1594" t="inlineStr">
        <is>
          <t>Passport's regional guides of Malaysia</t>
        </is>
      </c>
      <c r="R1594" t="inlineStr">
        <is>
          <t xml:space="preserve">DS </t>
        </is>
      </c>
      <c r="S1594" t="n">
        <v>5</v>
      </c>
      <c r="T1594" t="n">
        <v>5</v>
      </c>
      <c r="U1594" t="inlineStr">
        <is>
          <t>1996-03-13</t>
        </is>
      </c>
      <c r="V1594" t="inlineStr">
        <is>
          <t>1996-03-13</t>
        </is>
      </c>
      <c r="W1594" t="inlineStr">
        <is>
          <t>1993-10-26</t>
        </is>
      </c>
      <c r="X1594" t="inlineStr">
        <is>
          <t>1993-10-26</t>
        </is>
      </c>
      <c r="Y1594" t="n">
        <v>26</v>
      </c>
      <c r="Z1594" t="n">
        <v>22</v>
      </c>
      <c r="AA1594" t="n">
        <v>28</v>
      </c>
      <c r="AB1594" t="n">
        <v>1</v>
      </c>
      <c r="AC1594" t="n">
        <v>1</v>
      </c>
      <c r="AD1594" t="n">
        <v>0</v>
      </c>
      <c r="AE1594" t="n">
        <v>0</v>
      </c>
      <c r="AF1594" t="n">
        <v>0</v>
      </c>
      <c r="AG1594" t="n">
        <v>0</v>
      </c>
      <c r="AH1594" t="n">
        <v>0</v>
      </c>
      <c r="AI1594" t="n">
        <v>0</v>
      </c>
      <c r="AJ1594" t="n">
        <v>0</v>
      </c>
      <c r="AK1594" t="n">
        <v>0</v>
      </c>
      <c r="AL1594" t="n">
        <v>0</v>
      </c>
      <c r="AM1594" t="n">
        <v>0</v>
      </c>
      <c r="AN1594" t="n">
        <v>0</v>
      </c>
      <c r="AO1594" t="n">
        <v>0</v>
      </c>
      <c r="AP1594" t="inlineStr">
        <is>
          <t>No</t>
        </is>
      </c>
      <c r="AQ1594" t="inlineStr">
        <is>
          <t>Yes</t>
        </is>
      </c>
      <c r="AR1594">
        <f>HYPERLINK("http://catalog.hathitrust.org/Record/007048876","HathiTrust Record")</f>
        <v/>
      </c>
      <c r="AS1594">
        <f>HYPERLINK("https://creighton-primo.hosted.exlibrisgroup.com/primo-explore/search?tab=default_tab&amp;search_scope=EVERYTHING&amp;vid=01CRU&amp;lang=en_US&amp;offset=0&amp;query=any,contains,991002221119702656","Catalog Record")</f>
        <v/>
      </c>
      <c r="AT1594">
        <f>HYPERLINK("http://www.worldcat.org/oclc/28601231","WorldCat Record")</f>
        <v/>
      </c>
      <c r="AU1594" t="inlineStr">
        <is>
          <t>55730963:eng</t>
        </is>
      </c>
      <c r="AV1594" t="inlineStr">
        <is>
          <t>28601231</t>
        </is>
      </c>
      <c r="AW1594" t="inlineStr">
        <is>
          <t>991002221119702656</t>
        </is>
      </c>
      <c r="AX1594" t="inlineStr">
        <is>
          <t>991002221119702656</t>
        </is>
      </c>
      <c r="AY1594" t="inlineStr">
        <is>
          <t>2266584190002656</t>
        </is>
      </c>
      <c r="AZ1594" t="inlineStr">
        <is>
          <t>BOOK</t>
        </is>
      </c>
      <c r="BB1594" t="inlineStr">
        <is>
          <t>9780844298917</t>
        </is>
      </c>
      <c r="BC1594" t="inlineStr">
        <is>
          <t>32285001788248</t>
        </is>
      </c>
      <c r="BD1594" t="inlineStr">
        <is>
          <t>893597166</t>
        </is>
      </c>
    </row>
    <row r="1595">
      <c r="A1595" t="inlineStr">
        <is>
          <t>No</t>
        </is>
      </c>
      <c r="B1595" t="inlineStr">
        <is>
          <t>DS592 .G6</t>
        </is>
      </c>
      <c r="C1595" t="inlineStr">
        <is>
          <t>0                      DS 0592000G  6</t>
        </is>
      </c>
      <c r="D1595" t="inlineStr">
        <is>
          <t>The United States and Malaysia [by] James W. Gould.</t>
        </is>
      </c>
      <c r="F1595" t="inlineStr">
        <is>
          <t>No</t>
        </is>
      </c>
      <c r="G1595" t="inlineStr">
        <is>
          <t>1</t>
        </is>
      </c>
      <c r="H1595" t="inlineStr">
        <is>
          <t>No</t>
        </is>
      </c>
      <c r="I1595" t="inlineStr">
        <is>
          <t>No</t>
        </is>
      </c>
      <c r="J1595" t="inlineStr">
        <is>
          <t>0</t>
        </is>
      </c>
      <c r="K1595" t="inlineStr">
        <is>
          <t>Gould, James Warren.</t>
        </is>
      </c>
      <c r="L1595" t="inlineStr">
        <is>
          <t>Cambridge, Mass., Harvard University Press, 1969.</t>
        </is>
      </c>
      <c r="M1595" t="inlineStr">
        <is>
          <t>1969</t>
        </is>
      </c>
      <c r="O1595" t="inlineStr">
        <is>
          <t>eng</t>
        </is>
      </c>
      <c r="P1595" t="inlineStr">
        <is>
          <t>mau</t>
        </is>
      </c>
      <c r="R1595" t="inlineStr">
        <is>
          <t xml:space="preserve">DS </t>
        </is>
      </c>
      <c r="S1595" t="n">
        <v>1</v>
      </c>
      <c r="T1595" t="n">
        <v>1</v>
      </c>
      <c r="U1595" t="inlineStr">
        <is>
          <t>2004-07-07</t>
        </is>
      </c>
      <c r="V1595" t="inlineStr">
        <is>
          <t>2004-07-07</t>
        </is>
      </c>
      <c r="W1595" t="inlineStr">
        <is>
          <t>1997-03-11</t>
        </is>
      </c>
      <c r="X1595" t="inlineStr">
        <is>
          <t>1997-03-11</t>
        </is>
      </c>
      <c r="Y1595" t="n">
        <v>771</v>
      </c>
      <c r="Z1595" t="n">
        <v>662</v>
      </c>
      <c r="AA1595" t="n">
        <v>671</v>
      </c>
      <c r="AB1595" t="n">
        <v>5</v>
      </c>
      <c r="AC1595" t="n">
        <v>5</v>
      </c>
      <c r="AD1595" t="n">
        <v>28</v>
      </c>
      <c r="AE1595" t="n">
        <v>28</v>
      </c>
      <c r="AF1595" t="n">
        <v>8</v>
      </c>
      <c r="AG1595" t="n">
        <v>8</v>
      </c>
      <c r="AH1595" t="n">
        <v>8</v>
      </c>
      <c r="AI1595" t="n">
        <v>8</v>
      </c>
      <c r="AJ1595" t="n">
        <v>13</v>
      </c>
      <c r="AK1595" t="n">
        <v>13</v>
      </c>
      <c r="AL1595" t="n">
        <v>4</v>
      </c>
      <c r="AM1595" t="n">
        <v>4</v>
      </c>
      <c r="AN1595" t="n">
        <v>1</v>
      </c>
      <c r="AO1595" t="n">
        <v>1</v>
      </c>
      <c r="AP1595" t="inlineStr">
        <is>
          <t>No</t>
        </is>
      </c>
      <c r="AQ1595" t="inlineStr">
        <is>
          <t>Yes</t>
        </is>
      </c>
      <c r="AR1595">
        <f>HYPERLINK("http://catalog.hathitrust.org/Record/001870451","HathiTrust Record")</f>
        <v/>
      </c>
      <c r="AS1595">
        <f>HYPERLINK("https://creighton-primo.hosted.exlibrisgroup.com/primo-explore/search?tab=default_tab&amp;search_scope=EVERYTHING&amp;vid=01CRU&amp;lang=en_US&amp;offset=0&amp;query=any,contains,991000101789702656","Catalog Record")</f>
        <v/>
      </c>
      <c r="AT1595">
        <f>HYPERLINK("http://www.worldcat.org/oclc/44871","WorldCat Record")</f>
        <v/>
      </c>
      <c r="AU1595" t="inlineStr">
        <is>
          <t>111745324:eng</t>
        </is>
      </c>
      <c r="AV1595" t="inlineStr">
        <is>
          <t>44871</t>
        </is>
      </c>
      <c r="AW1595" t="inlineStr">
        <is>
          <t>991000101789702656</t>
        </is>
      </c>
      <c r="AX1595" t="inlineStr">
        <is>
          <t>991000101789702656</t>
        </is>
      </c>
      <c r="AY1595" t="inlineStr">
        <is>
          <t>2261400250002656</t>
        </is>
      </c>
      <c r="AZ1595" t="inlineStr">
        <is>
          <t>BOOK</t>
        </is>
      </c>
      <c r="BB1595" t="inlineStr">
        <is>
          <t>9780674926158</t>
        </is>
      </c>
      <c r="BC1595" t="inlineStr">
        <is>
          <t>32285002445103</t>
        </is>
      </c>
      <c r="BD1595" t="inlineStr">
        <is>
          <t>893783966</t>
        </is>
      </c>
    </row>
    <row r="1596">
      <c r="A1596" t="inlineStr">
        <is>
          <t>No</t>
        </is>
      </c>
      <c r="B1596" t="inlineStr">
        <is>
          <t>DS592 .S65</t>
        </is>
      </c>
      <c r="C1596" t="inlineStr">
        <is>
          <t>0                      DS 0592000S  65</t>
        </is>
      </c>
      <c r="D1596" t="inlineStr">
        <is>
          <t>Malaysia / by T. E. Smith and John Bastin.</t>
        </is>
      </c>
      <c r="F1596" t="inlineStr">
        <is>
          <t>No</t>
        </is>
      </c>
      <c r="G1596" t="inlineStr">
        <is>
          <t>1</t>
        </is>
      </c>
      <c r="H1596" t="inlineStr">
        <is>
          <t>No</t>
        </is>
      </c>
      <c r="I1596" t="inlineStr">
        <is>
          <t>No</t>
        </is>
      </c>
      <c r="J1596" t="inlineStr">
        <is>
          <t>0</t>
        </is>
      </c>
      <c r="K1596" t="inlineStr">
        <is>
          <t>Smith, T. E. (Thomas Edward), 1916-</t>
        </is>
      </c>
      <c r="L1596" t="inlineStr">
        <is>
          <t>London : Oxford U.P., 1967.</t>
        </is>
      </c>
      <c r="M1596" t="inlineStr">
        <is>
          <t>1967</t>
        </is>
      </c>
      <c r="O1596" t="inlineStr">
        <is>
          <t>eng</t>
        </is>
      </c>
      <c r="P1596" t="inlineStr">
        <is>
          <t>enk</t>
        </is>
      </c>
      <c r="Q1596" t="inlineStr">
        <is>
          <t>The Modern world, 12</t>
        </is>
      </c>
      <c r="R1596" t="inlineStr">
        <is>
          <t xml:space="preserve">DS </t>
        </is>
      </c>
      <c r="S1596" t="n">
        <v>3</v>
      </c>
      <c r="T1596" t="n">
        <v>3</v>
      </c>
      <c r="U1596" t="inlineStr">
        <is>
          <t>1996-04-17</t>
        </is>
      </c>
      <c r="V1596" t="inlineStr">
        <is>
          <t>1996-04-17</t>
        </is>
      </c>
      <c r="W1596" t="inlineStr">
        <is>
          <t>1992-04-11</t>
        </is>
      </c>
      <c r="X1596" t="inlineStr">
        <is>
          <t>1992-04-11</t>
        </is>
      </c>
      <c r="Y1596" t="n">
        <v>253</v>
      </c>
      <c r="Z1596" t="n">
        <v>179</v>
      </c>
      <c r="AA1596" t="n">
        <v>181</v>
      </c>
      <c r="AB1596" t="n">
        <v>2</v>
      </c>
      <c r="AC1596" t="n">
        <v>2</v>
      </c>
      <c r="AD1596" t="n">
        <v>8</v>
      </c>
      <c r="AE1596" t="n">
        <v>8</v>
      </c>
      <c r="AF1596" t="n">
        <v>3</v>
      </c>
      <c r="AG1596" t="n">
        <v>3</v>
      </c>
      <c r="AH1596" t="n">
        <v>2</v>
      </c>
      <c r="AI1596" t="n">
        <v>2</v>
      </c>
      <c r="AJ1596" t="n">
        <v>3</v>
      </c>
      <c r="AK1596" t="n">
        <v>3</v>
      </c>
      <c r="AL1596" t="n">
        <v>1</v>
      </c>
      <c r="AM1596" t="n">
        <v>1</v>
      </c>
      <c r="AN1596" t="n">
        <v>0</v>
      </c>
      <c r="AO1596" t="n">
        <v>0</v>
      </c>
      <c r="AP1596" t="inlineStr">
        <is>
          <t>No</t>
        </is>
      </c>
      <c r="AQ1596" t="inlineStr">
        <is>
          <t>Yes</t>
        </is>
      </c>
      <c r="AR1596">
        <f>HYPERLINK("http://catalog.hathitrust.org/Record/001255899","HathiTrust Record")</f>
        <v/>
      </c>
      <c r="AS1596">
        <f>HYPERLINK("https://creighton-primo.hosted.exlibrisgroup.com/primo-explore/search?tab=default_tab&amp;search_scope=EVERYTHING&amp;vid=01CRU&amp;lang=en_US&amp;offset=0&amp;query=any,contains,991002815379702656","Catalog Record")</f>
        <v/>
      </c>
      <c r="AT1596">
        <f>HYPERLINK("http://www.worldcat.org/oclc/458349","WorldCat Record")</f>
        <v/>
      </c>
      <c r="AU1596" t="inlineStr">
        <is>
          <t>4161946867:eng</t>
        </is>
      </c>
      <c r="AV1596" t="inlineStr">
        <is>
          <t>458349</t>
        </is>
      </c>
      <c r="AW1596" t="inlineStr">
        <is>
          <t>991002815379702656</t>
        </is>
      </c>
      <c r="AX1596" t="inlineStr">
        <is>
          <t>991002815379702656</t>
        </is>
      </c>
      <c r="AY1596" t="inlineStr">
        <is>
          <t>2265958810002656</t>
        </is>
      </c>
      <c r="AZ1596" t="inlineStr">
        <is>
          <t>BOOK</t>
        </is>
      </c>
      <c r="BC1596" t="inlineStr">
        <is>
          <t>32285001057834</t>
        </is>
      </c>
      <c r="BD1596" t="inlineStr">
        <is>
          <t>893610337</t>
        </is>
      </c>
    </row>
    <row r="1597">
      <c r="A1597" t="inlineStr">
        <is>
          <t>No</t>
        </is>
      </c>
      <c r="B1597" t="inlineStr">
        <is>
          <t>DS592.6 .E28 1993</t>
        </is>
      </c>
      <c r="C1597" t="inlineStr">
        <is>
          <t>0                      DS 0592600E  28          1993</t>
        </is>
      </c>
      <c r="D1597" t="inlineStr">
        <is>
          <t>East Malaysia and Brunei / edited by Wendy Hutton.</t>
        </is>
      </c>
      <c r="F1597" t="inlineStr">
        <is>
          <t>No</t>
        </is>
      </c>
      <c r="G1597" t="inlineStr">
        <is>
          <t>1</t>
        </is>
      </c>
      <c r="H1597" t="inlineStr">
        <is>
          <t>No</t>
        </is>
      </c>
      <c r="I1597" t="inlineStr">
        <is>
          <t>No</t>
        </is>
      </c>
      <c r="J1597" t="inlineStr">
        <is>
          <t>0</t>
        </is>
      </c>
      <c r="L1597" t="inlineStr">
        <is>
          <t>Lincolnwood, IL : Passport Books, c1993.</t>
        </is>
      </c>
      <c r="M1597" t="inlineStr">
        <is>
          <t>1993</t>
        </is>
      </c>
      <c r="O1597" t="inlineStr">
        <is>
          <t>eng</t>
        </is>
      </c>
      <c r="P1597" t="inlineStr">
        <is>
          <t>ilu</t>
        </is>
      </c>
      <c r="R1597" t="inlineStr">
        <is>
          <t xml:space="preserve">DS </t>
        </is>
      </c>
      <c r="S1597" t="n">
        <v>6</v>
      </c>
      <c r="T1597" t="n">
        <v>6</v>
      </c>
      <c r="U1597" t="inlineStr">
        <is>
          <t>2007-03-12</t>
        </is>
      </c>
      <c r="V1597" t="inlineStr">
        <is>
          <t>2007-03-12</t>
        </is>
      </c>
      <c r="W1597" t="inlineStr">
        <is>
          <t>1993-07-30</t>
        </is>
      </c>
      <c r="X1597" t="inlineStr">
        <is>
          <t>1993-07-30</t>
        </is>
      </c>
      <c r="Y1597" t="n">
        <v>27</v>
      </c>
      <c r="Z1597" t="n">
        <v>23</v>
      </c>
      <c r="AA1597" t="n">
        <v>42</v>
      </c>
      <c r="AB1597" t="n">
        <v>1</v>
      </c>
      <c r="AC1597" t="n">
        <v>1</v>
      </c>
      <c r="AD1597" t="n">
        <v>0</v>
      </c>
      <c r="AE1597" t="n">
        <v>0</v>
      </c>
      <c r="AF1597" t="n">
        <v>0</v>
      </c>
      <c r="AG1597" t="n">
        <v>0</v>
      </c>
      <c r="AH1597" t="n">
        <v>0</v>
      </c>
      <c r="AI1597" t="n">
        <v>0</v>
      </c>
      <c r="AJ1597" t="n">
        <v>0</v>
      </c>
      <c r="AK1597" t="n">
        <v>0</v>
      </c>
      <c r="AL1597" t="n">
        <v>0</v>
      </c>
      <c r="AM1597" t="n">
        <v>0</v>
      </c>
      <c r="AN1597" t="n">
        <v>0</v>
      </c>
      <c r="AO1597" t="n">
        <v>0</v>
      </c>
      <c r="AP1597" t="inlineStr">
        <is>
          <t>No</t>
        </is>
      </c>
      <c r="AQ1597" t="inlineStr">
        <is>
          <t>No</t>
        </is>
      </c>
      <c r="AS1597">
        <f>HYPERLINK("https://creighton-primo.hosted.exlibrisgroup.com/primo-explore/search?tab=default_tab&amp;search_scope=EVERYTHING&amp;vid=01CRU&amp;lang=en_US&amp;offset=0&amp;query=any,contains,991002198959702656","Catalog Record")</f>
        <v/>
      </c>
      <c r="AT1597">
        <f>HYPERLINK("http://www.worldcat.org/oclc/28290678","WorldCat Record")</f>
        <v/>
      </c>
      <c r="AU1597" t="inlineStr">
        <is>
          <t>55717200:eng</t>
        </is>
      </c>
      <c r="AV1597" t="inlineStr">
        <is>
          <t>28290678</t>
        </is>
      </c>
      <c r="AW1597" t="inlineStr">
        <is>
          <t>991002198959702656</t>
        </is>
      </c>
      <c r="AX1597" t="inlineStr">
        <is>
          <t>991002198959702656</t>
        </is>
      </c>
      <c r="AY1597" t="inlineStr">
        <is>
          <t>2257864340002656</t>
        </is>
      </c>
      <c r="AZ1597" t="inlineStr">
        <is>
          <t>BOOK</t>
        </is>
      </c>
      <c r="BB1597" t="inlineStr">
        <is>
          <t>9780844298900</t>
        </is>
      </c>
      <c r="BC1597" t="inlineStr">
        <is>
          <t>32285001704203</t>
        </is>
      </c>
      <c r="BD1597" t="inlineStr">
        <is>
          <t>893873219</t>
        </is>
      </c>
    </row>
    <row r="1598">
      <c r="A1598" t="inlineStr">
        <is>
          <t>No</t>
        </is>
      </c>
      <c r="B1598" t="inlineStr">
        <is>
          <t>DS595 .B54</t>
        </is>
      </c>
      <c r="C1598" t="inlineStr">
        <is>
          <t>0                      DS 0595000B  54</t>
        </is>
      </c>
      <c r="D1598" t="inlineStr">
        <is>
          <t>The impact of Chinese secret societies in Malaya: a historical study.</t>
        </is>
      </c>
      <c r="F1598" t="inlineStr">
        <is>
          <t>No</t>
        </is>
      </c>
      <c r="G1598" t="inlineStr">
        <is>
          <t>1</t>
        </is>
      </c>
      <c r="H1598" t="inlineStr">
        <is>
          <t>No</t>
        </is>
      </c>
      <c r="I1598" t="inlineStr">
        <is>
          <t>No</t>
        </is>
      </c>
      <c r="J1598" t="inlineStr">
        <is>
          <t>0</t>
        </is>
      </c>
      <c r="K1598" t="inlineStr">
        <is>
          <t>Blythe, Wilfred.</t>
        </is>
      </c>
      <c r="L1598" t="inlineStr">
        <is>
          <t>London, Kuala Lumpur [etc.] Issued under the auspices of the Royal Institute of International Affairs [by] Oxford U.P., 1969.</t>
        </is>
      </c>
      <c r="M1598" t="inlineStr">
        <is>
          <t>1969</t>
        </is>
      </c>
      <c r="O1598" t="inlineStr">
        <is>
          <t>eng</t>
        </is>
      </c>
      <c r="P1598" t="inlineStr">
        <is>
          <t>enk</t>
        </is>
      </c>
      <c r="R1598" t="inlineStr">
        <is>
          <t xml:space="preserve">DS </t>
        </is>
      </c>
      <c r="S1598" t="n">
        <v>1</v>
      </c>
      <c r="T1598" t="n">
        <v>1</v>
      </c>
      <c r="U1598" t="inlineStr">
        <is>
          <t>1997-06-04</t>
        </is>
      </c>
      <c r="V1598" t="inlineStr">
        <is>
          <t>1997-06-04</t>
        </is>
      </c>
      <c r="W1598" t="inlineStr">
        <is>
          <t>1997-03-11</t>
        </is>
      </c>
      <c r="X1598" t="inlineStr">
        <is>
          <t>1997-03-11</t>
        </is>
      </c>
      <c r="Y1598" t="n">
        <v>457</v>
      </c>
      <c r="Z1598" t="n">
        <v>351</v>
      </c>
      <c r="AA1598" t="n">
        <v>359</v>
      </c>
      <c r="AB1598" t="n">
        <v>3</v>
      </c>
      <c r="AC1598" t="n">
        <v>3</v>
      </c>
      <c r="AD1598" t="n">
        <v>14</v>
      </c>
      <c r="AE1598" t="n">
        <v>14</v>
      </c>
      <c r="AF1598" t="n">
        <v>4</v>
      </c>
      <c r="AG1598" t="n">
        <v>4</v>
      </c>
      <c r="AH1598" t="n">
        <v>4</v>
      </c>
      <c r="AI1598" t="n">
        <v>4</v>
      </c>
      <c r="AJ1598" t="n">
        <v>7</v>
      </c>
      <c r="AK1598" t="n">
        <v>7</v>
      </c>
      <c r="AL1598" t="n">
        <v>2</v>
      </c>
      <c r="AM1598" t="n">
        <v>2</v>
      </c>
      <c r="AN1598" t="n">
        <v>0</v>
      </c>
      <c r="AO1598" t="n">
        <v>0</v>
      </c>
      <c r="AP1598" t="inlineStr">
        <is>
          <t>No</t>
        </is>
      </c>
      <c r="AQ1598" t="inlineStr">
        <is>
          <t>Yes</t>
        </is>
      </c>
      <c r="AR1598">
        <f>HYPERLINK("http://catalog.hathitrust.org/Record/001870470","HathiTrust Record")</f>
        <v/>
      </c>
      <c r="AS1598">
        <f>HYPERLINK("https://creighton-primo.hosted.exlibrisgroup.com/primo-explore/search?tab=default_tab&amp;search_scope=EVERYTHING&amp;vid=01CRU&amp;lang=en_US&amp;offset=0&amp;query=any,contains,991000011949702656","Catalog Record")</f>
        <v/>
      </c>
      <c r="AT1598">
        <f>HYPERLINK("http://www.worldcat.org/oclc/15128","WorldCat Record")</f>
        <v/>
      </c>
      <c r="AU1598" t="inlineStr">
        <is>
          <t>234734917:eng</t>
        </is>
      </c>
      <c r="AV1598" t="inlineStr">
        <is>
          <t>15128</t>
        </is>
      </c>
      <c r="AW1598" t="inlineStr">
        <is>
          <t>991000011949702656</t>
        </is>
      </c>
      <c r="AX1598" t="inlineStr">
        <is>
          <t>991000011949702656</t>
        </is>
      </c>
      <c r="AY1598" t="inlineStr">
        <is>
          <t>2262711540002656</t>
        </is>
      </c>
      <c r="AZ1598" t="inlineStr">
        <is>
          <t>BOOK</t>
        </is>
      </c>
      <c r="BB1598" t="inlineStr">
        <is>
          <t>9780192149749</t>
        </is>
      </c>
      <c r="BC1598" t="inlineStr">
        <is>
          <t>32285002445137</t>
        </is>
      </c>
      <c r="BD1598" t="inlineStr">
        <is>
          <t>893495824</t>
        </is>
      </c>
    </row>
    <row r="1599">
      <c r="A1599" t="inlineStr">
        <is>
          <t>No</t>
        </is>
      </c>
      <c r="B1599" t="inlineStr">
        <is>
          <t>DS595 .D44</t>
        </is>
      </c>
      <c r="C1599" t="inlineStr">
        <is>
          <t>0                      DS 0595000D  44</t>
        </is>
      </c>
      <c r="D1599" t="inlineStr">
        <is>
          <t>The Semai: a nonviolent people of Malaya.</t>
        </is>
      </c>
      <c r="F1599" t="inlineStr">
        <is>
          <t>No</t>
        </is>
      </c>
      <c r="G1599" t="inlineStr">
        <is>
          <t>1</t>
        </is>
      </c>
      <c r="H1599" t="inlineStr">
        <is>
          <t>No</t>
        </is>
      </c>
      <c r="I1599" t="inlineStr">
        <is>
          <t>No</t>
        </is>
      </c>
      <c r="J1599" t="inlineStr">
        <is>
          <t>0</t>
        </is>
      </c>
      <c r="K1599" t="inlineStr">
        <is>
          <t>Dentan, Robert Knox, 1936-</t>
        </is>
      </c>
      <c r="L1599" t="inlineStr">
        <is>
          <t>New York, Holt, Rinehart, and Winston [1968]</t>
        </is>
      </c>
      <c r="M1599" t="inlineStr">
        <is>
          <t>1968</t>
        </is>
      </c>
      <c r="O1599" t="inlineStr">
        <is>
          <t>eng</t>
        </is>
      </c>
      <c r="P1599" t="inlineStr">
        <is>
          <t>nyu</t>
        </is>
      </c>
      <c r="Q1599" t="inlineStr">
        <is>
          <t>Case studies in cultural anthropology</t>
        </is>
      </c>
      <c r="R1599" t="inlineStr">
        <is>
          <t xml:space="preserve">DS </t>
        </is>
      </c>
      <c r="S1599" t="n">
        <v>3</v>
      </c>
      <c r="T1599" t="n">
        <v>3</v>
      </c>
      <c r="U1599" t="inlineStr">
        <is>
          <t>2000-09-28</t>
        </is>
      </c>
      <c r="V1599" t="inlineStr">
        <is>
          <t>2000-09-28</t>
        </is>
      </c>
      <c r="W1599" t="inlineStr">
        <is>
          <t>1997-03-11</t>
        </is>
      </c>
      <c r="X1599" t="inlineStr">
        <is>
          <t>1997-03-11</t>
        </is>
      </c>
      <c r="Y1599" t="n">
        <v>839</v>
      </c>
      <c r="Z1599" t="n">
        <v>680</v>
      </c>
      <c r="AA1599" t="n">
        <v>886</v>
      </c>
      <c r="AB1599" t="n">
        <v>3</v>
      </c>
      <c r="AC1599" t="n">
        <v>6</v>
      </c>
      <c r="AD1599" t="n">
        <v>26</v>
      </c>
      <c r="AE1599" t="n">
        <v>34</v>
      </c>
      <c r="AF1599" t="n">
        <v>10</v>
      </c>
      <c r="AG1599" t="n">
        <v>14</v>
      </c>
      <c r="AH1599" t="n">
        <v>7</v>
      </c>
      <c r="AI1599" t="n">
        <v>8</v>
      </c>
      <c r="AJ1599" t="n">
        <v>13</v>
      </c>
      <c r="AK1599" t="n">
        <v>14</v>
      </c>
      <c r="AL1599" t="n">
        <v>2</v>
      </c>
      <c r="AM1599" t="n">
        <v>5</v>
      </c>
      <c r="AN1599" t="n">
        <v>0</v>
      </c>
      <c r="AO1599" t="n">
        <v>0</v>
      </c>
      <c r="AP1599" t="inlineStr">
        <is>
          <t>No</t>
        </is>
      </c>
      <c r="AQ1599" t="inlineStr">
        <is>
          <t>Yes</t>
        </is>
      </c>
      <c r="AR1599">
        <f>HYPERLINK("http://catalog.hathitrust.org/Record/000000700","HathiTrust Record")</f>
        <v/>
      </c>
      <c r="AS1599">
        <f>HYPERLINK("https://creighton-primo.hosted.exlibrisgroup.com/primo-explore/search?tab=default_tab&amp;search_scope=EVERYTHING&amp;vid=01CRU&amp;lang=en_US&amp;offset=0&amp;query=any,contains,991000169159702656","Catalog Record")</f>
        <v/>
      </c>
      <c r="AT1599">
        <f>HYPERLINK("http://www.worldcat.org/oclc/61899","WorldCat Record")</f>
        <v/>
      </c>
      <c r="AU1599" t="inlineStr">
        <is>
          <t>1090492245:eng</t>
        </is>
      </c>
      <c r="AV1599" t="inlineStr">
        <is>
          <t>61899</t>
        </is>
      </c>
      <c r="AW1599" t="inlineStr">
        <is>
          <t>991000169159702656</t>
        </is>
      </c>
      <c r="AX1599" t="inlineStr">
        <is>
          <t>991000169159702656</t>
        </is>
      </c>
      <c r="AY1599" t="inlineStr">
        <is>
          <t>2255288570002656</t>
        </is>
      </c>
      <c r="AZ1599" t="inlineStr">
        <is>
          <t>BOOK</t>
        </is>
      </c>
      <c r="BC1599" t="inlineStr">
        <is>
          <t>32285002445145</t>
        </is>
      </c>
      <c r="BD1599" t="inlineStr">
        <is>
          <t>893438073</t>
        </is>
      </c>
    </row>
    <row r="1600">
      <c r="A1600" t="inlineStr">
        <is>
          <t>No</t>
        </is>
      </c>
      <c r="B1600" t="inlineStr">
        <is>
          <t>DS596 .K4 1967</t>
        </is>
      </c>
      <c r="C1600" t="inlineStr">
        <is>
          <t>0                      DS 0596000K  4           1967</t>
        </is>
      </c>
      <c r="D1600" t="inlineStr">
        <is>
          <t>A history of Malaya, A.D. 1400-1959, by J. Kennedy.</t>
        </is>
      </c>
      <c r="F1600" t="inlineStr">
        <is>
          <t>No</t>
        </is>
      </c>
      <c r="G1600" t="inlineStr">
        <is>
          <t>1</t>
        </is>
      </c>
      <c r="H1600" t="inlineStr">
        <is>
          <t>No</t>
        </is>
      </c>
      <c r="I1600" t="inlineStr">
        <is>
          <t>No</t>
        </is>
      </c>
      <c r="J1600" t="inlineStr">
        <is>
          <t>0</t>
        </is>
      </c>
      <c r="K1600" t="inlineStr">
        <is>
          <t>Kennedy, Joseph, 1919-</t>
        </is>
      </c>
      <c r="L1600" t="inlineStr">
        <is>
          <t>London, Melbourne [etc.] Macmillan; New York, St. Martin's P., 1967.</t>
        </is>
      </c>
      <c r="M1600" t="inlineStr">
        <is>
          <t>1967</t>
        </is>
      </c>
      <c r="N1600" t="inlineStr">
        <is>
          <t>1st ed. reprinted with introduction and additional bibliography.</t>
        </is>
      </c>
      <c r="O1600" t="inlineStr">
        <is>
          <t>eng</t>
        </is>
      </c>
      <c r="P1600" t="inlineStr">
        <is>
          <t>enk</t>
        </is>
      </c>
      <c r="Q1600" t="inlineStr">
        <is>
          <t>Papermac 188</t>
        </is>
      </c>
      <c r="R1600" t="inlineStr">
        <is>
          <t xml:space="preserve">DS </t>
        </is>
      </c>
      <c r="S1600" t="n">
        <v>1</v>
      </c>
      <c r="T1600" t="n">
        <v>1</v>
      </c>
      <c r="U1600" t="inlineStr">
        <is>
          <t>1997-04-15</t>
        </is>
      </c>
      <c r="V1600" t="inlineStr">
        <is>
          <t>1997-04-15</t>
        </is>
      </c>
      <c r="W1600" t="inlineStr">
        <is>
          <t>1997-03-11</t>
        </is>
      </c>
      <c r="X1600" t="inlineStr">
        <is>
          <t>1997-03-11</t>
        </is>
      </c>
      <c r="Y1600" t="n">
        <v>125</v>
      </c>
      <c r="Z1600" t="n">
        <v>92</v>
      </c>
      <c r="AA1600" t="n">
        <v>552</v>
      </c>
      <c r="AB1600" t="n">
        <v>2</v>
      </c>
      <c r="AC1600" t="n">
        <v>4</v>
      </c>
      <c r="AD1600" t="n">
        <v>4</v>
      </c>
      <c r="AE1600" t="n">
        <v>24</v>
      </c>
      <c r="AF1600" t="n">
        <v>2</v>
      </c>
      <c r="AG1600" t="n">
        <v>10</v>
      </c>
      <c r="AH1600" t="n">
        <v>0</v>
      </c>
      <c r="AI1600" t="n">
        <v>6</v>
      </c>
      <c r="AJ1600" t="n">
        <v>2</v>
      </c>
      <c r="AK1600" t="n">
        <v>12</v>
      </c>
      <c r="AL1600" t="n">
        <v>1</v>
      </c>
      <c r="AM1600" t="n">
        <v>3</v>
      </c>
      <c r="AN1600" t="n">
        <v>0</v>
      </c>
      <c r="AO1600" t="n">
        <v>0</v>
      </c>
      <c r="AP1600" t="inlineStr">
        <is>
          <t>No</t>
        </is>
      </c>
      <c r="AQ1600" t="inlineStr">
        <is>
          <t>Yes</t>
        </is>
      </c>
      <c r="AR1600">
        <f>HYPERLINK("http://catalog.hathitrust.org/Record/012285393","HathiTrust Record")</f>
        <v/>
      </c>
      <c r="AS1600">
        <f>HYPERLINK("https://creighton-primo.hosted.exlibrisgroup.com/primo-explore/search?tab=default_tab&amp;search_scope=EVERYTHING&amp;vid=01CRU&amp;lang=en_US&amp;offset=0&amp;query=any,contains,991002816659702656","Catalog Record")</f>
        <v/>
      </c>
      <c r="AT1600">
        <f>HYPERLINK("http://www.worldcat.org/oclc/460731","WorldCat Record")</f>
        <v/>
      </c>
      <c r="AU1600" t="inlineStr">
        <is>
          <t>3893764078:eng</t>
        </is>
      </c>
      <c r="AV1600" t="inlineStr">
        <is>
          <t>460731</t>
        </is>
      </c>
      <c r="AW1600" t="inlineStr">
        <is>
          <t>991002816659702656</t>
        </is>
      </c>
      <c r="AX1600" t="inlineStr">
        <is>
          <t>991002816659702656</t>
        </is>
      </c>
      <c r="AY1600" t="inlineStr">
        <is>
          <t>2258094610002656</t>
        </is>
      </c>
      <c r="AZ1600" t="inlineStr">
        <is>
          <t>BOOK</t>
        </is>
      </c>
      <c r="BC1600" t="inlineStr">
        <is>
          <t>32285002445178</t>
        </is>
      </c>
      <c r="BD1600" t="inlineStr">
        <is>
          <t>893317288</t>
        </is>
      </c>
    </row>
    <row r="1601">
      <c r="A1601" t="inlineStr">
        <is>
          <t>No</t>
        </is>
      </c>
      <c r="B1601" t="inlineStr">
        <is>
          <t>DS596 .W515 1953</t>
        </is>
      </c>
      <c r="C1601" t="inlineStr">
        <is>
          <t>0                      DS 0596000W  515         1953</t>
        </is>
      </c>
      <c r="D1601" t="inlineStr">
        <is>
          <t>Malaya and its history.</t>
        </is>
      </c>
      <c r="F1601" t="inlineStr">
        <is>
          <t>No</t>
        </is>
      </c>
      <c r="G1601" t="inlineStr">
        <is>
          <t>1</t>
        </is>
      </c>
      <c r="H1601" t="inlineStr">
        <is>
          <t>No</t>
        </is>
      </c>
      <c r="I1601" t="inlineStr">
        <is>
          <t>No</t>
        </is>
      </c>
      <c r="J1601" t="inlineStr">
        <is>
          <t>0</t>
        </is>
      </c>
      <c r="K1601" t="inlineStr">
        <is>
          <t>Winstedt, Richard, 1878-1966.</t>
        </is>
      </c>
      <c r="L1601" t="inlineStr">
        <is>
          <t>London ; New York : Hutchinson, 1953.</t>
        </is>
      </c>
      <c r="M1601" t="inlineStr">
        <is>
          <t>1953</t>
        </is>
      </c>
      <c r="N1601" t="inlineStr">
        <is>
          <t>3d ed.</t>
        </is>
      </c>
      <c r="O1601" t="inlineStr">
        <is>
          <t>eng</t>
        </is>
      </c>
      <c r="P1601" t="inlineStr">
        <is>
          <t>enk</t>
        </is>
      </c>
      <c r="Q1601" t="inlineStr">
        <is>
          <t>Hutchinson's university library. British Empire history [3]</t>
        </is>
      </c>
      <c r="R1601" t="inlineStr">
        <is>
          <t xml:space="preserve">DS </t>
        </is>
      </c>
      <c r="S1601" t="n">
        <v>5</v>
      </c>
      <c r="T1601" t="n">
        <v>5</v>
      </c>
      <c r="U1601" t="inlineStr">
        <is>
          <t>1998-03-17</t>
        </is>
      </c>
      <c r="V1601" t="inlineStr">
        <is>
          <t>1998-03-17</t>
        </is>
      </c>
      <c r="W1601" t="inlineStr">
        <is>
          <t>1997-03-11</t>
        </is>
      </c>
      <c r="X1601" t="inlineStr">
        <is>
          <t>1997-03-11</t>
        </is>
      </c>
      <c r="Y1601" t="n">
        <v>29</v>
      </c>
      <c r="Z1601" t="n">
        <v>23</v>
      </c>
      <c r="AA1601" t="n">
        <v>573</v>
      </c>
      <c r="AB1601" t="n">
        <v>1</v>
      </c>
      <c r="AC1601" t="n">
        <v>3</v>
      </c>
      <c r="AD1601" t="n">
        <v>6</v>
      </c>
      <c r="AE1601" t="n">
        <v>25</v>
      </c>
      <c r="AF1601" t="n">
        <v>3</v>
      </c>
      <c r="AG1601" t="n">
        <v>13</v>
      </c>
      <c r="AH1601" t="n">
        <v>0</v>
      </c>
      <c r="AI1601" t="n">
        <v>6</v>
      </c>
      <c r="AJ1601" t="n">
        <v>5</v>
      </c>
      <c r="AK1601" t="n">
        <v>12</v>
      </c>
      <c r="AL1601" t="n">
        <v>0</v>
      </c>
      <c r="AM1601" t="n">
        <v>2</v>
      </c>
      <c r="AN1601" t="n">
        <v>0</v>
      </c>
      <c r="AO1601" t="n">
        <v>0</v>
      </c>
      <c r="AP1601" t="inlineStr">
        <is>
          <t>No</t>
        </is>
      </c>
      <c r="AQ1601" t="inlineStr">
        <is>
          <t>No</t>
        </is>
      </c>
      <c r="AS1601">
        <f>HYPERLINK("https://creighton-primo.hosted.exlibrisgroup.com/primo-explore/search?tab=default_tab&amp;search_scope=EVERYTHING&amp;vid=01CRU&amp;lang=en_US&amp;offset=0&amp;query=any,contains,991004709079702656","Catalog Record")</f>
        <v/>
      </c>
      <c r="AT1601">
        <f>HYPERLINK("http://www.worldcat.org/oclc/4743207","WorldCat Record")</f>
        <v/>
      </c>
      <c r="AU1601" t="inlineStr">
        <is>
          <t>4928610121:eng</t>
        </is>
      </c>
      <c r="AV1601" t="inlineStr">
        <is>
          <t>4743207</t>
        </is>
      </c>
      <c r="AW1601" t="inlineStr">
        <is>
          <t>991004709079702656</t>
        </is>
      </c>
      <c r="AX1601" t="inlineStr">
        <is>
          <t>991004709079702656</t>
        </is>
      </c>
      <c r="AY1601" t="inlineStr">
        <is>
          <t>2265657690002656</t>
        </is>
      </c>
      <c r="AZ1601" t="inlineStr">
        <is>
          <t>BOOK</t>
        </is>
      </c>
      <c r="BC1601" t="inlineStr">
        <is>
          <t>32285002445202</t>
        </is>
      </c>
      <c r="BD1601" t="inlineStr">
        <is>
          <t>893331938</t>
        </is>
      </c>
    </row>
    <row r="1602">
      <c r="A1602" t="inlineStr">
        <is>
          <t>No</t>
        </is>
      </c>
      <c r="B1602" t="inlineStr">
        <is>
          <t>DS596.6 .M55 2002</t>
        </is>
      </c>
      <c r="C1602" t="inlineStr">
        <is>
          <t>0                      DS 0596600M  55          2002</t>
        </is>
      </c>
      <c r="D1602" t="inlineStr">
        <is>
          <t>The invention of politics in colonial Malaya / Anthony Milner.</t>
        </is>
      </c>
      <c r="F1602" t="inlineStr">
        <is>
          <t>No</t>
        </is>
      </c>
      <c r="G1602" t="inlineStr">
        <is>
          <t>1</t>
        </is>
      </c>
      <c r="H1602" t="inlineStr">
        <is>
          <t>No</t>
        </is>
      </c>
      <c r="I1602" t="inlineStr">
        <is>
          <t>No</t>
        </is>
      </c>
      <c r="J1602" t="inlineStr">
        <is>
          <t>0</t>
        </is>
      </c>
      <c r="K1602" t="inlineStr">
        <is>
          <t>Milner, Anthony Crothers, 1945-</t>
        </is>
      </c>
      <c r="L1602" t="inlineStr">
        <is>
          <t>Cambridge, U.K. ; New York : Cambridge University Press, 2002.</t>
        </is>
      </c>
      <c r="M1602" t="inlineStr">
        <is>
          <t>2002</t>
        </is>
      </c>
      <c r="O1602" t="inlineStr">
        <is>
          <t>eng</t>
        </is>
      </c>
      <c r="P1602" t="inlineStr">
        <is>
          <t>enk</t>
        </is>
      </c>
      <c r="R1602" t="inlineStr">
        <is>
          <t xml:space="preserve">DS </t>
        </is>
      </c>
      <c r="S1602" t="n">
        <v>1</v>
      </c>
      <c r="T1602" t="n">
        <v>1</v>
      </c>
      <c r="U1602" t="inlineStr">
        <is>
          <t>2004-09-30</t>
        </is>
      </c>
      <c r="V1602" t="inlineStr">
        <is>
          <t>2004-09-30</t>
        </is>
      </c>
      <c r="W1602" t="inlineStr">
        <is>
          <t>2004-09-29</t>
        </is>
      </c>
      <c r="X1602" t="inlineStr">
        <is>
          <t>2004-09-29</t>
        </is>
      </c>
      <c r="Y1602" t="n">
        <v>57</v>
      </c>
      <c r="Z1602" t="n">
        <v>26</v>
      </c>
      <c r="AA1602" t="n">
        <v>196</v>
      </c>
      <c r="AB1602" t="n">
        <v>1</v>
      </c>
      <c r="AC1602" t="n">
        <v>3</v>
      </c>
      <c r="AD1602" t="n">
        <v>1</v>
      </c>
      <c r="AE1602" t="n">
        <v>14</v>
      </c>
      <c r="AF1602" t="n">
        <v>0</v>
      </c>
      <c r="AG1602" t="n">
        <v>1</v>
      </c>
      <c r="AH1602" t="n">
        <v>0</v>
      </c>
      <c r="AI1602" t="n">
        <v>5</v>
      </c>
      <c r="AJ1602" t="n">
        <v>1</v>
      </c>
      <c r="AK1602" t="n">
        <v>9</v>
      </c>
      <c r="AL1602" t="n">
        <v>0</v>
      </c>
      <c r="AM1602" t="n">
        <v>2</v>
      </c>
      <c r="AN1602" t="n">
        <v>0</v>
      </c>
      <c r="AO1602" t="n">
        <v>0</v>
      </c>
      <c r="AP1602" t="inlineStr">
        <is>
          <t>No</t>
        </is>
      </c>
      <c r="AQ1602" t="inlineStr">
        <is>
          <t>No</t>
        </is>
      </c>
      <c r="AS1602">
        <f>HYPERLINK("https://creighton-primo.hosted.exlibrisgroup.com/primo-explore/search?tab=default_tab&amp;search_scope=EVERYTHING&amp;vid=01CRU&amp;lang=en_US&amp;offset=0&amp;query=any,contains,991004372639702656","Catalog Record")</f>
        <v/>
      </c>
      <c r="AT1602">
        <f>HYPERLINK("http://www.worldcat.org/oclc/47161345","WorldCat Record")</f>
        <v/>
      </c>
      <c r="AU1602" t="inlineStr">
        <is>
          <t>36884812:eng</t>
        </is>
      </c>
      <c r="AV1602" t="inlineStr">
        <is>
          <t>47161345</t>
        </is>
      </c>
      <c r="AW1602" t="inlineStr">
        <is>
          <t>991004372639702656</t>
        </is>
      </c>
      <c r="AX1602" t="inlineStr">
        <is>
          <t>991004372639702656</t>
        </is>
      </c>
      <c r="AY1602" t="inlineStr">
        <is>
          <t>2266845990002656</t>
        </is>
      </c>
      <c r="AZ1602" t="inlineStr">
        <is>
          <t>BOOK</t>
        </is>
      </c>
      <c r="BB1602" t="inlineStr">
        <is>
          <t>9780521003568</t>
        </is>
      </c>
      <c r="BC1602" t="inlineStr">
        <is>
          <t>32285004989850</t>
        </is>
      </c>
      <c r="BD1602" t="inlineStr">
        <is>
          <t>893526025</t>
        </is>
      </c>
    </row>
    <row r="1603">
      <c r="A1603" t="inlineStr">
        <is>
          <t>No</t>
        </is>
      </c>
      <c r="B1603" t="inlineStr">
        <is>
          <t>DS597 .O2 1966a</t>
        </is>
      </c>
      <c r="C1603" t="inlineStr">
        <is>
          <t>0                      DS 0597000O  2           1966a</t>
        </is>
      </c>
      <c r="D1603" t="inlineStr">
        <is>
          <t>Malaya: the communist insurgent war, 1948-60.</t>
        </is>
      </c>
      <c r="F1603" t="inlineStr">
        <is>
          <t>No</t>
        </is>
      </c>
      <c r="G1603" t="inlineStr">
        <is>
          <t>1</t>
        </is>
      </c>
      <c r="H1603" t="inlineStr">
        <is>
          <t>No</t>
        </is>
      </c>
      <c r="I1603" t="inlineStr">
        <is>
          <t>No</t>
        </is>
      </c>
      <c r="J1603" t="inlineStr">
        <is>
          <t>0</t>
        </is>
      </c>
      <c r="K1603" t="inlineStr">
        <is>
          <t>O'Ballance, Edgar.</t>
        </is>
      </c>
      <c r="L1603" t="inlineStr">
        <is>
          <t>Hamden, Conn., Archon Books [1966]</t>
        </is>
      </c>
      <c r="M1603" t="inlineStr">
        <is>
          <t>1966</t>
        </is>
      </c>
      <c r="N1603" t="inlineStr">
        <is>
          <t>[1st ed.]</t>
        </is>
      </c>
      <c r="O1603" t="inlineStr">
        <is>
          <t>eng</t>
        </is>
      </c>
      <c r="P1603" t="inlineStr">
        <is>
          <t>ctu</t>
        </is>
      </c>
      <c r="R1603" t="inlineStr">
        <is>
          <t xml:space="preserve">DS </t>
        </is>
      </c>
      <c r="S1603" t="n">
        <v>2</v>
      </c>
      <c r="T1603" t="n">
        <v>2</v>
      </c>
      <c r="U1603" t="inlineStr">
        <is>
          <t>1999-04-11</t>
        </is>
      </c>
      <c r="V1603" t="inlineStr">
        <is>
          <t>1999-04-11</t>
        </is>
      </c>
      <c r="W1603" t="inlineStr">
        <is>
          <t>1996-08-09</t>
        </is>
      </c>
      <c r="X1603" t="inlineStr">
        <is>
          <t>1996-08-09</t>
        </is>
      </c>
      <c r="Y1603" t="n">
        <v>389</v>
      </c>
      <c r="Z1603" t="n">
        <v>352</v>
      </c>
      <c r="AA1603" t="n">
        <v>357</v>
      </c>
      <c r="AB1603" t="n">
        <v>2</v>
      </c>
      <c r="AC1603" t="n">
        <v>3</v>
      </c>
      <c r="AD1603" t="n">
        <v>15</v>
      </c>
      <c r="AE1603" t="n">
        <v>16</v>
      </c>
      <c r="AF1603" t="n">
        <v>4</v>
      </c>
      <c r="AG1603" t="n">
        <v>4</v>
      </c>
      <c r="AH1603" t="n">
        <v>5</v>
      </c>
      <c r="AI1603" t="n">
        <v>5</v>
      </c>
      <c r="AJ1603" t="n">
        <v>7</v>
      </c>
      <c r="AK1603" t="n">
        <v>7</v>
      </c>
      <c r="AL1603" t="n">
        <v>1</v>
      </c>
      <c r="AM1603" t="n">
        <v>2</v>
      </c>
      <c r="AN1603" t="n">
        <v>0</v>
      </c>
      <c r="AO1603" t="n">
        <v>0</v>
      </c>
      <c r="AP1603" t="inlineStr">
        <is>
          <t>No</t>
        </is>
      </c>
      <c r="AQ1603" t="inlineStr">
        <is>
          <t>No</t>
        </is>
      </c>
      <c r="AS1603">
        <f>HYPERLINK("https://creighton-primo.hosted.exlibrisgroup.com/primo-explore/search?tab=default_tab&amp;search_scope=EVERYTHING&amp;vid=01CRU&amp;lang=en_US&amp;offset=0&amp;query=any,contains,991002717819702656","Catalog Record")</f>
        <v/>
      </c>
      <c r="AT1603">
        <f>HYPERLINK("http://www.worldcat.org/oclc/411728","WorldCat Record")</f>
        <v/>
      </c>
      <c r="AU1603" t="inlineStr">
        <is>
          <t>3855245349:eng</t>
        </is>
      </c>
      <c r="AV1603" t="inlineStr">
        <is>
          <t>411728</t>
        </is>
      </c>
      <c r="AW1603" t="inlineStr">
        <is>
          <t>991002717819702656</t>
        </is>
      </c>
      <c r="AX1603" t="inlineStr">
        <is>
          <t>991002717819702656</t>
        </is>
      </c>
      <c r="AY1603" t="inlineStr">
        <is>
          <t>2264738920002656</t>
        </is>
      </c>
      <c r="AZ1603" t="inlineStr">
        <is>
          <t>BOOK</t>
        </is>
      </c>
      <c r="BC1603" t="inlineStr">
        <is>
          <t>32285002273471</t>
        </is>
      </c>
      <c r="BD1603" t="inlineStr">
        <is>
          <t>893798923</t>
        </is>
      </c>
    </row>
    <row r="1604">
      <c r="A1604" t="inlineStr">
        <is>
          <t>No</t>
        </is>
      </c>
      <c r="B1604" t="inlineStr">
        <is>
          <t>DS597 .S47</t>
        </is>
      </c>
      <c r="C1604" t="inlineStr">
        <is>
          <t>0                      DS 0597000S  47</t>
        </is>
      </c>
      <c r="D1604" t="inlineStr">
        <is>
          <t>The Communist insurrection in Malaya, 1948-1960 / Anthony Short.</t>
        </is>
      </c>
      <c r="F1604" t="inlineStr">
        <is>
          <t>No</t>
        </is>
      </c>
      <c r="G1604" t="inlineStr">
        <is>
          <t>1</t>
        </is>
      </c>
      <c r="H1604" t="inlineStr">
        <is>
          <t>No</t>
        </is>
      </c>
      <c r="I1604" t="inlineStr">
        <is>
          <t>No</t>
        </is>
      </c>
      <c r="J1604" t="inlineStr">
        <is>
          <t>0</t>
        </is>
      </c>
      <c r="K1604" t="inlineStr">
        <is>
          <t>Short, Anthony.</t>
        </is>
      </c>
      <c r="L1604" t="inlineStr">
        <is>
          <t>New York : Crane, Russak, [1975]</t>
        </is>
      </c>
      <c r="M1604" t="inlineStr">
        <is>
          <t>1975</t>
        </is>
      </c>
      <c r="O1604" t="inlineStr">
        <is>
          <t>eng</t>
        </is>
      </c>
      <c r="P1604" t="inlineStr">
        <is>
          <t>nyu</t>
        </is>
      </c>
      <c r="R1604" t="inlineStr">
        <is>
          <t xml:space="preserve">DS </t>
        </is>
      </c>
      <c r="S1604" t="n">
        <v>4</v>
      </c>
      <c r="T1604" t="n">
        <v>4</v>
      </c>
      <c r="U1604" t="inlineStr">
        <is>
          <t>1999-04-11</t>
        </is>
      </c>
      <c r="V1604" t="inlineStr">
        <is>
          <t>1999-04-11</t>
        </is>
      </c>
      <c r="W1604" t="inlineStr">
        <is>
          <t>1997-03-11</t>
        </is>
      </c>
      <c r="X1604" t="inlineStr">
        <is>
          <t>1997-03-11</t>
        </is>
      </c>
      <c r="Y1604" t="n">
        <v>208</v>
      </c>
      <c r="Z1604" t="n">
        <v>187</v>
      </c>
      <c r="AA1604" t="n">
        <v>261</v>
      </c>
      <c r="AB1604" t="n">
        <v>1</v>
      </c>
      <c r="AC1604" t="n">
        <v>3</v>
      </c>
      <c r="AD1604" t="n">
        <v>9</v>
      </c>
      <c r="AE1604" t="n">
        <v>14</v>
      </c>
      <c r="AF1604" t="n">
        <v>2</v>
      </c>
      <c r="AG1604" t="n">
        <v>3</v>
      </c>
      <c r="AH1604" t="n">
        <v>4</v>
      </c>
      <c r="AI1604" t="n">
        <v>4</v>
      </c>
      <c r="AJ1604" t="n">
        <v>6</v>
      </c>
      <c r="AK1604" t="n">
        <v>9</v>
      </c>
      <c r="AL1604" t="n">
        <v>0</v>
      </c>
      <c r="AM1604" t="n">
        <v>2</v>
      </c>
      <c r="AN1604" t="n">
        <v>0</v>
      </c>
      <c r="AO1604" t="n">
        <v>0</v>
      </c>
      <c r="AP1604" t="inlineStr">
        <is>
          <t>No</t>
        </is>
      </c>
      <c r="AQ1604" t="inlineStr">
        <is>
          <t>No</t>
        </is>
      </c>
      <c r="AS1604">
        <f>HYPERLINK("https://creighton-primo.hosted.exlibrisgroup.com/primo-explore/search?tab=default_tab&amp;search_scope=EVERYTHING&amp;vid=01CRU&amp;lang=en_US&amp;offset=0&amp;query=any,contains,991003689479702656","Catalog Record")</f>
        <v/>
      </c>
      <c r="AT1604">
        <f>HYPERLINK("http://www.worldcat.org/oclc/1319330","WorldCat Record")</f>
        <v/>
      </c>
      <c r="AU1604" t="inlineStr">
        <is>
          <t>2196331:eng</t>
        </is>
      </c>
      <c r="AV1604" t="inlineStr">
        <is>
          <t>1319330</t>
        </is>
      </c>
      <c r="AW1604" t="inlineStr">
        <is>
          <t>991003689479702656</t>
        </is>
      </c>
      <c r="AX1604" t="inlineStr">
        <is>
          <t>991003689479702656</t>
        </is>
      </c>
      <c r="AY1604" t="inlineStr">
        <is>
          <t>2272349350002656</t>
        </is>
      </c>
      <c r="AZ1604" t="inlineStr">
        <is>
          <t>BOOK</t>
        </is>
      </c>
      <c r="BB1604" t="inlineStr">
        <is>
          <t>9780844803067</t>
        </is>
      </c>
      <c r="BC1604" t="inlineStr">
        <is>
          <t>32285002445236</t>
        </is>
      </c>
      <c r="BD1604" t="inlineStr">
        <is>
          <t>893598859</t>
        </is>
      </c>
    </row>
    <row r="1605">
      <c r="A1605" t="inlineStr">
        <is>
          <t>No</t>
        </is>
      </c>
      <c r="B1605" t="inlineStr">
        <is>
          <t>DS597.2 .V37</t>
        </is>
      </c>
      <c r="C1605" t="inlineStr">
        <is>
          <t>0                      DS 0597200V  37</t>
        </is>
      </c>
      <c r="D1605" t="inlineStr">
        <is>
          <t>Ethnic politics in Malaysia / R. K. Vasil.</t>
        </is>
      </c>
      <c r="F1605" t="inlineStr">
        <is>
          <t>No</t>
        </is>
      </c>
      <c r="G1605" t="inlineStr">
        <is>
          <t>1</t>
        </is>
      </c>
      <c r="H1605" t="inlineStr">
        <is>
          <t>No</t>
        </is>
      </c>
      <c r="I1605" t="inlineStr">
        <is>
          <t>No</t>
        </is>
      </c>
      <c r="J1605" t="inlineStr">
        <is>
          <t>0</t>
        </is>
      </c>
      <c r="K1605" t="inlineStr">
        <is>
          <t>Vasil, R. K.</t>
        </is>
      </c>
      <c r="L1605" t="inlineStr">
        <is>
          <t>New Delhi : Radiant, 1980.</t>
        </is>
      </c>
      <c r="M1605" t="inlineStr">
        <is>
          <t>1980</t>
        </is>
      </c>
      <c r="O1605" t="inlineStr">
        <is>
          <t>eng</t>
        </is>
      </c>
      <c r="P1605" t="inlineStr">
        <is>
          <t xml:space="preserve">ii </t>
        </is>
      </c>
      <c r="R1605" t="inlineStr">
        <is>
          <t xml:space="preserve">DS </t>
        </is>
      </c>
      <c r="S1605" t="n">
        <v>4</v>
      </c>
      <c r="T1605" t="n">
        <v>4</v>
      </c>
      <c r="U1605" t="inlineStr">
        <is>
          <t>1997-06-04</t>
        </is>
      </c>
      <c r="V1605" t="inlineStr">
        <is>
          <t>1997-06-04</t>
        </is>
      </c>
      <c r="W1605" t="inlineStr">
        <is>
          <t>1990-10-11</t>
        </is>
      </c>
      <c r="X1605" t="inlineStr">
        <is>
          <t>1990-10-11</t>
        </is>
      </c>
      <c r="Y1605" t="n">
        <v>218</v>
      </c>
      <c r="Z1605" t="n">
        <v>145</v>
      </c>
      <c r="AA1605" t="n">
        <v>147</v>
      </c>
      <c r="AB1605" t="n">
        <v>1</v>
      </c>
      <c r="AC1605" t="n">
        <v>1</v>
      </c>
      <c r="AD1605" t="n">
        <v>2</v>
      </c>
      <c r="AE1605" t="n">
        <v>2</v>
      </c>
      <c r="AF1605" t="n">
        <v>0</v>
      </c>
      <c r="AG1605" t="n">
        <v>0</v>
      </c>
      <c r="AH1605" t="n">
        <v>0</v>
      </c>
      <c r="AI1605" t="n">
        <v>0</v>
      </c>
      <c r="AJ1605" t="n">
        <v>2</v>
      </c>
      <c r="AK1605" t="n">
        <v>2</v>
      </c>
      <c r="AL1605" t="n">
        <v>0</v>
      </c>
      <c r="AM1605" t="n">
        <v>0</v>
      </c>
      <c r="AN1605" t="n">
        <v>0</v>
      </c>
      <c r="AO1605" t="n">
        <v>0</v>
      </c>
      <c r="AP1605" t="inlineStr">
        <is>
          <t>No</t>
        </is>
      </c>
      <c r="AQ1605" t="inlineStr">
        <is>
          <t>Yes</t>
        </is>
      </c>
      <c r="AR1605">
        <f>HYPERLINK("http://catalog.hathitrust.org/Record/000126242","HathiTrust Record")</f>
        <v/>
      </c>
      <c r="AS1605">
        <f>HYPERLINK("https://creighton-primo.hosted.exlibrisgroup.com/primo-explore/search?tab=default_tab&amp;search_scope=EVERYTHING&amp;vid=01CRU&amp;lang=en_US&amp;offset=0&amp;query=any,contains,991005061649702656","Catalog Record")</f>
        <v/>
      </c>
      <c r="AT1605">
        <f>HYPERLINK("http://www.worldcat.org/oclc/6920995","WorldCat Record")</f>
        <v/>
      </c>
      <c r="AU1605" t="inlineStr">
        <is>
          <t>459019:eng</t>
        </is>
      </c>
      <c r="AV1605" t="inlineStr">
        <is>
          <t>6920995</t>
        </is>
      </c>
      <c r="AW1605" t="inlineStr">
        <is>
          <t>991005061649702656</t>
        </is>
      </c>
      <c r="AX1605" t="inlineStr">
        <is>
          <t>991005061649702656</t>
        </is>
      </c>
      <c r="AY1605" t="inlineStr">
        <is>
          <t>2269485100002656</t>
        </is>
      </c>
      <c r="AZ1605" t="inlineStr">
        <is>
          <t>BOOK</t>
        </is>
      </c>
      <c r="BC1605" t="inlineStr">
        <is>
          <t>32285000337823</t>
        </is>
      </c>
      <c r="BD1605" t="inlineStr">
        <is>
          <t>893443338</t>
        </is>
      </c>
    </row>
    <row r="1606">
      <c r="A1606" t="inlineStr">
        <is>
          <t>No</t>
        </is>
      </c>
      <c r="B1606" t="inlineStr">
        <is>
          <t>DS597.2 .V66</t>
        </is>
      </c>
      <c r="C1606" t="inlineStr">
        <is>
          <t>0                      DS 0597200V  66</t>
        </is>
      </c>
      <c r="D1606" t="inlineStr">
        <is>
          <t>Democracy without consensus : communalism and political stability in Malaysia / Karl von Vorys.</t>
        </is>
      </c>
      <c r="F1606" t="inlineStr">
        <is>
          <t>No</t>
        </is>
      </c>
      <c r="G1606" t="inlineStr">
        <is>
          <t>1</t>
        </is>
      </c>
      <c r="H1606" t="inlineStr">
        <is>
          <t>No</t>
        </is>
      </c>
      <c r="I1606" t="inlineStr">
        <is>
          <t>No</t>
        </is>
      </c>
      <c r="J1606" t="inlineStr">
        <is>
          <t>0</t>
        </is>
      </c>
      <c r="K1606" t="inlineStr">
        <is>
          <t>Von Vorys, Karl.</t>
        </is>
      </c>
      <c r="L1606" t="inlineStr">
        <is>
          <t>Princeton, N.J. : Princeton University Press, [1975]</t>
        </is>
      </c>
      <c r="M1606" t="inlineStr">
        <is>
          <t>1975</t>
        </is>
      </c>
      <c r="O1606" t="inlineStr">
        <is>
          <t>eng</t>
        </is>
      </c>
      <c r="P1606" t="inlineStr">
        <is>
          <t>nju</t>
        </is>
      </c>
      <c r="R1606" t="inlineStr">
        <is>
          <t xml:space="preserve">DS </t>
        </is>
      </c>
      <c r="S1606" t="n">
        <v>3</v>
      </c>
      <c r="T1606" t="n">
        <v>3</v>
      </c>
      <c r="U1606" t="inlineStr">
        <is>
          <t>1997-06-04</t>
        </is>
      </c>
      <c r="V1606" t="inlineStr">
        <is>
          <t>1997-06-04</t>
        </is>
      </c>
      <c r="W1606" t="inlineStr">
        <is>
          <t>1997-03-11</t>
        </is>
      </c>
      <c r="X1606" t="inlineStr">
        <is>
          <t>1997-03-11</t>
        </is>
      </c>
      <c r="Y1606" t="n">
        <v>480</v>
      </c>
      <c r="Z1606" t="n">
        <v>346</v>
      </c>
      <c r="AA1606" t="n">
        <v>637</v>
      </c>
      <c r="AB1606" t="n">
        <v>3</v>
      </c>
      <c r="AC1606" t="n">
        <v>3</v>
      </c>
      <c r="AD1606" t="n">
        <v>18</v>
      </c>
      <c r="AE1606" t="n">
        <v>28</v>
      </c>
      <c r="AF1606" t="n">
        <v>6</v>
      </c>
      <c r="AG1606" t="n">
        <v>12</v>
      </c>
      <c r="AH1606" t="n">
        <v>4</v>
      </c>
      <c r="AI1606" t="n">
        <v>7</v>
      </c>
      <c r="AJ1606" t="n">
        <v>13</v>
      </c>
      <c r="AK1606" t="n">
        <v>16</v>
      </c>
      <c r="AL1606" t="n">
        <v>2</v>
      </c>
      <c r="AM1606" t="n">
        <v>2</v>
      </c>
      <c r="AN1606" t="n">
        <v>0</v>
      </c>
      <c r="AO1606" t="n">
        <v>0</v>
      </c>
      <c r="AP1606" t="inlineStr">
        <is>
          <t>No</t>
        </is>
      </c>
      <c r="AQ1606" t="inlineStr">
        <is>
          <t>Yes</t>
        </is>
      </c>
      <c r="AR1606">
        <f>HYPERLINK("http://catalog.hathitrust.org/Record/000018100","HathiTrust Record")</f>
        <v/>
      </c>
      <c r="AS1606">
        <f>HYPERLINK("https://creighton-primo.hosted.exlibrisgroup.com/primo-explore/search?tab=default_tab&amp;search_scope=EVERYTHING&amp;vid=01CRU&amp;lang=en_US&amp;offset=0&amp;query=any,contains,991003619599702656","Catalog Record")</f>
        <v/>
      </c>
      <c r="AT1606">
        <f>HYPERLINK("http://www.worldcat.org/oclc/1206081","WorldCat Record")</f>
        <v/>
      </c>
      <c r="AU1606" t="inlineStr">
        <is>
          <t>867386331:eng</t>
        </is>
      </c>
      <c r="AV1606" t="inlineStr">
        <is>
          <t>1206081</t>
        </is>
      </c>
      <c r="AW1606" t="inlineStr">
        <is>
          <t>991003619599702656</t>
        </is>
      </c>
      <c r="AX1606" t="inlineStr">
        <is>
          <t>991003619599702656</t>
        </is>
      </c>
      <c r="AY1606" t="inlineStr">
        <is>
          <t>2269972950002656</t>
        </is>
      </c>
      <c r="AZ1606" t="inlineStr">
        <is>
          <t>BOOK</t>
        </is>
      </c>
      <c r="BB1606" t="inlineStr">
        <is>
          <t>9780691075716</t>
        </is>
      </c>
      <c r="BC1606" t="inlineStr">
        <is>
          <t>32285002445251</t>
        </is>
      </c>
      <c r="BD1606" t="inlineStr">
        <is>
          <t>893868630</t>
        </is>
      </c>
    </row>
    <row r="1607">
      <c r="A1607" t="inlineStr">
        <is>
          <t>No</t>
        </is>
      </c>
      <c r="B1607" t="inlineStr">
        <is>
          <t>DS597.364 .H36 1988</t>
        </is>
      </c>
      <c r="C1607" t="inlineStr">
        <is>
          <t>0                      DS 0597364H  36          1988</t>
        </is>
      </c>
      <c r="D1607" t="inlineStr">
        <is>
          <t>Stranger in the forest : on foot across Borneo / Eric Hansen.</t>
        </is>
      </c>
      <c r="F1607" t="inlineStr">
        <is>
          <t>No</t>
        </is>
      </c>
      <c r="G1607" t="inlineStr">
        <is>
          <t>1</t>
        </is>
      </c>
      <c r="H1607" t="inlineStr">
        <is>
          <t>No</t>
        </is>
      </c>
      <c r="I1607" t="inlineStr">
        <is>
          <t>No</t>
        </is>
      </c>
      <c r="J1607" t="inlineStr">
        <is>
          <t>0</t>
        </is>
      </c>
      <c r="K1607" t="inlineStr">
        <is>
          <t>Hansen, Eric.</t>
        </is>
      </c>
      <c r="L1607" t="inlineStr">
        <is>
          <t>Boston : Houghton Mifflin, 1988.</t>
        </is>
      </c>
      <c r="M1607" t="inlineStr">
        <is>
          <t>1988</t>
        </is>
      </c>
      <c r="O1607" t="inlineStr">
        <is>
          <t>eng</t>
        </is>
      </c>
      <c r="P1607" t="inlineStr">
        <is>
          <t>mau</t>
        </is>
      </c>
      <c r="R1607" t="inlineStr">
        <is>
          <t xml:space="preserve">DS </t>
        </is>
      </c>
      <c r="S1607" t="n">
        <v>3</v>
      </c>
      <c r="T1607" t="n">
        <v>3</v>
      </c>
      <c r="U1607" t="inlineStr">
        <is>
          <t>1998-11-06</t>
        </is>
      </c>
      <c r="V1607" t="inlineStr">
        <is>
          <t>1998-11-06</t>
        </is>
      </c>
      <c r="W1607" t="inlineStr">
        <is>
          <t>1990-08-09</t>
        </is>
      </c>
      <c r="X1607" t="inlineStr">
        <is>
          <t>1990-08-09</t>
        </is>
      </c>
      <c r="Y1607" t="n">
        <v>754</v>
      </c>
      <c r="Z1607" t="n">
        <v>709</v>
      </c>
      <c r="AA1607" t="n">
        <v>872</v>
      </c>
      <c r="AB1607" t="n">
        <v>3</v>
      </c>
      <c r="AC1607" t="n">
        <v>4</v>
      </c>
      <c r="AD1607" t="n">
        <v>9</v>
      </c>
      <c r="AE1607" t="n">
        <v>14</v>
      </c>
      <c r="AF1607" t="n">
        <v>3</v>
      </c>
      <c r="AG1607" t="n">
        <v>5</v>
      </c>
      <c r="AH1607" t="n">
        <v>3</v>
      </c>
      <c r="AI1607" t="n">
        <v>4</v>
      </c>
      <c r="AJ1607" t="n">
        <v>7</v>
      </c>
      <c r="AK1607" t="n">
        <v>8</v>
      </c>
      <c r="AL1607" t="n">
        <v>0</v>
      </c>
      <c r="AM1607" t="n">
        <v>1</v>
      </c>
      <c r="AN1607" t="n">
        <v>0</v>
      </c>
      <c r="AO1607" t="n">
        <v>0</v>
      </c>
      <c r="AP1607" t="inlineStr">
        <is>
          <t>No</t>
        </is>
      </c>
      <c r="AQ1607" t="inlineStr">
        <is>
          <t>Yes</t>
        </is>
      </c>
      <c r="AR1607">
        <f>HYPERLINK("http://catalog.hathitrust.org/Record/000873601","HathiTrust Record")</f>
        <v/>
      </c>
      <c r="AS1607">
        <f>HYPERLINK("https://creighton-primo.hosted.exlibrisgroup.com/primo-explore/search?tab=default_tab&amp;search_scope=EVERYTHING&amp;vid=01CRU&amp;lang=en_US&amp;offset=0&amp;query=any,contains,991001094659702656","Catalog Record")</f>
        <v/>
      </c>
      <c r="AT1607">
        <f>HYPERLINK("http://www.worldcat.org/oclc/16227970","WorldCat Record")</f>
        <v/>
      </c>
      <c r="AU1607" t="inlineStr">
        <is>
          <t>15749402:eng</t>
        </is>
      </c>
      <c r="AV1607" t="inlineStr">
        <is>
          <t>16227970</t>
        </is>
      </c>
      <c r="AW1607" t="inlineStr">
        <is>
          <t>991001094659702656</t>
        </is>
      </c>
      <c r="AX1607" t="inlineStr">
        <is>
          <t>991001094659702656</t>
        </is>
      </c>
      <c r="AY1607" t="inlineStr">
        <is>
          <t>2264710140002656</t>
        </is>
      </c>
      <c r="AZ1607" t="inlineStr">
        <is>
          <t>BOOK</t>
        </is>
      </c>
      <c r="BB1607" t="inlineStr">
        <is>
          <t>9780395440933</t>
        </is>
      </c>
      <c r="BC1607" t="inlineStr">
        <is>
          <t>32285000272640</t>
        </is>
      </c>
      <c r="BD1607" t="inlineStr">
        <is>
          <t>893608543</t>
        </is>
      </c>
    </row>
    <row r="1608">
      <c r="A1608" t="inlineStr">
        <is>
          <t>No</t>
        </is>
      </c>
      <c r="B1608" t="inlineStr">
        <is>
          <t>DS598.K3 K47 1978</t>
        </is>
      </c>
      <c r="C1608" t="inlineStr">
        <is>
          <t>0                      DS 0598000K  3                  K  47          1978</t>
        </is>
      </c>
      <c r="D1608" t="inlineStr">
        <is>
          <t>Islam and politics in a Malay State, Kelantan, 1838-1969 / by Clive S. Kessler. --</t>
        </is>
      </c>
      <c r="F1608" t="inlineStr">
        <is>
          <t>No</t>
        </is>
      </c>
      <c r="G1608" t="inlineStr">
        <is>
          <t>1</t>
        </is>
      </c>
      <c r="H1608" t="inlineStr">
        <is>
          <t>No</t>
        </is>
      </c>
      <c r="I1608" t="inlineStr">
        <is>
          <t>No</t>
        </is>
      </c>
      <c r="J1608" t="inlineStr">
        <is>
          <t>0</t>
        </is>
      </c>
      <c r="K1608" t="inlineStr">
        <is>
          <t>Kessler, Clive S., 1942-</t>
        </is>
      </c>
      <c r="L1608" t="inlineStr">
        <is>
          <t>Ithaca, N.Y. : Cornell University Press, c1978.</t>
        </is>
      </c>
      <c r="M1608" t="inlineStr">
        <is>
          <t>1978</t>
        </is>
      </c>
      <c r="O1608" t="inlineStr">
        <is>
          <t>eng</t>
        </is>
      </c>
      <c r="P1608" t="inlineStr">
        <is>
          <t>nyu</t>
        </is>
      </c>
      <c r="R1608" t="inlineStr">
        <is>
          <t xml:space="preserve">DS </t>
        </is>
      </c>
      <c r="S1608" t="n">
        <v>7</v>
      </c>
      <c r="T1608" t="n">
        <v>7</v>
      </c>
      <c r="U1608" t="inlineStr">
        <is>
          <t>1996-09-23</t>
        </is>
      </c>
      <c r="V1608" t="inlineStr">
        <is>
          <t>1996-09-23</t>
        </is>
      </c>
      <c r="W1608" t="inlineStr">
        <is>
          <t>1990-10-11</t>
        </is>
      </c>
      <c r="X1608" t="inlineStr">
        <is>
          <t>1990-10-11</t>
        </is>
      </c>
      <c r="Y1608" t="n">
        <v>346</v>
      </c>
      <c r="Z1608" t="n">
        <v>232</v>
      </c>
      <c r="AA1608" t="n">
        <v>234</v>
      </c>
      <c r="AB1608" t="n">
        <v>3</v>
      </c>
      <c r="AC1608" t="n">
        <v>3</v>
      </c>
      <c r="AD1608" t="n">
        <v>8</v>
      </c>
      <c r="AE1608" t="n">
        <v>8</v>
      </c>
      <c r="AF1608" t="n">
        <v>0</v>
      </c>
      <c r="AG1608" t="n">
        <v>0</v>
      </c>
      <c r="AH1608" t="n">
        <v>2</v>
      </c>
      <c r="AI1608" t="n">
        <v>2</v>
      </c>
      <c r="AJ1608" t="n">
        <v>5</v>
      </c>
      <c r="AK1608" t="n">
        <v>5</v>
      </c>
      <c r="AL1608" t="n">
        <v>2</v>
      </c>
      <c r="AM1608" t="n">
        <v>2</v>
      </c>
      <c r="AN1608" t="n">
        <v>0</v>
      </c>
      <c r="AO1608" t="n">
        <v>0</v>
      </c>
      <c r="AP1608" t="inlineStr">
        <is>
          <t>No</t>
        </is>
      </c>
      <c r="AQ1608" t="inlineStr">
        <is>
          <t>Yes</t>
        </is>
      </c>
      <c r="AR1608">
        <f>HYPERLINK("http://catalog.hathitrust.org/Record/000751372","HathiTrust Record")</f>
        <v/>
      </c>
      <c r="AS1608">
        <f>HYPERLINK("https://creighton-primo.hosted.exlibrisgroup.com/primo-explore/search?tab=default_tab&amp;search_scope=EVERYTHING&amp;vid=01CRU&amp;lang=en_US&amp;offset=0&amp;query=any,contains,991004425959702656","Catalog Record")</f>
        <v/>
      </c>
      <c r="AT1608">
        <f>HYPERLINK("http://www.worldcat.org/oclc/3397314","WorldCat Record")</f>
        <v/>
      </c>
      <c r="AU1608" t="inlineStr">
        <is>
          <t>146744293:eng</t>
        </is>
      </c>
      <c r="AV1608" t="inlineStr">
        <is>
          <t>3397314</t>
        </is>
      </c>
      <c r="AW1608" t="inlineStr">
        <is>
          <t>991004425959702656</t>
        </is>
      </c>
      <c r="AX1608" t="inlineStr">
        <is>
          <t>991004425959702656</t>
        </is>
      </c>
      <c r="AY1608" t="inlineStr">
        <is>
          <t>2270274460002656</t>
        </is>
      </c>
      <c r="AZ1608" t="inlineStr">
        <is>
          <t>BOOK</t>
        </is>
      </c>
      <c r="BB1608" t="inlineStr">
        <is>
          <t>9780801411038</t>
        </is>
      </c>
      <c r="BC1608" t="inlineStr">
        <is>
          <t>32285000337831</t>
        </is>
      </c>
      <c r="BD1608" t="inlineStr">
        <is>
          <t>893319210</t>
        </is>
      </c>
    </row>
    <row r="1609">
      <c r="A1609" t="inlineStr">
        <is>
          <t>No</t>
        </is>
      </c>
      <c r="B1609" t="inlineStr">
        <is>
          <t>DS598.S7 C39 1971</t>
        </is>
      </c>
      <c r="C1609" t="inlineStr">
        <is>
          <t>0                      DS 0598000S  7                  C  39          1971</t>
        </is>
      </c>
      <c r="D1609" t="inlineStr">
        <is>
          <t>Singapore; the politics of survival, 1965-1967.</t>
        </is>
      </c>
      <c r="F1609" t="inlineStr">
        <is>
          <t>No</t>
        </is>
      </c>
      <c r="G1609" t="inlineStr">
        <is>
          <t>1</t>
        </is>
      </c>
      <c r="H1609" t="inlineStr">
        <is>
          <t>No</t>
        </is>
      </c>
      <c r="I1609" t="inlineStr">
        <is>
          <t>No</t>
        </is>
      </c>
      <c r="J1609" t="inlineStr">
        <is>
          <t>0</t>
        </is>
      </c>
      <c r="K1609" t="inlineStr">
        <is>
          <t>Chan, Heng Chee.</t>
        </is>
      </c>
      <c r="L1609" t="inlineStr">
        <is>
          <t>Singapore, Oxford University Press, 1971.</t>
        </is>
      </c>
      <c r="M1609" t="inlineStr">
        <is>
          <t>1971</t>
        </is>
      </c>
      <c r="O1609" t="inlineStr">
        <is>
          <t>eng</t>
        </is>
      </c>
      <c r="P1609" t="inlineStr">
        <is>
          <t xml:space="preserve">si </t>
        </is>
      </c>
      <c r="Q1609" t="inlineStr">
        <is>
          <t>Oxford in Asia current affairs</t>
        </is>
      </c>
      <c r="R1609" t="inlineStr">
        <is>
          <t xml:space="preserve">DS </t>
        </is>
      </c>
      <c r="S1609" t="n">
        <v>5</v>
      </c>
      <c r="T1609" t="n">
        <v>5</v>
      </c>
      <c r="U1609" t="inlineStr">
        <is>
          <t>1998-03-02</t>
        </is>
      </c>
      <c r="V1609" t="inlineStr">
        <is>
          <t>1998-03-02</t>
        </is>
      </c>
      <c r="W1609" t="inlineStr">
        <is>
          <t>1997-03-11</t>
        </is>
      </c>
      <c r="X1609" t="inlineStr">
        <is>
          <t>1997-03-11</t>
        </is>
      </c>
      <c r="Y1609" t="n">
        <v>298</v>
      </c>
      <c r="Z1609" t="n">
        <v>213</v>
      </c>
      <c r="AA1609" t="n">
        <v>218</v>
      </c>
      <c r="AB1609" t="n">
        <v>2</v>
      </c>
      <c r="AC1609" t="n">
        <v>2</v>
      </c>
      <c r="AD1609" t="n">
        <v>11</v>
      </c>
      <c r="AE1609" t="n">
        <v>11</v>
      </c>
      <c r="AF1609" t="n">
        <v>3</v>
      </c>
      <c r="AG1609" t="n">
        <v>3</v>
      </c>
      <c r="AH1609" t="n">
        <v>5</v>
      </c>
      <c r="AI1609" t="n">
        <v>5</v>
      </c>
      <c r="AJ1609" t="n">
        <v>5</v>
      </c>
      <c r="AK1609" t="n">
        <v>5</v>
      </c>
      <c r="AL1609" t="n">
        <v>1</v>
      </c>
      <c r="AM1609" t="n">
        <v>1</v>
      </c>
      <c r="AN1609" t="n">
        <v>0</v>
      </c>
      <c r="AO1609" t="n">
        <v>0</v>
      </c>
      <c r="AP1609" t="inlineStr">
        <is>
          <t>No</t>
        </is>
      </c>
      <c r="AQ1609" t="inlineStr">
        <is>
          <t>No</t>
        </is>
      </c>
      <c r="AS1609">
        <f>HYPERLINK("https://creighton-primo.hosted.exlibrisgroup.com/primo-explore/search?tab=default_tab&amp;search_scope=EVERYTHING&amp;vid=01CRU&amp;lang=en_US&amp;offset=0&amp;query=any,contains,991001236629702656","Catalog Record")</f>
        <v/>
      </c>
      <c r="AT1609">
        <f>HYPERLINK("http://www.worldcat.org/oclc/206596","WorldCat Record")</f>
        <v/>
      </c>
      <c r="AU1609" t="inlineStr">
        <is>
          <t>198666167:eng</t>
        </is>
      </c>
      <c r="AV1609" t="inlineStr">
        <is>
          <t>206596</t>
        </is>
      </c>
      <c r="AW1609" t="inlineStr">
        <is>
          <t>991001236629702656</t>
        </is>
      </c>
      <c r="AX1609" t="inlineStr">
        <is>
          <t>991001236629702656</t>
        </is>
      </c>
      <c r="AY1609" t="inlineStr">
        <is>
          <t>2254845440002656</t>
        </is>
      </c>
      <c r="AZ1609" t="inlineStr">
        <is>
          <t>BOOK</t>
        </is>
      </c>
      <c r="BC1609" t="inlineStr">
        <is>
          <t>32285002445269</t>
        </is>
      </c>
      <c r="BD1609" t="inlineStr">
        <is>
          <t>893791297</t>
        </is>
      </c>
    </row>
    <row r="1610">
      <c r="A1610" t="inlineStr">
        <is>
          <t>No</t>
        </is>
      </c>
      <c r="B1610" t="inlineStr">
        <is>
          <t>DS598.S7 L38</t>
        </is>
      </c>
      <c r="C1610" t="inlineStr">
        <is>
          <t>0                      DS 0598000S  7                  L  38</t>
        </is>
      </c>
      <c r="D1610" t="inlineStr">
        <is>
          <t>Singapore: the battle that changed the world.</t>
        </is>
      </c>
      <c r="F1610" t="inlineStr">
        <is>
          <t>No</t>
        </is>
      </c>
      <c r="G1610" t="inlineStr">
        <is>
          <t>1</t>
        </is>
      </c>
      <c r="H1610" t="inlineStr">
        <is>
          <t>No</t>
        </is>
      </c>
      <c r="I1610" t="inlineStr">
        <is>
          <t>No</t>
        </is>
      </c>
      <c r="J1610" t="inlineStr">
        <is>
          <t>0</t>
        </is>
      </c>
      <c r="K1610" t="inlineStr">
        <is>
          <t>Leasor, James.</t>
        </is>
      </c>
      <c r="L1610" t="inlineStr">
        <is>
          <t>Garden City, N.Y., Doubleday, 1968.</t>
        </is>
      </c>
      <c r="M1610" t="inlineStr">
        <is>
          <t>1968</t>
        </is>
      </c>
      <c r="N1610" t="inlineStr">
        <is>
          <t>[1st ed.]</t>
        </is>
      </c>
      <c r="O1610" t="inlineStr">
        <is>
          <t>eng</t>
        </is>
      </c>
      <c r="P1610" t="inlineStr">
        <is>
          <t>nyu</t>
        </is>
      </c>
      <c r="Q1610" t="inlineStr">
        <is>
          <t>The Crossroads of world history series</t>
        </is>
      </c>
      <c r="R1610" t="inlineStr">
        <is>
          <t xml:space="preserve">DS </t>
        </is>
      </c>
      <c r="S1610" t="n">
        <v>4</v>
      </c>
      <c r="T1610" t="n">
        <v>4</v>
      </c>
      <c r="U1610" t="inlineStr">
        <is>
          <t>2009-02-23</t>
        </is>
      </c>
      <c r="V1610" t="inlineStr">
        <is>
          <t>2009-02-23</t>
        </is>
      </c>
      <c r="W1610" t="inlineStr">
        <is>
          <t>1997-03-11</t>
        </is>
      </c>
      <c r="X1610" t="inlineStr">
        <is>
          <t>1997-03-11</t>
        </is>
      </c>
      <c r="Y1610" t="n">
        <v>734</v>
      </c>
      <c r="Z1610" t="n">
        <v>680</v>
      </c>
      <c r="AA1610" t="n">
        <v>701</v>
      </c>
      <c r="AB1610" t="n">
        <v>5</v>
      </c>
      <c r="AC1610" t="n">
        <v>5</v>
      </c>
      <c r="AD1610" t="n">
        <v>16</v>
      </c>
      <c r="AE1610" t="n">
        <v>17</v>
      </c>
      <c r="AF1610" t="n">
        <v>5</v>
      </c>
      <c r="AG1610" t="n">
        <v>5</v>
      </c>
      <c r="AH1610" t="n">
        <v>5</v>
      </c>
      <c r="AI1610" t="n">
        <v>6</v>
      </c>
      <c r="AJ1610" t="n">
        <v>8</v>
      </c>
      <c r="AK1610" t="n">
        <v>9</v>
      </c>
      <c r="AL1610" t="n">
        <v>2</v>
      </c>
      <c r="AM1610" t="n">
        <v>2</v>
      </c>
      <c r="AN1610" t="n">
        <v>0</v>
      </c>
      <c r="AO1610" t="n">
        <v>0</v>
      </c>
      <c r="AP1610" t="inlineStr">
        <is>
          <t>No</t>
        </is>
      </c>
      <c r="AQ1610" t="inlineStr">
        <is>
          <t>Yes</t>
        </is>
      </c>
      <c r="AR1610">
        <f>HYPERLINK("http://catalog.hathitrust.org/Record/001256001","HathiTrust Record")</f>
        <v/>
      </c>
      <c r="AS1610">
        <f>HYPERLINK("https://creighton-primo.hosted.exlibrisgroup.com/primo-explore/search?tab=default_tab&amp;search_scope=EVERYTHING&amp;vid=01CRU&amp;lang=en_US&amp;offset=0&amp;query=any,contains,991003183899702656","Catalog Record")</f>
        <v/>
      </c>
      <c r="AT1610">
        <f>HYPERLINK("http://www.worldcat.org/oclc/712354","WorldCat Record")</f>
        <v/>
      </c>
      <c r="AU1610" t="inlineStr">
        <is>
          <t>1664704:eng</t>
        </is>
      </c>
      <c r="AV1610" t="inlineStr">
        <is>
          <t>712354</t>
        </is>
      </c>
      <c r="AW1610" t="inlineStr">
        <is>
          <t>991003183899702656</t>
        </is>
      </c>
      <c r="AX1610" t="inlineStr">
        <is>
          <t>991003183899702656</t>
        </is>
      </c>
      <c r="AY1610" t="inlineStr">
        <is>
          <t>2256487230002656</t>
        </is>
      </c>
      <c r="AZ1610" t="inlineStr">
        <is>
          <t>BOOK</t>
        </is>
      </c>
      <c r="BC1610" t="inlineStr">
        <is>
          <t>32285002445277</t>
        </is>
      </c>
      <c r="BD1610" t="inlineStr">
        <is>
          <t>893880896</t>
        </is>
      </c>
    </row>
    <row r="1611">
      <c r="A1611" t="inlineStr">
        <is>
          <t>No</t>
        </is>
      </c>
      <c r="B1611" t="inlineStr">
        <is>
          <t>DS598.S7 M53 1990</t>
        </is>
      </c>
      <c r="C1611" t="inlineStr">
        <is>
          <t>0                      DS 0598000S  7                  M  53          1990</t>
        </is>
      </c>
      <c r="D1611" t="inlineStr">
        <is>
          <t>Singapore : the legacy of Lee Kuan Yew / R.S. Milne and Diane K. Mauzy.</t>
        </is>
      </c>
      <c r="F1611" t="inlineStr">
        <is>
          <t>No</t>
        </is>
      </c>
      <c r="G1611" t="inlineStr">
        <is>
          <t>1</t>
        </is>
      </c>
      <c r="H1611" t="inlineStr">
        <is>
          <t>No</t>
        </is>
      </c>
      <c r="I1611" t="inlineStr">
        <is>
          <t>No</t>
        </is>
      </c>
      <c r="J1611" t="inlineStr">
        <is>
          <t>0</t>
        </is>
      </c>
      <c r="K1611" t="inlineStr">
        <is>
          <t>Milne, R. S. (Robert Stephen), 1919-2014.</t>
        </is>
      </c>
      <c r="L1611" t="inlineStr">
        <is>
          <t>Boulder : Westview Press, 1990.</t>
        </is>
      </c>
      <c r="M1611" t="inlineStr">
        <is>
          <t>1990</t>
        </is>
      </c>
      <c r="O1611" t="inlineStr">
        <is>
          <t>eng</t>
        </is>
      </c>
      <c r="P1611" t="inlineStr">
        <is>
          <t>cou</t>
        </is>
      </c>
      <c r="Q1611" t="inlineStr">
        <is>
          <t>Westview profiles. Nations of contemporary Asia</t>
        </is>
      </c>
      <c r="R1611" t="inlineStr">
        <is>
          <t xml:space="preserve">DS </t>
        </is>
      </c>
      <c r="S1611" t="n">
        <v>24</v>
      </c>
      <c r="T1611" t="n">
        <v>24</v>
      </c>
      <c r="U1611" t="inlineStr">
        <is>
          <t>1999-02-26</t>
        </is>
      </c>
      <c r="V1611" t="inlineStr">
        <is>
          <t>1999-02-26</t>
        </is>
      </c>
      <c r="W1611" t="inlineStr">
        <is>
          <t>1991-04-30</t>
        </is>
      </c>
      <c r="X1611" t="inlineStr">
        <is>
          <t>1991-04-30</t>
        </is>
      </c>
      <c r="Y1611" t="n">
        <v>469</v>
      </c>
      <c r="Z1611" t="n">
        <v>350</v>
      </c>
      <c r="AA1611" t="n">
        <v>356</v>
      </c>
      <c r="AB1611" t="n">
        <v>4</v>
      </c>
      <c r="AC1611" t="n">
        <v>4</v>
      </c>
      <c r="AD1611" t="n">
        <v>15</v>
      </c>
      <c r="AE1611" t="n">
        <v>15</v>
      </c>
      <c r="AF1611" t="n">
        <v>3</v>
      </c>
      <c r="AG1611" t="n">
        <v>3</v>
      </c>
      <c r="AH1611" t="n">
        <v>5</v>
      </c>
      <c r="AI1611" t="n">
        <v>5</v>
      </c>
      <c r="AJ1611" t="n">
        <v>7</v>
      </c>
      <c r="AK1611" t="n">
        <v>7</v>
      </c>
      <c r="AL1611" t="n">
        <v>3</v>
      </c>
      <c r="AM1611" t="n">
        <v>3</v>
      </c>
      <c r="AN1611" t="n">
        <v>0</v>
      </c>
      <c r="AO1611" t="n">
        <v>0</v>
      </c>
      <c r="AP1611" t="inlineStr">
        <is>
          <t>No</t>
        </is>
      </c>
      <c r="AQ1611" t="inlineStr">
        <is>
          <t>Yes</t>
        </is>
      </c>
      <c r="AR1611">
        <f>HYPERLINK("http://catalog.hathitrust.org/Record/002053314","HathiTrust Record")</f>
        <v/>
      </c>
      <c r="AS1611">
        <f>HYPERLINK("https://creighton-primo.hosted.exlibrisgroup.com/primo-explore/search?tab=default_tab&amp;search_scope=EVERYTHING&amp;vid=01CRU&amp;lang=en_US&amp;offset=0&amp;query=any,contains,991001568759702656","Catalog Record")</f>
        <v/>
      </c>
      <c r="AT1611">
        <f>HYPERLINK("http://www.worldcat.org/oclc/20358608","WorldCat Record")</f>
        <v/>
      </c>
      <c r="AU1611" t="inlineStr">
        <is>
          <t>22084166:eng</t>
        </is>
      </c>
      <c r="AV1611" t="inlineStr">
        <is>
          <t>20358608</t>
        </is>
      </c>
      <c r="AW1611" t="inlineStr">
        <is>
          <t>991001568759702656</t>
        </is>
      </c>
      <c r="AX1611" t="inlineStr">
        <is>
          <t>991001568759702656</t>
        </is>
      </c>
      <c r="AY1611" t="inlineStr">
        <is>
          <t>2272727620002656</t>
        </is>
      </c>
      <c r="AZ1611" t="inlineStr">
        <is>
          <t>BOOK</t>
        </is>
      </c>
      <c r="BB1611" t="inlineStr">
        <is>
          <t>9780813310916</t>
        </is>
      </c>
      <c r="BC1611" t="inlineStr">
        <is>
          <t>32285000570142</t>
        </is>
      </c>
      <c r="BD1611" t="inlineStr">
        <is>
          <t>893334389</t>
        </is>
      </c>
    </row>
    <row r="1612">
      <c r="A1612" t="inlineStr">
        <is>
          <t>No</t>
        </is>
      </c>
      <c r="B1612" t="inlineStr">
        <is>
          <t>DS598.S7 S65 1967</t>
        </is>
      </c>
      <c r="C1612" t="inlineStr">
        <is>
          <t>0                      DS 0598000S  7                  S  65          1967</t>
        </is>
      </c>
      <c r="D1612" t="inlineStr">
        <is>
          <t>One hundred years' history of the Chinese in Singapore.</t>
        </is>
      </c>
      <c r="F1612" t="inlineStr">
        <is>
          <t>No</t>
        </is>
      </c>
      <c r="G1612" t="inlineStr">
        <is>
          <t>1</t>
        </is>
      </c>
      <c r="H1612" t="inlineStr">
        <is>
          <t>No</t>
        </is>
      </c>
      <c r="I1612" t="inlineStr">
        <is>
          <t>No</t>
        </is>
      </c>
      <c r="J1612" t="inlineStr">
        <is>
          <t>0</t>
        </is>
      </c>
      <c r="K1612" t="inlineStr">
        <is>
          <t>Song, Ong Siang, 1871-</t>
        </is>
      </c>
      <c r="L1612" t="inlineStr">
        <is>
          <t>Singapore, University Malaya Press, 1967.</t>
        </is>
      </c>
      <c r="M1612" t="inlineStr">
        <is>
          <t>1967</t>
        </is>
      </c>
      <c r="O1612" t="inlineStr">
        <is>
          <t>eng</t>
        </is>
      </c>
      <c r="P1612" t="inlineStr">
        <is>
          <t xml:space="preserve">si </t>
        </is>
      </c>
      <c r="R1612" t="inlineStr">
        <is>
          <t xml:space="preserve">DS </t>
        </is>
      </c>
      <c r="S1612" t="n">
        <v>3</v>
      </c>
      <c r="T1612" t="n">
        <v>3</v>
      </c>
      <c r="U1612" t="inlineStr">
        <is>
          <t>2009-02-23</t>
        </is>
      </c>
      <c r="V1612" t="inlineStr">
        <is>
          <t>2009-02-23</t>
        </is>
      </c>
      <c r="W1612" t="inlineStr">
        <is>
          <t>1997-03-11</t>
        </is>
      </c>
      <c r="X1612" t="inlineStr">
        <is>
          <t>1997-03-11</t>
        </is>
      </c>
      <c r="Y1612" t="n">
        <v>272</v>
      </c>
      <c r="Z1612" t="n">
        <v>203</v>
      </c>
      <c r="AA1612" t="n">
        <v>238</v>
      </c>
      <c r="AB1612" t="n">
        <v>3</v>
      </c>
      <c r="AC1612" t="n">
        <v>3</v>
      </c>
      <c r="AD1612" t="n">
        <v>10</v>
      </c>
      <c r="AE1612" t="n">
        <v>10</v>
      </c>
      <c r="AF1612" t="n">
        <v>1</v>
      </c>
      <c r="AG1612" t="n">
        <v>1</v>
      </c>
      <c r="AH1612" t="n">
        <v>3</v>
      </c>
      <c r="AI1612" t="n">
        <v>3</v>
      </c>
      <c r="AJ1612" t="n">
        <v>6</v>
      </c>
      <c r="AK1612" t="n">
        <v>6</v>
      </c>
      <c r="AL1612" t="n">
        <v>2</v>
      </c>
      <c r="AM1612" t="n">
        <v>2</v>
      </c>
      <c r="AN1612" t="n">
        <v>0</v>
      </c>
      <c r="AO1612" t="n">
        <v>0</v>
      </c>
      <c r="AP1612" t="inlineStr">
        <is>
          <t>No</t>
        </is>
      </c>
      <c r="AQ1612" t="inlineStr">
        <is>
          <t>Yes</t>
        </is>
      </c>
      <c r="AR1612">
        <f>HYPERLINK("http://catalog.hathitrust.org/Record/001256007","HathiTrust Record")</f>
        <v/>
      </c>
      <c r="AS1612">
        <f>HYPERLINK("https://creighton-primo.hosted.exlibrisgroup.com/primo-explore/search?tab=default_tab&amp;search_scope=EVERYTHING&amp;vid=01CRU&amp;lang=en_US&amp;offset=0&amp;query=any,contains,991002765369702656","Catalog Record")</f>
        <v/>
      </c>
      <c r="AT1612">
        <f>HYPERLINK("http://www.worldcat.org/oclc/433030","WorldCat Record")</f>
        <v/>
      </c>
      <c r="AU1612" t="inlineStr">
        <is>
          <t>1543919:eng</t>
        </is>
      </c>
      <c r="AV1612" t="inlineStr">
        <is>
          <t>433030</t>
        </is>
      </c>
      <c r="AW1612" t="inlineStr">
        <is>
          <t>991002765369702656</t>
        </is>
      </c>
      <c r="AX1612" t="inlineStr">
        <is>
          <t>991002765369702656</t>
        </is>
      </c>
      <c r="AY1612" t="inlineStr">
        <is>
          <t>2270358950002656</t>
        </is>
      </c>
      <c r="AZ1612" t="inlineStr">
        <is>
          <t>BOOK</t>
        </is>
      </c>
      <c r="BC1612" t="inlineStr">
        <is>
          <t>32285002445285</t>
        </is>
      </c>
      <c r="BD1612" t="inlineStr">
        <is>
          <t>893691974</t>
        </is>
      </c>
    </row>
    <row r="1613">
      <c r="A1613" t="inlineStr">
        <is>
          <t>No</t>
        </is>
      </c>
      <c r="B1613" t="inlineStr">
        <is>
          <t>DS598.S7 W46</t>
        </is>
      </c>
      <c r="C1613" t="inlineStr">
        <is>
          <t>0                      DS 0598000S  7                  W  46</t>
        </is>
      </c>
      <c r="D1613" t="inlineStr">
        <is>
          <t>The future role of Singapore / [by] Dick Wilson.</t>
        </is>
      </c>
      <c r="F1613" t="inlineStr">
        <is>
          <t>No</t>
        </is>
      </c>
      <c r="G1613" t="inlineStr">
        <is>
          <t>1</t>
        </is>
      </c>
      <c r="H1613" t="inlineStr">
        <is>
          <t>No</t>
        </is>
      </c>
      <c r="I1613" t="inlineStr">
        <is>
          <t>No</t>
        </is>
      </c>
      <c r="J1613" t="inlineStr">
        <is>
          <t>0</t>
        </is>
      </c>
      <c r="K1613" t="inlineStr">
        <is>
          <t>Wilson, Dick, 1928-</t>
        </is>
      </c>
      <c r="L1613" t="inlineStr">
        <is>
          <t>London ; New York : Oxford University Press for the Royal Institute of International Affairs, 1972.</t>
        </is>
      </c>
      <c r="M1613" t="inlineStr">
        <is>
          <t>1972</t>
        </is>
      </c>
      <c r="O1613" t="inlineStr">
        <is>
          <t>eng</t>
        </is>
      </c>
      <c r="P1613" t="inlineStr">
        <is>
          <t>enk</t>
        </is>
      </c>
      <c r="Q1613" t="inlineStr">
        <is>
          <t>Oxford paperbacks</t>
        </is>
      </c>
      <c r="R1613" t="inlineStr">
        <is>
          <t xml:space="preserve">DS </t>
        </is>
      </c>
      <c r="S1613" t="n">
        <v>9</v>
      </c>
      <c r="T1613" t="n">
        <v>9</v>
      </c>
      <c r="U1613" t="inlineStr">
        <is>
          <t>2005-02-17</t>
        </is>
      </c>
      <c r="V1613" t="inlineStr">
        <is>
          <t>2005-02-17</t>
        </is>
      </c>
      <c r="W1613" t="inlineStr">
        <is>
          <t>1991-02-04</t>
        </is>
      </c>
      <c r="X1613" t="inlineStr">
        <is>
          <t>1991-02-04</t>
        </is>
      </c>
      <c r="Y1613" t="n">
        <v>368</v>
      </c>
      <c r="Z1613" t="n">
        <v>245</v>
      </c>
      <c r="AA1613" t="n">
        <v>248</v>
      </c>
      <c r="AB1613" t="n">
        <v>2</v>
      </c>
      <c r="AC1613" t="n">
        <v>2</v>
      </c>
      <c r="AD1613" t="n">
        <v>7</v>
      </c>
      <c r="AE1613" t="n">
        <v>7</v>
      </c>
      <c r="AF1613" t="n">
        <v>1</v>
      </c>
      <c r="AG1613" t="n">
        <v>1</v>
      </c>
      <c r="AH1613" t="n">
        <v>1</v>
      </c>
      <c r="AI1613" t="n">
        <v>1</v>
      </c>
      <c r="AJ1613" t="n">
        <v>5</v>
      </c>
      <c r="AK1613" t="n">
        <v>5</v>
      </c>
      <c r="AL1613" t="n">
        <v>1</v>
      </c>
      <c r="AM1613" t="n">
        <v>1</v>
      </c>
      <c r="AN1613" t="n">
        <v>0</v>
      </c>
      <c r="AO1613" t="n">
        <v>0</v>
      </c>
      <c r="AP1613" t="inlineStr">
        <is>
          <t>No</t>
        </is>
      </c>
      <c r="AQ1613" t="inlineStr">
        <is>
          <t>Yes</t>
        </is>
      </c>
      <c r="AR1613">
        <f>HYPERLINK("http://catalog.hathitrust.org/Record/001256009","HathiTrust Record")</f>
        <v/>
      </c>
      <c r="AS1613">
        <f>HYPERLINK("https://creighton-primo.hosted.exlibrisgroup.com/primo-explore/search?tab=default_tab&amp;search_scope=EVERYTHING&amp;vid=01CRU&amp;lang=en_US&amp;offset=0&amp;query=any,contains,991003078749702656","Catalog Record")</f>
        <v/>
      </c>
      <c r="AT1613">
        <f>HYPERLINK("http://www.worldcat.org/oclc/631805","WorldCat Record")</f>
        <v/>
      </c>
      <c r="AU1613" t="inlineStr">
        <is>
          <t>1743170:eng</t>
        </is>
      </c>
      <c r="AV1613" t="inlineStr">
        <is>
          <t>631805</t>
        </is>
      </c>
      <c r="AW1613" t="inlineStr">
        <is>
          <t>991003078749702656</t>
        </is>
      </c>
      <c r="AX1613" t="inlineStr">
        <is>
          <t>991003078749702656</t>
        </is>
      </c>
      <c r="AY1613" t="inlineStr">
        <is>
          <t>2263093740002656</t>
        </is>
      </c>
      <c r="AZ1613" t="inlineStr">
        <is>
          <t>BOOK</t>
        </is>
      </c>
      <c r="BB1613" t="inlineStr">
        <is>
          <t>9780192850591</t>
        </is>
      </c>
      <c r="BC1613" t="inlineStr">
        <is>
          <t>32285000470954</t>
        </is>
      </c>
      <c r="BD1613" t="inlineStr">
        <is>
          <t>893530829</t>
        </is>
      </c>
    </row>
    <row r="1614">
      <c r="A1614" t="inlineStr">
        <is>
          <t>No</t>
        </is>
      </c>
      <c r="B1614" t="inlineStr">
        <is>
          <t>DS598.S7 W8</t>
        </is>
      </c>
      <c r="C1614" t="inlineStr">
        <is>
          <t>0                      DS 0598000S  7                  W  8</t>
        </is>
      </c>
      <c r="D1614" t="inlineStr">
        <is>
          <t>Strategic significance of Singapore : a study in balance of power.</t>
        </is>
      </c>
      <c r="F1614" t="inlineStr">
        <is>
          <t>No</t>
        </is>
      </c>
      <c r="G1614" t="inlineStr">
        <is>
          <t>1</t>
        </is>
      </c>
      <c r="H1614" t="inlineStr">
        <is>
          <t>No</t>
        </is>
      </c>
      <c r="I1614" t="inlineStr">
        <is>
          <t>No</t>
        </is>
      </c>
      <c r="J1614" t="inlineStr">
        <is>
          <t>0</t>
        </is>
      </c>
      <c r="K1614" t="inlineStr">
        <is>
          <t>Wu, Yuan-li.</t>
        </is>
      </c>
      <c r="L1614" t="inlineStr">
        <is>
          <t>Washington : American Enterprise Institute for Public Policy Research, [1972]</t>
        </is>
      </c>
      <c r="M1614" t="inlineStr">
        <is>
          <t>1972</t>
        </is>
      </c>
      <c r="O1614" t="inlineStr">
        <is>
          <t>eng</t>
        </is>
      </c>
      <c r="P1614" t="inlineStr">
        <is>
          <t>dcu</t>
        </is>
      </c>
      <c r="Q1614" t="inlineStr">
        <is>
          <t>Foreign affairs study ; 6</t>
        </is>
      </c>
      <c r="R1614" t="inlineStr">
        <is>
          <t xml:space="preserve">DS </t>
        </is>
      </c>
      <c r="S1614" t="n">
        <v>12</v>
      </c>
      <c r="T1614" t="n">
        <v>12</v>
      </c>
      <c r="U1614" t="inlineStr">
        <is>
          <t>2005-02-24</t>
        </is>
      </c>
      <c r="V1614" t="inlineStr">
        <is>
          <t>2005-02-24</t>
        </is>
      </c>
      <c r="W1614" t="inlineStr">
        <is>
          <t>1993-02-17</t>
        </is>
      </c>
      <c r="X1614" t="inlineStr">
        <is>
          <t>1993-02-17</t>
        </is>
      </c>
      <c r="Y1614" t="n">
        <v>341</v>
      </c>
      <c r="Z1614" t="n">
        <v>301</v>
      </c>
      <c r="AA1614" t="n">
        <v>302</v>
      </c>
      <c r="AB1614" t="n">
        <v>3</v>
      </c>
      <c r="AC1614" t="n">
        <v>3</v>
      </c>
      <c r="AD1614" t="n">
        <v>13</v>
      </c>
      <c r="AE1614" t="n">
        <v>13</v>
      </c>
      <c r="AF1614" t="n">
        <v>3</v>
      </c>
      <c r="AG1614" t="n">
        <v>3</v>
      </c>
      <c r="AH1614" t="n">
        <v>6</v>
      </c>
      <c r="AI1614" t="n">
        <v>6</v>
      </c>
      <c r="AJ1614" t="n">
        <v>5</v>
      </c>
      <c r="AK1614" t="n">
        <v>5</v>
      </c>
      <c r="AL1614" t="n">
        <v>2</v>
      </c>
      <c r="AM1614" t="n">
        <v>2</v>
      </c>
      <c r="AN1614" t="n">
        <v>1</v>
      </c>
      <c r="AO1614" t="n">
        <v>1</v>
      </c>
      <c r="AP1614" t="inlineStr">
        <is>
          <t>No</t>
        </is>
      </c>
      <c r="AQ1614" t="inlineStr">
        <is>
          <t>Yes</t>
        </is>
      </c>
      <c r="AR1614">
        <f>HYPERLINK("http://catalog.hathitrust.org/Record/001256010","HathiTrust Record")</f>
        <v/>
      </c>
      <c r="AS1614">
        <f>HYPERLINK("https://creighton-primo.hosted.exlibrisgroup.com/primo-explore/search?tab=default_tab&amp;search_scope=EVERYTHING&amp;vid=01CRU&amp;lang=en_US&amp;offset=0&amp;query=any,contains,991003116239702656","Catalog Record")</f>
        <v/>
      </c>
      <c r="AT1614">
        <f>HYPERLINK("http://www.worldcat.org/oclc/661733","WorldCat Record")</f>
        <v/>
      </c>
      <c r="AU1614" t="inlineStr">
        <is>
          <t>210222347:eng</t>
        </is>
      </c>
      <c r="AV1614" t="inlineStr">
        <is>
          <t>661733</t>
        </is>
      </c>
      <c r="AW1614" t="inlineStr">
        <is>
          <t>991003116239702656</t>
        </is>
      </c>
      <c r="AX1614" t="inlineStr">
        <is>
          <t>991003116239702656</t>
        </is>
      </c>
      <c r="AY1614" t="inlineStr">
        <is>
          <t>2268953620002656</t>
        </is>
      </c>
      <c r="AZ1614" t="inlineStr">
        <is>
          <t>BOOK</t>
        </is>
      </c>
      <c r="BC1614" t="inlineStr">
        <is>
          <t>32285001502847</t>
        </is>
      </c>
      <c r="BD1614" t="inlineStr">
        <is>
          <t>893887151</t>
        </is>
      </c>
    </row>
    <row r="1615">
      <c r="A1615" t="inlineStr">
        <is>
          <t>No</t>
        </is>
      </c>
      <c r="B1615" t="inlineStr">
        <is>
          <t>DS598.S742 L5 1989</t>
        </is>
      </c>
      <c r="C1615" t="inlineStr">
        <is>
          <t>0                      DS 0598000S  742                L  5           1989</t>
        </is>
      </c>
      <c r="D1615" t="inlineStr">
        <is>
          <t>Malays in Singapore : culture, economy, and ideology / Tania Li.</t>
        </is>
      </c>
      <c r="F1615" t="inlineStr">
        <is>
          <t>No</t>
        </is>
      </c>
      <c r="G1615" t="inlineStr">
        <is>
          <t>1</t>
        </is>
      </c>
      <c r="H1615" t="inlineStr">
        <is>
          <t>No</t>
        </is>
      </c>
      <c r="I1615" t="inlineStr">
        <is>
          <t>No</t>
        </is>
      </c>
      <c r="J1615" t="inlineStr">
        <is>
          <t>0</t>
        </is>
      </c>
      <c r="K1615" t="inlineStr">
        <is>
          <t>Li, Tania, 1959-</t>
        </is>
      </c>
      <c r="L1615" t="inlineStr">
        <is>
          <t>Singapore ; New York ; Oxford University Press, 1989.</t>
        </is>
      </c>
      <c r="M1615" t="inlineStr">
        <is>
          <t>1989</t>
        </is>
      </c>
      <c r="O1615" t="inlineStr">
        <is>
          <t>eng</t>
        </is>
      </c>
      <c r="P1615" t="inlineStr">
        <is>
          <t xml:space="preserve">si </t>
        </is>
      </c>
      <c r="Q1615" t="inlineStr">
        <is>
          <t>East Asian social science monographs</t>
        </is>
      </c>
      <c r="R1615" t="inlineStr">
        <is>
          <t xml:space="preserve">DS </t>
        </is>
      </c>
      <c r="S1615" t="n">
        <v>24</v>
      </c>
      <c r="T1615" t="n">
        <v>24</v>
      </c>
      <c r="U1615" t="inlineStr">
        <is>
          <t>2003-10-27</t>
        </is>
      </c>
      <c r="V1615" t="inlineStr">
        <is>
          <t>2003-10-27</t>
        </is>
      </c>
      <c r="W1615" t="inlineStr">
        <is>
          <t>1990-05-17</t>
        </is>
      </c>
      <c r="X1615" t="inlineStr">
        <is>
          <t>1990-05-17</t>
        </is>
      </c>
      <c r="Y1615" t="n">
        <v>237</v>
      </c>
      <c r="Z1615" t="n">
        <v>141</v>
      </c>
      <c r="AA1615" t="n">
        <v>143</v>
      </c>
      <c r="AB1615" t="n">
        <v>2</v>
      </c>
      <c r="AC1615" t="n">
        <v>2</v>
      </c>
      <c r="AD1615" t="n">
        <v>5</v>
      </c>
      <c r="AE1615" t="n">
        <v>5</v>
      </c>
      <c r="AF1615" t="n">
        <v>0</v>
      </c>
      <c r="AG1615" t="n">
        <v>0</v>
      </c>
      <c r="AH1615" t="n">
        <v>2</v>
      </c>
      <c r="AI1615" t="n">
        <v>2</v>
      </c>
      <c r="AJ1615" t="n">
        <v>3</v>
      </c>
      <c r="AK1615" t="n">
        <v>3</v>
      </c>
      <c r="AL1615" t="n">
        <v>1</v>
      </c>
      <c r="AM1615" t="n">
        <v>1</v>
      </c>
      <c r="AN1615" t="n">
        <v>0</v>
      </c>
      <c r="AO1615" t="n">
        <v>0</v>
      </c>
      <c r="AP1615" t="inlineStr">
        <is>
          <t>No</t>
        </is>
      </c>
      <c r="AQ1615" t="inlineStr">
        <is>
          <t>Yes</t>
        </is>
      </c>
      <c r="AR1615">
        <f>HYPERLINK("http://catalog.hathitrust.org/Record/001536740","HathiTrust Record")</f>
        <v/>
      </c>
      <c r="AS1615">
        <f>HYPERLINK("https://creighton-primo.hosted.exlibrisgroup.com/primo-explore/search?tab=default_tab&amp;search_scope=EVERYTHING&amp;vid=01CRU&amp;lang=en_US&amp;offset=0&amp;query=any,contains,991001398859702656","Catalog Record")</f>
        <v/>
      </c>
      <c r="AT1615">
        <f>HYPERLINK("http://www.worldcat.org/oclc/18815023","WorldCat Record")</f>
        <v/>
      </c>
      <c r="AU1615" t="inlineStr">
        <is>
          <t>18433393:eng</t>
        </is>
      </c>
      <c r="AV1615" t="inlineStr">
        <is>
          <t>18815023</t>
        </is>
      </c>
      <c r="AW1615" t="inlineStr">
        <is>
          <t>991001398859702656</t>
        </is>
      </c>
      <c r="AX1615" t="inlineStr">
        <is>
          <t>991001398859702656</t>
        </is>
      </c>
      <c r="AY1615" t="inlineStr">
        <is>
          <t>2263022450002656</t>
        </is>
      </c>
      <c r="AZ1615" t="inlineStr">
        <is>
          <t>BOOK</t>
        </is>
      </c>
      <c r="BB1615" t="inlineStr">
        <is>
          <t>9780195889147</t>
        </is>
      </c>
      <c r="BC1615" t="inlineStr">
        <is>
          <t>32285000137322</t>
        </is>
      </c>
      <c r="BD1615" t="inlineStr">
        <is>
          <t>893497065</t>
        </is>
      </c>
    </row>
    <row r="1616">
      <c r="A1616" t="inlineStr">
        <is>
          <t>No</t>
        </is>
      </c>
      <c r="B1616" t="inlineStr">
        <is>
          <t>DS601 .W18 1962</t>
        </is>
      </c>
      <c r="C1616" t="inlineStr">
        <is>
          <t>0                      DS 0601000W  18          1962</t>
        </is>
      </c>
      <c r="D1616" t="inlineStr">
        <is>
          <t>The Malay Archipelago : the land of the orang-utan and the bird of paradise ; a narrative of travel, with studies of man and nature / by Alfred Russel Wallace.</t>
        </is>
      </c>
      <c r="F1616" t="inlineStr">
        <is>
          <t>No</t>
        </is>
      </c>
      <c r="G1616" t="inlineStr">
        <is>
          <t>1</t>
        </is>
      </c>
      <c r="H1616" t="inlineStr">
        <is>
          <t>No</t>
        </is>
      </c>
      <c r="I1616" t="inlineStr">
        <is>
          <t>No</t>
        </is>
      </c>
      <c r="J1616" t="inlineStr">
        <is>
          <t>0</t>
        </is>
      </c>
      <c r="K1616" t="inlineStr">
        <is>
          <t>Wallace, Alfred Russel, 1823-1913.</t>
        </is>
      </c>
      <c r="L1616" t="inlineStr">
        <is>
          <t>New York : Dover Publications, [1962]</t>
        </is>
      </c>
      <c r="M1616" t="inlineStr">
        <is>
          <t>1962</t>
        </is>
      </c>
      <c r="O1616" t="inlineStr">
        <is>
          <t>eng</t>
        </is>
      </c>
      <c r="P1616" t="inlineStr">
        <is>
          <t>nyu</t>
        </is>
      </c>
      <c r="R1616" t="inlineStr">
        <is>
          <t xml:space="preserve">DS </t>
        </is>
      </c>
      <c r="S1616" t="n">
        <v>4</v>
      </c>
      <c r="T1616" t="n">
        <v>4</v>
      </c>
      <c r="U1616" t="inlineStr">
        <is>
          <t>2009-11-18</t>
        </is>
      </c>
      <c r="V1616" t="inlineStr">
        <is>
          <t>2009-11-18</t>
        </is>
      </c>
      <c r="W1616" t="inlineStr">
        <is>
          <t>1990-10-11</t>
        </is>
      </c>
      <c r="X1616" t="inlineStr">
        <is>
          <t>1990-10-11</t>
        </is>
      </c>
      <c r="Y1616" t="n">
        <v>708</v>
      </c>
      <c r="Z1616" t="n">
        <v>606</v>
      </c>
      <c r="AA1616" t="n">
        <v>1285</v>
      </c>
      <c r="AB1616" t="n">
        <v>3</v>
      </c>
      <c r="AC1616" t="n">
        <v>9</v>
      </c>
      <c r="AD1616" t="n">
        <v>19</v>
      </c>
      <c r="AE1616" t="n">
        <v>49</v>
      </c>
      <c r="AF1616" t="n">
        <v>7</v>
      </c>
      <c r="AG1616" t="n">
        <v>18</v>
      </c>
      <c r="AH1616" t="n">
        <v>3</v>
      </c>
      <c r="AI1616" t="n">
        <v>10</v>
      </c>
      <c r="AJ1616" t="n">
        <v>13</v>
      </c>
      <c r="AK1616" t="n">
        <v>22</v>
      </c>
      <c r="AL1616" t="n">
        <v>2</v>
      </c>
      <c r="AM1616" t="n">
        <v>7</v>
      </c>
      <c r="AN1616" t="n">
        <v>0</v>
      </c>
      <c r="AO1616" t="n">
        <v>1</v>
      </c>
      <c r="AP1616" t="inlineStr">
        <is>
          <t>No</t>
        </is>
      </c>
      <c r="AQ1616" t="inlineStr">
        <is>
          <t>Yes</t>
        </is>
      </c>
      <c r="AR1616">
        <f>HYPERLINK("http://catalog.hathitrust.org/Record/004410870","HathiTrust Record")</f>
        <v/>
      </c>
      <c r="AS1616">
        <f>HYPERLINK("https://creighton-primo.hosted.exlibrisgroup.com/primo-explore/search?tab=default_tab&amp;search_scope=EVERYTHING&amp;vid=01CRU&amp;lang=en_US&amp;offset=0&amp;query=any,contains,991003567859702656","Catalog Record")</f>
        <v/>
      </c>
      <c r="AT1616">
        <f>HYPERLINK("http://www.worldcat.org/oclc/1141683","WorldCat Record")</f>
        <v/>
      </c>
      <c r="AU1616" t="inlineStr">
        <is>
          <t>491269:eng</t>
        </is>
      </c>
      <c r="AV1616" t="inlineStr">
        <is>
          <t>1141683</t>
        </is>
      </c>
      <c r="AW1616" t="inlineStr">
        <is>
          <t>991003567859702656</t>
        </is>
      </c>
      <c r="AX1616" t="inlineStr">
        <is>
          <t>991003567859702656</t>
        </is>
      </c>
      <c r="AY1616" t="inlineStr">
        <is>
          <t>2265010650002656</t>
        </is>
      </c>
      <c r="AZ1616" t="inlineStr">
        <is>
          <t>BOOK</t>
        </is>
      </c>
      <c r="BC1616" t="inlineStr">
        <is>
          <t>32285000337849</t>
        </is>
      </c>
      <c r="BD1616" t="inlineStr">
        <is>
          <t>893699133</t>
        </is>
      </c>
    </row>
    <row r="1617">
      <c r="A1617" t="inlineStr">
        <is>
          <t>No</t>
        </is>
      </c>
      <c r="B1617" t="inlineStr">
        <is>
          <t>DS61.52.B32 A35 1983</t>
        </is>
      </c>
      <c r="C1617" t="inlineStr">
        <is>
          <t>0                      DS 0061520B  32                 A  35          1983</t>
        </is>
      </c>
      <c r="D1617" t="inlineStr">
        <is>
          <t>The Middle East remembered / John S. Badeau.</t>
        </is>
      </c>
      <c r="F1617" t="inlineStr">
        <is>
          <t>No</t>
        </is>
      </c>
      <c r="G1617" t="inlineStr">
        <is>
          <t>1</t>
        </is>
      </c>
      <c r="H1617" t="inlineStr">
        <is>
          <t>No</t>
        </is>
      </c>
      <c r="I1617" t="inlineStr">
        <is>
          <t>No</t>
        </is>
      </c>
      <c r="J1617" t="inlineStr">
        <is>
          <t>0</t>
        </is>
      </c>
      <c r="K1617" t="inlineStr">
        <is>
          <t>Badeau, John S. (John Stothoff), 1903-1995.</t>
        </is>
      </c>
      <c r="L1617" t="inlineStr">
        <is>
          <t>Washington, D.C. : Middle East Institute, 1983.</t>
        </is>
      </c>
      <c r="M1617" t="inlineStr">
        <is>
          <t>1983</t>
        </is>
      </c>
      <c r="O1617" t="inlineStr">
        <is>
          <t>eng</t>
        </is>
      </c>
      <c r="P1617" t="inlineStr">
        <is>
          <t>dcu</t>
        </is>
      </c>
      <c r="R1617" t="inlineStr">
        <is>
          <t xml:space="preserve">DS </t>
        </is>
      </c>
      <c r="S1617" t="n">
        <v>1</v>
      </c>
      <c r="T1617" t="n">
        <v>1</v>
      </c>
      <c r="U1617" t="inlineStr">
        <is>
          <t>1992-05-08</t>
        </is>
      </c>
      <c r="V1617" t="inlineStr">
        <is>
          <t>1992-05-08</t>
        </is>
      </c>
      <c r="W1617" t="inlineStr">
        <is>
          <t>1990-09-14</t>
        </is>
      </c>
      <c r="X1617" t="inlineStr">
        <is>
          <t>1990-09-14</t>
        </is>
      </c>
      <c r="Y1617" t="n">
        <v>204</v>
      </c>
      <c r="Z1617" t="n">
        <v>170</v>
      </c>
      <c r="AA1617" t="n">
        <v>175</v>
      </c>
      <c r="AB1617" t="n">
        <v>1</v>
      </c>
      <c r="AC1617" t="n">
        <v>1</v>
      </c>
      <c r="AD1617" t="n">
        <v>4</v>
      </c>
      <c r="AE1617" t="n">
        <v>4</v>
      </c>
      <c r="AF1617" t="n">
        <v>0</v>
      </c>
      <c r="AG1617" t="n">
        <v>0</v>
      </c>
      <c r="AH1617" t="n">
        <v>2</v>
      </c>
      <c r="AI1617" t="n">
        <v>2</v>
      </c>
      <c r="AJ1617" t="n">
        <v>3</v>
      </c>
      <c r="AK1617" t="n">
        <v>3</v>
      </c>
      <c r="AL1617" t="n">
        <v>0</v>
      </c>
      <c r="AM1617" t="n">
        <v>0</v>
      </c>
      <c r="AN1617" t="n">
        <v>0</v>
      </c>
      <c r="AO1617" t="n">
        <v>0</v>
      </c>
      <c r="AP1617" t="inlineStr">
        <is>
          <t>No</t>
        </is>
      </c>
      <c r="AQ1617" t="inlineStr">
        <is>
          <t>Yes</t>
        </is>
      </c>
      <c r="AR1617">
        <f>HYPERLINK("http://catalog.hathitrust.org/Record/000365589","HathiTrust Record")</f>
        <v/>
      </c>
      <c r="AS1617">
        <f>HYPERLINK("https://creighton-primo.hosted.exlibrisgroup.com/primo-explore/search?tab=default_tab&amp;search_scope=EVERYTHING&amp;vid=01CRU&amp;lang=en_US&amp;offset=0&amp;query=any,contains,991000323579702656","Catalog Record")</f>
        <v/>
      </c>
      <c r="AT1617">
        <f>HYPERLINK("http://www.worldcat.org/oclc/10162236","WorldCat Record")</f>
        <v/>
      </c>
      <c r="AU1617" t="inlineStr">
        <is>
          <t>2979272:eng</t>
        </is>
      </c>
      <c r="AV1617" t="inlineStr">
        <is>
          <t>10162236</t>
        </is>
      </c>
      <c r="AW1617" t="inlineStr">
        <is>
          <t>991000323579702656</t>
        </is>
      </c>
      <c r="AX1617" t="inlineStr">
        <is>
          <t>991000323579702656</t>
        </is>
      </c>
      <c r="AY1617" t="inlineStr">
        <is>
          <t>2268091570002656</t>
        </is>
      </c>
      <c r="AZ1617" t="inlineStr">
        <is>
          <t>BOOK</t>
        </is>
      </c>
      <c r="BB1617" t="inlineStr">
        <is>
          <t>9780916808211</t>
        </is>
      </c>
      <c r="BC1617" t="inlineStr">
        <is>
          <t>32285000291889</t>
        </is>
      </c>
      <c r="BD1617" t="inlineStr">
        <is>
          <t>893249248</t>
        </is>
      </c>
    </row>
    <row r="1618">
      <c r="A1618" t="inlineStr">
        <is>
          <t>No</t>
        </is>
      </c>
      <c r="B1618" t="inlineStr">
        <is>
          <t>DS61.7.H87 M53 1997</t>
        </is>
      </c>
      <c r="C1618" t="inlineStr">
        <is>
          <t>0                      DS 0061700H  87                 M  53          1997</t>
        </is>
      </c>
      <c r="D1618" t="inlineStr">
        <is>
          <t>Middle Eastern politics and ideas : a history from within / edited by Ilan Pappé and Moshe Maʼoz.</t>
        </is>
      </c>
      <c r="F1618" t="inlineStr">
        <is>
          <t>No</t>
        </is>
      </c>
      <c r="G1618" t="inlineStr">
        <is>
          <t>1</t>
        </is>
      </c>
      <c r="H1618" t="inlineStr">
        <is>
          <t>No</t>
        </is>
      </c>
      <c r="I1618" t="inlineStr">
        <is>
          <t>No</t>
        </is>
      </c>
      <c r="J1618" t="inlineStr">
        <is>
          <t>0</t>
        </is>
      </c>
      <c r="L1618" t="inlineStr">
        <is>
          <t>London ; New York : Tauris Academic Studies ; New York : In the U.S.A. and Canada distributed by St. Martin's Press, 1997.</t>
        </is>
      </c>
      <c r="M1618" t="inlineStr">
        <is>
          <t>1997</t>
        </is>
      </c>
      <c r="O1618" t="inlineStr">
        <is>
          <t>eng</t>
        </is>
      </c>
      <c r="P1618" t="inlineStr">
        <is>
          <t>enk</t>
        </is>
      </c>
      <c r="Q1618" t="inlineStr">
        <is>
          <t>Library of modern Middle East studies ; 6</t>
        </is>
      </c>
      <c r="R1618" t="inlineStr">
        <is>
          <t xml:space="preserve">DS </t>
        </is>
      </c>
      <c r="S1618" t="n">
        <v>1</v>
      </c>
      <c r="T1618" t="n">
        <v>1</v>
      </c>
      <c r="U1618" t="inlineStr">
        <is>
          <t>2000-08-11</t>
        </is>
      </c>
      <c r="V1618" t="inlineStr">
        <is>
          <t>2000-08-11</t>
        </is>
      </c>
      <c r="W1618" t="inlineStr">
        <is>
          <t>2000-07-24</t>
        </is>
      </c>
      <c r="X1618" t="inlineStr">
        <is>
          <t>2000-07-24</t>
        </is>
      </c>
      <c r="Y1618" t="n">
        <v>236</v>
      </c>
      <c r="Z1618" t="n">
        <v>156</v>
      </c>
      <c r="AA1618" t="n">
        <v>158</v>
      </c>
      <c r="AB1618" t="n">
        <v>1</v>
      </c>
      <c r="AC1618" t="n">
        <v>1</v>
      </c>
      <c r="AD1618" t="n">
        <v>10</v>
      </c>
      <c r="AE1618" t="n">
        <v>10</v>
      </c>
      <c r="AF1618" t="n">
        <v>0</v>
      </c>
      <c r="AG1618" t="n">
        <v>0</v>
      </c>
      <c r="AH1618" t="n">
        <v>5</v>
      </c>
      <c r="AI1618" t="n">
        <v>5</v>
      </c>
      <c r="AJ1618" t="n">
        <v>7</v>
      </c>
      <c r="AK1618" t="n">
        <v>7</v>
      </c>
      <c r="AL1618" t="n">
        <v>0</v>
      </c>
      <c r="AM1618" t="n">
        <v>0</v>
      </c>
      <c r="AN1618" t="n">
        <v>0</v>
      </c>
      <c r="AO1618" t="n">
        <v>0</v>
      </c>
      <c r="AP1618" t="inlineStr">
        <is>
          <t>No</t>
        </is>
      </c>
      <c r="AQ1618" t="inlineStr">
        <is>
          <t>No</t>
        </is>
      </c>
      <c r="AS1618">
        <f>HYPERLINK("https://creighton-primo.hosted.exlibrisgroup.com/primo-explore/search?tab=default_tab&amp;search_scope=EVERYTHING&amp;vid=01CRU&amp;lang=en_US&amp;offset=0&amp;query=any,contains,991003214369702656","Catalog Record")</f>
        <v/>
      </c>
      <c r="AT1618">
        <f>HYPERLINK("http://www.worldcat.org/oclc/40545317","WorldCat Record")</f>
        <v/>
      </c>
      <c r="AU1618" t="inlineStr">
        <is>
          <t>795188385:eng</t>
        </is>
      </c>
      <c r="AV1618" t="inlineStr">
        <is>
          <t>40545317</t>
        </is>
      </c>
      <c r="AW1618" t="inlineStr">
        <is>
          <t>991003214369702656</t>
        </is>
      </c>
      <c r="AX1618" t="inlineStr">
        <is>
          <t>991003214369702656</t>
        </is>
      </c>
      <c r="AY1618" t="inlineStr">
        <is>
          <t>2265703320002656</t>
        </is>
      </c>
      <c r="AZ1618" t="inlineStr">
        <is>
          <t>BOOK</t>
        </is>
      </c>
      <c r="BB1618" t="inlineStr">
        <is>
          <t>9781860640124</t>
        </is>
      </c>
      <c r="BC1618" t="inlineStr">
        <is>
          <t>32285003741716</t>
        </is>
      </c>
      <c r="BD1618" t="inlineStr">
        <is>
          <t>893342334</t>
        </is>
      </c>
    </row>
    <row r="1619">
      <c r="A1619" t="inlineStr">
        <is>
          <t>No</t>
        </is>
      </c>
      <c r="B1619" t="inlineStr">
        <is>
          <t>DS61.85 .I79 2006</t>
        </is>
      </c>
      <c r="C1619" t="inlineStr">
        <is>
          <t>0                      DS 0061850I  79          2006</t>
        </is>
      </c>
      <c r="D1619" t="inlineStr">
        <is>
          <t>Dangerous knowledge : orientalism and its discontents / Robert Irwin.</t>
        </is>
      </c>
      <c r="F1619" t="inlineStr">
        <is>
          <t>No</t>
        </is>
      </c>
      <c r="G1619" t="inlineStr">
        <is>
          <t>1</t>
        </is>
      </c>
      <c r="H1619" t="inlineStr">
        <is>
          <t>No</t>
        </is>
      </c>
      <c r="I1619" t="inlineStr">
        <is>
          <t>No</t>
        </is>
      </c>
      <c r="J1619" t="inlineStr">
        <is>
          <t>0</t>
        </is>
      </c>
      <c r="K1619" t="inlineStr">
        <is>
          <t>Irwin, Robert, 1946-</t>
        </is>
      </c>
      <c r="L1619" t="inlineStr">
        <is>
          <t>Woodstock, NY : Overlook Press, 2006.</t>
        </is>
      </c>
      <c r="M1619" t="inlineStr">
        <is>
          <t>2006</t>
        </is>
      </c>
      <c r="N1619" t="inlineStr">
        <is>
          <t>1st ed.</t>
        </is>
      </c>
      <c r="O1619" t="inlineStr">
        <is>
          <t>eng</t>
        </is>
      </c>
      <c r="P1619" t="inlineStr">
        <is>
          <t>nyu</t>
        </is>
      </c>
      <c r="R1619" t="inlineStr">
        <is>
          <t xml:space="preserve">DS </t>
        </is>
      </c>
      <c r="S1619" t="n">
        <v>3</v>
      </c>
      <c r="T1619" t="n">
        <v>3</v>
      </c>
      <c r="U1619" t="inlineStr">
        <is>
          <t>2010-10-18</t>
        </is>
      </c>
      <c r="V1619" t="inlineStr">
        <is>
          <t>2010-10-18</t>
        </is>
      </c>
      <c r="W1619" t="inlineStr">
        <is>
          <t>2006-12-07</t>
        </is>
      </c>
      <c r="X1619" t="inlineStr">
        <is>
          <t>2006-12-07</t>
        </is>
      </c>
      <c r="Y1619" t="n">
        <v>618</v>
      </c>
      <c r="Z1619" t="n">
        <v>535</v>
      </c>
      <c r="AA1619" t="n">
        <v>556</v>
      </c>
      <c r="AB1619" t="n">
        <v>4</v>
      </c>
      <c r="AC1619" t="n">
        <v>4</v>
      </c>
      <c r="AD1619" t="n">
        <v>28</v>
      </c>
      <c r="AE1619" t="n">
        <v>28</v>
      </c>
      <c r="AF1619" t="n">
        <v>11</v>
      </c>
      <c r="AG1619" t="n">
        <v>11</v>
      </c>
      <c r="AH1619" t="n">
        <v>7</v>
      </c>
      <c r="AI1619" t="n">
        <v>7</v>
      </c>
      <c r="AJ1619" t="n">
        <v>13</v>
      </c>
      <c r="AK1619" t="n">
        <v>13</v>
      </c>
      <c r="AL1619" t="n">
        <v>3</v>
      </c>
      <c r="AM1619" t="n">
        <v>3</v>
      </c>
      <c r="AN1619" t="n">
        <v>0</v>
      </c>
      <c r="AO1619" t="n">
        <v>0</v>
      </c>
      <c r="AP1619" t="inlineStr">
        <is>
          <t>No</t>
        </is>
      </c>
      <c r="AQ1619" t="inlineStr">
        <is>
          <t>No</t>
        </is>
      </c>
      <c r="AS1619">
        <f>HYPERLINK("https://creighton-primo.hosted.exlibrisgroup.com/primo-explore/search?tab=default_tab&amp;search_scope=EVERYTHING&amp;vid=01CRU&amp;lang=en_US&amp;offset=0&amp;query=any,contains,991004953429702656","Catalog Record")</f>
        <v/>
      </c>
      <c r="AT1619">
        <f>HYPERLINK("http://www.worldcat.org/oclc/69021089","WorldCat Record")</f>
        <v/>
      </c>
      <c r="AU1619" t="inlineStr">
        <is>
          <t>364584674:eng</t>
        </is>
      </c>
      <c r="AV1619" t="inlineStr">
        <is>
          <t>69021089</t>
        </is>
      </c>
      <c r="AW1619" t="inlineStr">
        <is>
          <t>991004953429702656</t>
        </is>
      </c>
      <c r="AX1619" t="inlineStr">
        <is>
          <t>991004953429702656</t>
        </is>
      </c>
      <c r="AY1619" t="inlineStr">
        <is>
          <t>2263981930002656</t>
        </is>
      </c>
      <c r="AZ1619" t="inlineStr">
        <is>
          <t>BOOK</t>
        </is>
      </c>
      <c r="BB1619" t="inlineStr">
        <is>
          <t>9781585678358</t>
        </is>
      </c>
      <c r="BC1619" t="inlineStr">
        <is>
          <t>32285005264881</t>
        </is>
      </c>
      <c r="BD1619" t="inlineStr">
        <is>
          <t>893895667</t>
        </is>
      </c>
    </row>
    <row r="1620">
      <c r="A1620" t="inlineStr">
        <is>
          <t>No</t>
        </is>
      </c>
      <c r="B1620" t="inlineStr">
        <is>
          <t>DS615 .A68 1966</t>
        </is>
      </c>
      <c r="C1620" t="inlineStr">
        <is>
          <t>0                      DS 0615000A  68          1966</t>
        </is>
      </c>
      <c r="D1620" t="inlineStr">
        <is>
          <t>Indonesia : social and cultural revolution / by S. Takdir Alisjahbana. [Translated from the Indonesian by Benedict R. Anderson.</t>
        </is>
      </c>
      <c r="F1620" t="inlineStr">
        <is>
          <t>No</t>
        </is>
      </c>
      <c r="G1620" t="inlineStr">
        <is>
          <t>1</t>
        </is>
      </c>
      <c r="H1620" t="inlineStr">
        <is>
          <t>No</t>
        </is>
      </c>
      <c r="I1620" t="inlineStr">
        <is>
          <t>No</t>
        </is>
      </c>
      <c r="J1620" t="inlineStr">
        <is>
          <t>0</t>
        </is>
      </c>
      <c r="K1620" t="inlineStr">
        <is>
          <t>Alisjahbana, S. Takdir (Sutan Takdir), 1908-1994.</t>
        </is>
      </c>
      <c r="L1620" t="inlineStr">
        <is>
          <t>Kuala Lumpur : Oxford University Press, 1966.</t>
        </is>
      </c>
      <c r="M1620" t="inlineStr">
        <is>
          <t>1966</t>
        </is>
      </c>
      <c r="N1620" t="inlineStr">
        <is>
          <t>2d ed.]</t>
        </is>
      </c>
      <c r="O1620" t="inlineStr">
        <is>
          <t>eng</t>
        </is>
      </c>
      <c r="P1620" t="inlineStr">
        <is>
          <t xml:space="preserve">my </t>
        </is>
      </c>
      <c r="R1620" t="inlineStr">
        <is>
          <t xml:space="preserve">DS </t>
        </is>
      </c>
      <c r="S1620" t="n">
        <v>8</v>
      </c>
      <c r="T1620" t="n">
        <v>8</v>
      </c>
      <c r="U1620" t="inlineStr">
        <is>
          <t>2001-03-11</t>
        </is>
      </c>
      <c r="V1620" t="inlineStr">
        <is>
          <t>2001-03-11</t>
        </is>
      </c>
      <c r="W1620" t="inlineStr">
        <is>
          <t>1994-03-08</t>
        </is>
      </c>
      <c r="X1620" t="inlineStr">
        <is>
          <t>1994-03-08</t>
        </is>
      </c>
      <c r="Y1620" t="n">
        <v>471</v>
      </c>
      <c r="Z1620" t="n">
        <v>362</v>
      </c>
      <c r="AA1620" t="n">
        <v>385</v>
      </c>
      <c r="AB1620" t="n">
        <v>4</v>
      </c>
      <c r="AC1620" t="n">
        <v>4</v>
      </c>
      <c r="AD1620" t="n">
        <v>19</v>
      </c>
      <c r="AE1620" t="n">
        <v>20</v>
      </c>
      <c r="AF1620" t="n">
        <v>5</v>
      </c>
      <c r="AG1620" t="n">
        <v>6</v>
      </c>
      <c r="AH1620" t="n">
        <v>6</v>
      </c>
      <c r="AI1620" t="n">
        <v>6</v>
      </c>
      <c r="AJ1620" t="n">
        <v>8</v>
      </c>
      <c r="AK1620" t="n">
        <v>9</v>
      </c>
      <c r="AL1620" t="n">
        <v>3</v>
      </c>
      <c r="AM1620" t="n">
        <v>3</v>
      </c>
      <c r="AN1620" t="n">
        <v>0</v>
      </c>
      <c r="AO1620" t="n">
        <v>0</v>
      </c>
      <c r="AP1620" t="inlineStr">
        <is>
          <t>No</t>
        </is>
      </c>
      <c r="AQ1620" t="inlineStr">
        <is>
          <t>Yes</t>
        </is>
      </c>
      <c r="AR1620">
        <f>HYPERLINK("http://catalog.hathitrust.org/Record/001256092","HathiTrust Record")</f>
        <v/>
      </c>
      <c r="AS1620">
        <f>HYPERLINK("https://creighton-primo.hosted.exlibrisgroup.com/primo-explore/search?tab=default_tab&amp;search_scope=EVERYTHING&amp;vid=01CRU&amp;lang=en_US&amp;offset=0&amp;query=any,contains,991003144719702656","Catalog Record")</f>
        <v/>
      </c>
      <c r="AT1620">
        <f>HYPERLINK("http://www.worldcat.org/oclc/685473","WorldCat Record")</f>
        <v/>
      </c>
      <c r="AU1620" t="inlineStr">
        <is>
          <t>293836389:eng</t>
        </is>
      </c>
      <c r="AV1620" t="inlineStr">
        <is>
          <t>685473</t>
        </is>
      </c>
      <c r="AW1620" t="inlineStr">
        <is>
          <t>991003144719702656</t>
        </is>
      </c>
      <c r="AX1620" t="inlineStr">
        <is>
          <t>991003144719702656</t>
        </is>
      </c>
      <c r="AY1620" t="inlineStr">
        <is>
          <t>2264377750002656</t>
        </is>
      </c>
      <c r="AZ1620" t="inlineStr">
        <is>
          <t>BOOK</t>
        </is>
      </c>
      <c r="BC1620" t="inlineStr">
        <is>
          <t>32285001852713</t>
        </is>
      </c>
      <c r="BD1620" t="inlineStr">
        <is>
          <t>893610765</t>
        </is>
      </c>
    </row>
    <row r="1621">
      <c r="A1621" t="inlineStr">
        <is>
          <t>No</t>
        </is>
      </c>
      <c r="B1621" t="inlineStr">
        <is>
          <t>DS615 .P3</t>
        </is>
      </c>
      <c r="C1621" t="inlineStr">
        <is>
          <t>0                      DS 0615000P  3</t>
        </is>
      </c>
      <c r="D1621" t="inlineStr">
        <is>
          <t>Indonesia / [by] Leslie Palmier.</t>
        </is>
      </c>
      <c r="F1621" t="inlineStr">
        <is>
          <t>No</t>
        </is>
      </c>
      <c r="G1621" t="inlineStr">
        <is>
          <t>1</t>
        </is>
      </c>
      <c r="H1621" t="inlineStr">
        <is>
          <t>No</t>
        </is>
      </c>
      <c r="I1621" t="inlineStr">
        <is>
          <t>No</t>
        </is>
      </c>
      <c r="J1621" t="inlineStr">
        <is>
          <t>0</t>
        </is>
      </c>
      <c r="K1621" t="inlineStr">
        <is>
          <t>Palmier, Leslie H.</t>
        </is>
      </c>
      <c r="L1621" t="inlineStr">
        <is>
          <t>New York : Walker, [1966, c1965]</t>
        </is>
      </c>
      <c r="M1621" t="inlineStr">
        <is>
          <t>1966</t>
        </is>
      </c>
      <c r="O1621" t="inlineStr">
        <is>
          <t>eng</t>
        </is>
      </c>
      <c r="P1621" t="inlineStr">
        <is>
          <t>nyu</t>
        </is>
      </c>
      <c r="Q1621" t="inlineStr">
        <is>
          <t>New nations and peoples</t>
        </is>
      </c>
      <c r="R1621" t="inlineStr">
        <is>
          <t xml:space="preserve">DS </t>
        </is>
      </c>
      <c r="S1621" t="n">
        <v>5</v>
      </c>
      <c r="T1621" t="n">
        <v>5</v>
      </c>
      <c r="U1621" t="inlineStr">
        <is>
          <t>1996-04-24</t>
        </is>
      </c>
      <c r="V1621" t="inlineStr">
        <is>
          <t>1996-04-24</t>
        </is>
      </c>
      <c r="W1621" t="inlineStr">
        <is>
          <t>1994-05-06</t>
        </is>
      </c>
      <c r="X1621" t="inlineStr">
        <is>
          <t>1994-05-06</t>
        </is>
      </c>
      <c r="Y1621" t="n">
        <v>392</v>
      </c>
      <c r="Z1621" t="n">
        <v>369</v>
      </c>
      <c r="AA1621" t="n">
        <v>435</v>
      </c>
      <c r="AB1621" t="n">
        <v>3</v>
      </c>
      <c r="AC1621" t="n">
        <v>3</v>
      </c>
      <c r="AD1621" t="n">
        <v>12</v>
      </c>
      <c r="AE1621" t="n">
        <v>18</v>
      </c>
      <c r="AF1621" t="n">
        <v>5</v>
      </c>
      <c r="AG1621" t="n">
        <v>7</v>
      </c>
      <c r="AH1621" t="n">
        <v>2</v>
      </c>
      <c r="AI1621" t="n">
        <v>4</v>
      </c>
      <c r="AJ1621" t="n">
        <v>7</v>
      </c>
      <c r="AK1621" t="n">
        <v>11</v>
      </c>
      <c r="AL1621" t="n">
        <v>1</v>
      </c>
      <c r="AM1621" t="n">
        <v>1</v>
      </c>
      <c r="AN1621" t="n">
        <v>0</v>
      </c>
      <c r="AO1621" t="n">
        <v>0</v>
      </c>
      <c r="AP1621" t="inlineStr">
        <is>
          <t>No</t>
        </is>
      </c>
      <c r="AQ1621" t="inlineStr">
        <is>
          <t>Yes</t>
        </is>
      </c>
      <c r="AR1621">
        <f>HYPERLINK("http://catalog.hathitrust.org/Record/009907799","HathiTrust Record")</f>
        <v/>
      </c>
      <c r="AS1621">
        <f>HYPERLINK("https://creighton-primo.hosted.exlibrisgroup.com/primo-explore/search?tab=default_tab&amp;search_scope=EVERYTHING&amp;vid=01CRU&amp;lang=en_US&amp;offset=0&amp;query=any,contains,991002718289702656","Catalog Record")</f>
        <v/>
      </c>
      <c r="AT1621">
        <f>HYPERLINK("http://www.worldcat.org/oclc/411923","WorldCat Record")</f>
        <v/>
      </c>
      <c r="AU1621" t="inlineStr">
        <is>
          <t>1460148:eng</t>
        </is>
      </c>
      <c r="AV1621" t="inlineStr">
        <is>
          <t>411923</t>
        </is>
      </c>
      <c r="AW1621" t="inlineStr">
        <is>
          <t>991002718289702656</t>
        </is>
      </c>
      <c r="AX1621" t="inlineStr">
        <is>
          <t>991002718289702656</t>
        </is>
      </c>
      <c r="AY1621" t="inlineStr">
        <is>
          <t>2264640190002656</t>
        </is>
      </c>
      <c r="AZ1621" t="inlineStr">
        <is>
          <t>BOOK</t>
        </is>
      </c>
      <c r="BC1621" t="inlineStr">
        <is>
          <t>32285001907632</t>
        </is>
      </c>
      <c r="BD1621" t="inlineStr">
        <is>
          <t>893721594</t>
        </is>
      </c>
    </row>
    <row r="1622">
      <c r="A1622" t="inlineStr">
        <is>
          <t>No</t>
        </is>
      </c>
      <c r="B1622" t="inlineStr">
        <is>
          <t>DS62 .C67</t>
        </is>
      </c>
      <c r="C1622" t="inlineStr">
        <is>
          <t>0                      DS 0062000C  67</t>
        </is>
      </c>
      <c r="D1622" t="inlineStr">
        <is>
          <t>The ancient Near Eastern tradition.</t>
        </is>
      </c>
      <c r="F1622" t="inlineStr">
        <is>
          <t>No</t>
        </is>
      </c>
      <c r="G1622" t="inlineStr">
        <is>
          <t>1</t>
        </is>
      </c>
      <c r="H1622" t="inlineStr">
        <is>
          <t>No</t>
        </is>
      </c>
      <c r="I1622" t="inlineStr">
        <is>
          <t>No</t>
        </is>
      </c>
      <c r="J1622" t="inlineStr">
        <is>
          <t>0</t>
        </is>
      </c>
      <c r="K1622" t="inlineStr">
        <is>
          <t>Covensky, Milton, 1916-1995.</t>
        </is>
      </c>
      <c r="L1622" t="inlineStr">
        <is>
          <t>New York, Harper &amp; Row [1966]</t>
        </is>
      </c>
      <c r="M1622" t="inlineStr">
        <is>
          <t>1966</t>
        </is>
      </c>
      <c r="O1622" t="inlineStr">
        <is>
          <t>eng</t>
        </is>
      </c>
      <c r="P1622" t="inlineStr">
        <is>
          <t>nyu</t>
        </is>
      </c>
      <c r="Q1622" t="inlineStr">
        <is>
          <t>Major traditions of world civilization</t>
        </is>
      </c>
      <c r="R1622" t="inlineStr">
        <is>
          <t xml:space="preserve">DS </t>
        </is>
      </c>
      <c r="S1622" t="n">
        <v>2</v>
      </c>
      <c r="T1622" t="n">
        <v>2</v>
      </c>
      <c r="U1622" t="inlineStr">
        <is>
          <t>1999-10-19</t>
        </is>
      </c>
      <c r="V1622" t="inlineStr">
        <is>
          <t>1999-10-19</t>
        </is>
      </c>
      <c r="W1622" t="inlineStr">
        <is>
          <t>1997-02-21</t>
        </is>
      </c>
      <c r="X1622" t="inlineStr">
        <is>
          <t>1997-02-21</t>
        </is>
      </c>
      <c r="Y1622" t="n">
        <v>638</v>
      </c>
      <c r="Z1622" t="n">
        <v>572</v>
      </c>
      <c r="AA1622" t="n">
        <v>581</v>
      </c>
      <c r="AB1622" t="n">
        <v>6</v>
      </c>
      <c r="AC1622" t="n">
        <v>6</v>
      </c>
      <c r="AD1622" t="n">
        <v>28</v>
      </c>
      <c r="AE1622" t="n">
        <v>28</v>
      </c>
      <c r="AF1622" t="n">
        <v>10</v>
      </c>
      <c r="AG1622" t="n">
        <v>10</v>
      </c>
      <c r="AH1622" t="n">
        <v>6</v>
      </c>
      <c r="AI1622" t="n">
        <v>6</v>
      </c>
      <c r="AJ1622" t="n">
        <v>12</v>
      </c>
      <c r="AK1622" t="n">
        <v>12</v>
      </c>
      <c r="AL1622" t="n">
        <v>5</v>
      </c>
      <c r="AM1622" t="n">
        <v>5</v>
      </c>
      <c r="AN1622" t="n">
        <v>0</v>
      </c>
      <c r="AO1622" t="n">
        <v>0</v>
      </c>
      <c r="AP1622" t="inlineStr">
        <is>
          <t>No</t>
        </is>
      </c>
      <c r="AQ1622" t="inlineStr">
        <is>
          <t>Yes</t>
        </is>
      </c>
      <c r="AR1622">
        <f>HYPERLINK("http://catalog.hathitrust.org/Record/000602684","HathiTrust Record")</f>
        <v/>
      </c>
      <c r="AS1622">
        <f>HYPERLINK("https://creighton-primo.hosted.exlibrisgroup.com/primo-explore/search?tab=default_tab&amp;search_scope=EVERYTHING&amp;vid=01CRU&amp;lang=en_US&amp;offset=0&amp;query=any,contains,991003182619702656","Catalog Record")</f>
        <v/>
      </c>
      <c r="AT1622">
        <f>HYPERLINK("http://www.worldcat.org/oclc/712101","WorldCat Record")</f>
        <v/>
      </c>
      <c r="AU1622" t="inlineStr">
        <is>
          <t>1662894:eng</t>
        </is>
      </c>
      <c r="AV1622" t="inlineStr">
        <is>
          <t>712101</t>
        </is>
      </c>
      <c r="AW1622" t="inlineStr">
        <is>
          <t>991003182619702656</t>
        </is>
      </c>
      <c r="AX1622" t="inlineStr">
        <is>
          <t>991003182619702656</t>
        </is>
      </c>
      <c r="AY1622" t="inlineStr">
        <is>
          <t>2256750580002656</t>
        </is>
      </c>
      <c r="AZ1622" t="inlineStr">
        <is>
          <t>BOOK</t>
        </is>
      </c>
      <c r="BC1622" t="inlineStr">
        <is>
          <t>32285002469111</t>
        </is>
      </c>
      <c r="BD1622" t="inlineStr">
        <is>
          <t>893787044</t>
        </is>
      </c>
    </row>
    <row r="1623">
      <c r="A1623" t="inlineStr">
        <is>
          <t>No</t>
        </is>
      </c>
      <c r="B1623" t="inlineStr">
        <is>
          <t>DS62 .H37 2003</t>
        </is>
      </c>
      <c r="C1623" t="inlineStr">
        <is>
          <t>0                      DS 0062000H  37          2003</t>
        </is>
      </c>
      <c r="D1623" t="inlineStr">
        <is>
          <t>The Levant : a fractured mosaic / William Harris.</t>
        </is>
      </c>
      <c r="F1623" t="inlineStr">
        <is>
          <t>No</t>
        </is>
      </c>
      <c r="G1623" t="inlineStr">
        <is>
          <t>1</t>
        </is>
      </c>
      <c r="H1623" t="inlineStr">
        <is>
          <t>No</t>
        </is>
      </c>
      <c r="I1623" t="inlineStr">
        <is>
          <t>No</t>
        </is>
      </c>
      <c r="J1623" t="inlineStr">
        <is>
          <t>0</t>
        </is>
      </c>
      <c r="K1623" t="inlineStr">
        <is>
          <t>Harris, William W.</t>
        </is>
      </c>
      <c r="L1623" t="inlineStr">
        <is>
          <t>Princeton, N.J. : Markus Wiener Publishers, c2003.</t>
        </is>
      </c>
      <c r="M1623" t="inlineStr">
        <is>
          <t>2003</t>
        </is>
      </c>
      <c r="O1623" t="inlineStr">
        <is>
          <t>eng</t>
        </is>
      </c>
      <c r="P1623" t="inlineStr">
        <is>
          <t>nju</t>
        </is>
      </c>
      <c r="Q1623" t="inlineStr">
        <is>
          <t>Princeton series on the Middle East</t>
        </is>
      </c>
      <c r="R1623" t="inlineStr">
        <is>
          <t xml:space="preserve">DS </t>
        </is>
      </c>
      <c r="S1623" t="n">
        <v>2</v>
      </c>
      <c r="T1623" t="n">
        <v>2</v>
      </c>
      <c r="U1623" t="inlineStr">
        <is>
          <t>2005-05-31</t>
        </is>
      </c>
      <c r="V1623" t="inlineStr">
        <is>
          <t>2005-05-31</t>
        </is>
      </c>
      <c r="W1623" t="inlineStr">
        <is>
          <t>2005-05-31</t>
        </is>
      </c>
      <c r="X1623" t="inlineStr">
        <is>
          <t>2005-05-31</t>
        </is>
      </c>
      <c r="Y1623" t="n">
        <v>317</v>
      </c>
      <c r="Z1623" t="n">
        <v>284</v>
      </c>
      <c r="AA1623" t="n">
        <v>390</v>
      </c>
      <c r="AB1623" t="n">
        <v>2</v>
      </c>
      <c r="AC1623" t="n">
        <v>2</v>
      </c>
      <c r="AD1623" t="n">
        <v>14</v>
      </c>
      <c r="AE1623" t="n">
        <v>21</v>
      </c>
      <c r="AF1623" t="n">
        <v>6</v>
      </c>
      <c r="AG1623" t="n">
        <v>10</v>
      </c>
      <c r="AH1623" t="n">
        <v>4</v>
      </c>
      <c r="AI1623" t="n">
        <v>5</v>
      </c>
      <c r="AJ1623" t="n">
        <v>8</v>
      </c>
      <c r="AK1623" t="n">
        <v>13</v>
      </c>
      <c r="AL1623" t="n">
        <v>1</v>
      </c>
      <c r="AM1623" t="n">
        <v>1</v>
      </c>
      <c r="AN1623" t="n">
        <v>0</v>
      </c>
      <c r="AO1623" t="n">
        <v>0</v>
      </c>
      <c r="AP1623" t="inlineStr">
        <is>
          <t>No</t>
        </is>
      </c>
      <c r="AQ1623" t="inlineStr">
        <is>
          <t>No</t>
        </is>
      </c>
      <c r="AS1623">
        <f>HYPERLINK("https://creighton-primo.hosted.exlibrisgroup.com/primo-explore/search?tab=default_tab&amp;search_scope=EVERYTHING&amp;vid=01CRU&amp;lang=en_US&amp;offset=0&amp;query=any,contains,991004544149702656","Catalog Record")</f>
        <v/>
      </c>
      <c r="AT1623">
        <f>HYPERLINK("http://www.worldcat.org/oclc/49936084","WorldCat Record")</f>
        <v/>
      </c>
      <c r="AU1623" t="inlineStr">
        <is>
          <t>1047713:eng</t>
        </is>
      </c>
      <c r="AV1623" t="inlineStr">
        <is>
          <t>49936084</t>
        </is>
      </c>
      <c r="AW1623" t="inlineStr">
        <is>
          <t>991004544149702656</t>
        </is>
      </c>
      <c r="AX1623" t="inlineStr">
        <is>
          <t>991004544149702656</t>
        </is>
      </c>
      <c r="AY1623" t="inlineStr">
        <is>
          <t>2256738280002656</t>
        </is>
      </c>
      <c r="AZ1623" t="inlineStr">
        <is>
          <t>BOOK</t>
        </is>
      </c>
      <c r="BB1623" t="inlineStr">
        <is>
          <t>9781558762640</t>
        </is>
      </c>
      <c r="BC1623" t="inlineStr">
        <is>
          <t>32285005091680</t>
        </is>
      </c>
      <c r="BD1623" t="inlineStr">
        <is>
          <t>893241567</t>
        </is>
      </c>
    </row>
    <row r="1624">
      <c r="A1624" t="inlineStr">
        <is>
          <t>No</t>
        </is>
      </c>
      <c r="B1624" t="inlineStr">
        <is>
          <t>DS62 .L594 1995</t>
        </is>
      </c>
      <c r="C1624" t="inlineStr">
        <is>
          <t>0                      DS 0062000L  594         1995</t>
        </is>
      </c>
      <c r="D1624" t="inlineStr">
        <is>
          <t>The Middle East : a brief history of the last 2,000 years / Bernard Lewis.</t>
        </is>
      </c>
      <c r="F1624" t="inlineStr">
        <is>
          <t>No</t>
        </is>
      </c>
      <c r="G1624" t="inlineStr">
        <is>
          <t>1</t>
        </is>
      </c>
      <c r="H1624" t="inlineStr">
        <is>
          <t>No</t>
        </is>
      </c>
      <c r="I1624" t="inlineStr">
        <is>
          <t>No</t>
        </is>
      </c>
      <c r="J1624" t="inlineStr">
        <is>
          <t>0</t>
        </is>
      </c>
      <c r="K1624" t="inlineStr">
        <is>
          <t>Lewis, Bernard, 1916-2018.</t>
        </is>
      </c>
      <c r="L1624" t="inlineStr">
        <is>
          <t>New York, N.Y. : Scribner, c1995.</t>
        </is>
      </c>
      <c r="M1624" t="inlineStr">
        <is>
          <t>1995</t>
        </is>
      </c>
      <c r="O1624" t="inlineStr">
        <is>
          <t>eng</t>
        </is>
      </c>
      <c r="P1624" t="inlineStr">
        <is>
          <t>nyu</t>
        </is>
      </c>
      <c r="R1624" t="inlineStr">
        <is>
          <t xml:space="preserve">DS </t>
        </is>
      </c>
      <c r="S1624" t="n">
        <v>6</v>
      </c>
      <c r="T1624" t="n">
        <v>6</v>
      </c>
      <c r="U1624" t="inlineStr">
        <is>
          <t>2000-01-27</t>
        </is>
      </c>
      <c r="V1624" t="inlineStr">
        <is>
          <t>2000-01-27</t>
        </is>
      </c>
      <c r="W1624" t="inlineStr">
        <is>
          <t>1996-06-26</t>
        </is>
      </c>
      <c r="X1624" t="inlineStr">
        <is>
          <t>1996-06-26</t>
        </is>
      </c>
      <c r="Y1624" t="n">
        <v>1845</v>
      </c>
      <c r="Z1624" t="n">
        <v>1734</v>
      </c>
      <c r="AA1624" t="n">
        <v>2310</v>
      </c>
      <c r="AB1624" t="n">
        <v>15</v>
      </c>
      <c r="AC1624" t="n">
        <v>22</v>
      </c>
      <c r="AD1624" t="n">
        <v>47</v>
      </c>
      <c r="AE1624" t="n">
        <v>57</v>
      </c>
      <c r="AF1624" t="n">
        <v>17</v>
      </c>
      <c r="AG1624" t="n">
        <v>22</v>
      </c>
      <c r="AH1624" t="n">
        <v>7</v>
      </c>
      <c r="AI1624" t="n">
        <v>9</v>
      </c>
      <c r="AJ1624" t="n">
        <v>22</v>
      </c>
      <c r="AK1624" t="n">
        <v>25</v>
      </c>
      <c r="AL1624" t="n">
        <v>9</v>
      </c>
      <c r="AM1624" t="n">
        <v>12</v>
      </c>
      <c r="AN1624" t="n">
        <v>1</v>
      </c>
      <c r="AO1624" t="n">
        <v>1</v>
      </c>
      <c r="AP1624" t="inlineStr">
        <is>
          <t>No</t>
        </is>
      </c>
      <c r="AQ1624" t="inlineStr">
        <is>
          <t>Yes</t>
        </is>
      </c>
      <c r="AR1624">
        <f>HYPERLINK("http://catalog.hathitrust.org/Record/003059404","HathiTrust Record")</f>
        <v/>
      </c>
      <c r="AS1624">
        <f>HYPERLINK("https://creighton-primo.hosted.exlibrisgroup.com/primo-explore/search?tab=default_tab&amp;search_scope=EVERYTHING&amp;vid=01CRU&amp;lang=en_US&amp;offset=0&amp;query=any,contains,991002609399702656","Catalog Record")</f>
        <v/>
      </c>
      <c r="AT1624">
        <f>HYPERLINK("http://www.worldcat.org/oclc/34190629","WorldCat Record")</f>
        <v/>
      </c>
      <c r="AU1624" t="inlineStr">
        <is>
          <t>2452481377:eng</t>
        </is>
      </c>
      <c r="AV1624" t="inlineStr">
        <is>
          <t>34190629</t>
        </is>
      </c>
      <c r="AW1624" t="inlineStr">
        <is>
          <t>991002609399702656</t>
        </is>
      </c>
      <c r="AX1624" t="inlineStr">
        <is>
          <t>991002609399702656</t>
        </is>
      </c>
      <c r="AY1624" t="inlineStr">
        <is>
          <t>2256281590002656</t>
        </is>
      </c>
      <c r="AZ1624" t="inlineStr">
        <is>
          <t>BOOK</t>
        </is>
      </c>
      <c r="BB1624" t="inlineStr">
        <is>
          <t>9780684807126</t>
        </is>
      </c>
      <c r="BC1624" t="inlineStr">
        <is>
          <t>32285002174125</t>
        </is>
      </c>
      <c r="BD1624" t="inlineStr">
        <is>
          <t>893786331</t>
        </is>
      </c>
    </row>
    <row r="1625">
      <c r="A1625" t="inlineStr">
        <is>
          <t>No</t>
        </is>
      </c>
      <c r="B1625" t="inlineStr">
        <is>
          <t>DS62 .P385 1992</t>
        </is>
      </c>
      <c r="C1625" t="inlineStr">
        <is>
          <t>0                      DS 0062000P  385         1992</t>
        </is>
      </c>
      <c r="D1625" t="inlineStr">
        <is>
          <t>The Middle East : fourteen Islamic centuries / Glenn E. Perry.</t>
        </is>
      </c>
      <c r="F1625" t="inlineStr">
        <is>
          <t>No</t>
        </is>
      </c>
      <c r="G1625" t="inlineStr">
        <is>
          <t>1</t>
        </is>
      </c>
      <c r="H1625" t="inlineStr">
        <is>
          <t>No</t>
        </is>
      </c>
      <c r="I1625" t="inlineStr">
        <is>
          <t>No</t>
        </is>
      </c>
      <c r="J1625" t="inlineStr">
        <is>
          <t>0</t>
        </is>
      </c>
      <c r="K1625" t="inlineStr">
        <is>
          <t>Perry, Glenn E. (Glenn Earl), 1940-</t>
        </is>
      </c>
      <c r="L1625" t="inlineStr">
        <is>
          <t>Englewood Cliffs, N.J. : Prentice-Hall, c1992.</t>
        </is>
      </c>
      <c r="M1625" t="inlineStr">
        <is>
          <t>1992</t>
        </is>
      </c>
      <c r="O1625" t="inlineStr">
        <is>
          <t>eng</t>
        </is>
      </c>
      <c r="P1625" t="inlineStr">
        <is>
          <t>nju</t>
        </is>
      </c>
      <c r="R1625" t="inlineStr">
        <is>
          <t xml:space="preserve">DS </t>
        </is>
      </c>
      <c r="S1625" t="n">
        <v>6</v>
      </c>
      <c r="T1625" t="n">
        <v>6</v>
      </c>
      <c r="U1625" t="inlineStr">
        <is>
          <t>2002-11-25</t>
        </is>
      </c>
      <c r="V1625" t="inlineStr">
        <is>
          <t>2002-11-25</t>
        </is>
      </c>
      <c r="W1625" t="inlineStr">
        <is>
          <t>1991-11-16</t>
        </is>
      </c>
      <c r="X1625" t="inlineStr">
        <is>
          <t>1991-11-16</t>
        </is>
      </c>
      <c r="Y1625" t="n">
        <v>174</v>
      </c>
      <c r="Z1625" t="n">
        <v>143</v>
      </c>
      <c r="AA1625" t="n">
        <v>386</v>
      </c>
      <c r="AB1625" t="n">
        <v>3</v>
      </c>
      <c r="AC1625" t="n">
        <v>3</v>
      </c>
      <c r="AD1625" t="n">
        <v>4</v>
      </c>
      <c r="AE1625" t="n">
        <v>12</v>
      </c>
      <c r="AF1625" t="n">
        <v>2</v>
      </c>
      <c r="AG1625" t="n">
        <v>4</v>
      </c>
      <c r="AH1625" t="n">
        <v>0</v>
      </c>
      <c r="AI1625" t="n">
        <v>3</v>
      </c>
      <c r="AJ1625" t="n">
        <v>2</v>
      </c>
      <c r="AK1625" t="n">
        <v>7</v>
      </c>
      <c r="AL1625" t="n">
        <v>1</v>
      </c>
      <c r="AM1625" t="n">
        <v>1</v>
      </c>
      <c r="AN1625" t="n">
        <v>0</v>
      </c>
      <c r="AO1625" t="n">
        <v>0</v>
      </c>
      <c r="AP1625" t="inlineStr">
        <is>
          <t>No</t>
        </is>
      </c>
      <c r="AQ1625" t="inlineStr">
        <is>
          <t>Yes</t>
        </is>
      </c>
      <c r="AR1625">
        <f>HYPERLINK("http://catalog.hathitrust.org/Record/002563587","HathiTrust Record")</f>
        <v/>
      </c>
      <c r="AS1625">
        <f>HYPERLINK("https://creighton-primo.hosted.exlibrisgroup.com/primo-explore/search?tab=default_tab&amp;search_scope=EVERYTHING&amp;vid=01CRU&amp;lang=en_US&amp;offset=0&amp;query=any,contains,991001826619702656","Catalog Record")</f>
        <v/>
      </c>
      <c r="AT1625">
        <f>HYPERLINK("http://www.worldcat.org/oclc/22952763","WorldCat Record")</f>
        <v/>
      </c>
      <c r="AU1625" t="inlineStr">
        <is>
          <t>23973510:eng</t>
        </is>
      </c>
      <c r="AV1625" t="inlineStr">
        <is>
          <t>22952763</t>
        </is>
      </c>
      <c r="AW1625" t="inlineStr">
        <is>
          <t>991001826619702656</t>
        </is>
      </c>
      <c r="AX1625" t="inlineStr">
        <is>
          <t>991001826619702656</t>
        </is>
      </c>
      <c r="AY1625" t="inlineStr">
        <is>
          <t>2260912480002656</t>
        </is>
      </c>
      <c r="AZ1625" t="inlineStr">
        <is>
          <t>BOOK</t>
        </is>
      </c>
      <c r="BB1625" t="inlineStr">
        <is>
          <t>9780135844595</t>
        </is>
      </c>
      <c r="BC1625" t="inlineStr">
        <is>
          <t>32285000815927</t>
        </is>
      </c>
      <c r="BD1625" t="inlineStr">
        <is>
          <t>893797856</t>
        </is>
      </c>
    </row>
    <row r="1626">
      <c r="A1626" t="inlineStr">
        <is>
          <t>No</t>
        </is>
      </c>
      <c r="B1626" t="inlineStr">
        <is>
          <t>DS62.2 .A63 2006</t>
        </is>
      </c>
      <c r="C1626" t="inlineStr">
        <is>
          <t>0                      DS 0062200A  63          2006</t>
        </is>
      </c>
      <c r="D1626" t="inlineStr">
        <is>
          <t>The ancient Near East : historical sources in translation / edited by Mark W. Chavalas.</t>
        </is>
      </c>
      <c r="F1626" t="inlineStr">
        <is>
          <t>No</t>
        </is>
      </c>
      <c r="G1626" t="inlineStr">
        <is>
          <t>1</t>
        </is>
      </c>
      <c r="H1626" t="inlineStr">
        <is>
          <t>No</t>
        </is>
      </c>
      <c r="I1626" t="inlineStr">
        <is>
          <t>No</t>
        </is>
      </c>
      <c r="J1626" t="inlineStr">
        <is>
          <t>0</t>
        </is>
      </c>
      <c r="L1626" t="inlineStr">
        <is>
          <t>Malden, MA ; Oxford : Blackwell Pub., 2006.</t>
        </is>
      </c>
      <c r="M1626" t="inlineStr">
        <is>
          <t>2006</t>
        </is>
      </c>
      <c r="O1626" t="inlineStr">
        <is>
          <t>eng</t>
        </is>
      </c>
      <c r="P1626" t="inlineStr">
        <is>
          <t>mau</t>
        </is>
      </c>
      <c r="Q1626" t="inlineStr">
        <is>
          <t>Blackwell sourcebooks in ancient history</t>
        </is>
      </c>
      <c r="R1626" t="inlineStr">
        <is>
          <t xml:space="preserve">DS </t>
        </is>
      </c>
      <c r="S1626" t="n">
        <v>7</v>
      </c>
      <c r="T1626" t="n">
        <v>7</v>
      </c>
      <c r="U1626" t="inlineStr">
        <is>
          <t>2008-03-25</t>
        </is>
      </c>
      <c r="V1626" t="inlineStr">
        <is>
          <t>2008-03-25</t>
        </is>
      </c>
      <c r="W1626" t="inlineStr">
        <is>
          <t>2006-11-29</t>
        </is>
      </c>
      <c r="X1626" t="inlineStr">
        <is>
          <t>2006-11-29</t>
        </is>
      </c>
      <c r="Y1626" t="n">
        <v>594</v>
      </c>
      <c r="Z1626" t="n">
        <v>462</v>
      </c>
      <c r="AA1626" t="n">
        <v>465</v>
      </c>
      <c r="AB1626" t="n">
        <v>3</v>
      </c>
      <c r="AC1626" t="n">
        <v>3</v>
      </c>
      <c r="AD1626" t="n">
        <v>26</v>
      </c>
      <c r="AE1626" t="n">
        <v>26</v>
      </c>
      <c r="AF1626" t="n">
        <v>12</v>
      </c>
      <c r="AG1626" t="n">
        <v>12</v>
      </c>
      <c r="AH1626" t="n">
        <v>5</v>
      </c>
      <c r="AI1626" t="n">
        <v>5</v>
      </c>
      <c r="AJ1626" t="n">
        <v>13</v>
      </c>
      <c r="AK1626" t="n">
        <v>13</v>
      </c>
      <c r="AL1626" t="n">
        <v>2</v>
      </c>
      <c r="AM1626" t="n">
        <v>2</v>
      </c>
      <c r="AN1626" t="n">
        <v>0</v>
      </c>
      <c r="AO1626" t="n">
        <v>0</v>
      </c>
      <c r="AP1626" t="inlineStr">
        <is>
          <t>No</t>
        </is>
      </c>
      <c r="AQ1626" t="inlineStr">
        <is>
          <t>No</t>
        </is>
      </c>
      <c r="AS1626">
        <f>HYPERLINK("https://creighton-primo.hosted.exlibrisgroup.com/primo-explore/search?tab=default_tab&amp;search_scope=EVERYTHING&amp;vid=01CRU&amp;lang=en_US&amp;offset=0&amp;query=any,contains,991004965679702656","Catalog Record")</f>
        <v/>
      </c>
      <c r="AT1626">
        <f>HYPERLINK("http://www.worldcat.org/oclc/60375467","WorldCat Record")</f>
        <v/>
      </c>
      <c r="AU1626" t="inlineStr">
        <is>
          <t>803927509:eng</t>
        </is>
      </c>
      <c r="AV1626" t="inlineStr">
        <is>
          <t>60375467</t>
        </is>
      </c>
      <c r="AW1626" t="inlineStr">
        <is>
          <t>991004965679702656</t>
        </is>
      </c>
      <c r="AX1626" t="inlineStr">
        <is>
          <t>991004965679702656</t>
        </is>
      </c>
      <c r="AY1626" t="inlineStr">
        <is>
          <t>2270712220002656</t>
        </is>
      </c>
      <c r="AZ1626" t="inlineStr">
        <is>
          <t>BOOK</t>
        </is>
      </c>
      <c r="BB1626" t="inlineStr">
        <is>
          <t>9780631235804</t>
        </is>
      </c>
      <c r="BC1626" t="inlineStr">
        <is>
          <t>32285005263404</t>
        </is>
      </c>
      <c r="BD1626" t="inlineStr">
        <is>
          <t>893895681</t>
        </is>
      </c>
    </row>
    <row r="1627">
      <c r="A1627" t="inlineStr">
        <is>
          <t>No</t>
        </is>
      </c>
      <c r="B1627" t="inlineStr">
        <is>
          <t>DS62.2 .F55</t>
        </is>
      </c>
      <c r="C1627" t="inlineStr">
        <is>
          <t>0                      DS 0062200F  55</t>
        </is>
      </c>
      <c r="D1627" t="inlineStr">
        <is>
          <t>Archaeological history of the ancient Middle East / Jack Finegan.</t>
        </is>
      </c>
      <c r="F1627" t="inlineStr">
        <is>
          <t>No</t>
        </is>
      </c>
      <c r="G1627" t="inlineStr">
        <is>
          <t>1</t>
        </is>
      </c>
      <c r="H1627" t="inlineStr">
        <is>
          <t>No</t>
        </is>
      </c>
      <c r="I1627" t="inlineStr">
        <is>
          <t>No</t>
        </is>
      </c>
      <c r="J1627" t="inlineStr">
        <is>
          <t>0</t>
        </is>
      </c>
      <c r="K1627" t="inlineStr">
        <is>
          <t>Finegan, Jack, 1908-2000.</t>
        </is>
      </c>
      <c r="L1627" t="inlineStr">
        <is>
          <t>Boulder, Colo. : Westview Press, [1979]</t>
        </is>
      </c>
      <c r="M1627" t="inlineStr">
        <is>
          <t>1978</t>
        </is>
      </c>
      <c r="O1627" t="inlineStr">
        <is>
          <t>eng</t>
        </is>
      </c>
      <c r="P1627" t="inlineStr">
        <is>
          <t>cou</t>
        </is>
      </c>
      <c r="R1627" t="inlineStr">
        <is>
          <t xml:space="preserve">DS </t>
        </is>
      </c>
      <c r="S1627" t="n">
        <v>6</v>
      </c>
      <c r="T1627" t="n">
        <v>6</v>
      </c>
      <c r="U1627" t="inlineStr">
        <is>
          <t>2004-04-15</t>
        </is>
      </c>
      <c r="V1627" t="inlineStr">
        <is>
          <t>2004-04-15</t>
        </is>
      </c>
      <c r="W1627" t="inlineStr">
        <is>
          <t>1990-09-14</t>
        </is>
      </c>
      <c r="X1627" t="inlineStr">
        <is>
          <t>1990-09-14</t>
        </is>
      </c>
      <c r="Y1627" t="n">
        <v>794</v>
      </c>
      <c r="Z1627" t="n">
        <v>644</v>
      </c>
      <c r="AA1627" t="n">
        <v>812</v>
      </c>
      <c r="AB1627" t="n">
        <v>6</v>
      </c>
      <c r="AC1627" t="n">
        <v>6</v>
      </c>
      <c r="AD1627" t="n">
        <v>27</v>
      </c>
      <c r="AE1627" t="n">
        <v>32</v>
      </c>
      <c r="AF1627" t="n">
        <v>13</v>
      </c>
      <c r="AG1627" t="n">
        <v>17</v>
      </c>
      <c r="AH1627" t="n">
        <v>7</v>
      </c>
      <c r="AI1627" t="n">
        <v>7</v>
      </c>
      <c r="AJ1627" t="n">
        <v>11</v>
      </c>
      <c r="AK1627" t="n">
        <v>14</v>
      </c>
      <c r="AL1627" t="n">
        <v>4</v>
      </c>
      <c r="AM1627" t="n">
        <v>4</v>
      </c>
      <c r="AN1627" t="n">
        <v>0</v>
      </c>
      <c r="AO1627" t="n">
        <v>0</v>
      </c>
      <c r="AP1627" t="inlineStr">
        <is>
          <t>No</t>
        </is>
      </c>
      <c r="AQ1627" t="inlineStr">
        <is>
          <t>Yes</t>
        </is>
      </c>
      <c r="AR1627">
        <f>HYPERLINK("http://catalog.hathitrust.org/Record/000091420","HathiTrust Record")</f>
        <v/>
      </c>
      <c r="AS1627">
        <f>HYPERLINK("https://creighton-primo.hosted.exlibrisgroup.com/primo-explore/search?tab=default_tab&amp;search_scope=EVERYTHING&amp;vid=01CRU&amp;lang=en_US&amp;offset=0&amp;query=any,contains,991004473749702656","Catalog Record")</f>
        <v/>
      </c>
      <c r="AT1627">
        <f>HYPERLINK("http://www.worldcat.org/oclc/3608393","WorldCat Record")</f>
        <v/>
      </c>
      <c r="AU1627" t="inlineStr">
        <is>
          <t>102183525:eng</t>
        </is>
      </c>
      <c r="AV1627" t="inlineStr">
        <is>
          <t>3608393</t>
        </is>
      </c>
      <c r="AW1627" t="inlineStr">
        <is>
          <t>991004473749702656</t>
        </is>
      </c>
      <c r="AX1627" t="inlineStr">
        <is>
          <t>991004473749702656</t>
        </is>
      </c>
      <c r="AY1627" t="inlineStr">
        <is>
          <t>2271639680002656</t>
        </is>
      </c>
      <c r="AZ1627" t="inlineStr">
        <is>
          <t>BOOK</t>
        </is>
      </c>
      <c r="BB1627" t="inlineStr">
        <is>
          <t>9780891581642</t>
        </is>
      </c>
      <c r="BC1627" t="inlineStr">
        <is>
          <t>32285000291913</t>
        </is>
      </c>
      <c r="BD1627" t="inlineStr">
        <is>
          <t>893526129</t>
        </is>
      </c>
    </row>
    <row r="1628">
      <c r="A1628" t="inlineStr">
        <is>
          <t>No</t>
        </is>
      </c>
      <c r="B1628" t="inlineStr">
        <is>
          <t>DS62.2 .H3</t>
        </is>
      </c>
      <c r="C1628" t="inlineStr">
        <is>
          <t>0                      DS 0062200H  3</t>
        </is>
      </c>
      <c r="D1628" t="inlineStr">
        <is>
          <t>The ancient Near East; a history [by] William W. Hallo [and] William Kelly Simpson. Under the general editorship of John Morton Blum.</t>
        </is>
      </c>
      <c r="F1628" t="inlineStr">
        <is>
          <t>No</t>
        </is>
      </c>
      <c r="G1628" t="inlineStr">
        <is>
          <t>1</t>
        </is>
      </c>
      <c r="H1628" t="inlineStr">
        <is>
          <t>No</t>
        </is>
      </c>
      <c r="I1628" t="inlineStr">
        <is>
          <t>No</t>
        </is>
      </c>
      <c r="J1628" t="inlineStr">
        <is>
          <t>0</t>
        </is>
      </c>
      <c r="K1628" t="inlineStr">
        <is>
          <t>Hallo, William W.</t>
        </is>
      </c>
      <c r="L1628" t="inlineStr">
        <is>
          <t>New York, Harcourt Brace Jovanovich [1971]</t>
        </is>
      </c>
      <c r="M1628" t="inlineStr">
        <is>
          <t>1971</t>
        </is>
      </c>
      <c r="O1628" t="inlineStr">
        <is>
          <t>eng</t>
        </is>
      </c>
      <c r="P1628" t="inlineStr">
        <is>
          <t>nyu</t>
        </is>
      </c>
      <c r="R1628" t="inlineStr">
        <is>
          <t xml:space="preserve">DS </t>
        </is>
      </c>
      <c r="S1628" t="n">
        <v>9</v>
      </c>
      <c r="T1628" t="n">
        <v>9</v>
      </c>
      <c r="U1628" t="inlineStr">
        <is>
          <t>2006-11-07</t>
        </is>
      </c>
      <c r="V1628" t="inlineStr">
        <is>
          <t>2006-11-07</t>
        </is>
      </c>
      <c r="W1628" t="inlineStr">
        <is>
          <t>1997-02-24</t>
        </is>
      </c>
      <c r="X1628" t="inlineStr">
        <is>
          <t>1997-02-24</t>
        </is>
      </c>
      <c r="Y1628" t="n">
        <v>917</v>
      </c>
      <c r="Z1628" t="n">
        <v>709</v>
      </c>
      <c r="AA1628" t="n">
        <v>815</v>
      </c>
      <c r="AB1628" t="n">
        <v>3</v>
      </c>
      <c r="AC1628" t="n">
        <v>4</v>
      </c>
      <c r="AD1628" t="n">
        <v>24</v>
      </c>
      <c r="AE1628" t="n">
        <v>31</v>
      </c>
      <c r="AF1628" t="n">
        <v>10</v>
      </c>
      <c r="AG1628" t="n">
        <v>13</v>
      </c>
      <c r="AH1628" t="n">
        <v>8</v>
      </c>
      <c r="AI1628" t="n">
        <v>8</v>
      </c>
      <c r="AJ1628" t="n">
        <v>13</v>
      </c>
      <c r="AK1628" t="n">
        <v>17</v>
      </c>
      <c r="AL1628" t="n">
        <v>1</v>
      </c>
      <c r="AM1628" t="n">
        <v>2</v>
      </c>
      <c r="AN1628" t="n">
        <v>0</v>
      </c>
      <c r="AO1628" t="n">
        <v>0</v>
      </c>
      <c r="AP1628" t="inlineStr">
        <is>
          <t>No</t>
        </is>
      </c>
      <c r="AQ1628" t="inlineStr">
        <is>
          <t>Yes</t>
        </is>
      </c>
      <c r="AR1628">
        <f>HYPERLINK("http://catalog.hathitrust.org/Record/001241128","HathiTrust Record")</f>
        <v/>
      </c>
      <c r="AS1628">
        <f>HYPERLINK("https://creighton-primo.hosted.exlibrisgroup.com/primo-explore/search?tab=default_tab&amp;search_scope=EVERYTHING&amp;vid=01CRU&amp;lang=en_US&amp;offset=0&amp;query=any,contains,991001222009702656","Catalog Record")</f>
        <v/>
      </c>
      <c r="AT1628">
        <f>HYPERLINK("http://www.worldcat.org/oclc/197213","WorldCat Record")</f>
        <v/>
      </c>
      <c r="AU1628" t="inlineStr">
        <is>
          <t>1370991:eng</t>
        </is>
      </c>
      <c r="AV1628" t="inlineStr">
        <is>
          <t>197213</t>
        </is>
      </c>
      <c r="AW1628" t="inlineStr">
        <is>
          <t>991001222009702656</t>
        </is>
      </c>
      <c r="AX1628" t="inlineStr">
        <is>
          <t>991001222009702656</t>
        </is>
      </c>
      <c r="AY1628" t="inlineStr">
        <is>
          <t>2272641870002656</t>
        </is>
      </c>
      <c r="AZ1628" t="inlineStr">
        <is>
          <t>BOOK</t>
        </is>
      </c>
      <c r="BB1628" t="inlineStr">
        <is>
          <t>9780155027558</t>
        </is>
      </c>
      <c r="BC1628" t="inlineStr">
        <is>
          <t>32285002469616</t>
        </is>
      </c>
      <c r="BD1628" t="inlineStr">
        <is>
          <t>893602440</t>
        </is>
      </c>
    </row>
    <row r="1629">
      <c r="A1629" t="inlineStr">
        <is>
          <t>No</t>
        </is>
      </c>
      <c r="B1629" t="inlineStr">
        <is>
          <t>DS62.2 .M26 1985</t>
        </is>
      </c>
      <c r="C1629" t="inlineStr">
        <is>
          <t>0                      DS 0062200M  26          1985</t>
        </is>
      </c>
      <c r="D1629" t="inlineStr">
        <is>
          <t>Major cities of the biblical world / edited by R.K. Harrison.</t>
        </is>
      </c>
      <c r="F1629" t="inlineStr">
        <is>
          <t>No</t>
        </is>
      </c>
      <c r="G1629" t="inlineStr">
        <is>
          <t>1</t>
        </is>
      </c>
      <c r="H1629" t="inlineStr">
        <is>
          <t>No</t>
        </is>
      </c>
      <c r="I1629" t="inlineStr">
        <is>
          <t>No</t>
        </is>
      </c>
      <c r="J1629" t="inlineStr">
        <is>
          <t>0</t>
        </is>
      </c>
      <c r="L1629" t="inlineStr">
        <is>
          <t>Nashville : T. Nelson Publishers, c1985.</t>
        </is>
      </c>
      <c r="M1629" t="inlineStr">
        <is>
          <t>1985</t>
        </is>
      </c>
      <c r="O1629" t="inlineStr">
        <is>
          <t>eng</t>
        </is>
      </c>
      <c r="P1629" t="inlineStr">
        <is>
          <t>tnu</t>
        </is>
      </c>
      <c r="R1629" t="inlineStr">
        <is>
          <t xml:space="preserve">DS </t>
        </is>
      </c>
      <c r="S1629" t="n">
        <v>3</v>
      </c>
      <c r="T1629" t="n">
        <v>3</v>
      </c>
      <c r="U1629" t="inlineStr">
        <is>
          <t>2006-09-28</t>
        </is>
      </c>
      <c r="V1629" t="inlineStr">
        <is>
          <t>2006-09-28</t>
        </is>
      </c>
      <c r="W1629" t="inlineStr">
        <is>
          <t>1990-08-16</t>
        </is>
      </c>
      <c r="X1629" t="inlineStr">
        <is>
          <t>1990-08-16</t>
        </is>
      </c>
      <c r="Y1629" t="n">
        <v>337</v>
      </c>
      <c r="Z1629" t="n">
        <v>294</v>
      </c>
      <c r="AA1629" t="n">
        <v>299</v>
      </c>
      <c r="AB1629" t="n">
        <v>4</v>
      </c>
      <c r="AC1629" t="n">
        <v>4</v>
      </c>
      <c r="AD1629" t="n">
        <v>16</v>
      </c>
      <c r="AE1629" t="n">
        <v>16</v>
      </c>
      <c r="AF1629" t="n">
        <v>9</v>
      </c>
      <c r="AG1629" t="n">
        <v>9</v>
      </c>
      <c r="AH1629" t="n">
        <v>3</v>
      </c>
      <c r="AI1629" t="n">
        <v>3</v>
      </c>
      <c r="AJ1629" t="n">
        <v>7</v>
      </c>
      <c r="AK1629" t="n">
        <v>7</v>
      </c>
      <c r="AL1629" t="n">
        <v>1</v>
      </c>
      <c r="AM1629" t="n">
        <v>1</v>
      </c>
      <c r="AN1629" t="n">
        <v>0</v>
      </c>
      <c r="AO1629" t="n">
        <v>0</v>
      </c>
      <c r="AP1629" t="inlineStr">
        <is>
          <t>No</t>
        </is>
      </c>
      <c r="AQ1629" t="inlineStr">
        <is>
          <t>No</t>
        </is>
      </c>
      <c r="AS1629">
        <f>HYPERLINK("https://creighton-primo.hosted.exlibrisgroup.com/primo-explore/search?tab=default_tab&amp;search_scope=EVERYTHING&amp;vid=01CRU&amp;lang=en_US&amp;offset=0&amp;query=any,contains,991000628139702656","Catalog Record")</f>
        <v/>
      </c>
      <c r="AT1629">
        <f>HYPERLINK("http://www.worldcat.org/oclc/12050326","WorldCat Record")</f>
        <v/>
      </c>
      <c r="AU1629" t="inlineStr">
        <is>
          <t>473871643:eng</t>
        </is>
      </c>
      <c r="AV1629" t="inlineStr">
        <is>
          <t>12050326</t>
        </is>
      </c>
      <c r="AW1629" t="inlineStr">
        <is>
          <t>991000628139702656</t>
        </is>
      </c>
      <c r="AX1629" t="inlineStr">
        <is>
          <t>991000628139702656</t>
        </is>
      </c>
      <c r="AY1629" t="inlineStr">
        <is>
          <t>2266972220002656</t>
        </is>
      </c>
      <c r="AZ1629" t="inlineStr">
        <is>
          <t>BOOK</t>
        </is>
      </c>
      <c r="BB1629" t="inlineStr">
        <is>
          <t>9780840775207</t>
        </is>
      </c>
      <c r="BC1629" t="inlineStr">
        <is>
          <t>32285000274307</t>
        </is>
      </c>
      <c r="BD1629" t="inlineStr">
        <is>
          <t>893333635</t>
        </is>
      </c>
    </row>
    <row r="1630">
      <c r="A1630" t="inlineStr">
        <is>
          <t>No</t>
        </is>
      </c>
      <c r="B1630" t="inlineStr">
        <is>
          <t>DS62.2 .V35 1983</t>
        </is>
      </c>
      <c r="C1630" t="inlineStr">
        <is>
          <t>0                      DS 0062200V  35          1983</t>
        </is>
      </c>
      <c r="D1630" t="inlineStr">
        <is>
          <t>In search of history : historiography in the ancient world and the origins of Biblical history / John Van Seters.</t>
        </is>
      </c>
      <c r="F1630" t="inlineStr">
        <is>
          <t>No</t>
        </is>
      </c>
      <c r="G1630" t="inlineStr">
        <is>
          <t>1</t>
        </is>
      </c>
      <c r="H1630" t="inlineStr">
        <is>
          <t>No</t>
        </is>
      </c>
      <c r="I1630" t="inlineStr">
        <is>
          <t>No</t>
        </is>
      </c>
      <c r="J1630" t="inlineStr">
        <is>
          <t>0</t>
        </is>
      </c>
      <c r="K1630" t="inlineStr">
        <is>
          <t>Van Seters, John.</t>
        </is>
      </c>
      <c r="L1630" t="inlineStr">
        <is>
          <t>New Haven : Yale University Press, c1983.</t>
        </is>
      </c>
      <c r="M1630" t="inlineStr">
        <is>
          <t>1983</t>
        </is>
      </c>
      <c r="O1630" t="inlineStr">
        <is>
          <t>eng</t>
        </is>
      </c>
      <c r="P1630" t="inlineStr">
        <is>
          <t>ctu</t>
        </is>
      </c>
      <c r="R1630" t="inlineStr">
        <is>
          <t xml:space="preserve">DS </t>
        </is>
      </c>
      <c r="S1630" t="n">
        <v>10</v>
      </c>
      <c r="T1630" t="n">
        <v>10</v>
      </c>
      <c r="U1630" t="inlineStr">
        <is>
          <t>2006-03-07</t>
        </is>
      </c>
      <c r="V1630" t="inlineStr">
        <is>
          <t>2006-03-07</t>
        </is>
      </c>
      <c r="W1630" t="inlineStr">
        <is>
          <t>1990-08-16</t>
        </is>
      </c>
      <c r="X1630" t="inlineStr">
        <is>
          <t>1990-08-16</t>
        </is>
      </c>
      <c r="Y1630" t="n">
        <v>846</v>
      </c>
      <c r="Z1630" t="n">
        <v>667</v>
      </c>
      <c r="AA1630" t="n">
        <v>817</v>
      </c>
      <c r="AB1630" t="n">
        <v>4</v>
      </c>
      <c r="AC1630" t="n">
        <v>6</v>
      </c>
      <c r="AD1630" t="n">
        <v>37</v>
      </c>
      <c r="AE1630" t="n">
        <v>46</v>
      </c>
      <c r="AF1630" t="n">
        <v>17</v>
      </c>
      <c r="AG1630" t="n">
        <v>20</v>
      </c>
      <c r="AH1630" t="n">
        <v>9</v>
      </c>
      <c r="AI1630" t="n">
        <v>10</v>
      </c>
      <c r="AJ1630" t="n">
        <v>17</v>
      </c>
      <c r="AK1630" t="n">
        <v>22</v>
      </c>
      <c r="AL1630" t="n">
        <v>3</v>
      </c>
      <c r="AM1630" t="n">
        <v>5</v>
      </c>
      <c r="AN1630" t="n">
        <v>0</v>
      </c>
      <c r="AO1630" t="n">
        <v>0</v>
      </c>
      <c r="AP1630" t="inlineStr">
        <is>
          <t>No</t>
        </is>
      </c>
      <c r="AQ1630" t="inlineStr">
        <is>
          <t>No</t>
        </is>
      </c>
      <c r="AS1630">
        <f>HYPERLINK("https://creighton-primo.hosted.exlibrisgroup.com/primo-explore/search?tab=default_tab&amp;search_scope=EVERYTHING&amp;vid=01CRU&amp;lang=en_US&amp;offset=0&amp;query=any,contains,991000097199702656","Catalog Record")</f>
        <v/>
      </c>
      <c r="AT1630">
        <f>HYPERLINK("http://www.worldcat.org/oclc/8930041","WorldCat Record")</f>
        <v/>
      </c>
      <c r="AU1630" t="inlineStr">
        <is>
          <t>836626692:eng</t>
        </is>
      </c>
      <c r="AV1630" t="inlineStr">
        <is>
          <t>8930041</t>
        </is>
      </c>
      <c r="AW1630" t="inlineStr">
        <is>
          <t>991000097199702656</t>
        </is>
      </c>
      <c r="AX1630" t="inlineStr">
        <is>
          <t>991000097199702656</t>
        </is>
      </c>
      <c r="AY1630" t="inlineStr">
        <is>
          <t>2257630030002656</t>
        </is>
      </c>
      <c r="AZ1630" t="inlineStr">
        <is>
          <t>BOOK</t>
        </is>
      </c>
      <c r="BB1630" t="inlineStr">
        <is>
          <t>9780300028775</t>
        </is>
      </c>
      <c r="BC1630" t="inlineStr">
        <is>
          <t>32285000274315</t>
        </is>
      </c>
      <c r="BD1630" t="inlineStr">
        <is>
          <t>893689422</t>
        </is>
      </c>
    </row>
    <row r="1631">
      <c r="A1631" t="inlineStr">
        <is>
          <t>No</t>
        </is>
      </c>
      <c r="B1631" t="inlineStr">
        <is>
          <t>DS62.2 .V44</t>
        </is>
      </c>
      <c r="C1631" t="inlineStr">
        <is>
          <t>0                      DS 0062200V  44</t>
        </is>
      </c>
      <c r="D1631" t="inlineStr">
        <is>
          <t>Ramses II and his time / Immanuel Velikovsky.</t>
        </is>
      </c>
      <c r="F1631" t="inlineStr">
        <is>
          <t>No</t>
        </is>
      </c>
      <c r="G1631" t="inlineStr">
        <is>
          <t>1</t>
        </is>
      </c>
      <c r="H1631" t="inlineStr">
        <is>
          <t>No</t>
        </is>
      </c>
      <c r="I1631" t="inlineStr">
        <is>
          <t>No</t>
        </is>
      </c>
      <c r="J1631" t="inlineStr">
        <is>
          <t>0</t>
        </is>
      </c>
      <c r="K1631" t="inlineStr">
        <is>
          <t>Velikovsky, Immanuel, 1895-1979.</t>
        </is>
      </c>
      <c r="L1631" t="inlineStr">
        <is>
          <t>Garden City, N.Y. : Doubleday, 1978.</t>
        </is>
      </c>
      <c r="M1631" t="inlineStr">
        <is>
          <t>1978</t>
        </is>
      </c>
      <c r="N1631" t="inlineStr">
        <is>
          <t>1st ed.</t>
        </is>
      </c>
      <c r="O1631" t="inlineStr">
        <is>
          <t>eng</t>
        </is>
      </c>
      <c r="P1631" t="inlineStr">
        <is>
          <t>nyu</t>
        </is>
      </c>
      <c r="Q1631" t="inlineStr">
        <is>
          <t>His Ages in chaos</t>
        </is>
      </c>
      <c r="R1631" t="inlineStr">
        <is>
          <t xml:space="preserve">DS </t>
        </is>
      </c>
      <c r="S1631" t="n">
        <v>3</v>
      </c>
      <c r="T1631" t="n">
        <v>3</v>
      </c>
      <c r="U1631" t="inlineStr">
        <is>
          <t>2010-04-18</t>
        </is>
      </c>
      <c r="V1631" t="inlineStr">
        <is>
          <t>2010-04-18</t>
        </is>
      </c>
      <c r="W1631" t="inlineStr">
        <is>
          <t>1990-07-09</t>
        </is>
      </c>
      <c r="X1631" t="inlineStr">
        <is>
          <t>1990-07-09</t>
        </is>
      </c>
      <c r="Y1631" t="n">
        <v>925</v>
      </c>
      <c r="Z1631" t="n">
        <v>857</v>
      </c>
      <c r="AA1631" t="n">
        <v>878</v>
      </c>
      <c r="AB1631" t="n">
        <v>8</v>
      </c>
      <c r="AC1631" t="n">
        <v>8</v>
      </c>
      <c r="AD1631" t="n">
        <v>18</v>
      </c>
      <c r="AE1631" t="n">
        <v>18</v>
      </c>
      <c r="AF1631" t="n">
        <v>8</v>
      </c>
      <c r="AG1631" t="n">
        <v>8</v>
      </c>
      <c r="AH1631" t="n">
        <v>2</v>
      </c>
      <c r="AI1631" t="n">
        <v>2</v>
      </c>
      <c r="AJ1631" t="n">
        <v>7</v>
      </c>
      <c r="AK1631" t="n">
        <v>7</v>
      </c>
      <c r="AL1631" t="n">
        <v>3</v>
      </c>
      <c r="AM1631" t="n">
        <v>3</v>
      </c>
      <c r="AN1631" t="n">
        <v>0</v>
      </c>
      <c r="AO1631" t="n">
        <v>0</v>
      </c>
      <c r="AP1631" t="inlineStr">
        <is>
          <t>No</t>
        </is>
      </c>
      <c r="AQ1631" t="inlineStr">
        <is>
          <t>No</t>
        </is>
      </c>
      <c r="AS1631">
        <f>HYPERLINK("https://creighton-primo.hosted.exlibrisgroup.com/primo-explore/search?tab=default_tab&amp;search_scope=EVERYTHING&amp;vid=01CRU&amp;lang=en_US&amp;offset=0&amp;query=any,contains,991004543829702656","Catalog Record")</f>
        <v/>
      </c>
      <c r="AT1631">
        <f>HYPERLINK("http://www.worldcat.org/oclc/3910883","WorldCat Record")</f>
        <v/>
      </c>
      <c r="AU1631" t="inlineStr">
        <is>
          <t>57497818:eng</t>
        </is>
      </c>
      <c r="AV1631" t="inlineStr">
        <is>
          <t>3910883</t>
        </is>
      </c>
      <c r="AW1631" t="inlineStr">
        <is>
          <t>991004543829702656</t>
        </is>
      </c>
      <c r="AX1631" t="inlineStr">
        <is>
          <t>991004543829702656</t>
        </is>
      </c>
      <c r="AY1631" t="inlineStr">
        <is>
          <t>2268724480002656</t>
        </is>
      </c>
      <c r="AZ1631" t="inlineStr">
        <is>
          <t>BOOK</t>
        </is>
      </c>
      <c r="BB1631" t="inlineStr">
        <is>
          <t>9780385033947</t>
        </is>
      </c>
      <c r="BC1631" t="inlineStr">
        <is>
          <t>32285000222272</t>
        </is>
      </c>
      <c r="BD1631" t="inlineStr">
        <is>
          <t>893325495</t>
        </is>
      </c>
    </row>
    <row r="1632">
      <c r="A1632" t="inlineStr">
        <is>
          <t>No</t>
        </is>
      </c>
      <c r="B1632" t="inlineStr">
        <is>
          <t>DS62.23 .A43 2000</t>
        </is>
      </c>
      <c r="C1632" t="inlineStr">
        <is>
          <t>0                      DS 0062230A  43          2000</t>
        </is>
      </c>
      <c r="D1632" t="inlineStr">
        <is>
          <t>Amarna diplomacy : the beginnings of international relations / edited by Raymond Cohen and Raymond Westbrook.</t>
        </is>
      </c>
      <c r="F1632" t="inlineStr">
        <is>
          <t>No</t>
        </is>
      </c>
      <c r="G1632" t="inlineStr">
        <is>
          <t>1</t>
        </is>
      </c>
      <c r="H1632" t="inlineStr">
        <is>
          <t>No</t>
        </is>
      </c>
      <c r="I1632" t="inlineStr">
        <is>
          <t>No</t>
        </is>
      </c>
      <c r="J1632" t="inlineStr">
        <is>
          <t>0</t>
        </is>
      </c>
      <c r="L1632" t="inlineStr">
        <is>
          <t>Baltimore, MD : Johns Hopkins University Press, 2000.</t>
        </is>
      </c>
      <c r="M1632" t="inlineStr">
        <is>
          <t>2000</t>
        </is>
      </c>
      <c r="O1632" t="inlineStr">
        <is>
          <t>eng</t>
        </is>
      </c>
      <c r="P1632" t="inlineStr">
        <is>
          <t>mdu</t>
        </is>
      </c>
      <c r="R1632" t="inlineStr">
        <is>
          <t xml:space="preserve">DS </t>
        </is>
      </c>
      <c r="S1632" t="n">
        <v>3</v>
      </c>
      <c r="T1632" t="n">
        <v>3</v>
      </c>
      <c r="U1632" t="inlineStr">
        <is>
          <t>2006-09-28</t>
        </is>
      </c>
      <c r="V1632" t="inlineStr">
        <is>
          <t>2006-09-28</t>
        </is>
      </c>
      <c r="W1632" t="inlineStr">
        <is>
          <t>2001-08-23</t>
        </is>
      </c>
      <c r="X1632" t="inlineStr">
        <is>
          <t>2001-08-23</t>
        </is>
      </c>
      <c r="Y1632" t="n">
        <v>357</v>
      </c>
      <c r="Z1632" t="n">
        <v>252</v>
      </c>
      <c r="AA1632" t="n">
        <v>413</v>
      </c>
      <c r="AB1632" t="n">
        <v>1</v>
      </c>
      <c r="AC1632" t="n">
        <v>3</v>
      </c>
      <c r="AD1632" t="n">
        <v>12</v>
      </c>
      <c r="AE1632" t="n">
        <v>22</v>
      </c>
      <c r="AF1632" t="n">
        <v>3</v>
      </c>
      <c r="AG1632" t="n">
        <v>7</v>
      </c>
      <c r="AH1632" t="n">
        <v>4</v>
      </c>
      <c r="AI1632" t="n">
        <v>8</v>
      </c>
      <c r="AJ1632" t="n">
        <v>8</v>
      </c>
      <c r="AK1632" t="n">
        <v>11</v>
      </c>
      <c r="AL1632" t="n">
        <v>0</v>
      </c>
      <c r="AM1632" t="n">
        <v>2</v>
      </c>
      <c r="AN1632" t="n">
        <v>0</v>
      </c>
      <c r="AO1632" t="n">
        <v>0</v>
      </c>
      <c r="AP1632" t="inlineStr">
        <is>
          <t>No</t>
        </is>
      </c>
      <c r="AQ1632" t="inlineStr">
        <is>
          <t>Yes</t>
        </is>
      </c>
      <c r="AR1632">
        <f>HYPERLINK("http://catalog.hathitrust.org/Record/004067839","HathiTrust Record")</f>
        <v/>
      </c>
      <c r="AS1632">
        <f>HYPERLINK("https://creighton-primo.hosted.exlibrisgroup.com/primo-explore/search?tab=default_tab&amp;search_scope=EVERYTHING&amp;vid=01CRU&amp;lang=en_US&amp;offset=0&amp;query=any,contains,991003580159702656","Catalog Record")</f>
        <v/>
      </c>
      <c r="AT1632">
        <f>HYPERLINK("http://www.worldcat.org/oclc/42289942","WorldCat Record")</f>
        <v/>
      </c>
      <c r="AU1632" t="inlineStr">
        <is>
          <t>807077351:eng</t>
        </is>
      </c>
      <c r="AV1632" t="inlineStr">
        <is>
          <t>42289942</t>
        </is>
      </c>
      <c r="AW1632" t="inlineStr">
        <is>
          <t>991003580159702656</t>
        </is>
      </c>
      <c r="AX1632" t="inlineStr">
        <is>
          <t>991003580159702656</t>
        </is>
      </c>
      <c r="AY1632" t="inlineStr">
        <is>
          <t>2269530410002656</t>
        </is>
      </c>
      <c r="AZ1632" t="inlineStr">
        <is>
          <t>BOOK</t>
        </is>
      </c>
      <c r="BB1632" t="inlineStr">
        <is>
          <t>9780801861994</t>
        </is>
      </c>
      <c r="BC1632" t="inlineStr">
        <is>
          <t>32285004380423</t>
        </is>
      </c>
      <c r="BD1632" t="inlineStr">
        <is>
          <t>893711507</t>
        </is>
      </c>
    </row>
    <row r="1633">
      <c r="A1633" t="inlineStr">
        <is>
          <t>No</t>
        </is>
      </c>
      <c r="B1633" t="inlineStr">
        <is>
          <t>DS62.23 .S95 1990</t>
        </is>
      </c>
      <c r="C1633" t="inlineStr">
        <is>
          <t>0                      DS 0062230S  95          1990</t>
        </is>
      </c>
      <c r="D1633" t="inlineStr">
        <is>
          <t>Near Eastern royalty and Rome, 100-30 BC / Richard D. Sullivan.</t>
        </is>
      </c>
      <c r="F1633" t="inlineStr">
        <is>
          <t>No</t>
        </is>
      </c>
      <c r="G1633" t="inlineStr">
        <is>
          <t>1</t>
        </is>
      </c>
      <c r="H1633" t="inlineStr">
        <is>
          <t>No</t>
        </is>
      </c>
      <c r="I1633" t="inlineStr">
        <is>
          <t>No</t>
        </is>
      </c>
      <c r="J1633" t="inlineStr">
        <is>
          <t>0</t>
        </is>
      </c>
      <c r="K1633" t="inlineStr">
        <is>
          <t>Sullivan, Richard D., 1936-1988.</t>
        </is>
      </c>
      <c r="L1633" t="inlineStr">
        <is>
          <t>Toronto : University of Toronto Press, c1990.</t>
        </is>
      </c>
      <c r="M1633" t="inlineStr">
        <is>
          <t>1990</t>
        </is>
      </c>
      <c r="O1633" t="inlineStr">
        <is>
          <t>eng</t>
        </is>
      </c>
      <c r="P1633" t="inlineStr">
        <is>
          <t>onc</t>
        </is>
      </c>
      <c r="Q1633" t="inlineStr">
        <is>
          <t>Phoenix. Supplementary volume ; 24 = Phoenix. Tome supplémentaire, 0079-1784 ; 24</t>
        </is>
      </c>
      <c r="R1633" t="inlineStr">
        <is>
          <t xml:space="preserve">DS </t>
        </is>
      </c>
      <c r="S1633" t="n">
        <v>1</v>
      </c>
      <c r="T1633" t="n">
        <v>1</v>
      </c>
      <c r="U1633" t="inlineStr">
        <is>
          <t>1992-07-27</t>
        </is>
      </c>
      <c r="V1633" t="inlineStr">
        <is>
          <t>1992-07-27</t>
        </is>
      </c>
      <c r="W1633" t="inlineStr">
        <is>
          <t>1990-11-27</t>
        </is>
      </c>
      <c r="X1633" t="inlineStr">
        <is>
          <t>1990-11-27</t>
        </is>
      </c>
      <c r="Y1633" t="n">
        <v>275</v>
      </c>
      <c r="Z1633" t="n">
        <v>175</v>
      </c>
      <c r="AA1633" t="n">
        <v>624</v>
      </c>
      <c r="AB1633" t="n">
        <v>3</v>
      </c>
      <c r="AC1633" t="n">
        <v>8</v>
      </c>
      <c r="AD1633" t="n">
        <v>14</v>
      </c>
      <c r="AE1633" t="n">
        <v>35</v>
      </c>
      <c r="AF1633" t="n">
        <v>3</v>
      </c>
      <c r="AG1633" t="n">
        <v>10</v>
      </c>
      <c r="AH1633" t="n">
        <v>4</v>
      </c>
      <c r="AI1633" t="n">
        <v>11</v>
      </c>
      <c r="AJ1633" t="n">
        <v>11</v>
      </c>
      <c r="AK1633" t="n">
        <v>16</v>
      </c>
      <c r="AL1633" t="n">
        <v>2</v>
      </c>
      <c r="AM1633" t="n">
        <v>6</v>
      </c>
      <c r="AN1633" t="n">
        <v>0</v>
      </c>
      <c r="AO1633" t="n">
        <v>1</v>
      </c>
      <c r="AP1633" t="inlineStr">
        <is>
          <t>No</t>
        </is>
      </c>
      <c r="AQ1633" t="inlineStr">
        <is>
          <t>Yes</t>
        </is>
      </c>
      <c r="AR1633">
        <f>HYPERLINK("http://catalog.hathitrust.org/Record/001953094","HathiTrust Record")</f>
        <v/>
      </c>
      <c r="AS1633">
        <f>HYPERLINK("https://creighton-primo.hosted.exlibrisgroup.com/primo-explore/search?tab=default_tab&amp;search_scope=EVERYTHING&amp;vid=01CRU&amp;lang=en_US&amp;offset=0&amp;query=any,contains,991001507929702656","Catalog Record")</f>
        <v/>
      </c>
      <c r="AT1633">
        <f>HYPERLINK("http://www.worldcat.org/oclc/26810857","WorldCat Record")</f>
        <v/>
      </c>
      <c r="AU1633" t="inlineStr">
        <is>
          <t>5218408356:eng</t>
        </is>
      </c>
      <c r="AV1633" t="inlineStr">
        <is>
          <t>26810857</t>
        </is>
      </c>
      <c r="AW1633" t="inlineStr">
        <is>
          <t>991001507929702656</t>
        </is>
      </c>
      <c r="AX1633" t="inlineStr">
        <is>
          <t>991001507929702656</t>
        </is>
      </c>
      <c r="AY1633" t="inlineStr">
        <is>
          <t>2266386960002656</t>
        </is>
      </c>
      <c r="AZ1633" t="inlineStr">
        <is>
          <t>BOOK</t>
        </is>
      </c>
      <c r="BB1633" t="inlineStr">
        <is>
          <t>9780802026828</t>
        </is>
      </c>
      <c r="BC1633" t="inlineStr">
        <is>
          <t>32285000357508</t>
        </is>
      </c>
      <c r="BD1633" t="inlineStr">
        <is>
          <t>893426639</t>
        </is>
      </c>
    </row>
    <row r="1634">
      <c r="A1634" t="inlineStr">
        <is>
          <t>No</t>
        </is>
      </c>
      <c r="B1634" t="inlineStr">
        <is>
          <t>DS62.23 .U78 2001</t>
        </is>
      </c>
      <c r="C1634" t="inlineStr">
        <is>
          <t>0                      DS 0062230U  78          2001</t>
        </is>
      </c>
      <c r="D1634" t="inlineStr">
        <is>
          <t>Uruk Mesopotamia &amp; its neighbors : cross-cultural interactions in the era of state formation / edited by Mitchell S. Rothman.</t>
        </is>
      </c>
      <c r="F1634" t="inlineStr">
        <is>
          <t>No</t>
        </is>
      </c>
      <c r="G1634" t="inlineStr">
        <is>
          <t>1</t>
        </is>
      </c>
      <c r="H1634" t="inlineStr">
        <is>
          <t>No</t>
        </is>
      </c>
      <c r="I1634" t="inlineStr">
        <is>
          <t>No</t>
        </is>
      </c>
      <c r="J1634" t="inlineStr">
        <is>
          <t>0</t>
        </is>
      </c>
      <c r="L1634" t="inlineStr">
        <is>
          <t>Sante Fe, NM : School of American Research Press, 2001.</t>
        </is>
      </c>
      <c r="M1634" t="inlineStr">
        <is>
          <t>2001</t>
        </is>
      </c>
      <c r="N1634" t="inlineStr">
        <is>
          <t>1st ed.</t>
        </is>
      </c>
      <c r="O1634" t="inlineStr">
        <is>
          <t>eng</t>
        </is>
      </c>
      <c r="P1634" t="inlineStr">
        <is>
          <t>nmu</t>
        </is>
      </c>
      <c r="Q1634" t="inlineStr">
        <is>
          <t>School of American Research advanced seminar series</t>
        </is>
      </c>
      <c r="R1634" t="inlineStr">
        <is>
          <t xml:space="preserve">DS </t>
        </is>
      </c>
      <c r="S1634" t="n">
        <v>2</v>
      </c>
      <c r="T1634" t="n">
        <v>2</v>
      </c>
      <c r="U1634" t="inlineStr">
        <is>
          <t>2004-02-28</t>
        </is>
      </c>
      <c r="V1634" t="inlineStr">
        <is>
          <t>2004-02-28</t>
        </is>
      </c>
      <c r="W1634" t="inlineStr">
        <is>
          <t>2003-03-26</t>
        </is>
      </c>
      <c r="X1634" t="inlineStr">
        <is>
          <t>2003-03-26</t>
        </is>
      </c>
      <c r="Y1634" t="n">
        <v>289</v>
      </c>
      <c r="Z1634" t="n">
        <v>209</v>
      </c>
      <c r="AA1634" t="n">
        <v>212</v>
      </c>
      <c r="AB1634" t="n">
        <v>2</v>
      </c>
      <c r="AC1634" t="n">
        <v>2</v>
      </c>
      <c r="AD1634" t="n">
        <v>11</v>
      </c>
      <c r="AE1634" t="n">
        <v>11</v>
      </c>
      <c r="AF1634" t="n">
        <v>2</v>
      </c>
      <c r="AG1634" t="n">
        <v>2</v>
      </c>
      <c r="AH1634" t="n">
        <v>4</v>
      </c>
      <c r="AI1634" t="n">
        <v>4</v>
      </c>
      <c r="AJ1634" t="n">
        <v>6</v>
      </c>
      <c r="AK1634" t="n">
        <v>6</v>
      </c>
      <c r="AL1634" t="n">
        <v>1</v>
      </c>
      <c r="AM1634" t="n">
        <v>1</v>
      </c>
      <c r="AN1634" t="n">
        <v>0</v>
      </c>
      <c r="AO1634" t="n">
        <v>0</v>
      </c>
      <c r="AP1634" t="inlineStr">
        <is>
          <t>No</t>
        </is>
      </c>
      <c r="AQ1634" t="inlineStr">
        <is>
          <t>Yes</t>
        </is>
      </c>
      <c r="AR1634">
        <f>HYPERLINK("http://catalog.hathitrust.org/Record/004214715","HathiTrust Record")</f>
        <v/>
      </c>
      <c r="AS1634">
        <f>HYPERLINK("https://creighton-primo.hosted.exlibrisgroup.com/primo-explore/search?tab=default_tab&amp;search_scope=EVERYTHING&amp;vid=01CRU&amp;lang=en_US&amp;offset=0&amp;query=any,contains,991003990389702656","Catalog Record")</f>
        <v/>
      </c>
      <c r="AT1634">
        <f>HYPERLINK("http://www.worldcat.org/oclc/47271122","WorldCat Record")</f>
        <v/>
      </c>
      <c r="AU1634" t="inlineStr">
        <is>
          <t>837023277:eng</t>
        </is>
      </c>
      <c r="AV1634" t="inlineStr">
        <is>
          <t>47271122</t>
        </is>
      </c>
      <c r="AW1634" t="inlineStr">
        <is>
          <t>991003990389702656</t>
        </is>
      </c>
      <c r="AX1634" t="inlineStr">
        <is>
          <t>991003990389702656</t>
        </is>
      </c>
      <c r="AY1634" t="inlineStr">
        <is>
          <t>2263255310002656</t>
        </is>
      </c>
      <c r="AZ1634" t="inlineStr">
        <is>
          <t>BOOK</t>
        </is>
      </c>
      <c r="BB1634" t="inlineStr">
        <is>
          <t>9780852554609</t>
        </is>
      </c>
      <c r="BC1634" t="inlineStr">
        <is>
          <t>32285004687090</t>
        </is>
      </c>
      <c r="BD1634" t="inlineStr">
        <is>
          <t>893718322</t>
        </is>
      </c>
    </row>
    <row r="1635">
      <c r="A1635" t="inlineStr">
        <is>
          <t>No</t>
        </is>
      </c>
      <c r="B1635" t="inlineStr">
        <is>
          <t>DS62.25 . S37 2001</t>
        </is>
      </c>
      <c r="C1635" t="inlineStr">
        <is>
          <t>0                      DS 0062250S  37          2001</t>
        </is>
      </c>
      <c r="D1635" t="inlineStr">
        <is>
          <t>D'Alexandre à Zénobie : histoire du Levant antique, IVe siècle avant J.-C.-IIIe siècle après J.-C. / Maurice Sartre.</t>
        </is>
      </c>
      <c r="F1635" t="inlineStr">
        <is>
          <t>No</t>
        </is>
      </c>
      <c r="G1635" t="inlineStr">
        <is>
          <t>1</t>
        </is>
      </c>
      <c r="H1635" t="inlineStr">
        <is>
          <t>No</t>
        </is>
      </c>
      <c r="I1635" t="inlineStr">
        <is>
          <t>No</t>
        </is>
      </c>
      <c r="J1635" t="inlineStr">
        <is>
          <t>0</t>
        </is>
      </c>
      <c r="K1635" t="inlineStr">
        <is>
          <t>Sartre, Maurice.</t>
        </is>
      </c>
      <c r="L1635" t="inlineStr">
        <is>
          <t>[Paris] : Fayard, c2001.</t>
        </is>
      </c>
      <c r="M1635" t="inlineStr">
        <is>
          <t>2001</t>
        </is>
      </c>
      <c r="O1635" t="inlineStr">
        <is>
          <t>fre</t>
        </is>
      </c>
      <c r="P1635" t="inlineStr">
        <is>
          <t xml:space="preserve">fr </t>
        </is>
      </c>
      <c r="R1635" t="inlineStr">
        <is>
          <t xml:space="preserve">DS </t>
        </is>
      </c>
      <c r="S1635" t="n">
        <v>1</v>
      </c>
      <c r="T1635" t="n">
        <v>1</v>
      </c>
      <c r="U1635" t="inlineStr">
        <is>
          <t>2004-01-06</t>
        </is>
      </c>
      <c r="V1635" t="inlineStr">
        <is>
          <t>2004-01-06</t>
        </is>
      </c>
      <c r="W1635" t="inlineStr">
        <is>
          <t>2004-01-06</t>
        </is>
      </c>
      <c r="X1635" t="inlineStr">
        <is>
          <t>2004-01-06</t>
        </is>
      </c>
      <c r="Y1635" t="n">
        <v>71</v>
      </c>
      <c r="Z1635" t="n">
        <v>39</v>
      </c>
      <c r="AA1635" t="n">
        <v>44</v>
      </c>
      <c r="AB1635" t="n">
        <v>1</v>
      </c>
      <c r="AC1635" t="n">
        <v>1</v>
      </c>
      <c r="AD1635" t="n">
        <v>2</v>
      </c>
      <c r="AE1635" t="n">
        <v>3</v>
      </c>
      <c r="AF1635" t="n">
        <v>0</v>
      </c>
      <c r="AG1635" t="n">
        <v>0</v>
      </c>
      <c r="AH1635" t="n">
        <v>1</v>
      </c>
      <c r="AI1635" t="n">
        <v>2</v>
      </c>
      <c r="AJ1635" t="n">
        <v>1</v>
      </c>
      <c r="AK1635" t="n">
        <v>2</v>
      </c>
      <c r="AL1635" t="n">
        <v>0</v>
      </c>
      <c r="AM1635" t="n">
        <v>0</v>
      </c>
      <c r="AN1635" t="n">
        <v>0</v>
      </c>
      <c r="AO1635" t="n">
        <v>0</v>
      </c>
      <c r="AP1635" t="inlineStr">
        <is>
          <t>No</t>
        </is>
      </c>
      <c r="AQ1635" t="inlineStr">
        <is>
          <t>No</t>
        </is>
      </c>
      <c r="AS1635">
        <f>HYPERLINK("https://creighton-primo.hosted.exlibrisgroup.com/primo-explore/search?tab=default_tab&amp;search_scope=EVERYTHING&amp;vid=01CRU&amp;lang=en_US&amp;offset=0&amp;query=any,contains,991004198999702656","Catalog Record")</f>
        <v/>
      </c>
      <c r="AT1635">
        <f>HYPERLINK("http://www.worldcat.org/oclc/48559359","WorldCat Record")</f>
        <v/>
      </c>
      <c r="AU1635" t="inlineStr">
        <is>
          <t>316495:fre</t>
        </is>
      </c>
      <c r="AV1635" t="inlineStr">
        <is>
          <t>48559359</t>
        </is>
      </c>
      <c r="AW1635" t="inlineStr">
        <is>
          <t>991004198999702656</t>
        </is>
      </c>
      <c r="AX1635" t="inlineStr">
        <is>
          <t>991004198999702656</t>
        </is>
      </c>
      <c r="AY1635" t="inlineStr">
        <is>
          <t>2267258260002656</t>
        </is>
      </c>
      <c r="AZ1635" t="inlineStr">
        <is>
          <t>BOOK</t>
        </is>
      </c>
      <c r="BB1635" t="inlineStr">
        <is>
          <t>9782213609218</t>
        </is>
      </c>
      <c r="BC1635" t="inlineStr">
        <is>
          <t>32285004849286</t>
        </is>
      </c>
      <c r="BD1635" t="inlineStr">
        <is>
          <t>893436012</t>
        </is>
      </c>
    </row>
    <row r="1636">
      <c r="A1636" t="inlineStr">
        <is>
          <t>No</t>
        </is>
      </c>
      <c r="B1636" t="inlineStr">
        <is>
          <t>DS62.25 .S515 1995, v..., pt...</t>
        </is>
      </c>
      <c r="C1636" t="inlineStr">
        <is>
          <t>0                      DS 0062250S  515         1995                                        v..., pt...</t>
        </is>
      </c>
      <c r="D1636" t="inlineStr">
        <is>
          <t>Byzantium and the Arabs in the sixth century / Irfan Shahîd.</t>
        </is>
      </c>
      <c r="E1636" t="inlineStr">
        <is>
          <t>V.1 PT.1</t>
        </is>
      </c>
      <c r="F1636" t="inlineStr">
        <is>
          <t>Yes</t>
        </is>
      </c>
      <c r="G1636" t="inlineStr">
        <is>
          <t>1</t>
        </is>
      </c>
      <c r="H1636" t="inlineStr">
        <is>
          <t>No</t>
        </is>
      </c>
      <c r="I1636" t="inlineStr">
        <is>
          <t>No</t>
        </is>
      </c>
      <c r="J1636" t="inlineStr">
        <is>
          <t>0</t>
        </is>
      </c>
      <c r="K1636" t="inlineStr">
        <is>
          <t>Shahîd, Irfan, 1926-2016.</t>
        </is>
      </c>
      <c r="L1636" t="inlineStr">
        <is>
          <t>Washington, D.C. : Dumbarton Oaks Research Library and Collection, c1995-</t>
        </is>
      </c>
      <c r="M1636" t="inlineStr">
        <is>
          <t>1995</t>
        </is>
      </c>
      <c r="O1636" t="inlineStr">
        <is>
          <t>eng</t>
        </is>
      </c>
      <c r="P1636" t="inlineStr">
        <is>
          <t>dcu</t>
        </is>
      </c>
      <c r="R1636" t="inlineStr">
        <is>
          <t xml:space="preserve">DS </t>
        </is>
      </c>
      <c r="S1636" t="n">
        <v>2</v>
      </c>
      <c r="T1636" t="n">
        <v>4</v>
      </c>
      <c r="U1636" t="inlineStr">
        <is>
          <t>2002-07-26</t>
        </is>
      </c>
      <c r="V1636" t="inlineStr">
        <is>
          <t>2002-07-26</t>
        </is>
      </c>
      <c r="W1636" t="inlineStr">
        <is>
          <t>1998-10-08</t>
        </is>
      </c>
      <c r="X1636" t="inlineStr">
        <is>
          <t>1998-10-08</t>
        </is>
      </c>
      <c r="Y1636" t="n">
        <v>250</v>
      </c>
      <c r="Z1636" t="n">
        <v>173</v>
      </c>
      <c r="AA1636" t="n">
        <v>191</v>
      </c>
      <c r="AB1636" t="n">
        <v>2</v>
      </c>
      <c r="AC1636" t="n">
        <v>2</v>
      </c>
      <c r="AD1636" t="n">
        <v>19</v>
      </c>
      <c r="AE1636" t="n">
        <v>20</v>
      </c>
      <c r="AF1636" t="n">
        <v>6</v>
      </c>
      <c r="AG1636" t="n">
        <v>6</v>
      </c>
      <c r="AH1636" t="n">
        <v>6</v>
      </c>
      <c r="AI1636" t="n">
        <v>7</v>
      </c>
      <c r="AJ1636" t="n">
        <v>10</v>
      </c>
      <c r="AK1636" t="n">
        <v>10</v>
      </c>
      <c r="AL1636" t="n">
        <v>1</v>
      </c>
      <c r="AM1636" t="n">
        <v>1</v>
      </c>
      <c r="AN1636" t="n">
        <v>0</v>
      </c>
      <c r="AO1636" t="n">
        <v>0</v>
      </c>
      <c r="AP1636" t="inlineStr">
        <is>
          <t>No</t>
        </is>
      </c>
      <c r="AQ1636" t="inlineStr">
        <is>
          <t>Yes</t>
        </is>
      </c>
      <c r="AR1636">
        <f>HYPERLINK("http://catalog.hathitrust.org/Record/003195141","HathiTrust Record")</f>
        <v/>
      </c>
      <c r="AS1636">
        <f>HYPERLINK("https://creighton-primo.hosted.exlibrisgroup.com/primo-explore/search?tab=default_tab&amp;search_scope=EVERYTHING&amp;vid=01CRU&amp;lang=en_US&amp;offset=0&amp;query=any,contains,991002253149702656","Catalog Record")</f>
        <v/>
      </c>
      <c r="AT1636">
        <f>HYPERLINK("http://www.worldcat.org/oclc/29184894","WorldCat Record")</f>
        <v/>
      </c>
      <c r="AU1636" t="inlineStr">
        <is>
          <t>4160054310:eng</t>
        </is>
      </c>
      <c r="AV1636" t="inlineStr">
        <is>
          <t>29184894</t>
        </is>
      </c>
      <c r="AW1636" t="inlineStr">
        <is>
          <t>991002253149702656</t>
        </is>
      </c>
      <c r="AX1636" t="inlineStr">
        <is>
          <t>991002253149702656</t>
        </is>
      </c>
      <c r="AY1636" t="inlineStr">
        <is>
          <t>2263541640002656</t>
        </is>
      </c>
      <c r="AZ1636" t="inlineStr">
        <is>
          <t>BOOK</t>
        </is>
      </c>
      <c r="BB1636" t="inlineStr">
        <is>
          <t>9780884022145</t>
        </is>
      </c>
      <c r="BC1636" t="inlineStr">
        <is>
          <t>32285003473815</t>
        </is>
      </c>
      <c r="BD1636" t="inlineStr">
        <is>
          <t>893710054</t>
        </is>
      </c>
    </row>
    <row r="1637">
      <c r="A1637" t="inlineStr">
        <is>
          <t>No</t>
        </is>
      </c>
      <c r="B1637" t="inlineStr">
        <is>
          <t>DS62.25 .S515 1995, v..., pt...</t>
        </is>
      </c>
      <c r="C1637" t="inlineStr">
        <is>
          <t>0                      DS 0062250S  515         1995                                        v..., pt...</t>
        </is>
      </c>
      <c r="D1637" t="inlineStr">
        <is>
          <t>Byzantium and the Arabs in the sixth century / Irfan Shahîd.</t>
        </is>
      </c>
      <c r="E1637" t="inlineStr">
        <is>
          <t>V.1 PT.2</t>
        </is>
      </c>
      <c r="F1637" t="inlineStr">
        <is>
          <t>Yes</t>
        </is>
      </c>
      <c r="G1637" t="inlineStr">
        <is>
          <t>1</t>
        </is>
      </c>
      <c r="H1637" t="inlineStr">
        <is>
          <t>No</t>
        </is>
      </c>
      <c r="I1637" t="inlineStr">
        <is>
          <t>No</t>
        </is>
      </c>
      <c r="J1637" t="inlineStr">
        <is>
          <t>0</t>
        </is>
      </c>
      <c r="K1637" t="inlineStr">
        <is>
          <t>Shahîd, Irfan, 1926-2016.</t>
        </is>
      </c>
      <c r="L1637" t="inlineStr">
        <is>
          <t>Washington, D.C. : Dumbarton Oaks Research Library and Collection, c1995-</t>
        </is>
      </c>
      <c r="M1637" t="inlineStr">
        <is>
          <t>1995</t>
        </is>
      </c>
      <c r="O1637" t="inlineStr">
        <is>
          <t>eng</t>
        </is>
      </c>
      <c r="P1637" t="inlineStr">
        <is>
          <t>dcu</t>
        </is>
      </c>
      <c r="R1637" t="inlineStr">
        <is>
          <t xml:space="preserve">DS </t>
        </is>
      </c>
      <c r="S1637" t="n">
        <v>2</v>
      </c>
      <c r="T1637" t="n">
        <v>4</v>
      </c>
      <c r="U1637" t="inlineStr">
        <is>
          <t>2002-07-26</t>
        </is>
      </c>
      <c r="V1637" t="inlineStr">
        <is>
          <t>2002-07-26</t>
        </is>
      </c>
      <c r="W1637" t="inlineStr">
        <is>
          <t>1998-10-08</t>
        </is>
      </c>
      <c r="X1637" t="inlineStr">
        <is>
          <t>1998-10-08</t>
        </is>
      </c>
      <c r="Y1637" t="n">
        <v>250</v>
      </c>
      <c r="Z1637" t="n">
        <v>173</v>
      </c>
      <c r="AA1637" t="n">
        <v>191</v>
      </c>
      <c r="AB1637" t="n">
        <v>2</v>
      </c>
      <c r="AC1637" t="n">
        <v>2</v>
      </c>
      <c r="AD1637" t="n">
        <v>19</v>
      </c>
      <c r="AE1637" t="n">
        <v>20</v>
      </c>
      <c r="AF1637" t="n">
        <v>6</v>
      </c>
      <c r="AG1637" t="n">
        <v>6</v>
      </c>
      <c r="AH1637" t="n">
        <v>6</v>
      </c>
      <c r="AI1637" t="n">
        <v>7</v>
      </c>
      <c r="AJ1637" t="n">
        <v>10</v>
      </c>
      <c r="AK1637" t="n">
        <v>10</v>
      </c>
      <c r="AL1637" t="n">
        <v>1</v>
      </c>
      <c r="AM1637" t="n">
        <v>1</v>
      </c>
      <c r="AN1637" t="n">
        <v>0</v>
      </c>
      <c r="AO1637" t="n">
        <v>0</v>
      </c>
      <c r="AP1637" t="inlineStr">
        <is>
          <t>No</t>
        </is>
      </c>
      <c r="AQ1637" t="inlineStr">
        <is>
          <t>Yes</t>
        </is>
      </c>
      <c r="AR1637">
        <f>HYPERLINK("http://catalog.hathitrust.org/Record/003195141","HathiTrust Record")</f>
        <v/>
      </c>
      <c r="AS1637">
        <f>HYPERLINK("https://creighton-primo.hosted.exlibrisgroup.com/primo-explore/search?tab=default_tab&amp;search_scope=EVERYTHING&amp;vid=01CRU&amp;lang=en_US&amp;offset=0&amp;query=any,contains,991002253149702656","Catalog Record")</f>
        <v/>
      </c>
      <c r="AT1637">
        <f>HYPERLINK("http://www.worldcat.org/oclc/29184894","WorldCat Record")</f>
        <v/>
      </c>
      <c r="AU1637" t="inlineStr">
        <is>
          <t>4160054310:eng</t>
        </is>
      </c>
      <c r="AV1637" t="inlineStr">
        <is>
          <t>29184894</t>
        </is>
      </c>
      <c r="AW1637" t="inlineStr">
        <is>
          <t>991002253149702656</t>
        </is>
      </c>
      <c r="AX1637" t="inlineStr">
        <is>
          <t>991002253149702656</t>
        </is>
      </c>
      <c r="AY1637" t="inlineStr">
        <is>
          <t>2263541640002656</t>
        </is>
      </c>
      <c r="AZ1637" t="inlineStr">
        <is>
          <t>BOOK</t>
        </is>
      </c>
      <c r="BB1637" t="inlineStr">
        <is>
          <t>9780884022145</t>
        </is>
      </c>
      <c r="BC1637" t="inlineStr">
        <is>
          <t>32285003473823</t>
        </is>
      </c>
      <c r="BD1637" t="inlineStr">
        <is>
          <t>893703867</t>
        </is>
      </c>
    </row>
    <row r="1638">
      <c r="A1638" t="inlineStr">
        <is>
          <t>No</t>
        </is>
      </c>
      <c r="B1638" t="inlineStr">
        <is>
          <t>DS62.4 .B679 1996</t>
        </is>
      </c>
      <c r="C1638" t="inlineStr">
        <is>
          <t>0                      DS 0062400B  679         1996</t>
        </is>
      </c>
      <c r="D1638" t="inlineStr">
        <is>
          <t>Imperial legacy : the Ottoman imprint on the Balkans and the Middle East / edited by L. Carl Brown.</t>
        </is>
      </c>
      <c r="F1638" t="inlineStr">
        <is>
          <t>No</t>
        </is>
      </c>
      <c r="G1638" t="inlineStr">
        <is>
          <t>1</t>
        </is>
      </c>
      <c r="H1638" t="inlineStr">
        <is>
          <t>No</t>
        </is>
      </c>
      <c r="I1638" t="inlineStr">
        <is>
          <t>No</t>
        </is>
      </c>
      <c r="J1638" t="inlineStr">
        <is>
          <t>0</t>
        </is>
      </c>
      <c r="L1638" t="inlineStr">
        <is>
          <t>New York : Columbia University Press, c1996.</t>
        </is>
      </c>
      <c r="M1638" t="inlineStr">
        <is>
          <t>1996</t>
        </is>
      </c>
      <c r="O1638" t="inlineStr">
        <is>
          <t>eng</t>
        </is>
      </c>
      <c r="P1638" t="inlineStr">
        <is>
          <t>nyu</t>
        </is>
      </c>
      <c r="R1638" t="inlineStr">
        <is>
          <t xml:space="preserve">DS </t>
        </is>
      </c>
      <c r="S1638" t="n">
        <v>1</v>
      </c>
      <c r="T1638" t="n">
        <v>1</v>
      </c>
      <c r="U1638" t="inlineStr">
        <is>
          <t>2004-01-29</t>
        </is>
      </c>
      <c r="V1638" t="inlineStr">
        <is>
          <t>2004-01-29</t>
        </is>
      </c>
      <c r="W1638" t="inlineStr">
        <is>
          <t>1999-03-17</t>
        </is>
      </c>
      <c r="X1638" t="inlineStr">
        <is>
          <t>1999-03-17</t>
        </is>
      </c>
      <c r="Y1638" t="n">
        <v>607</v>
      </c>
      <c r="Z1638" t="n">
        <v>481</v>
      </c>
      <c r="AA1638" t="n">
        <v>546</v>
      </c>
      <c r="AB1638" t="n">
        <v>4</v>
      </c>
      <c r="AC1638" t="n">
        <v>4</v>
      </c>
      <c r="AD1638" t="n">
        <v>28</v>
      </c>
      <c r="AE1638" t="n">
        <v>31</v>
      </c>
      <c r="AF1638" t="n">
        <v>10</v>
      </c>
      <c r="AG1638" t="n">
        <v>11</v>
      </c>
      <c r="AH1638" t="n">
        <v>6</v>
      </c>
      <c r="AI1638" t="n">
        <v>6</v>
      </c>
      <c r="AJ1638" t="n">
        <v>15</v>
      </c>
      <c r="AK1638" t="n">
        <v>18</v>
      </c>
      <c r="AL1638" t="n">
        <v>3</v>
      </c>
      <c r="AM1638" t="n">
        <v>3</v>
      </c>
      <c r="AN1638" t="n">
        <v>0</v>
      </c>
      <c r="AO1638" t="n">
        <v>0</v>
      </c>
      <c r="AP1638" t="inlineStr">
        <is>
          <t>No</t>
        </is>
      </c>
      <c r="AQ1638" t="inlineStr">
        <is>
          <t>No</t>
        </is>
      </c>
      <c r="AS1638">
        <f>HYPERLINK("https://creighton-primo.hosted.exlibrisgroup.com/primo-explore/search?tab=default_tab&amp;search_scope=EVERYTHING&amp;vid=01CRU&amp;lang=en_US&amp;offset=0&amp;query=any,contains,991002482349702656","Catalog Record")</f>
        <v/>
      </c>
      <c r="AT1638">
        <f>HYPERLINK("http://www.worldcat.org/oclc/32312142","WorldCat Record")</f>
        <v/>
      </c>
      <c r="AU1638" t="inlineStr">
        <is>
          <t>7412400:eng</t>
        </is>
      </c>
      <c r="AV1638" t="inlineStr">
        <is>
          <t>32312142</t>
        </is>
      </c>
      <c r="AW1638" t="inlineStr">
        <is>
          <t>991002482349702656</t>
        </is>
      </c>
      <c r="AX1638" t="inlineStr">
        <is>
          <t>991002482349702656</t>
        </is>
      </c>
      <c r="AY1638" t="inlineStr">
        <is>
          <t>2266540780002656</t>
        </is>
      </c>
      <c r="AZ1638" t="inlineStr">
        <is>
          <t>BOOK</t>
        </is>
      </c>
      <c r="BB1638" t="inlineStr">
        <is>
          <t>9780231103046</t>
        </is>
      </c>
      <c r="BC1638" t="inlineStr">
        <is>
          <t>32285003533568</t>
        </is>
      </c>
      <c r="BD1638" t="inlineStr">
        <is>
          <t>893347545</t>
        </is>
      </c>
    </row>
    <row r="1639">
      <c r="A1639" t="inlineStr">
        <is>
          <t>No</t>
        </is>
      </c>
      <c r="B1639" t="inlineStr">
        <is>
          <t>DS62.4 .C67 1988</t>
        </is>
      </c>
      <c r="C1639" t="inlineStr">
        <is>
          <t>0                      DS 0062400C  67          1988</t>
        </is>
      </c>
      <c r="D1639" t="inlineStr">
        <is>
          <t>Fragmentation of the Middle East : the last thirty years / Georges G. Corm ; translated by Selina Cohen, Raj Isar and Margaret Owen.</t>
        </is>
      </c>
      <c r="F1639" t="inlineStr">
        <is>
          <t>No</t>
        </is>
      </c>
      <c r="G1639" t="inlineStr">
        <is>
          <t>1</t>
        </is>
      </c>
      <c r="H1639" t="inlineStr">
        <is>
          <t>No</t>
        </is>
      </c>
      <c r="I1639" t="inlineStr">
        <is>
          <t>No</t>
        </is>
      </c>
      <c r="J1639" t="inlineStr">
        <is>
          <t>0</t>
        </is>
      </c>
      <c r="K1639" t="inlineStr">
        <is>
          <t>Corm, Georges.</t>
        </is>
      </c>
      <c r="L1639" t="inlineStr">
        <is>
          <t>London : Hutchinson, c1988.</t>
        </is>
      </c>
      <c r="M1639" t="inlineStr">
        <is>
          <t>1988</t>
        </is>
      </c>
      <c r="O1639" t="inlineStr">
        <is>
          <t>eng</t>
        </is>
      </c>
      <c r="P1639" t="inlineStr">
        <is>
          <t>enk</t>
        </is>
      </c>
      <c r="Q1639" t="inlineStr">
        <is>
          <t>The Making of the Middle East</t>
        </is>
      </c>
      <c r="R1639" t="inlineStr">
        <is>
          <t xml:space="preserve">DS </t>
        </is>
      </c>
      <c r="S1639" t="n">
        <v>2</v>
      </c>
      <c r="T1639" t="n">
        <v>2</v>
      </c>
      <c r="U1639" t="inlineStr">
        <is>
          <t>2009-11-02</t>
        </is>
      </c>
      <c r="V1639" t="inlineStr">
        <is>
          <t>2009-11-02</t>
        </is>
      </c>
      <c r="W1639" t="inlineStr">
        <is>
          <t>1990-04-17</t>
        </is>
      </c>
      <c r="X1639" t="inlineStr">
        <is>
          <t>1990-04-17</t>
        </is>
      </c>
      <c r="Y1639" t="n">
        <v>253</v>
      </c>
      <c r="Z1639" t="n">
        <v>167</v>
      </c>
      <c r="AA1639" t="n">
        <v>172</v>
      </c>
      <c r="AB1639" t="n">
        <v>1</v>
      </c>
      <c r="AC1639" t="n">
        <v>1</v>
      </c>
      <c r="AD1639" t="n">
        <v>6</v>
      </c>
      <c r="AE1639" t="n">
        <v>6</v>
      </c>
      <c r="AF1639" t="n">
        <v>0</v>
      </c>
      <c r="AG1639" t="n">
        <v>0</v>
      </c>
      <c r="AH1639" t="n">
        <v>3</v>
      </c>
      <c r="AI1639" t="n">
        <v>3</v>
      </c>
      <c r="AJ1639" t="n">
        <v>4</v>
      </c>
      <c r="AK1639" t="n">
        <v>4</v>
      </c>
      <c r="AL1639" t="n">
        <v>0</v>
      </c>
      <c r="AM1639" t="n">
        <v>0</v>
      </c>
      <c r="AN1639" t="n">
        <v>0</v>
      </c>
      <c r="AO1639" t="n">
        <v>0</v>
      </c>
      <c r="AP1639" t="inlineStr">
        <is>
          <t>No</t>
        </is>
      </c>
      <c r="AQ1639" t="inlineStr">
        <is>
          <t>No</t>
        </is>
      </c>
      <c r="AS1639">
        <f>HYPERLINK("https://creighton-primo.hosted.exlibrisgroup.com/primo-explore/search?tab=default_tab&amp;search_scope=EVERYTHING&amp;vid=01CRU&amp;lang=en_US&amp;offset=0&amp;query=any,contains,991001332729702656","Catalog Record")</f>
        <v/>
      </c>
      <c r="AT1639">
        <f>HYPERLINK("http://www.worldcat.org/oclc/21304858","WorldCat Record")</f>
        <v/>
      </c>
      <c r="AU1639" t="inlineStr">
        <is>
          <t>4495014555:eng</t>
        </is>
      </c>
      <c r="AV1639" t="inlineStr">
        <is>
          <t>21304858</t>
        </is>
      </c>
      <c r="AW1639" t="inlineStr">
        <is>
          <t>991001332729702656</t>
        </is>
      </c>
      <c r="AX1639" t="inlineStr">
        <is>
          <t>991001332729702656</t>
        </is>
      </c>
      <c r="AY1639" t="inlineStr">
        <is>
          <t>2256311010002656</t>
        </is>
      </c>
      <c r="AZ1639" t="inlineStr">
        <is>
          <t>BOOK</t>
        </is>
      </c>
      <c r="BB1639" t="inlineStr">
        <is>
          <t>9780091732370</t>
        </is>
      </c>
      <c r="BC1639" t="inlineStr">
        <is>
          <t>32285000102227</t>
        </is>
      </c>
      <c r="BD1639" t="inlineStr">
        <is>
          <t>893509555</t>
        </is>
      </c>
    </row>
    <row r="1640">
      <c r="A1640" t="inlineStr">
        <is>
          <t>No</t>
        </is>
      </c>
      <c r="B1640" t="inlineStr">
        <is>
          <t>DS62.4 .E86 1988</t>
        </is>
      </c>
      <c r="C1640" t="inlineStr">
        <is>
          <t>0                      DS 0062400E  86          1988</t>
        </is>
      </c>
      <c r="D1640" t="inlineStr">
        <is>
          <t>Ethnicity, pluralism, and the state in the Middle East / edited by Milton J. Esman, Itamar Rabinovich.</t>
        </is>
      </c>
      <c r="F1640" t="inlineStr">
        <is>
          <t>No</t>
        </is>
      </c>
      <c r="G1640" t="inlineStr">
        <is>
          <t>1</t>
        </is>
      </c>
      <c r="H1640" t="inlineStr">
        <is>
          <t>No</t>
        </is>
      </c>
      <c r="I1640" t="inlineStr">
        <is>
          <t>No</t>
        </is>
      </c>
      <c r="J1640" t="inlineStr">
        <is>
          <t>0</t>
        </is>
      </c>
      <c r="L1640" t="inlineStr">
        <is>
          <t>Ithaca : Cornell University Press, 1988.</t>
        </is>
      </c>
      <c r="M1640" t="inlineStr">
        <is>
          <t>1988</t>
        </is>
      </c>
      <c r="O1640" t="inlineStr">
        <is>
          <t>eng</t>
        </is>
      </c>
      <c r="P1640" t="inlineStr">
        <is>
          <t>nyu</t>
        </is>
      </c>
      <c r="R1640" t="inlineStr">
        <is>
          <t xml:space="preserve">DS </t>
        </is>
      </c>
      <c r="S1640" t="n">
        <v>9</v>
      </c>
      <c r="T1640" t="n">
        <v>9</v>
      </c>
      <c r="U1640" t="inlineStr">
        <is>
          <t>2003-11-11</t>
        </is>
      </c>
      <c r="V1640" t="inlineStr">
        <is>
          <t>2003-11-11</t>
        </is>
      </c>
      <c r="W1640" t="inlineStr">
        <is>
          <t>1990-08-16</t>
        </is>
      </c>
      <c r="X1640" t="inlineStr">
        <is>
          <t>1990-08-16</t>
        </is>
      </c>
      <c r="Y1640" t="n">
        <v>418</v>
      </c>
      <c r="Z1640" t="n">
        <v>319</v>
      </c>
      <c r="AA1640" t="n">
        <v>494</v>
      </c>
      <c r="AB1640" t="n">
        <v>3</v>
      </c>
      <c r="AC1640" t="n">
        <v>3</v>
      </c>
      <c r="AD1640" t="n">
        <v>14</v>
      </c>
      <c r="AE1640" t="n">
        <v>23</v>
      </c>
      <c r="AF1640" t="n">
        <v>3</v>
      </c>
      <c r="AG1640" t="n">
        <v>10</v>
      </c>
      <c r="AH1640" t="n">
        <v>4</v>
      </c>
      <c r="AI1640" t="n">
        <v>6</v>
      </c>
      <c r="AJ1640" t="n">
        <v>8</v>
      </c>
      <c r="AK1640" t="n">
        <v>12</v>
      </c>
      <c r="AL1640" t="n">
        <v>2</v>
      </c>
      <c r="AM1640" t="n">
        <v>2</v>
      </c>
      <c r="AN1640" t="n">
        <v>0</v>
      </c>
      <c r="AO1640" t="n">
        <v>0</v>
      </c>
      <c r="AP1640" t="inlineStr">
        <is>
          <t>No</t>
        </is>
      </c>
      <c r="AQ1640" t="inlineStr">
        <is>
          <t>Yes</t>
        </is>
      </c>
      <c r="AR1640">
        <f>HYPERLINK("http://catalog.hathitrust.org/Record/000922934","HathiTrust Record")</f>
        <v/>
      </c>
      <c r="AS1640">
        <f>HYPERLINK("https://creighton-primo.hosted.exlibrisgroup.com/primo-explore/search?tab=default_tab&amp;search_scope=EVERYTHING&amp;vid=01CRU&amp;lang=en_US&amp;offset=0&amp;query=any,contains,991001222389702656","Catalog Record")</f>
        <v/>
      </c>
      <c r="AT1640">
        <f>HYPERLINK("http://www.worldcat.org/oclc/17480015","WorldCat Record")</f>
        <v/>
      </c>
      <c r="AU1640" t="inlineStr">
        <is>
          <t>351335791:eng</t>
        </is>
      </c>
      <c r="AV1640" t="inlineStr">
        <is>
          <t>17480015</t>
        </is>
      </c>
      <c r="AW1640" t="inlineStr">
        <is>
          <t>991001222389702656</t>
        </is>
      </c>
      <c r="AX1640" t="inlineStr">
        <is>
          <t>991001222389702656</t>
        </is>
      </c>
      <c r="AY1640" t="inlineStr">
        <is>
          <t>2258920020002656</t>
        </is>
      </c>
      <c r="AZ1640" t="inlineStr">
        <is>
          <t>BOOK</t>
        </is>
      </c>
      <c r="BB1640" t="inlineStr">
        <is>
          <t>9780801495021</t>
        </is>
      </c>
      <c r="BC1640" t="inlineStr">
        <is>
          <t>32285000274323</t>
        </is>
      </c>
      <c r="BD1640" t="inlineStr">
        <is>
          <t>893243961</t>
        </is>
      </c>
    </row>
    <row r="1641">
      <c r="A1641" t="inlineStr">
        <is>
          <t>No</t>
        </is>
      </c>
      <c r="B1641" t="inlineStr">
        <is>
          <t>DS62.4 .K4 2004</t>
        </is>
      </c>
      <c r="C1641" t="inlineStr">
        <is>
          <t>0                      DS 0062400K  4           2004</t>
        </is>
      </c>
      <c r="D1641" t="inlineStr">
        <is>
          <t>The Chatham House version and other Middle-Eastern studies / Elie Kedourie ; with a new introduction by David Pryce-Jones.</t>
        </is>
      </c>
      <c r="F1641" t="inlineStr">
        <is>
          <t>No</t>
        </is>
      </c>
      <c r="G1641" t="inlineStr">
        <is>
          <t>1</t>
        </is>
      </c>
      <c r="H1641" t="inlineStr">
        <is>
          <t>No</t>
        </is>
      </c>
      <c r="I1641" t="inlineStr">
        <is>
          <t>No</t>
        </is>
      </c>
      <c r="J1641" t="inlineStr">
        <is>
          <t>0</t>
        </is>
      </c>
      <c r="K1641" t="inlineStr">
        <is>
          <t>Kedourie, Elie.</t>
        </is>
      </c>
      <c r="L1641" t="inlineStr">
        <is>
          <t>Chicago : Ivan R. Dee, 2004.</t>
        </is>
      </c>
      <c r="M1641" t="inlineStr">
        <is>
          <t>2004</t>
        </is>
      </c>
      <c r="O1641" t="inlineStr">
        <is>
          <t>eng</t>
        </is>
      </c>
      <c r="P1641" t="inlineStr">
        <is>
          <t>ilu</t>
        </is>
      </c>
      <c r="R1641" t="inlineStr">
        <is>
          <t xml:space="preserve">DS </t>
        </is>
      </c>
      <c r="S1641" t="n">
        <v>1</v>
      </c>
      <c r="T1641" t="n">
        <v>1</v>
      </c>
      <c r="U1641" t="inlineStr">
        <is>
          <t>2006-11-06</t>
        </is>
      </c>
      <c r="V1641" t="inlineStr">
        <is>
          <t>2006-11-06</t>
        </is>
      </c>
      <c r="W1641" t="inlineStr">
        <is>
          <t>2004-10-04</t>
        </is>
      </c>
      <c r="X1641" t="inlineStr">
        <is>
          <t>2004-10-04</t>
        </is>
      </c>
      <c r="Y1641" t="n">
        <v>102</v>
      </c>
      <c r="Z1641" t="n">
        <v>70</v>
      </c>
      <c r="AA1641" t="n">
        <v>577</v>
      </c>
      <c r="AB1641" t="n">
        <v>1</v>
      </c>
      <c r="AC1641" t="n">
        <v>7</v>
      </c>
      <c r="AD1641" t="n">
        <v>2</v>
      </c>
      <c r="AE1641" t="n">
        <v>21</v>
      </c>
      <c r="AF1641" t="n">
        <v>0</v>
      </c>
      <c r="AG1641" t="n">
        <v>5</v>
      </c>
      <c r="AH1641" t="n">
        <v>1</v>
      </c>
      <c r="AI1641" t="n">
        <v>5</v>
      </c>
      <c r="AJ1641" t="n">
        <v>2</v>
      </c>
      <c r="AK1641" t="n">
        <v>9</v>
      </c>
      <c r="AL1641" t="n">
        <v>0</v>
      </c>
      <c r="AM1641" t="n">
        <v>6</v>
      </c>
      <c r="AN1641" t="n">
        <v>0</v>
      </c>
      <c r="AO1641" t="n">
        <v>0</v>
      </c>
      <c r="AP1641" t="inlineStr">
        <is>
          <t>No</t>
        </is>
      </c>
      <c r="AQ1641" t="inlineStr">
        <is>
          <t>No</t>
        </is>
      </c>
      <c r="AS1641">
        <f>HYPERLINK("https://creighton-primo.hosted.exlibrisgroup.com/primo-explore/search?tab=default_tab&amp;search_scope=EVERYTHING&amp;vid=01CRU&amp;lang=en_US&amp;offset=0&amp;query=any,contains,991004372609702656","Catalog Record")</f>
        <v/>
      </c>
      <c r="AT1641">
        <f>HYPERLINK("http://www.worldcat.org/oclc/53356640","WorldCat Record")</f>
        <v/>
      </c>
      <c r="AU1641" t="inlineStr">
        <is>
          <t>779130:eng</t>
        </is>
      </c>
      <c r="AV1641" t="inlineStr">
        <is>
          <t>53356640</t>
        </is>
      </c>
      <c r="AW1641" t="inlineStr">
        <is>
          <t>991004372609702656</t>
        </is>
      </c>
      <c r="AX1641" t="inlineStr">
        <is>
          <t>991004372609702656</t>
        </is>
      </c>
      <c r="AY1641" t="inlineStr">
        <is>
          <t>2261240170002656</t>
        </is>
      </c>
      <c r="AZ1641" t="inlineStr">
        <is>
          <t>BOOK</t>
        </is>
      </c>
      <c r="BB1641" t="inlineStr">
        <is>
          <t>9781566635615</t>
        </is>
      </c>
      <c r="BC1641" t="inlineStr">
        <is>
          <t>32285005000715</t>
        </is>
      </c>
      <c r="BD1641" t="inlineStr">
        <is>
          <t>893888624</t>
        </is>
      </c>
    </row>
    <row r="1642">
      <c r="A1642" t="inlineStr">
        <is>
          <t>No</t>
        </is>
      </c>
      <c r="B1642" t="inlineStr">
        <is>
          <t>DS62.4 .L488 2002</t>
        </is>
      </c>
      <c r="C1642" t="inlineStr">
        <is>
          <t>0                      DS 0062400L  488         2002</t>
        </is>
      </c>
      <c r="D1642" t="inlineStr">
        <is>
          <t>What went wrong? : Western impact and Middle Eastern response / Bernard Lewis.</t>
        </is>
      </c>
      <c r="F1642" t="inlineStr">
        <is>
          <t>No</t>
        </is>
      </c>
      <c r="G1642" t="inlineStr">
        <is>
          <t>1</t>
        </is>
      </c>
      <c r="H1642" t="inlineStr">
        <is>
          <t>No</t>
        </is>
      </c>
      <c r="I1642" t="inlineStr">
        <is>
          <t>No</t>
        </is>
      </c>
      <c r="J1642" t="inlineStr">
        <is>
          <t>0</t>
        </is>
      </c>
      <c r="K1642" t="inlineStr">
        <is>
          <t>Lewis, Bernard, 1916-2018.</t>
        </is>
      </c>
      <c r="L1642" t="inlineStr">
        <is>
          <t>Oxford ; New York : Oxford University Press, 2002.</t>
        </is>
      </c>
      <c r="M1642" t="inlineStr">
        <is>
          <t>2002</t>
        </is>
      </c>
      <c r="O1642" t="inlineStr">
        <is>
          <t>eng</t>
        </is>
      </c>
      <c r="P1642" t="inlineStr">
        <is>
          <t>enk</t>
        </is>
      </c>
      <c r="R1642" t="inlineStr">
        <is>
          <t xml:space="preserve">DS </t>
        </is>
      </c>
      <c r="S1642" t="n">
        <v>9</v>
      </c>
      <c r="T1642" t="n">
        <v>9</v>
      </c>
      <c r="U1642" t="inlineStr">
        <is>
          <t>2007-11-28</t>
        </is>
      </c>
      <c r="V1642" t="inlineStr">
        <is>
          <t>2007-11-28</t>
        </is>
      </c>
      <c r="W1642" t="inlineStr">
        <is>
          <t>2002-02-14</t>
        </is>
      </c>
      <c r="X1642" t="inlineStr">
        <is>
          <t>2002-02-14</t>
        </is>
      </c>
      <c r="Y1642" t="n">
        <v>2524</v>
      </c>
      <c r="Z1642" t="n">
        <v>2315</v>
      </c>
      <c r="AA1642" t="n">
        <v>3125</v>
      </c>
      <c r="AB1642" t="n">
        <v>24</v>
      </c>
      <c r="AC1642" t="n">
        <v>44</v>
      </c>
      <c r="AD1642" t="n">
        <v>62</v>
      </c>
      <c r="AE1642" t="n">
        <v>71</v>
      </c>
      <c r="AF1642" t="n">
        <v>26</v>
      </c>
      <c r="AG1642" t="n">
        <v>27</v>
      </c>
      <c r="AH1642" t="n">
        <v>10</v>
      </c>
      <c r="AI1642" t="n">
        <v>10</v>
      </c>
      <c r="AJ1642" t="n">
        <v>24</v>
      </c>
      <c r="AK1642" t="n">
        <v>25</v>
      </c>
      <c r="AL1642" t="n">
        <v>11</v>
      </c>
      <c r="AM1642" t="n">
        <v>18</v>
      </c>
      <c r="AN1642" t="n">
        <v>4</v>
      </c>
      <c r="AO1642" t="n">
        <v>4</v>
      </c>
      <c r="AP1642" t="inlineStr">
        <is>
          <t>No</t>
        </is>
      </c>
      <c r="AQ1642" t="inlineStr">
        <is>
          <t>No</t>
        </is>
      </c>
      <c r="AS1642">
        <f>HYPERLINK("https://creighton-primo.hosted.exlibrisgroup.com/primo-explore/search?tab=default_tab&amp;search_scope=EVERYTHING&amp;vid=01CRU&amp;lang=en_US&amp;offset=0&amp;query=any,contains,991003710669702656","Catalog Record")</f>
        <v/>
      </c>
      <c r="AT1642">
        <f>HYPERLINK("http://www.worldcat.org/oclc/47101073","WorldCat Record")</f>
        <v/>
      </c>
      <c r="AU1642" t="inlineStr">
        <is>
          <t>3901410331:eng</t>
        </is>
      </c>
      <c r="AV1642" t="inlineStr">
        <is>
          <t>47101073</t>
        </is>
      </c>
      <c r="AW1642" t="inlineStr">
        <is>
          <t>991003710669702656</t>
        </is>
      </c>
      <c r="AX1642" t="inlineStr">
        <is>
          <t>991003710669702656</t>
        </is>
      </c>
      <c r="AY1642" t="inlineStr">
        <is>
          <t>2260969380002656</t>
        </is>
      </c>
      <c r="AZ1642" t="inlineStr">
        <is>
          <t>BOOK</t>
        </is>
      </c>
      <c r="BB1642" t="inlineStr">
        <is>
          <t>9780195144208</t>
        </is>
      </c>
      <c r="BC1642" t="inlineStr">
        <is>
          <t>32285004454368</t>
        </is>
      </c>
      <c r="BD1642" t="inlineStr">
        <is>
          <t>893410588</t>
        </is>
      </c>
    </row>
    <row r="1643">
      <c r="A1643" t="inlineStr">
        <is>
          <t>No</t>
        </is>
      </c>
      <c r="B1643" t="inlineStr">
        <is>
          <t>DS62.4 .M36 2004</t>
        </is>
      </c>
      <c r="C1643" t="inlineStr">
        <is>
          <t>0                      DS 0062400M  36          2004</t>
        </is>
      </c>
      <c r="D1643" t="inlineStr">
        <is>
          <t>A history of the Middle East / Peter Mansfield.</t>
        </is>
      </c>
      <c r="F1643" t="inlineStr">
        <is>
          <t>No</t>
        </is>
      </c>
      <c r="G1643" t="inlineStr">
        <is>
          <t>1</t>
        </is>
      </c>
      <c r="H1643" t="inlineStr">
        <is>
          <t>No</t>
        </is>
      </c>
      <c r="I1643" t="inlineStr">
        <is>
          <t>No</t>
        </is>
      </c>
      <c r="J1643" t="inlineStr">
        <is>
          <t>0</t>
        </is>
      </c>
      <c r="K1643" t="inlineStr">
        <is>
          <t>Mansfield, Peter, 1928-</t>
        </is>
      </c>
      <c r="L1643" t="inlineStr">
        <is>
          <t>New York : Penguin Books, 2004.</t>
        </is>
      </c>
      <c r="M1643" t="inlineStr">
        <is>
          <t>2004</t>
        </is>
      </c>
      <c r="N1643" t="inlineStr">
        <is>
          <t>2nd ed. / rev. and updated by Nicolas Pelham.</t>
        </is>
      </c>
      <c r="O1643" t="inlineStr">
        <is>
          <t>eng</t>
        </is>
      </c>
      <c r="P1643" t="inlineStr">
        <is>
          <t>nyu</t>
        </is>
      </c>
      <c r="R1643" t="inlineStr">
        <is>
          <t xml:space="preserve">DS </t>
        </is>
      </c>
      <c r="S1643" t="n">
        <v>3</v>
      </c>
      <c r="T1643" t="n">
        <v>3</v>
      </c>
      <c r="U1643" t="inlineStr">
        <is>
          <t>2007-09-29</t>
        </is>
      </c>
      <c r="V1643" t="inlineStr">
        <is>
          <t>2007-09-29</t>
        </is>
      </c>
      <c r="W1643" t="inlineStr">
        <is>
          <t>2005-01-08</t>
        </is>
      </c>
      <c r="X1643" t="inlineStr">
        <is>
          <t>2005-01-08</t>
        </is>
      </c>
      <c r="Y1643" t="n">
        <v>377</v>
      </c>
      <c r="Z1643" t="n">
        <v>336</v>
      </c>
      <c r="AA1643" t="n">
        <v>1555</v>
      </c>
      <c r="AB1643" t="n">
        <v>3</v>
      </c>
      <c r="AC1643" t="n">
        <v>10</v>
      </c>
      <c r="AD1643" t="n">
        <v>7</v>
      </c>
      <c r="AE1643" t="n">
        <v>43</v>
      </c>
      <c r="AF1643" t="n">
        <v>2</v>
      </c>
      <c r="AG1643" t="n">
        <v>18</v>
      </c>
      <c r="AH1643" t="n">
        <v>2</v>
      </c>
      <c r="AI1643" t="n">
        <v>9</v>
      </c>
      <c r="AJ1643" t="n">
        <v>5</v>
      </c>
      <c r="AK1643" t="n">
        <v>21</v>
      </c>
      <c r="AL1643" t="n">
        <v>1</v>
      </c>
      <c r="AM1643" t="n">
        <v>6</v>
      </c>
      <c r="AN1643" t="n">
        <v>0</v>
      </c>
      <c r="AO1643" t="n">
        <v>0</v>
      </c>
      <c r="AP1643" t="inlineStr">
        <is>
          <t>No</t>
        </is>
      </c>
      <c r="AQ1643" t="inlineStr">
        <is>
          <t>Yes</t>
        </is>
      </c>
      <c r="AR1643">
        <f>HYPERLINK("http://catalog.hathitrust.org/Record/102380072","HathiTrust Record")</f>
        <v/>
      </c>
      <c r="AS1643">
        <f>HYPERLINK("https://creighton-primo.hosted.exlibrisgroup.com/primo-explore/search?tab=default_tab&amp;search_scope=EVERYTHING&amp;vid=01CRU&amp;lang=en_US&amp;offset=0&amp;query=any,contains,991004422079702656","Catalog Record")</f>
        <v/>
      </c>
      <c r="AT1643">
        <f>HYPERLINK("http://www.worldcat.org/oclc/54959856","WorldCat Record")</f>
        <v/>
      </c>
      <c r="AU1643" t="inlineStr">
        <is>
          <t>600095:eng</t>
        </is>
      </c>
      <c r="AV1643" t="inlineStr">
        <is>
          <t>54959856</t>
        </is>
      </c>
      <c r="AW1643" t="inlineStr">
        <is>
          <t>991004422079702656</t>
        </is>
      </c>
      <c r="AX1643" t="inlineStr">
        <is>
          <t>991004422079702656</t>
        </is>
      </c>
      <c r="AY1643" t="inlineStr">
        <is>
          <t>2271008300002656</t>
        </is>
      </c>
      <c r="AZ1643" t="inlineStr">
        <is>
          <t>BOOK</t>
        </is>
      </c>
      <c r="BB1643" t="inlineStr">
        <is>
          <t>9780143034339</t>
        </is>
      </c>
      <c r="BC1643" t="inlineStr">
        <is>
          <t>32285005019699</t>
        </is>
      </c>
      <c r="BD1643" t="inlineStr">
        <is>
          <t>893901220</t>
        </is>
      </c>
    </row>
    <row r="1644">
      <c r="A1644" t="inlineStr">
        <is>
          <t>No</t>
        </is>
      </c>
      <c r="B1644" t="inlineStr">
        <is>
          <t>DS62.4 .S22</t>
        </is>
      </c>
      <c r="C1644" t="inlineStr">
        <is>
          <t>0                      DS 0062400S  22</t>
        </is>
      </c>
      <c r="D1644" t="inlineStr">
        <is>
          <t>Armies in the sand : the struggle for Mecca and Medina / John Sabini.</t>
        </is>
      </c>
      <c r="F1644" t="inlineStr">
        <is>
          <t>No</t>
        </is>
      </c>
      <c r="G1644" t="inlineStr">
        <is>
          <t>1</t>
        </is>
      </c>
      <c r="H1644" t="inlineStr">
        <is>
          <t>No</t>
        </is>
      </c>
      <c r="I1644" t="inlineStr">
        <is>
          <t>No</t>
        </is>
      </c>
      <c r="J1644" t="inlineStr">
        <is>
          <t>0</t>
        </is>
      </c>
      <c r="K1644" t="inlineStr">
        <is>
          <t>Sabini, John, 1921-</t>
        </is>
      </c>
      <c r="L1644" t="inlineStr">
        <is>
          <t>New York : Thames and Hudson, 1981.</t>
        </is>
      </c>
      <c r="M1644" t="inlineStr">
        <is>
          <t>1981</t>
        </is>
      </c>
      <c r="O1644" t="inlineStr">
        <is>
          <t>eng</t>
        </is>
      </c>
      <c r="P1644" t="inlineStr">
        <is>
          <t>nyu</t>
        </is>
      </c>
      <c r="R1644" t="inlineStr">
        <is>
          <t xml:space="preserve">DS </t>
        </is>
      </c>
      <c r="S1644" t="n">
        <v>3</v>
      </c>
      <c r="T1644" t="n">
        <v>3</v>
      </c>
      <c r="U1644" t="inlineStr">
        <is>
          <t>2000-09-18</t>
        </is>
      </c>
      <c r="V1644" t="inlineStr">
        <is>
          <t>2000-09-18</t>
        </is>
      </c>
      <c r="W1644" t="inlineStr">
        <is>
          <t>1990-05-01</t>
        </is>
      </c>
      <c r="X1644" t="inlineStr">
        <is>
          <t>1990-05-01</t>
        </is>
      </c>
      <c r="Y1644" t="n">
        <v>284</v>
      </c>
      <c r="Z1644" t="n">
        <v>250</v>
      </c>
      <c r="AA1644" t="n">
        <v>327</v>
      </c>
      <c r="AB1644" t="n">
        <v>1</v>
      </c>
      <c r="AC1644" t="n">
        <v>1</v>
      </c>
      <c r="AD1644" t="n">
        <v>9</v>
      </c>
      <c r="AE1644" t="n">
        <v>12</v>
      </c>
      <c r="AF1644" t="n">
        <v>5</v>
      </c>
      <c r="AG1644" t="n">
        <v>5</v>
      </c>
      <c r="AH1644" t="n">
        <v>2</v>
      </c>
      <c r="AI1644" t="n">
        <v>4</v>
      </c>
      <c r="AJ1644" t="n">
        <v>5</v>
      </c>
      <c r="AK1644" t="n">
        <v>7</v>
      </c>
      <c r="AL1644" t="n">
        <v>0</v>
      </c>
      <c r="AM1644" t="n">
        <v>0</v>
      </c>
      <c r="AN1644" t="n">
        <v>0</v>
      </c>
      <c r="AO1644" t="n">
        <v>0</v>
      </c>
      <c r="AP1644" t="inlineStr">
        <is>
          <t>No</t>
        </is>
      </c>
      <c r="AQ1644" t="inlineStr">
        <is>
          <t>No</t>
        </is>
      </c>
      <c r="AS1644">
        <f>HYPERLINK("https://creighton-primo.hosted.exlibrisgroup.com/primo-explore/search?tab=default_tab&amp;search_scope=EVERYTHING&amp;vid=01CRU&amp;lang=en_US&amp;offset=0&amp;query=any,contains,991005120799702656","Catalog Record")</f>
        <v/>
      </c>
      <c r="AT1644">
        <f>HYPERLINK("http://www.worldcat.org/oclc/7510780","WorldCat Record")</f>
        <v/>
      </c>
      <c r="AU1644" t="inlineStr">
        <is>
          <t>12716426:eng</t>
        </is>
      </c>
      <c r="AV1644" t="inlineStr">
        <is>
          <t>7510780</t>
        </is>
      </c>
      <c r="AW1644" t="inlineStr">
        <is>
          <t>991005120799702656</t>
        </is>
      </c>
      <c r="AX1644" t="inlineStr">
        <is>
          <t>991005120799702656</t>
        </is>
      </c>
      <c r="AY1644" t="inlineStr">
        <is>
          <t>2263569680002656</t>
        </is>
      </c>
      <c r="AZ1644" t="inlineStr">
        <is>
          <t>BOOK</t>
        </is>
      </c>
      <c r="BB1644" t="inlineStr">
        <is>
          <t>9780500012468</t>
        </is>
      </c>
      <c r="BC1644" t="inlineStr">
        <is>
          <t>32285000129956</t>
        </is>
      </c>
      <c r="BD1644" t="inlineStr">
        <is>
          <t>893242243</t>
        </is>
      </c>
    </row>
    <row r="1645">
      <c r="A1645" t="inlineStr">
        <is>
          <t>No</t>
        </is>
      </c>
      <c r="B1645" t="inlineStr">
        <is>
          <t>DS62.4 .Y35 1987</t>
        </is>
      </c>
      <c r="C1645" t="inlineStr">
        <is>
          <t>0                      DS 0062400Y  35          1987</t>
        </is>
      </c>
      <c r="D1645" t="inlineStr">
        <is>
          <t>The making of the modern Near East, 1792-1923 / M.E. Yapp.</t>
        </is>
      </c>
      <c r="F1645" t="inlineStr">
        <is>
          <t>No</t>
        </is>
      </c>
      <c r="G1645" t="inlineStr">
        <is>
          <t>1</t>
        </is>
      </c>
      <c r="H1645" t="inlineStr">
        <is>
          <t>No</t>
        </is>
      </c>
      <c r="I1645" t="inlineStr">
        <is>
          <t>No</t>
        </is>
      </c>
      <c r="J1645" t="inlineStr">
        <is>
          <t>0</t>
        </is>
      </c>
      <c r="K1645" t="inlineStr">
        <is>
          <t>Yapp, Malcolm.</t>
        </is>
      </c>
      <c r="L1645" t="inlineStr">
        <is>
          <t>London ; New York : Longman, 1987.</t>
        </is>
      </c>
      <c r="M1645" t="inlineStr">
        <is>
          <t>1987</t>
        </is>
      </c>
      <c r="O1645" t="inlineStr">
        <is>
          <t>eng</t>
        </is>
      </c>
      <c r="P1645" t="inlineStr">
        <is>
          <t>enk</t>
        </is>
      </c>
      <c r="Q1645" t="inlineStr">
        <is>
          <t>A History of the Near East</t>
        </is>
      </c>
      <c r="R1645" t="inlineStr">
        <is>
          <t xml:space="preserve">DS </t>
        </is>
      </c>
      <c r="S1645" t="n">
        <v>1</v>
      </c>
      <c r="T1645" t="n">
        <v>1</v>
      </c>
      <c r="U1645" t="inlineStr">
        <is>
          <t>1998-11-09</t>
        </is>
      </c>
      <c r="V1645" t="inlineStr">
        <is>
          <t>1998-11-09</t>
        </is>
      </c>
      <c r="W1645" t="inlineStr">
        <is>
          <t>1990-08-16</t>
        </is>
      </c>
      <c r="X1645" t="inlineStr">
        <is>
          <t>1990-08-16</t>
        </is>
      </c>
      <c r="Y1645" t="n">
        <v>762</v>
      </c>
      <c r="Z1645" t="n">
        <v>558</v>
      </c>
      <c r="AA1645" t="n">
        <v>587</v>
      </c>
      <c r="AB1645" t="n">
        <v>6</v>
      </c>
      <c r="AC1645" t="n">
        <v>6</v>
      </c>
      <c r="AD1645" t="n">
        <v>21</v>
      </c>
      <c r="AE1645" t="n">
        <v>21</v>
      </c>
      <c r="AF1645" t="n">
        <v>4</v>
      </c>
      <c r="AG1645" t="n">
        <v>4</v>
      </c>
      <c r="AH1645" t="n">
        <v>8</v>
      </c>
      <c r="AI1645" t="n">
        <v>8</v>
      </c>
      <c r="AJ1645" t="n">
        <v>10</v>
      </c>
      <c r="AK1645" t="n">
        <v>10</v>
      </c>
      <c r="AL1645" t="n">
        <v>4</v>
      </c>
      <c r="AM1645" t="n">
        <v>4</v>
      </c>
      <c r="AN1645" t="n">
        <v>0</v>
      </c>
      <c r="AO1645" t="n">
        <v>0</v>
      </c>
      <c r="AP1645" t="inlineStr">
        <is>
          <t>No</t>
        </is>
      </c>
      <c r="AQ1645" t="inlineStr">
        <is>
          <t>Yes</t>
        </is>
      </c>
      <c r="AR1645">
        <f>HYPERLINK("http://catalog.hathitrust.org/Record/000905525","HathiTrust Record")</f>
        <v/>
      </c>
      <c r="AS1645">
        <f>HYPERLINK("https://creighton-primo.hosted.exlibrisgroup.com/primo-explore/search?tab=default_tab&amp;search_scope=EVERYTHING&amp;vid=01CRU&amp;lang=en_US&amp;offset=0&amp;query=any,contains,991001004689702656","Catalog Record")</f>
        <v/>
      </c>
      <c r="AT1645">
        <f>HYPERLINK("http://www.worldcat.org/oclc/15224190","WorldCat Record")</f>
        <v/>
      </c>
      <c r="AU1645" t="inlineStr">
        <is>
          <t>10262550:eng</t>
        </is>
      </c>
      <c r="AV1645" t="inlineStr">
        <is>
          <t>15224190</t>
        </is>
      </c>
      <c r="AW1645" t="inlineStr">
        <is>
          <t>991001004689702656</t>
        </is>
      </c>
      <c r="AX1645" t="inlineStr">
        <is>
          <t>991001004689702656</t>
        </is>
      </c>
      <c r="AY1645" t="inlineStr">
        <is>
          <t>2268087750002656</t>
        </is>
      </c>
      <c r="AZ1645" t="inlineStr">
        <is>
          <t>BOOK</t>
        </is>
      </c>
      <c r="BB1645" t="inlineStr">
        <is>
          <t>9780582013667</t>
        </is>
      </c>
      <c r="BC1645" t="inlineStr">
        <is>
          <t>32285000274331</t>
        </is>
      </c>
      <c r="BD1645" t="inlineStr">
        <is>
          <t>893438791</t>
        </is>
      </c>
    </row>
    <row r="1646">
      <c r="A1646" t="inlineStr">
        <is>
          <t>No</t>
        </is>
      </c>
      <c r="B1646" t="inlineStr">
        <is>
          <t>DS62.4 .Y36 1991</t>
        </is>
      </c>
      <c r="C1646" t="inlineStr">
        <is>
          <t>0                      DS 0062400Y  36          1991</t>
        </is>
      </c>
      <c r="D1646" t="inlineStr">
        <is>
          <t>The Near East since the First World War / M.E. Yapp.</t>
        </is>
      </c>
      <c r="F1646" t="inlineStr">
        <is>
          <t>No</t>
        </is>
      </c>
      <c r="G1646" t="inlineStr">
        <is>
          <t>1</t>
        </is>
      </c>
      <c r="H1646" t="inlineStr">
        <is>
          <t>No</t>
        </is>
      </c>
      <c r="I1646" t="inlineStr">
        <is>
          <t>No</t>
        </is>
      </c>
      <c r="J1646" t="inlineStr">
        <is>
          <t>0</t>
        </is>
      </c>
      <c r="K1646" t="inlineStr">
        <is>
          <t>Yapp, Malcolm.</t>
        </is>
      </c>
      <c r="L1646" t="inlineStr">
        <is>
          <t>London ; New York : Longman, 1991.</t>
        </is>
      </c>
      <c r="M1646" t="inlineStr">
        <is>
          <t>1991</t>
        </is>
      </c>
      <c r="O1646" t="inlineStr">
        <is>
          <t>eng</t>
        </is>
      </c>
      <c r="P1646" t="inlineStr">
        <is>
          <t>enk</t>
        </is>
      </c>
      <c r="Q1646" t="inlineStr">
        <is>
          <t>A History of the Near East</t>
        </is>
      </c>
      <c r="R1646" t="inlineStr">
        <is>
          <t xml:space="preserve">DS </t>
        </is>
      </c>
      <c r="S1646" t="n">
        <v>9</v>
      </c>
      <c r="T1646" t="n">
        <v>9</v>
      </c>
      <c r="U1646" t="inlineStr">
        <is>
          <t>1999-03-16</t>
        </is>
      </c>
      <c r="V1646" t="inlineStr">
        <is>
          <t>1999-03-16</t>
        </is>
      </c>
      <c r="W1646" t="inlineStr">
        <is>
          <t>1991-06-20</t>
        </is>
      </c>
      <c r="X1646" t="inlineStr">
        <is>
          <t>1991-06-20</t>
        </is>
      </c>
      <c r="Y1646" t="n">
        <v>492</v>
      </c>
      <c r="Z1646" t="n">
        <v>316</v>
      </c>
      <c r="AA1646" t="n">
        <v>441</v>
      </c>
      <c r="AB1646" t="n">
        <v>2</v>
      </c>
      <c r="AC1646" t="n">
        <v>3</v>
      </c>
      <c r="AD1646" t="n">
        <v>10</v>
      </c>
      <c r="AE1646" t="n">
        <v>18</v>
      </c>
      <c r="AF1646" t="n">
        <v>4</v>
      </c>
      <c r="AG1646" t="n">
        <v>6</v>
      </c>
      <c r="AH1646" t="n">
        <v>3</v>
      </c>
      <c r="AI1646" t="n">
        <v>5</v>
      </c>
      <c r="AJ1646" t="n">
        <v>4</v>
      </c>
      <c r="AK1646" t="n">
        <v>10</v>
      </c>
      <c r="AL1646" t="n">
        <v>1</v>
      </c>
      <c r="AM1646" t="n">
        <v>2</v>
      </c>
      <c r="AN1646" t="n">
        <v>0</v>
      </c>
      <c r="AO1646" t="n">
        <v>0</v>
      </c>
      <c r="AP1646" t="inlineStr">
        <is>
          <t>No</t>
        </is>
      </c>
      <c r="AQ1646" t="inlineStr">
        <is>
          <t>No</t>
        </is>
      </c>
      <c r="AS1646">
        <f>HYPERLINK("https://creighton-primo.hosted.exlibrisgroup.com/primo-explore/search?tab=default_tab&amp;search_scope=EVERYTHING&amp;vid=01CRU&amp;lang=en_US&amp;offset=0&amp;query=any,contains,991001695659702656","Catalog Record")</f>
        <v/>
      </c>
      <c r="AT1646">
        <f>HYPERLINK("http://www.worldcat.org/oclc/21483309","WorldCat Record")</f>
        <v/>
      </c>
      <c r="AU1646" t="inlineStr">
        <is>
          <t>23384850:eng</t>
        </is>
      </c>
      <c r="AV1646" t="inlineStr">
        <is>
          <t>21483309</t>
        </is>
      </c>
      <c r="AW1646" t="inlineStr">
        <is>
          <t>991001695659702656</t>
        </is>
      </c>
      <c r="AX1646" t="inlineStr">
        <is>
          <t>991001695659702656</t>
        </is>
      </c>
      <c r="AY1646" t="inlineStr">
        <is>
          <t>2261763600002656</t>
        </is>
      </c>
      <c r="AZ1646" t="inlineStr">
        <is>
          <t>BOOK</t>
        </is>
      </c>
      <c r="BB1646" t="inlineStr">
        <is>
          <t>9780582494992</t>
        </is>
      </c>
      <c r="BC1646" t="inlineStr">
        <is>
          <t>32285000658129</t>
        </is>
      </c>
      <c r="BD1646" t="inlineStr">
        <is>
          <t>893690821</t>
        </is>
      </c>
    </row>
    <row r="1647">
      <c r="A1647" t="inlineStr">
        <is>
          <t>No</t>
        </is>
      </c>
      <c r="B1647" t="inlineStr">
        <is>
          <t>DS62.7 .C46 2000</t>
        </is>
      </c>
      <c r="C1647" t="inlineStr">
        <is>
          <t>0                      DS 0062700C  46          2000</t>
        </is>
      </c>
      <c r="D1647" t="inlineStr">
        <is>
          <t>Arab nationalism-- a history : nation and state in the Arab world / Youssef M. Choueiri.</t>
        </is>
      </c>
      <c r="F1647" t="inlineStr">
        <is>
          <t>No</t>
        </is>
      </c>
      <c r="G1647" t="inlineStr">
        <is>
          <t>1</t>
        </is>
      </c>
      <c r="H1647" t="inlineStr">
        <is>
          <t>No</t>
        </is>
      </c>
      <c r="I1647" t="inlineStr">
        <is>
          <t>No</t>
        </is>
      </c>
      <c r="J1647" t="inlineStr">
        <is>
          <t>0</t>
        </is>
      </c>
      <c r="K1647" t="inlineStr">
        <is>
          <t>Choueiri, Youssef M., 1948-</t>
        </is>
      </c>
      <c r="L1647" t="inlineStr">
        <is>
          <t>Oxford ; Malden, Mass. : Blackwell Pub., 2000.</t>
        </is>
      </c>
      <c r="M1647" t="inlineStr">
        <is>
          <t>2000</t>
        </is>
      </c>
      <c r="O1647" t="inlineStr">
        <is>
          <t>eng</t>
        </is>
      </c>
      <c r="P1647" t="inlineStr">
        <is>
          <t>enk</t>
        </is>
      </c>
      <c r="R1647" t="inlineStr">
        <is>
          <t xml:space="preserve">DS </t>
        </is>
      </c>
      <c r="S1647" t="n">
        <v>2</v>
      </c>
      <c r="T1647" t="n">
        <v>2</v>
      </c>
      <c r="U1647" t="inlineStr">
        <is>
          <t>2008-07-02</t>
        </is>
      </c>
      <c r="V1647" t="inlineStr">
        <is>
          <t>2008-07-02</t>
        </is>
      </c>
      <c r="W1647" t="inlineStr">
        <is>
          <t>2002-02-20</t>
        </is>
      </c>
      <c r="X1647" t="inlineStr">
        <is>
          <t>2002-02-20</t>
        </is>
      </c>
      <c r="Y1647" t="n">
        <v>565</v>
      </c>
      <c r="Z1647" t="n">
        <v>432</v>
      </c>
      <c r="AA1647" t="n">
        <v>435</v>
      </c>
      <c r="AB1647" t="n">
        <v>2</v>
      </c>
      <c r="AC1647" t="n">
        <v>2</v>
      </c>
      <c r="AD1647" t="n">
        <v>28</v>
      </c>
      <c r="AE1647" t="n">
        <v>28</v>
      </c>
      <c r="AF1647" t="n">
        <v>13</v>
      </c>
      <c r="AG1647" t="n">
        <v>13</v>
      </c>
      <c r="AH1647" t="n">
        <v>7</v>
      </c>
      <c r="AI1647" t="n">
        <v>7</v>
      </c>
      <c r="AJ1647" t="n">
        <v>13</v>
      </c>
      <c r="AK1647" t="n">
        <v>13</v>
      </c>
      <c r="AL1647" t="n">
        <v>1</v>
      </c>
      <c r="AM1647" t="n">
        <v>1</v>
      </c>
      <c r="AN1647" t="n">
        <v>0</v>
      </c>
      <c r="AO1647" t="n">
        <v>0</v>
      </c>
      <c r="AP1647" t="inlineStr">
        <is>
          <t>No</t>
        </is>
      </c>
      <c r="AQ1647" t="inlineStr">
        <is>
          <t>No</t>
        </is>
      </c>
      <c r="AS1647">
        <f>HYPERLINK("https://creighton-primo.hosted.exlibrisgroup.com/primo-explore/search?tab=default_tab&amp;search_scope=EVERYTHING&amp;vid=01CRU&amp;lang=en_US&amp;offset=0&amp;query=any,contains,991003716379702656","Catalog Record")</f>
        <v/>
      </c>
      <c r="AT1647">
        <f>HYPERLINK("http://www.worldcat.org/oclc/44039331","WorldCat Record")</f>
        <v/>
      </c>
      <c r="AU1647" t="inlineStr">
        <is>
          <t>836999980:eng</t>
        </is>
      </c>
      <c r="AV1647" t="inlineStr">
        <is>
          <t>44039331</t>
        </is>
      </c>
      <c r="AW1647" t="inlineStr">
        <is>
          <t>991003716379702656</t>
        </is>
      </c>
      <c r="AX1647" t="inlineStr">
        <is>
          <t>991003716379702656</t>
        </is>
      </c>
      <c r="AY1647" t="inlineStr">
        <is>
          <t>2265486190002656</t>
        </is>
      </c>
      <c r="AZ1647" t="inlineStr">
        <is>
          <t>BOOK</t>
        </is>
      </c>
      <c r="BB1647" t="inlineStr">
        <is>
          <t>9780631217282</t>
        </is>
      </c>
      <c r="BC1647" t="inlineStr">
        <is>
          <t>32285004455472</t>
        </is>
      </c>
      <c r="BD1647" t="inlineStr">
        <is>
          <t>893512270</t>
        </is>
      </c>
    </row>
    <row r="1648">
      <c r="A1648" t="inlineStr">
        <is>
          <t>No</t>
        </is>
      </c>
      <c r="B1648" t="inlineStr">
        <is>
          <t>DS62.7 .K37 1999</t>
        </is>
      </c>
      <c r="C1648" t="inlineStr">
        <is>
          <t>0                      DS 0062700K  37          1999</t>
        </is>
      </c>
      <c r="D1648" t="inlineStr">
        <is>
          <t>Empires of the sand : the struggle for mastery in the Middle East, 1789-1923 / Efraim Karsh and Inari Karsh.</t>
        </is>
      </c>
      <c r="F1648" t="inlineStr">
        <is>
          <t>No</t>
        </is>
      </c>
      <c r="G1648" t="inlineStr">
        <is>
          <t>1</t>
        </is>
      </c>
      <c r="H1648" t="inlineStr">
        <is>
          <t>No</t>
        </is>
      </c>
      <c r="I1648" t="inlineStr">
        <is>
          <t>No</t>
        </is>
      </c>
      <c r="J1648" t="inlineStr">
        <is>
          <t>0</t>
        </is>
      </c>
      <c r="K1648" t="inlineStr">
        <is>
          <t>Karsh, Efraim.</t>
        </is>
      </c>
      <c r="L1648" t="inlineStr">
        <is>
          <t>Cambridge, Mass. : Harvard University Press, 1999.</t>
        </is>
      </c>
      <c r="M1648" t="inlineStr">
        <is>
          <t>1999</t>
        </is>
      </c>
      <c r="O1648" t="inlineStr">
        <is>
          <t>eng</t>
        </is>
      </c>
      <c r="P1648" t="inlineStr">
        <is>
          <t>mau</t>
        </is>
      </c>
      <c r="R1648" t="inlineStr">
        <is>
          <t xml:space="preserve">DS </t>
        </is>
      </c>
      <c r="S1648" t="n">
        <v>8</v>
      </c>
      <c r="T1648" t="n">
        <v>8</v>
      </c>
      <c r="U1648" t="inlineStr">
        <is>
          <t>2006-11-13</t>
        </is>
      </c>
      <c r="V1648" t="inlineStr">
        <is>
          <t>2006-11-13</t>
        </is>
      </c>
      <c r="W1648" t="inlineStr">
        <is>
          <t>2000-01-25</t>
        </is>
      </c>
      <c r="X1648" t="inlineStr">
        <is>
          <t>2000-01-25</t>
        </is>
      </c>
      <c r="Y1648" t="n">
        <v>764</v>
      </c>
      <c r="Z1648" t="n">
        <v>652</v>
      </c>
      <c r="AA1648" t="n">
        <v>758</v>
      </c>
      <c r="AB1648" t="n">
        <v>5</v>
      </c>
      <c r="AC1648" t="n">
        <v>5</v>
      </c>
      <c r="AD1648" t="n">
        <v>36</v>
      </c>
      <c r="AE1648" t="n">
        <v>40</v>
      </c>
      <c r="AF1648" t="n">
        <v>14</v>
      </c>
      <c r="AG1648" t="n">
        <v>16</v>
      </c>
      <c r="AH1648" t="n">
        <v>7</v>
      </c>
      <c r="AI1648" t="n">
        <v>9</v>
      </c>
      <c r="AJ1648" t="n">
        <v>19</v>
      </c>
      <c r="AK1648" t="n">
        <v>20</v>
      </c>
      <c r="AL1648" t="n">
        <v>4</v>
      </c>
      <c r="AM1648" t="n">
        <v>4</v>
      </c>
      <c r="AN1648" t="n">
        <v>0</v>
      </c>
      <c r="AO1648" t="n">
        <v>0</v>
      </c>
      <c r="AP1648" t="inlineStr">
        <is>
          <t>No</t>
        </is>
      </c>
      <c r="AQ1648" t="inlineStr">
        <is>
          <t>Yes</t>
        </is>
      </c>
      <c r="AR1648">
        <f>HYPERLINK("http://catalog.hathitrust.org/Record/004062328","HathiTrust Record")</f>
        <v/>
      </c>
      <c r="AS1648">
        <f>HYPERLINK("https://creighton-primo.hosted.exlibrisgroup.com/primo-explore/search?tab=default_tab&amp;search_scope=EVERYTHING&amp;vid=01CRU&amp;lang=en_US&amp;offset=0&amp;query=any,contains,991003028699702656","Catalog Record")</f>
        <v/>
      </c>
      <c r="AT1648">
        <f>HYPERLINK("http://www.worldcat.org/oclc/41439554","WorldCat Record")</f>
        <v/>
      </c>
      <c r="AU1648" t="inlineStr">
        <is>
          <t>14460300:eng</t>
        </is>
      </c>
      <c r="AV1648" t="inlineStr">
        <is>
          <t>41439554</t>
        </is>
      </c>
      <c r="AW1648" t="inlineStr">
        <is>
          <t>991003028699702656</t>
        </is>
      </c>
      <c r="AX1648" t="inlineStr">
        <is>
          <t>991003028699702656</t>
        </is>
      </c>
      <c r="AY1648" t="inlineStr">
        <is>
          <t>2270417680002656</t>
        </is>
      </c>
      <c r="AZ1648" t="inlineStr">
        <is>
          <t>BOOK</t>
        </is>
      </c>
      <c r="BB1648" t="inlineStr">
        <is>
          <t>9780674251526</t>
        </is>
      </c>
      <c r="BC1648" t="inlineStr">
        <is>
          <t>32285003644100</t>
        </is>
      </c>
      <c r="BD1648" t="inlineStr">
        <is>
          <t>893774313</t>
        </is>
      </c>
    </row>
    <row r="1649">
      <c r="A1649" t="inlineStr">
        <is>
          <t>No</t>
        </is>
      </c>
      <c r="B1649" t="inlineStr">
        <is>
          <t>DS62.8 .A5 1990</t>
        </is>
      </c>
      <c r="C1649" t="inlineStr">
        <is>
          <t>0                      DS 0062800A  5           1990</t>
        </is>
      </c>
      <c r="D1649" t="inlineStr">
        <is>
          <t>Politics and change in the Middle East : sources of conflict and accommodation / Roy R. Andersen, Robert F. Seibert, Jon G. Wagner.</t>
        </is>
      </c>
      <c r="F1649" t="inlineStr">
        <is>
          <t>No</t>
        </is>
      </c>
      <c r="G1649" t="inlineStr">
        <is>
          <t>1</t>
        </is>
      </c>
      <c r="H1649" t="inlineStr">
        <is>
          <t>No</t>
        </is>
      </c>
      <c r="I1649" t="inlineStr">
        <is>
          <t>No</t>
        </is>
      </c>
      <c r="J1649" t="inlineStr">
        <is>
          <t>0</t>
        </is>
      </c>
      <c r="K1649" t="inlineStr">
        <is>
          <t>Andersen, Roy.</t>
        </is>
      </c>
      <c r="L1649" t="inlineStr">
        <is>
          <t>Englewood Cliffs, N.J. : Prentice Hall, c1990.</t>
        </is>
      </c>
      <c r="M1649" t="inlineStr">
        <is>
          <t>1990</t>
        </is>
      </c>
      <c r="N1649" t="inlineStr">
        <is>
          <t>3rd ed.</t>
        </is>
      </c>
      <c r="O1649" t="inlineStr">
        <is>
          <t>eng</t>
        </is>
      </c>
      <c r="P1649" t="inlineStr">
        <is>
          <t>nju</t>
        </is>
      </c>
      <c r="R1649" t="inlineStr">
        <is>
          <t xml:space="preserve">DS </t>
        </is>
      </c>
      <c r="S1649" t="n">
        <v>9</v>
      </c>
      <c r="T1649" t="n">
        <v>9</v>
      </c>
      <c r="U1649" t="inlineStr">
        <is>
          <t>2010-07-12</t>
        </is>
      </c>
      <c r="V1649" t="inlineStr">
        <is>
          <t>2010-07-12</t>
        </is>
      </c>
      <c r="W1649" t="inlineStr">
        <is>
          <t>1990-05-17</t>
        </is>
      </c>
      <c r="X1649" t="inlineStr">
        <is>
          <t>1990-05-17</t>
        </is>
      </c>
      <c r="Y1649" t="n">
        <v>211</v>
      </c>
      <c r="Z1649" t="n">
        <v>155</v>
      </c>
      <c r="AA1649" t="n">
        <v>639</v>
      </c>
      <c r="AB1649" t="n">
        <v>2</v>
      </c>
      <c r="AC1649" t="n">
        <v>6</v>
      </c>
      <c r="AD1649" t="n">
        <v>5</v>
      </c>
      <c r="AE1649" t="n">
        <v>27</v>
      </c>
      <c r="AF1649" t="n">
        <v>1</v>
      </c>
      <c r="AG1649" t="n">
        <v>9</v>
      </c>
      <c r="AH1649" t="n">
        <v>2</v>
      </c>
      <c r="AI1649" t="n">
        <v>7</v>
      </c>
      <c r="AJ1649" t="n">
        <v>2</v>
      </c>
      <c r="AK1649" t="n">
        <v>14</v>
      </c>
      <c r="AL1649" t="n">
        <v>1</v>
      </c>
      <c r="AM1649" t="n">
        <v>5</v>
      </c>
      <c r="AN1649" t="n">
        <v>0</v>
      </c>
      <c r="AO1649" t="n">
        <v>0</v>
      </c>
      <c r="AP1649" t="inlineStr">
        <is>
          <t>No</t>
        </is>
      </c>
      <c r="AQ1649" t="inlineStr">
        <is>
          <t>Yes</t>
        </is>
      </c>
      <c r="AR1649">
        <f>HYPERLINK("http://catalog.hathitrust.org/Record/009931812","HathiTrust Record")</f>
        <v/>
      </c>
      <c r="AS1649">
        <f>HYPERLINK("https://creighton-primo.hosted.exlibrisgroup.com/primo-explore/search?tab=default_tab&amp;search_scope=EVERYTHING&amp;vid=01CRU&amp;lang=en_US&amp;offset=0&amp;query=any,contains,991001524389702656","Catalog Record")</f>
        <v/>
      </c>
      <c r="AT1649">
        <f>HYPERLINK("http://www.worldcat.org/oclc/20012121","WorldCat Record")</f>
        <v/>
      </c>
      <c r="AU1649" t="inlineStr">
        <is>
          <t>793044794:eng</t>
        </is>
      </c>
      <c r="AV1649" t="inlineStr">
        <is>
          <t>20012121</t>
        </is>
      </c>
      <c r="AW1649" t="inlineStr">
        <is>
          <t>991001524389702656</t>
        </is>
      </c>
      <c r="AX1649" t="inlineStr">
        <is>
          <t>991001524389702656</t>
        </is>
      </c>
      <c r="AY1649" t="inlineStr">
        <is>
          <t>2263025420002656</t>
        </is>
      </c>
      <c r="AZ1649" t="inlineStr">
        <is>
          <t>BOOK</t>
        </is>
      </c>
      <c r="BB1649" t="inlineStr">
        <is>
          <t>9780136842002</t>
        </is>
      </c>
      <c r="BC1649" t="inlineStr">
        <is>
          <t>32285000136688</t>
        </is>
      </c>
      <c r="BD1649" t="inlineStr">
        <is>
          <t>893315830</t>
        </is>
      </c>
    </row>
    <row r="1650">
      <c r="A1650" t="inlineStr">
        <is>
          <t>No</t>
        </is>
      </c>
      <c r="B1650" t="inlineStr">
        <is>
          <t>DS62.8 .B76 1984</t>
        </is>
      </c>
      <c r="C1650" t="inlineStr">
        <is>
          <t>0                      DS 0062800B  76          1984</t>
        </is>
      </c>
      <c r="D1650" t="inlineStr">
        <is>
          <t>International politics and the Middle East : old rules, dangerous game / L. Carl Brown.</t>
        </is>
      </c>
      <c r="F1650" t="inlineStr">
        <is>
          <t>No</t>
        </is>
      </c>
      <c r="G1650" t="inlineStr">
        <is>
          <t>1</t>
        </is>
      </c>
      <c r="H1650" t="inlineStr">
        <is>
          <t>No</t>
        </is>
      </c>
      <c r="I1650" t="inlineStr">
        <is>
          <t>No</t>
        </is>
      </c>
      <c r="J1650" t="inlineStr">
        <is>
          <t>0</t>
        </is>
      </c>
      <c r="K1650" t="inlineStr">
        <is>
          <t>Brown, L. Carl (Leon Carl), 1928-</t>
        </is>
      </c>
      <c r="L1650" t="inlineStr">
        <is>
          <t>Princeton, N.J. : Princeton University Press, c1984.</t>
        </is>
      </c>
      <c r="M1650" t="inlineStr">
        <is>
          <t>1984</t>
        </is>
      </c>
      <c r="O1650" t="inlineStr">
        <is>
          <t>eng</t>
        </is>
      </c>
      <c r="P1650" t="inlineStr">
        <is>
          <t>nju</t>
        </is>
      </c>
      <c r="Q1650" t="inlineStr">
        <is>
          <t>Princeton studies on the Near East</t>
        </is>
      </c>
      <c r="R1650" t="inlineStr">
        <is>
          <t xml:space="preserve">DS </t>
        </is>
      </c>
      <c r="S1650" t="n">
        <v>5</v>
      </c>
      <c r="T1650" t="n">
        <v>5</v>
      </c>
      <c r="U1650" t="inlineStr">
        <is>
          <t>2006-04-11</t>
        </is>
      </c>
      <c r="V1650" t="inlineStr">
        <is>
          <t>2006-04-11</t>
        </is>
      </c>
      <c r="W1650" t="inlineStr">
        <is>
          <t>1990-08-16</t>
        </is>
      </c>
      <c r="X1650" t="inlineStr">
        <is>
          <t>1990-08-16</t>
        </is>
      </c>
      <c r="Y1650" t="n">
        <v>686</v>
      </c>
      <c r="Z1650" t="n">
        <v>568</v>
      </c>
      <c r="AA1650" t="n">
        <v>584</v>
      </c>
      <c r="AB1650" t="n">
        <v>5</v>
      </c>
      <c r="AC1650" t="n">
        <v>5</v>
      </c>
      <c r="AD1650" t="n">
        <v>27</v>
      </c>
      <c r="AE1650" t="n">
        <v>28</v>
      </c>
      <c r="AF1650" t="n">
        <v>9</v>
      </c>
      <c r="AG1650" t="n">
        <v>9</v>
      </c>
      <c r="AH1650" t="n">
        <v>7</v>
      </c>
      <c r="AI1650" t="n">
        <v>8</v>
      </c>
      <c r="AJ1650" t="n">
        <v>15</v>
      </c>
      <c r="AK1650" t="n">
        <v>15</v>
      </c>
      <c r="AL1650" t="n">
        <v>4</v>
      </c>
      <c r="AM1650" t="n">
        <v>4</v>
      </c>
      <c r="AN1650" t="n">
        <v>0</v>
      </c>
      <c r="AO1650" t="n">
        <v>0</v>
      </c>
      <c r="AP1650" t="inlineStr">
        <is>
          <t>No</t>
        </is>
      </c>
      <c r="AQ1650" t="inlineStr">
        <is>
          <t>No</t>
        </is>
      </c>
      <c r="AS1650">
        <f>HYPERLINK("https://creighton-primo.hosted.exlibrisgroup.com/primo-explore/search?tab=default_tab&amp;search_scope=EVERYTHING&amp;vid=01CRU&amp;lang=en_US&amp;offset=0&amp;query=any,contains,991000275689702656","Catalog Record")</f>
        <v/>
      </c>
      <c r="AT1650">
        <f>HYPERLINK("http://www.worldcat.org/oclc/9894657","WorldCat Record")</f>
        <v/>
      </c>
      <c r="AU1650" t="inlineStr">
        <is>
          <t>836672389:eng</t>
        </is>
      </c>
      <c r="AV1650" t="inlineStr">
        <is>
          <t>9894657</t>
        </is>
      </c>
      <c r="AW1650" t="inlineStr">
        <is>
          <t>991000275689702656</t>
        </is>
      </c>
      <c r="AX1650" t="inlineStr">
        <is>
          <t>991000275689702656</t>
        </is>
      </c>
      <c r="AY1650" t="inlineStr">
        <is>
          <t>2262689790002656</t>
        </is>
      </c>
      <c r="AZ1650" t="inlineStr">
        <is>
          <t>BOOK</t>
        </is>
      </c>
      <c r="BB1650" t="inlineStr">
        <is>
          <t>9780691101590</t>
        </is>
      </c>
      <c r="BC1650" t="inlineStr">
        <is>
          <t>32285000274356</t>
        </is>
      </c>
      <c r="BD1650" t="inlineStr">
        <is>
          <t>893515155</t>
        </is>
      </c>
    </row>
    <row r="1651">
      <c r="A1651" t="inlineStr">
        <is>
          <t>No</t>
        </is>
      </c>
      <c r="B1651" t="inlineStr">
        <is>
          <t>DS62.8 .F53 2005</t>
        </is>
      </c>
      <c r="C1651" t="inlineStr">
        <is>
          <t>0                      DS 0062800F  53          2005</t>
        </is>
      </c>
      <c r="D1651" t="inlineStr">
        <is>
          <t>The great war for civilisation : the conquest of the Middle East / Robert Fisk.</t>
        </is>
      </c>
      <c r="F1651" t="inlineStr">
        <is>
          <t>No</t>
        </is>
      </c>
      <c r="G1651" t="inlineStr">
        <is>
          <t>1</t>
        </is>
      </c>
      <c r="H1651" t="inlineStr">
        <is>
          <t>No</t>
        </is>
      </c>
      <c r="I1651" t="inlineStr">
        <is>
          <t>No</t>
        </is>
      </c>
      <c r="J1651" t="inlineStr">
        <is>
          <t>0</t>
        </is>
      </c>
      <c r="K1651" t="inlineStr">
        <is>
          <t>Fisk, Robert.</t>
        </is>
      </c>
      <c r="L1651" t="inlineStr">
        <is>
          <t>New York : Alfred A. Knopf, 2005.</t>
        </is>
      </c>
      <c r="M1651" t="inlineStr">
        <is>
          <t>2005</t>
        </is>
      </c>
      <c r="N1651" t="inlineStr">
        <is>
          <t>1st American ed.</t>
        </is>
      </c>
      <c r="O1651" t="inlineStr">
        <is>
          <t>eng</t>
        </is>
      </c>
      <c r="P1651" t="inlineStr">
        <is>
          <t>nyu</t>
        </is>
      </c>
      <c r="R1651" t="inlineStr">
        <is>
          <t xml:space="preserve">DS </t>
        </is>
      </c>
      <c r="S1651" t="n">
        <v>2</v>
      </c>
      <c r="T1651" t="n">
        <v>2</v>
      </c>
      <c r="U1651" t="inlineStr">
        <is>
          <t>2005-12-12</t>
        </is>
      </c>
      <c r="V1651" t="inlineStr">
        <is>
          <t>2005-12-12</t>
        </is>
      </c>
      <c r="W1651" t="inlineStr">
        <is>
          <t>2005-11-30</t>
        </is>
      </c>
      <c r="X1651" t="inlineStr">
        <is>
          <t>2005-11-30</t>
        </is>
      </c>
      <c r="Y1651" t="n">
        <v>1350</v>
      </c>
      <c r="Z1651" t="n">
        <v>1246</v>
      </c>
      <c r="AA1651" t="n">
        <v>1472</v>
      </c>
      <c r="AB1651" t="n">
        <v>14</v>
      </c>
      <c r="AC1651" t="n">
        <v>15</v>
      </c>
      <c r="AD1651" t="n">
        <v>33</v>
      </c>
      <c r="AE1651" t="n">
        <v>40</v>
      </c>
      <c r="AF1651" t="n">
        <v>10</v>
      </c>
      <c r="AG1651" t="n">
        <v>14</v>
      </c>
      <c r="AH1651" t="n">
        <v>7</v>
      </c>
      <c r="AI1651" t="n">
        <v>10</v>
      </c>
      <c r="AJ1651" t="n">
        <v>9</v>
      </c>
      <c r="AK1651" t="n">
        <v>13</v>
      </c>
      <c r="AL1651" t="n">
        <v>9</v>
      </c>
      <c r="AM1651" t="n">
        <v>10</v>
      </c>
      <c r="AN1651" t="n">
        <v>0</v>
      </c>
      <c r="AO1651" t="n">
        <v>0</v>
      </c>
      <c r="AP1651" t="inlineStr">
        <is>
          <t>No</t>
        </is>
      </c>
      <c r="AQ1651" t="inlineStr">
        <is>
          <t>Yes</t>
        </is>
      </c>
      <c r="AR1651">
        <f>HYPERLINK("http://catalog.hathitrust.org/Record/005108015","HathiTrust Record")</f>
        <v/>
      </c>
      <c r="AS1651">
        <f>HYPERLINK("https://creighton-primo.hosted.exlibrisgroup.com/primo-explore/search?tab=default_tab&amp;search_scope=EVERYTHING&amp;vid=01CRU&amp;lang=en_US&amp;offset=0&amp;query=any,contains,991004681369702656","Catalog Record")</f>
        <v/>
      </c>
      <c r="AT1651">
        <f>HYPERLINK("http://www.worldcat.org/oclc/60401821","WorldCat Record")</f>
        <v/>
      </c>
      <c r="AU1651" t="inlineStr">
        <is>
          <t>796411954:eng</t>
        </is>
      </c>
      <c r="AV1651" t="inlineStr">
        <is>
          <t>60401821</t>
        </is>
      </c>
      <c r="AW1651" t="inlineStr">
        <is>
          <t>991004681369702656</t>
        </is>
      </c>
      <c r="AX1651" t="inlineStr">
        <is>
          <t>991004681369702656</t>
        </is>
      </c>
      <c r="AY1651" t="inlineStr">
        <is>
          <t>2263606450002656</t>
        </is>
      </c>
      <c r="AZ1651" t="inlineStr">
        <is>
          <t>BOOK</t>
        </is>
      </c>
      <c r="BB1651" t="inlineStr">
        <is>
          <t>9781400041510</t>
        </is>
      </c>
      <c r="BC1651" t="inlineStr">
        <is>
          <t>32285005149694</t>
        </is>
      </c>
      <c r="BD1651" t="inlineStr">
        <is>
          <t>893807355</t>
        </is>
      </c>
    </row>
    <row r="1652">
      <c r="A1652" t="inlineStr">
        <is>
          <t>No</t>
        </is>
      </c>
      <c r="B1652" t="inlineStr">
        <is>
          <t>DS62.8 .I84</t>
        </is>
      </c>
      <c r="C1652" t="inlineStr">
        <is>
          <t>0                      DS 0062800I  84</t>
        </is>
      </c>
      <c r="D1652" t="inlineStr">
        <is>
          <t>The Middle East in world politics : a study in contemporary international relations / [edited by] Tareq Y. Ismael. With contributions from Naseer H. Aruri [and others]</t>
        </is>
      </c>
      <c r="F1652" t="inlineStr">
        <is>
          <t>No</t>
        </is>
      </c>
      <c r="G1652" t="inlineStr">
        <is>
          <t>1</t>
        </is>
      </c>
      <c r="H1652" t="inlineStr">
        <is>
          <t>No</t>
        </is>
      </c>
      <c r="I1652" t="inlineStr">
        <is>
          <t>No</t>
        </is>
      </c>
      <c r="J1652" t="inlineStr">
        <is>
          <t>0</t>
        </is>
      </c>
      <c r="K1652" t="inlineStr">
        <is>
          <t>Ismael, Tareq Y.</t>
        </is>
      </c>
      <c r="L1652" t="inlineStr">
        <is>
          <t>[Syracuse, N.Y.] : Syracuse University Press, 1974.</t>
        </is>
      </c>
      <c r="M1652" t="inlineStr">
        <is>
          <t>1974</t>
        </is>
      </c>
      <c r="N1652" t="inlineStr">
        <is>
          <t>[1st ed.]</t>
        </is>
      </c>
      <c r="O1652" t="inlineStr">
        <is>
          <t>eng</t>
        </is>
      </c>
      <c r="P1652" t="inlineStr">
        <is>
          <t>nyu</t>
        </is>
      </c>
      <c r="R1652" t="inlineStr">
        <is>
          <t xml:space="preserve">DS </t>
        </is>
      </c>
      <c r="S1652" t="n">
        <v>2</v>
      </c>
      <c r="T1652" t="n">
        <v>2</v>
      </c>
      <c r="U1652" t="inlineStr">
        <is>
          <t>2003-11-11</t>
        </is>
      </c>
      <c r="V1652" t="inlineStr">
        <is>
          <t>2003-11-11</t>
        </is>
      </c>
      <c r="W1652" t="inlineStr">
        <is>
          <t>1992-09-16</t>
        </is>
      </c>
      <c r="X1652" t="inlineStr">
        <is>
          <t>1992-09-16</t>
        </is>
      </c>
      <c r="Y1652" t="n">
        <v>695</v>
      </c>
      <c r="Z1652" t="n">
        <v>569</v>
      </c>
      <c r="AA1652" t="n">
        <v>578</v>
      </c>
      <c r="AB1652" t="n">
        <v>8</v>
      </c>
      <c r="AC1652" t="n">
        <v>8</v>
      </c>
      <c r="AD1652" t="n">
        <v>31</v>
      </c>
      <c r="AE1652" t="n">
        <v>31</v>
      </c>
      <c r="AF1652" t="n">
        <v>10</v>
      </c>
      <c r="AG1652" t="n">
        <v>10</v>
      </c>
      <c r="AH1652" t="n">
        <v>10</v>
      </c>
      <c r="AI1652" t="n">
        <v>10</v>
      </c>
      <c r="AJ1652" t="n">
        <v>11</v>
      </c>
      <c r="AK1652" t="n">
        <v>11</v>
      </c>
      <c r="AL1652" t="n">
        <v>7</v>
      </c>
      <c r="AM1652" t="n">
        <v>7</v>
      </c>
      <c r="AN1652" t="n">
        <v>0</v>
      </c>
      <c r="AO1652" t="n">
        <v>0</v>
      </c>
      <c r="AP1652" t="inlineStr">
        <is>
          <t>No</t>
        </is>
      </c>
      <c r="AQ1652" t="inlineStr">
        <is>
          <t>Yes</t>
        </is>
      </c>
      <c r="AR1652">
        <f>HYPERLINK("http://catalog.hathitrust.org/Record/001241162","HathiTrust Record")</f>
        <v/>
      </c>
      <c r="AS1652">
        <f>HYPERLINK("https://creighton-primo.hosted.exlibrisgroup.com/primo-explore/search?tab=default_tab&amp;search_scope=EVERYTHING&amp;vid=01CRU&amp;lang=en_US&amp;offset=0&amp;query=any,contains,991003224519702656","Catalog Record")</f>
        <v/>
      </c>
      <c r="AT1652">
        <f>HYPERLINK("http://www.worldcat.org/oclc/749732","WorldCat Record")</f>
        <v/>
      </c>
      <c r="AU1652" t="inlineStr">
        <is>
          <t>196505301:eng</t>
        </is>
      </c>
      <c r="AV1652" t="inlineStr">
        <is>
          <t>749732</t>
        </is>
      </c>
      <c r="AW1652" t="inlineStr">
        <is>
          <t>991003224519702656</t>
        </is>
      </c>
      <c r="AX1652" t="inlineStr">
        <is>
          <t>991003224519702656</t>
        </is>
      </c>
      <c r="AY1652" t="inlineStr">
        <is>
          <t>2255407130002656</t>
        </is>
      </c>
      <c r="AZ1652" t="inlineStr">
        <is>
          <t>BOOK</t>
        </is>
      </c>
      <c r="BB1652" t="inlineStr">
        <is>
          <t>9780815601012</t>
        </is>
      </c>
      <c r="BC1652" t="inlineStr">
        <is>
          <t>32285001301000</t>
        </is>
      </c>
      <c r="BD1652" t="inlineStr">
        <is>
          <t>893416173</t>
        </is>
      </c>
    </row>
    <row r="1653">
      <c r="A1653" t="inlineStr">
        <is>
          <t>No</t>
        </is>
      </c>
      <c r="B1653" t="inlineStr">
        <is>
          <t>DS62.8 .M3213 1999</t>
        </is>
      </c>
      <c r="C1653" t="inlineStr">
        <is>
          <t>0                      DS 0062800M  3213        1999</t>
        </is>
      </c>
      <c r="D1653" t="inlineStr">
        <is>
          <t>Middle East conflicts / François Massoulié ; translated by Angela Parker.</t>
        </is>
      </c>
      <c r="F1653" t="inlineStr">
        <is>
          <t>No</t>
        </is>
      </c>
      <c r="G1653" t="inlineStr">
        <is>
          <t>1</t>
        </is>
      </c>
      <c r="H1653" t="inlineStr">
        <is>
          <t>No</t>
        </is>
      </c>
      <c r="I1653" t="inlineStr">
        <is>
          <t>No</t>
        </is>
      </c>
      <c r="J1653" t="inlineStr">
        <is>
          <t>0</t>
        </is>
      </c>
      <c r="K1653" t="inlineStr">
        <is>
          <t>Massoulié, François.</t>
        </is>
      </c>
      <c r="L1653" t="inlineStr">
        <is>
          <t>New York : Interlink Books, 1999.</t>
        </is>
      </c>
      <c r="M1653" t="inlineStr">
        <is>
          <t>1999</t>
        </is>
      </c>
      <c r="N1653" t="inlineStr">
        <is>
          <t>1st American ed.</t>
        </is>
      </c>
      <c r="O1653" t="inlineStr">
        <is>
          <t>eng</t>
        </is>
      </c>
      <c r="P1653" t="inlineStr">
        <is>
          <t>nyu</t>
        </is>
      </c>
      <c r="Q1653" t="inlineStr">
        <is>
          <t>Interlink illustrated histories</t>
        </is>
      </c>
      <c r="R1653" t="inlineStr">
        <is>
          <t xml:space="preserve">DS </t>
        </is>
      </c>
      <c r="S1653" t="n">
        <v>9</v>
      </c>
      <c r="T1653" t="n">
        <v>9</v>
      </c>
      <c r="U1653" t="inlineStr">
        <is>
          <t>2002-10-26</t>
        </is>
      </c>
      <c r="V1653" t="inlineStr">
        <is>
          <t>2002-10-26</t>
        </is>
      </c>
      <c r="W1653" t="inlineStr">
        <is>
          <t>2002-04-18</t>
        </is>
      </c>
      <c r="X1653" t="inlineStr">
        <is>
          <t>2002-04-18</t>
        </is>
      </c>
      <c r="Y1653" t="n">
        <v>250</v>
      </c>
      <c r="Z1653" t="n">
        <v>234</v>
      </c>
      <c r="AA1653" t="n">
        <v>305</v>
      </c>
      <c r="AB1653" t="n">
        <v>2</v>
      </c>
      <c r="AC1653" t="n">
        <v>2</v>
      </c>
      <c r="AD1653" t="n">
        <v>1</v>
      </c>
      <c r="AE1653" t="n">
        <v>3</v>
      </c>
      <c r="AF1653" t="n">
        <v>0</v>
      </c>
      <c r="AG1653" t="n">
        <v>0</v>
      </c>
      <c r="AH1653" t="n">
        <v>0</v>
      </c>
      <c r="AI1653" t="n">
        <v>2</v>
      </c>
      <c r="AJ1653" t="n">
        <v>0</v>
      </c>
      <c r="AK1653" t="n">
        <v>2</v>
      </c>
      <c r="AL1653" t="n">
        <v>1</v>
      </c>
      <c r="AM1653" t="n">
        <v>1</v>
      </c>
      <c r="AN1653" t="n">
        <v>0</v>
      </c>
      <c r="AO1653" t="n">
        <v>0</v>
      </c>
      <c r="AP1653" t="inlineStr">
        <is>
          <t>No</t>
        </is>
      </c>
      <c r="AQ1653" t="inlineStr">
        <is>
          <t>No</t>
        </is>
      </c>
      <c r="AS1653">
        <f>HYPERLINK("https://creighton-primo.hosted.exlibrisgroup.com/primo-explore/search?tab=default_tab&amp;search_scope=EVERYTHING&amp;vid=01CRU&amp;lang=en_US&amp;offset=0&amp;query=any,contains,991003779649702656","Catalog Record")</f>
        <v/>
      </c>
      <c r="AT1653">
        <f>HYPERLINK("http://www.worldcat.org/oclc/39024698","WorldCat Record")</f>
        <v/>
      </c>
      <c r="AU1653" t="inlineStr">
        <is>
          <t>4160446962:eng</t>
        </is>
      </c>
      <c r="AV1653" t="inlineStr">
        <is>
          <t>39024698</t>
        </is>
      </c>
      <c r="AW1653" t="inlineStr">
        <is>
          <t>991003779649702656</t>
        </is>
      </c>
      <c r="AX1653" t="inlineStr">
        <is>
          <t>991003779649702656</t>
        </is>
      </c>
      <c r="AY1653" t="inlineStr">
        <is>
          <t>2265449050002656</t>
        </is>
      </c>
      <c r="AZ1653" t="inlineStr">
        <is>
          <t>BOOK</t>
        </is>
      </c>
      <c r="BB1653" t="inlineStr">
        <is>
          <t>9781566562379</t>
        </is>
      </c>
      <c r="BC1653" t="inlineStr">
        <is>
          <t>32285004481726</t>
        </is>
      </c>
      <c r="BD1653" t="inlineStr">
        <is>
          <t>893611443</t>
        </is>
      </c>
    </row>
    <row r="1654">
      <c r="A1654" t="inlineStr">
        <is>
          <t>No</t>
        </is>
      </c>
      <c r="B1654" t="inlineStr">
        <is>
          <t>DS62.8 .S53 1994</t>
        </is>
      </c>
      <c r="C1654" t="inlineStr">
        <is>
          <t>0                      DS 0062800S  53          1994</t>
        </is>
      </c>
      <c r="D1654" t="inlineStr">
        <is>
          <t>War and peace in the Middle East : a critique of American policy / Avi Shlaim.</t>
        </is>
      </c>
      <c r="F1654" t="inlineStr">
        <is>
          <t>No</t>
        </is>
      </c>
      <c r="G1654" t="inlineStr">
        <is>
          <t>1</t>
        </is>
      </c>
      <c r="H1654" t="inlineStr">
        <is>
          <t>No</t>
        </is>
      </c>
      <c r="I1654" t="inlineStr">
        <is>
          <t>No</t>
        </is>
      </c>
      <c r="J1654" t="inlineStr">
        <is>
          <t>0</t>
        </is>
      </c>
      <c r="K1654" t="inlineStr">
        <is>
          <t>Shlaim, Avi.</t>
        </is>
      </c>
      <c r="L1654" t="inlineStr">
        <is>
          <t>New York : Whittle Books in association with Viking, 1994.</t>
        </is>
      </c>
      <c r="M1654" t="inlineStr">
        <is>
          <t>1994</t>
        </is>
      </c>
      <c r="O1654" t="inlineStr">
        <is>
          <t>eng</t>
        </is>
      </c>
      <c r="P1654" t="inlineStr">
        <is>
          <t>nyu</t>
        </is>
      </c>
      <c r="R1654" t="inlineStr">
        <is>
          <t xml:space="preserve">DS </t>
        </is>
      </c>
      <c r="S1654" t="n">
        <v>4</v>
      </c>
      <c r="T1654" t="n">
        <v>4</v>
      </c>
      <c r="U1654" t="inlineStr">
        <is>
          <t>2002-09-03</t>
        </is>
      </c>
      <c r="V1654" t="inlineStr">
        <is>
          <t>2002-09-03</t>
        </is>
      </c>
      <c r="W1654" t="inlineStr">
        <is>
          <t>1994-07-25</t>
        </is>
      </c>
      <c r="X1654" t="inlineStr">
        <is>
          <t>1994-07-25</t>
        </is>
      </c>
      <c r="Y1654" t="n">
        <v>751</v>
      </c>
      <c r="Z1654" t="n">
        <v>674</v>
      </c>
      <c r="AA1654" t="n">
        <v>680</v>
      </c>
      <c r="AB1654" t="n">
        <v>3</v>
      </c>
      <c r="AC1654" t="n">
        <v>3</v>
      </c>
      <c r="AD1654" t="n">
        <v>28</v>
      </c>
      <c r="AE1654" t="n">
        <v>28</v>
      </c>
      <c r="AF1654" t="n">
        <v>10</v>
      </c>
      <c r="AG1654" t="n">
        <v>10</v>
      </c>
      <c r="AH1654" t="n">
        <v>8</v>
      </c>
      <c r="AI1654" t="n">
        <v>8</v>
      </c>
      <c r="AJ1654" t="n">
        <v>17</v>
      </c>
      <c r="AK1654" t="n">
        <v>17</v>
      </c>
      <c r="AL1654" t="n">
        <v>2</v>
      </c>
      <c r="AM1654" t="n">
        <v>2</v>
      </c>
      <c r="AN1654" t="n">
        <v>0</v>
      </c>
      <c r="AO1654" t="n">
        <v>0</v>
      </c>
      <c r="AP1654" t="inlineStr">
        <is>
          <t>No</t>
        </is>
      </c>
      <c r="AQ1654" t="inlineStr">
        <is>
          <t>Yes</t>
        </is>
      </c>
      <c r="AR1654">
        <f>HYPERLINK("http://catalog.hathitrust.org/Record/002901822","HathiTrust Record")</f>
        <v/>
      </c>
      <c r="AS1654">
        <f>HYPERLINK("https://creighton-primo.hosted.exlibrisgroup.com/primo-explore/search?tab=default_tab&amp;search_scope=EVERYTHING&amp;vid=01CRU&amp;lang=en_US&amp;offset=0&amp;query=any,contains,991002261219702656","Catalog Record")</f>
        <v/>
      </c>
      <c r="AT1654">
        <f>HYPERLINK("http://www.worldcat.org/oclc/29319927","WorldCat Record")</f>
        <v/>
      </c>
      <c r="AU1654" t="inlineStr">
        <is>
          <t>2287410684:eng</t>
        </is>
      </c>
      <c r="AV1654" t="inlineStr">
        <is>
          <t>29319927</t>
        </is>
      </c>
      <c r="AW1654" t="inlineStr">
        <is>
          <t>991002261219702656</t>
        </is>
      </c>
      <c r="AX1654" t="inlineStr">
        <is>
          <t>991002261219702656</t>
        </is>
      </c>
      <c r="AY1654" t="inlineStr">
        <is>
          <t>2262517660002656</t>
        </is>
      </c>
      <c r="AZ1654" t="inlineStr">
        <is>
          <t>BOOK</t>
        </is>
      </c>
      <c r="BB1654" t="inlineStr">
        <is>
          <t>9780670853304</t>
        </is>
      </c>
      <c r="BC1654" t="inlineStr">
        <is>
          <t>32285001933471</t>
        </is>
      </c>
      <c r="BD1654" t="inlineStr">
        <is>
          <t>893523393</t>
        </is>
      </c>
    </row>
    <row r="1655">
      <c r="A1655" t="inlineStr">
        <is>
          <t>No</t>
        </is>
      </c>
      <c r="B1655" t="inlineStr">
        <is>
          <t>DS62.9 .S23 1969</t>
        </is>
      </c>
      <c r="C1655" t="inlineStr">
        <is>
          <t>0                      DS 0062900S  23          1969</t>
        </is>
      </c>
      <c r="D1655" t="inlineStr">
        <is>
          <t>The emergence of the Middle East: 1914-1924 [by] Howard M. Sachar.</t>
        </is>
      </c>
      <c r="F1655" t="inlineStr">
        <is>
          <t>No</t>
        </is>
      </c>
      <c r="G1655" t="inlineStr">
        <is>
          <t>1</t>
        </is>
      </c>
      <c r="H1655" t="inlineStr">
        <is>
          <t>No</t>
        </is>
      </c>
      <c r="I1655" t="inlineStr">
        <is>
          <t>No</t>
        </is>
      </c>
      <c r="J1655" t="inlineStr">
        <is>
          <t>0</t>
        </is>
      </c>
      <c r="K1655" t="inlineStr">
        <is>
          <t>Sachar, Howard Morley, 1928-2018.</t>
        </is>
      </c>
      <c r="L1655" t="inlineStr">
        <is>
          <t>New York, Knopf, 1969.</t>
        </is>
      </c>
      <c r="M1655" t="inlineStr">
        <is>
          <t>1969</t>
        </is>
      </c>
      <c r="N1655" t="inlineStr">
        <is>
          <t>[1st ed.]</t>
        </is>
      </c>
      <c r="O1655" t="inlineStr">
        <is>
          <t>eng</t>
        </is>
      </c>
      <c r="P1655" t="inlineStr">
        <is>
          <t>nyu</t>
        </is>
      </c>
      <c r="R1655" t="inlineStr">
        <is>
          <t xml:space="preserve">DS </t>
        </is>
      </c>
      <c r="S1655" t="n">
        <v>1</v>
      </c>
      <c r="T1655" t="n">
        <v>1</v>
      </c>
      <c r="U1655" t="inlineStr">
        <is>
          <t>2004-06-15</t>
        </is>
      </c>
      <c r="V1655" t="inlineStr">
        <is>
          <t>2004-06-15</t>
        </is>
      </c>
      <c r="W1655" t="inlineStr">
        <is>
          <t>1997-02-24</t>
        </is>
      </c>
      <c r="X1655" t="inlineStr">
        <is>
          <t>1997-02-24</t>
        </is>
      </c>
      <c r="Y1655" t="n">
        <v>860</v>
      </c>
      <c r="Z1655" t="n">
        <v>748</v>
      </c>
      <c r="AA1655" t="n">
        <v>768</v>
      </c>
      <c r="AB1655" t="n">
        <v>2</v>
      </c>
      <c r="AC1655" t="n">
        <v>3</v>
      </c>
      <c r="AD1655" t="n">
        <v>25</v>
      </c>
      <c r="AE1655" t="n">
        <v>27</v>
      </c>
      <c r="AF1655" t="n">
        <v>10</v>
      </c>
      <c r="AG1655" t="n">
        <v>10</v>
      </c>
      <c r="AH1655" t="n">
        <v>7</v>
      </c>
      <c r="AI1655" t="n">
        <v>7</v>
      </c>
      <c r="AJ1655" t="n">
        <v>14</v>
      </c>
      <c r="AK1655" t="n">
        <v>15</v>
      </c>
      <c r="AL1655" t="n">
        <v>1</v>
      </c>
      <c r="AM1655" t="n">
        <v>2</v>
      </c>
      <c r="AN1655" t="n">
        <v>0</v>
      </c>
      <c r="AO1655" t="n">
        <v>0</v>
      </c>
      <c r="AP1655" t="inlineStr">
        <is>
          <t>No</t>
        </is>
      </c>
      <c r="AQ1655" t="inlineStr">
        <is>
          <t>Yes</t>
        </is>
      </c>
      <c r="AR1655">
        <f>HYPERLINK("http://catalog.hathitrust.org/Record/001241184","HathiTrust Record")</f>
        <v/>
      </c>
      <c r="AS1655">
        <f>HYPERLINK("https://creighton-primo.hosted.exlibrisgroup.com/primo-explore/search?tab=default_tab&amp;search_scope=EVERYTHING&amp;vid=01CRU&amp;lang=en_US&amp;offset=0&amp;query=any,contains,991000079709702656","Catalog Record")</f>
        <v/>
      </c>
      <c r="AT1655">
        <f>HYPERLINK("http://www.worldcat.org/oclc/31335","WorldCat Record")</f>
        <v/>
      </c>
      <c r="AU1655" t="inlineStr">
        <is>
          <t>1182274:eng</t>
        </is>
      </c>
      <c r="AV1655" t="inlineStr">
        <is>
          <t>31335</t>
        </is>
      </c>
      <c r="AW1655" t="inlineStr">
        <is>
          <t>991000079709702656</t>
        </is>
      </c>
      <c r="AX1655" t="inlineStr">
        <is>
          <t>991000079709702656</t>
        </is>
      </c>
      <c r="AY1655" t="inlineStr">
        <is>
          <t>2262151420002656</t>
        </is>
      </c>
      <c r="AZ1655" t="inlineStr">
        <is>
          <t>BOOK</t>
        </is>
      </c>
      <c r="BC1655" t="inlineStr">
        <is>
          <t>32285002469699</t>
        </is>
      </c>
      <c r="BD1655" t="inlineStr">
        <is>
          <t>893242962</t>
        </is>
      </c>
    </row>
    <row r="1656">
      <c r="A1656" t="inlineStr">
        <is>
          <t>No</t>
        </is>
      </c>
      <c r="B1656" t="inlineStr">
        <is>
          <t>DS63 .H62 1966a</t>
        </is>
      </c>
      <c r="C1656" t="inlineStr">
        <is>
          <t>0                      DS 0063000H  62          1966a</t>
        </is>
      </c>
      <c r="D1656" t="inlineStr">
        <is>
          <t>Egypt and the Fertile Crescent, 1516-1922; a political history [by] P. M. Holt.</t>
        </is>
      </c>
      <c r="F1656" t="inlineStr">
        <is>
          <t>No</t>
        </is>
      </c>
      <c r="G1656" t="inlineStr">
        <is>
          <t>1</t>
        </is>
      </c>
      <c r="H1656" t="inlineStr">
        <is>
          <t>No</t>
        </is>
      </c>
      <c r="I1656" t="inlineStr">
        <is>
          <t>No</t>
        </is>
      </c>
      <c r="J1656" t="inlineStr">
        <is>
          <t>0</t>
        </is>
      </c>
      <c r="K1656" t="inlineStr">
        <is>
          <t>Holt, P. M. (Peter Malcolm)</t>
        </is>
      </c>
      <c r="L1656" t="inlineStr">
        <is>
          <t>Ithaca, N.Y., Cornell University Press [1966]</t>
        </is>
      </c>
      <c r="M1656" t="inlineStr">
        <is>
          <t>1966</t>
        </is>
      </c>
      <c r="O1656" t="inlineStr">
        <is>
          <t>eng</t>
        </is>
      </c>
      <c r="P1656" t="inlineStr">
        <is>
          <t>nyu</t>
        </is>
      </c>
      <c r="R1656" t="inlineStr">
        <is>
          <t xml:space="preserve">DS </t>
        </is>
      </c>
      <c r="S1656" t="n">
        <v>1</v>
      </c>
      <c r="T1656" t="n">
        <v>1</v>
      </c>
      <c r="U1656" t="inlineStr">
        <is>
          <t>2002-03-24</t>
        </is>
      </c>
      <c r="V1656" t="inlineStr">
        <is>
          <t>2002-03-24</t>
        </is>
      </c>
      <c r="W1656" t="inlineStr">
        <is>
          <t>1997-02-24</t>
        </is>
      </c>
      <c r="X1656" t="inlineStr">
        <is>
          <t>1997-02-24</t>
        </is>
      </c>
      <c r="Y1656" t="n">
        <v>903</v>
      </c>
      <c r="Z1656" t="n">
        <v>832</v>
      </c>
      <c r="AA1656" t="n">
        <v>960</v>
      </c>
      <c r="AB1656" t="n">
        <v>6</v>
      </c>
      <c r="AC1656" t="n">
        <v>7</v>
      </c>
      <c r="AD1656" t="n">
        <v>32</v>
      </c>
      <c r="AE1656" t="n">
        <v>39</v>
      </c>
      <c r="AF1656" t="n">
        <v>15</v>
      </c>
      <c r="AG1656" t="n">
        <v>19</v>
      </c>
      <c r="AH1656" t="n">
        <v>6</v>
      </c>
      <c r="AI1656" t="n">
        <v>7</v>
      </c>
      <c r="AJ1656" t="n">
        <v>12</v>
      </c>
      <c r="AK1656" t="n">
        <v>17</v>
      </c>
      <c r="AL1656" t="n">
        <v>5</v>
      </c>
      <c r="AM1656" t="n">
        <v>6</v>
      </c>
      <c r="AN1656" t="n">
        <v>1</v>
      </c>
      <c r="AO1656" t="n">
        <v>1</v>
      </c>
      <c r="AP1656" t="inlineStr">
        <is>
          <t>No</t>
        </is>
      </c>
      <c r="AQ1656" t="inlineStr">
        <is>
          <t>Yes</t>
        </is>
      </c>
      <c r="AR1656">
        <f>HYPERLINK("http://catalog.hathitrust.org/Record/001241230","HathiTrust Record")</f>
        <v/>
      </c>
      <c r="AS1656">
        <f>HYPERLINK("https://creighton-primo.hosted.exlibrisgroup.com/primo-explore/search?tab=default_tab&amp;search_scope=EVERYTHING&amp;vid=01CRU&amp;lang=en_US&amp;offset=0&amp;query=any,contains,991002679189702656","Catalog Record")</f>
        <v/>
      </c>
      <c r="AT1656">
        <f>HYPERLINK("http://www.worldcat.org/oclc/397894","WorldCat Record")</f>
        <v/>
      </c>
      <c r="AU1656" t="inlineStr">
        <is>
          <t>450858:eng</t>
        </is>
      </c>
      <c r="AV1656" t="inlineStr">
        <is>
          <t>397894</t>
        </is>
      </c>
      <c r="AW1656" t="inlineStr">
        <is>
          <t>991002679189702656</t>
        </is>
      </c>
      <c r="AX1656" t="inlineStr">
        <is>
          <t>991002679189702656</t>
        </is>
      </c>
      <c r="AY1656" t="inlineStr">
        <is>
          <t>2261628460002656</t>
        </is>
      </c>
      <c r="AZ1656" t="inlineStr">
        <is>
          <t>BOOK</t>
        </is>
      </c>
      <c r="BC1656" t="inlineStr">
        <is>
          <t>32285002469749</t>
        </is>
      </c>
      <c r="BD1656" t="inlineStr">
        <is>
          <t>893610136</t>
        </is>
      </c>
    </row>
    <row r="1657">
      <c r="A1657" t="inlineStr">
        <is>
          <t>No</t>
        </is>
      </c>
      <c r="B1657" t="inlineStr">
        <is>
          <t>DS63 .L44</t>
        </is>
      </c>
      <c r="C1657" t="inlineStr">
        <is>
          <t>0                      DS 0063000L  44</t>
        </is>
      </c>
      <c r="D1657" t="inlineStr">
        <is>
          <t>The Middle East and the West.</t>
        </is>
      </c>
      <c r="F1657" t="inlineStr">
        <is>
          <t>No</t>
        </is>
      </c>
      <c r="G1657" t="inlineStr">
        <is>
          <t>1</t>
        </is>
      </c>
      <c r="H1657" t="inlineStr">
        <is>
          <t>No</t>
        </is>
      </c>
      <c r="I1657" t="inlineStr">
        <is>
          <t>No</t>
        </is>
      </c>
      <c r="J1657" t="inlineStr">
        <is>
          <t>0</t>
        </is>
      </c>
      <c r="K1657" t="inlineStr">
        <is>
          <t>Lewis, Bernard, 1916-2018.</t>
        </is>
      </c>
      <c r="L1657" t="inlineStr">
        <is>
          <t>Bloomington, Indiana University Press, 1964.</t>
        </is>
      </c>
      <c r="M1657" t="inlineStr">
        <is>
          <t>1964</t>
        </is>
      </c>
      <c r="O1657" t="inlineStr">
        <is>
          <t>eng</t>
        </is>
      </c>
      <c r="P1657" t="inlineStr">
        <is>
          <t>inu</t>
        </is>
      </c>
      <c r="R1657" t="inlineStr">
        <is>
          <t xml:space="preserve">DS </t>
        </is>
      </c>
      <c r="S1657" t="n">
        <v>1</v>
      </c>
      <c r="T1657" t="n">
        <v>1</v>
      </c>
      <c r="U1657" t="inlineStr">
        <is>
          <t>2003-11-06</t>
        </is>
      </c>
      <c r="V1657" t="inlineStr">
        <is>
          <t>2003-11-06</t>
        </is>
      </c>
      <c r="W1657" t="inlineStr">
        <is>
          <t>1997-02-24</t>
        </is>
      </c>
      <c r="X1657" t="inlineStr">
        <is>
          <t>1997-02-24</t>
        </is>
      </c>
      <c r="Y1657" t="n">
        <v>766</v>
      </c>
      <c r="Z1657" t="n">
        <v>697</v>
      </c>
      <c r="AA1657" t="n">
        <v>895</v>
      </c>
      <c r="AB1657" t="n">
        <v>4</v>
      </c>
      <c r="AC1657" t="n">
        <v>5</v>
      </c>
      <c r="AD1657" t="n">
        <v>30</v>
      </c>
      <c r="AE1657" t="n">
        <v>38</v>
      </c>
      <c r="AF1657" t="n">
        <v>12</v>
      </c>
      <c r="AG1657" t="n">
        <v>16</v>
      </c>
      <c r="AH1657" t="n">
        <v>8</v>
      </c>
      <c r="AI1657" t="n">
        <v>8</v>
      </c>
      <c r="AJ1657" t="n">
        <v>16</v>
      </c>
      <c r="AK1657" t="n">
        <v>19</v>
      </c>
      <c r="AL1657" t="n">
        <v>3</v>
      </c>
      <c r="AM1657" t="n">
        <v>4</v>
      </c>
      <c r="AN1657" t="n">
        <v>0</v>
      </c>
      <c r="AO1657" t="n">
        <v>0</v>
      </c>
      <c r="AP1657" t="inlineStr">
        <is>
          <t>No</t>
        </is>
      </c>
      <c r="AQ1657" t="inlineStr">
        <is>
          <t>Yes</t>
        </is>
      </c>
      <c r="AR1657">
        <f>HYPERLINK("http://catalog.hathitrust.org/Record/001241244","HathiTrust Record")</f>
        <v/>
      </c>
      <c r="AS1657">
        <f>HYPERLINK("https://creighton-primo.hosted.exlibrisgroup.com/primo-explore/search?tab=default_tab&amp;search_scope=EVERYTHING&amp;vid=01CRU&amp;lang=en_US&amp;offset=0&amp;query=any,contains,991001933249702656","Catalog Record")</f>
        <v/>
      </c>
      <c r="AT1657">
        <f>HYPERLINK("http://www.worldcat.org/oclc/249711","WorldCat Record")</f>
        <v/>
      </c>
      <c r="AU1657" t="inlineStr">
        <is>
          <t>1804073:eng</t>
        </is>
      </c>
      <c r="AV1657" t="inlineStr">
        <is>
          <t>249711</t>
        </is>
      </c>
      <c r="AW1657" t="inlineStr">
        <is>
          <t>991001933249702656</t>
        </is>
      </c>
      <c r="AX1657" t="inlineStr">
        <is>
          <t>991001933249702656</t>
        </is>
      </c>
      <c r="AY1657" t="inlineStr">
        <is>
          <t>2256402170002656</t>
        </is>
      </c>
      <c r="AZ1657" t="inlineStr">
        <is>
          <t>BOOK</t>
        </is>
      </c>
      <c r="BC1657" t="inlineStr">
        <is>
          <t>32285002469798</t>
        </is>
      </c>
      <c r="BD1657" t="inlineStr">
        <is>
          <t>893866606</t>
        </is>
      </c>
    </row>
    <row r="1658">
      <c r="A1658" t="inlineStr">
        <is>
          <t>No</t>
        </is>
      </c>
      <c r="B1658" t="inlineStr">
        <is>
          <t>DS63 .L5</t>
        </is>
      </c>
      <c r="C1658" t="inlineStr">
        <is>
          <t>0                      DS 0063000L  5</t>
        </is>
      </c>
      <c r="D1658" t="inlineStr">
        <is>
          <t>There goes the Middle East.</t>
        </is>
      </c>
      <c r="F1658" t="inlineStr">
        <is>
          <t>No</t>
        </is>
      </c>
      <c r="G1658" t="inlineStr">
        <is>
          <t>1</t>
        </is>
      </c>
      <c r="H1658" t="inlineStr">
        <is>
          <t>No</t>
        </is>
      </c>
      <c r="I1658" t="inlineStr">
        <is>
          <t>No</t>
        </is>
      </c>
      <c r="J1658" t="inlineStr">
        <is>
          <t>0</t>
        </is>
      </c>
      <c r="K1658" t="inlineStr">
        <is>
          <t>Lilienthal, Alfred M.</t>
        </is>
      </c>
      <c r="L1658" t="inlineStr">
        <is>
          <t>New York, Devin-Adair Co., 1957.</t>
        </is>
      </c>
      <c r="M1658" t="inlineStr">
        <is>
          <t>1957</t>
        </is>
      </c>
      <c r="O1658" t="inlineStr">
        <is>
          <t>eng</t>
        </is>
      </c>
      <c r="P1658" t="inlineStr">
        <is>
          <t>nyu</t>
        </is>
      </c>
      <c r="R1658" t="inlineStr">
        <is>
          <t xml:space="preserve">DS </t>
        </is>
      </c>
      <c r="S1658" t="n">
        <v>5</v>
      </c>
      <c r="T1658" t="n">
        <v>5</v>
      </c>
      <c r="U1658" t="inlineStr">
        <is>
          <t>2003-09-05</t>
        </is>
      </c>
      <c r="V1658" t="inlineStr">
        <is>
          <t>2003-09-05</t>
        </is>
      </c>
      <c r="W1658" t="inlineStr">
        <is>
          <t>1997-02-24</t>
        </is>
      </c>
      <c r="X1658" t="inlineStr">
        <is>
          <t>1997-02-24</t>
        </is>
      </c>
      <c r="Y1658" t="n">
        <v>457</v>
      </c>
      <c r="Z1658" t="n">
        <v>401</v>
      </c>
      <c r="AA1658" t="n">
        <v>523</v>
      </c>
      <c r="AB1658" t="n">
        <v>6</v>
      </c>
      <c r="AC1658" t="n">
        <v>7</v>
      </c>
      <c r="AD1658" t="n">
        <v>25</v>
      </c>
      <c r="AE1658" t="n">
        <v>27</v>
      </c>
      <c r="AF1658" t="n">
        <v>7</v>
      </c>
      <c r="AG1658" t="n">
        <v>7</v>
      </c>
      <c r="AH1658" t="n">
        <v>4</v>
      </c>
      <c r="AI1658" t="n">
        <v>5</v>
      </c>
      <c r="AJ1658" t="n">
        <v>13</v>
      </c>
      <c r="AK1658" t="n">
        <v>13</v>
      </c>
      <c r="AL1658" t="n">
        <v>4</v>
      </c>
      <c r="AM1658" t="n">
        <v>5</v>
      </c>
      <c r="AN1658" t="n">
        <v>2</v>
      </c>
      <c r="AO1658" t="n">
        <v>2</v>
      </c>
      <c r="AP1658" t="inlineStr">
        <is>
          <t>No</t>
        </is>
      </c>
      <c r="AQ1658" t="inlineStr">
        <is>
          <t>Yes</t>
        </is>
      </c>
      <c r="AR1658">
        <f>HYPERLINK("http://catalog.hathitrust.org/Record/001241245","HathiTrust Record")</f>
        <v/>
      </c>
      <c r="AS1658">
        <f>HYPERLINK("https://creighton-primo.hosted.exlibrisgroup.com/primo-explore/search?tab=default_tab&amp;search_scope=EVERYTHING&amp;vid=01CRU&amp;lang=en_US&amp;offset=0&amp;query=any,contains,991002678679702656","Catalog Record")</f>
        <v/>
      </c>
      <c r="AT1658">
        <f>HYPERLINK("http://www.worldcat.org/oclc/397723","WorldCat Record")</f>
        <v/>
      </c>
      <c r="AU1658" t="inlineStr">
        <is>
          <t>1544969:eng</t>
        </is>
      </c>
      <c r="AV1658" t="inlineStr">
        <is>
          <t>397723</t>
        </is>
      </c>
      <c r="AW1658" t="inlineStr">
        <is>
          <t>991002678679702656</t>
        </is>
      </c>
      <c r="AX1658" t="inlineStr">
        <is>
          <t>991002678679702656</t>
        </is>
      </c>
      <c r="AY1658" t="inlineStr">
        <is>
          <t>2261655160002656</t>
        </is>
      </c>
      <c r="AZ1658" t="inlineStr">
        <is>
          <t>BOOK</t>
        </is>
      </c>
      <c r="BC1658" t="inlineStr">
        <is>
          <t>32285002469806</t>
        </is>
      </c>
      <c r="BD1658" t="inlineStr">
        <is>
          <t>893335571</t>
        </is>
      </c>
    </row>
    <row r="1659">
      <c r="A1659" t="inlineStr">
        <is>
          <t>No</t>
        </is>
      </c>
      <c r="B1659" t="inlineStr">
        <is>
          <t>DS63 .S52</t>
        </is>
      </c>
      <c r="C1659" t="inlineStr">
        <is>
          <t>0                      DS 0063000S  52</t>
        </is>
      </c>
      <c r="D1659" t="inlineStr">
        <is>
          <t>Governments and politics of the Middle East in the twentieth century / H.G. Sharabi.</t>
        </is>
      </c>
      <c r="F1659" t="inlineStr">
        <is>
          <t>No</t>
        </is>
      </c>
      <c r="G1659" t="inlineStr">
        <is>
          <t>1</t>
        </is>
      </c>
      <c r="H1659" t="inlineStr">
        <is>
          <t>Yes</t>
        </is>
      </c>
      <c r="I1659" t="inlineStr">
        <is>
          <t>No</t>
        </is>
      </c>
      <c r="J1659" t="inlineStr">
        <is>
          <t>0</t>
        </is>
      </c>
      <c r="K1659" t="inlineStr">
        <is>
          <t>Sharabi, Hisham, 1927-2005.</t>
        </is>
      </c>
      <c r="L1659" t="inlineStr">
        <is>
          <t>Princeton, N.J. : Van Nostrand, c1962.</t>
        </is>
      </c>
      <c r="M1659" t="inlineStr">
        <is>
          <t>1962</t>
        </is>
      </c>
      <c r="O1659" t="inlineStr">
        <is>
          <t>eng</t>
        </is>
      </c>
      <c r="P1659" t="inlineStr">
        <is>
          <t>nju</t>
        </is>
      </c>
      <c r="Q1659" t="inlineStr">
        <is>
          <t>Van Nostrand political science series</t>
        </is>
      </c>
      <c r="R1659" t="inlineStr">
        <is>
          <t xml:space="preserve">DS </t>
        </is>
      </c>
      <c r="S1659" t="n">
        <v>2</v>
      </c>
      <c r="T1659" t="n">
        <v>2</v>
      </c>
      <c r="U1659" t="inlineStr">
        <is>
          <t>2004-11-05</t>
        </is>
      </c>
      <c r="V1659" t="inlineStr">
        <is>
          <t>2004-11-05</t>
        </is>
      </c>
      <c r="W1659" t="inlineStr">
        <is>
          <t>1997-02-24</t>
        </is>
      </c>
      <c r="X1659" t="inlineStr">
        <is>
          <t>2006-06-05</t>
        </is>
      </c>
      <c r="Y1659" t="n">
        <v>647</v>
      </c>
      <c r="Z1659" t="n">
        <v>535</v>
      </c>
      <c r="AA1659" t="n">
        <v>575</v>
      </c>
      <c r="AB1659" t="n">
        <v>4</v>
      </c>
      <c r="AC1659" t="n">
        <v>4</v>
      </c>
      <c r="AD1659" t="n">
        <v>24</v>
      </c>
      <c r="AE1659" t="n">
        <v>26</v>
      </c>
      <c r="AF1659" t="n">
        <v>11</v>
      </c>
      <c r="AG1659" t="n">
        <v>12</v>
      </c>
      <c r="AH1659" t="n">
        <v>4</v>
      </c>
      <c r="AI1659" t="n">
        <v>4</v>
      </c>
      <c r="AJ1659" t="n">
        <v>9</v>
      </c>
      <c r="AK1659" t="n">
        <v>11</v>
      </c>
      <c r="AL1659" t="n">
        <v>2</v>
      </c>
      <c r="AM1659" t="n">
        <v>2</v>
      </c>
      <c r="AN1659" t="n">
        <v>1</v>
      </c>
      <c r="AO1659" t="n">
        <v>1</v>
      </c>
      <c r="AP1659" t="inlineStr">
        <is>
          <t>Yes</t>
        </is>
      </c>
      <c r="AQ1659" t="inlineStr">
        <is>
          <t>No</t>
        </is>
      </c>
      <c r="AR1659">
        <f>HYPERLINK("http://catalog.hathitrust.org/Record/001241274","HathiTrust Record")</f>
        <v/>
      </c>
      <c r="AS1659">
        <f>HYPERLINK("https://creighton-primo.hosted.exlibrisgroup.com/primo-explore/search?tab=default_tab&amp;search_scope=EVERYTHING&amp;vid=01CRU&amp;lang=en_US&amp;offset=0&amp;query=any,contains,991001631039702656","Catalog Record")</f>
        <v/>
      </c>
      <c r="AT1659">
        <f>HYPERLINK("http://www.worldcat.org/oclc/310800","WorldCat Record")</f>
        <v/>
      </c>
      <c r="AU1659" t="inlineStr">
        <is>
          <t>52347089:eng</t>
        </is>
      </c>
      <c r="AV1659" t="inlineStr">
        <is>
          <t>310800</t>
        </is>
      </c>
      <c r="AW1659" t="inlineStr">
        <is>
          <t>991001631039702656</t>
        </is>
      </c>
      <c r="AX1659" t="inlineStr">
        <is>
          <t>991001631039702656</t>
        </is>
      </c>
      <c r="AY1659" t="inlineStr">
        <is>
          <t>2257273060002656</t>
        </is>
      </c>
      <c r="AZ1659" t="inlineStr">
        <is>
          <t>BOOK</t>
        </is>
      </c>
      <c r="BC1659" t="inlineStr">
        <is>
          <t>32285002469848</t>
        </is>
      </c>
      <c r="BD1659" t="inlineStr">
        <is>
          <t>893885425</t>
        </is>
      </c>
    </row>
    <row r="1660">
      <c r="A1660" t="inlineStr">
        <is>
          <t>No</t>
        </is>
      </c>
      <c r="B1660" t="inlineStr">
        <is>
          <t>DS63 .W47</t>
        </is>
      </c>
      <c r="C1660" t="inlineStr">
        <is>
          <t>0                      DS 0063000W  47</t>
        </is>
      </c>
      <c r="D1660" t="inlineStr">
        <is>
          <t>Britain and France in the Middle East and North Africa, 1914-1967.</t>
        </is>
      </c>
      <c r="F1660" t="inlineStr">
        <is>
          <t>No</t>
        </is>
      </c>
      <c r="G1660" t="inlineStr">
        <is>
          <t>1</t>
        </is>
      </c>
      <c r="H1660" t="inlineStr">
        <is>
          <t>No</t>
        </is>
      </c>
      <c r="I1660" t="inlineStr">
        <is>
          <t>No</t>
        </is>
      </c>
      <c r="J1660" t="inlineStr">
        <is>
          <t>0</t>
        </is>
      </c>
      <c r="K1660" t="inlineStr">
        <is>
          <t>Williams, Ann.</t>
        </is>
      </c>
      <c r="L1660" t="inlineStr">
        <is>
          <t>London ; Melborne [etc.] : Macmillan ; New York : St. Martin's P., 1968.</t>
        </is>
      </c>
      <c r="M1660" t="inlineStr">
        <is>
          <t>1968</t>
        </is>
      </c>
      <c r="O1660" t="inlineStr">
        <is>
          <t>eng</t>
        </is>
      </c>
      <c r="P1660" t="inlineStr">
        <is>
          <t>enk</t>
        </is>
      </c>
      <c r="Q1660" t="inlineStr">
        <is>
          <t>The Making of the twentieth century</t>
        </is>
      </c>
      <c r="R1660" t="inlineStr">
        <is>
          <t xml:space="preserve">DS </t>
        </is>
      </c>
      <c r="S1660" t="n">
        <v>4</v>
      </c>
      <c r="T1660" t="n">
        <v>4</v>
      </c>
      <c r="U1660" t="inlineStr">
        <is>
          <t>2001-02-08</t>
        </is>
      </c>
      <c r="V1660" t="inlineStr">
        <is>
          <t>2001-02-08</t>
        </is>
      </c>
      <c r="W1660" t="inlineStr">
        <is>
          <t>1990-02-26</t>
        </is>
      </c>
      <c r="X1660" t="inlineStr">
        <is>
          <t>1990-02-26</t>
        </is>
      </c>
      <c r="Y1660" t="n">
        <v>737</v>
      </c>
      <c r="Z1660" t="n">
        <v>541</v>
      </c>
      <c r="AA1660" t="n">
        <v>543</v>
      </c>
      <c r="AB1660" t="n">
        <v>6</v>
      </c>
      <c r="AC1660" t="n">
        <v>6</v>
      </c>
      <c r="AD1660" t="n">
        <v>27</v>
      </c>
      <c r="AE1660" t="n">
        <v>27</v>
      </c>
      <c r="AF1660" t="n">
        <v>8</v>
      </c>
      <c r="AG1660" t="n">
        <v>8</v>
      </c>
      <c r="AH1660" t="n">
        <v>6</v>
      </c>
      <c r="AI1660" t="n">
        <v>6</v>
      </c>
      <c r="AJ1660" t="n">
        <v>15</v>
      </c>
      <c r="AK1660" t="n">
        <v>15</v>
      </c>
      <c r="AL1660" t="n">
        <v>5</v>
      </c>
      <c r="AM1660" t="n">
        <v>5</v>
      </c>
      <c r="AN1660" t="n">
        <v>0</v>
      </c>
      <c r="AO1660" t="n">
        <v>0</v>
      </c>
      <c r="AP1660" t="inlineStr">
        <is>
          <t>No</t>
        </is>
      </c>
      <c r="AQ1660" t="inlineStr">
        <is>
          <t>Yes</t>
        </is>
      </c>
      <c r="AR1660">
        <f>HYPERLINK("http://catalog.hathitrust.org/Record/001241286","HathiTrust Record")</f>
        <v/>
      </c>
      <c r="AS1660">
        <f>HYPERLINK("https://creighton-primo.hosted.exlibrisgroup.com/primo-explore/search?tab=default_tab&amp;search_scope=EVERYTHING&amp;vid=01CRU&amp;lang=en_US&amp;offset=0&amp;query=any,contains,991002286109702656","Catalog Record")</f>
        <v/>
      </c>
      <c r="AT1660">
        <f>HYPERLINK("http://www.worldcat.org/oclc/311506","WorldCat Record")</f>
        <v/>
      </c>
      <c r="AU1660" t="inlineStr">
        <is>
          <t>1373024:eng</t>
        </is>
      </c>
      <c r="AV1660" t="inlineStr">
        <is>
          <t>311506</t>
        </is>
      </c>
      <c r="AW1660" t="inlineStr">
        <is>
          <t>991002286109702656</t>
        </is>
      </c>
      <c r="AX1660" t="inlineStr">
        <is>
          <t>991002286109702656</t>
        </is>
      </c>
      <c r="AY1660" t="inlineStr">
        <is>
          <t>2272496340002656</t>
        </is>
      </c>
      <c r="AZ1660" t="inlineStr">
        <is>
          <t>BOOK</t>
        </is>
      </c>
      <c r="BC1660" t="inlineStr">
        <is>
          <t>32285000062124</t>
        </is>
      </c>
      <c r="BD1660" t="inlineStr">
        <is>
          <t>893685188</t>
        </is>
      </c>
    </row>
    <row r="1661">
      <c r="A1661" t="inlineStr">
        <is>
          <t>No</t>
        </is>
      </c>
      <c r="B1661" t="inlineStr">
        <is>
          <t>DS63.1 .A246 1997</t>
        </is>
      </c>
      <c r="C1661" t="inlineStr">
        <is>
          <t>0                      DS 0063100A  246         1997</t>
        </is>
      </c>
      <c r="D1661" t="inlineStr">
        <is>
          <t>Instability and conflict in the Middle East : people, petroleum and security threats / Naji Abi-Aad and Michel Grenon ; foreword by Robert Marbo.</t>
        </is>
      </c>
      <c r="F1661" t="inlineStr">
        <is>
          <t>No</t>
        </is>
      </c>
      <c r="G1661" t="inlineStr">
        <is>
          <t>1</t>
        </is>
      </c>
      <c r="H1661" t="inlineStr">
        <is>
          <t>No</t>
        </is>
      </c>
      <c r="I1661" t="inlineStr">
        <is>
          <t>No</t>
        </is>
      </c>
      <c r="J1661" t="inlineStr">
        <is>
          <t>0</t>
        </is>
      </c>
      <c r="K1661" t="inlineStr">
        <is>
          <t>Abi-Aad, Naji, 1959-</t>
        </is>
      </c>
      <c r="L1661" t="inlineStr">
        <is>
          <t>New York : St. Martin's Press, 1997.</t>
        </is>
      </c>
      <c r="M1661" t="inlineStr">
        <is>
          <t>1997</t>
        </is>
      </c>
      <c r="O1661" t="inlineStr">
        <is>
          <t>eng</t>
        </is>
      </c>
      <c r="P1661" t="inlineStr">
        <is>
          <t>enk</t>
        </is>
      </c>
      <c r="R1661" t="inlineStr">
        <is>
          <t xml:space="preserve">DS </t>
        </is>
      </c>
      <c r="S1661" t="n">
        <v>5</v>
      </c>
      <c r="T1661" t="n">
        <v>5</v>
      </c>
      <c r="U1661" t="inlineStr">
        <is>
          <t>1999-06-05</t>
        </is>
      </c>
      <c r="V1661" t="inlineStr">
        <is>
          <t>1999-06-05</t>
        </is>
      </c>
      <c r="W1661" t="inlineStr">
        <is>
          <t>1998-11-24</t>
        </is>
      </c>
      <c r="X1661" t="inlineStr">
        <is>
          <t>1998-11-24</t>
        </is>
      </c>
      <c r="Y1661" t="n">
        <v>354</v>
      </c>
      <c r="Z1661" t="n">
        <v>294</v>
      </c>
      <c r="AA1661" t="n">
        <v>313</v>
      </c>
      <c r="AB1661" t="n">
        <v>2</v>
      </c>
      <c r="AC1661" t="n">
        <v>2</v>
      </c>
      <c r="AD1661" t="n">
        <v>16</v>
      </c>
      <c r="AE1661" t="n">
        <v>16</v>
      </c>
      <c r="AF1661" t="n">
        <v>4</v>
      </c>
      <c r="AG1661" t="n">
        <v>4</v>
      </c>
      <c r="AH1661" t="n">
        <v>6</v>
      </c>
      <c r="AI1661" t="n">
        <v>6</v>
      </c>
      <c r="AJ1661" t="n">
        <v>10</v>
      </c>
      <c r="AK1661" t="n">
        <v>10</v>
      </c>
      <c r="AL1661" t="n">
        <v>1</v>
      </c>
      <c r="AM1661" t="n">
        <v>1</v>
      </c>
      <c r="AN1661" t="n">
        <v>0</v>
      </c>
      <c r="AO1661" t="n">
        <v>0</v>
      </c>
      <c r="AP1661" t="inlineStr">
        <is>
          <t>No</t>
        </is>
      </c>
      <c r="AQ1661" t="inlineStr">
        <is>
          <t>No</t>
        </is>
      </c>
      <c r="AS1661">
        <f>HYPERLINK("https://creighton-primo.hosted.exlibrisgroup.com/primo-explore/search?tab=default_tab&amp;search_scope=EVERYTHING&amp;vid=01CRU&amp;lang=en_US&amp;offset=0&amp;query=any,contains,991002720029702656","Catalog Record")</f>
        <v/>
      </c>
      <c r="AT1661">
        <f>HYPERLINK("http://www.worldcat.org/oclc/35658039","WorldCat Record")</f>
        <v/>
      </c>
      <c r="AU1661" t="inlineStr">
        <is>
          <t>837019842:eng</t>
        </is>
      </c>
      <c r="AV1661" t="inlineStr">
        <is>
          <t>35658039</t>
        </is>
      </c>
      <c r="AW1661" t="inlineStr">
        <is>
          <t>991002720029702656</t>
        </is>
      </c>
      <c r="AX1661" t="inlineStr">
        <is>
          <t>991002720029702656</t>
        </is>
      </c>
      <c r="AY1661" t="inlineStr">
        <is>
          <t>2256651230002656</t>
        </is>
      </c>
      <c r="AZ1661" t="inlineStr">
        <is>
          <t>BOOK</t>
        </is>
      </c>
      <c r="BB1661" t="inlineStr">
        <is>
          <t>9780312172541</t>
        </is>
      </c>
      <c r="BC1661" t="inlineStr">
        <is>
          <t>32285003491635</t>
        </is>
      </c>
      <c r="BD1661" t="inlineStr">
        <is>
          <t>893780131</t>
        </is>
      </c>
    </row>
    <row r="1662">
      <c r="A1662" t="inlineStr">
        <is>
          <t>No</t>
        </is>
      </c>
      <c r="B1662" t="inlineStr">
        <is>
          <t>DS63.1 .A35</t>
        </is>
      </c>
      <c r="C1662" t="inlineStr">
        <is>
          <t>0                      DS 0063100A  35</t>
        </is>
      </c>
      <c r="D1662" t="inlineStr">
        <is>
          <t>The Arab predicament : Arab political thought and practice since 1967 / Fouad Ajami.</t>
        </is>
      </c>
      <c r="F1662" t="inlineStr">
        <is>
          <t>No</t>
        </is>
      </c>
      <c r="G1662" t="inlineStr">
        <is>
          <t>1</t>
        </is>
      </c>
      <c r="H1662" t="inlineStr">
        <is>
          <t>No</t>
        </is>
      </c>
      <c r="I1662" t="inlineStr">
        <is>
          <t>No</t>
        </is>
      </c>
      <c r="J1662" t="inlineStr">
        <is>
          <t>0</t>
        </is>
      </c>
      <c r="K1662" t="inlineStr">
        <is>
          <t>Ajami, Fouad.</t>
        </is>
      </c>
      <c r="L1662" t="inlineStr">
        <is>
          <t>Cambridge ; New York : Cambridge University Press, 1981.</t>
        </is>
      </c>
      <c r="M1662" t="inlineStr">
        <is>
          <t>1981</t>
        </is>
      </c>
      <c r="O1662" t="inlineStr">
        <is>
          <t>eng</t>
        </is>
      </c>
      <c r="P1662" t="inlineStr">
        <is>
          <t>enk</t>
        </is>
      </c>
      <c r="R1662" t="inlineStr">
        <is>
          <t xml:space="preserve">DS </t>
        </is>
      </c>
      <c r="S1662" t="n">
        <v>3</v>
      </c>
      <c r="T1662" t="n">
        <v>3</v>
      </c>
      <c r="U1662" t="inlineStr">
        <is>
          <t>2002-12-02</t>
        </is>
      </c>
      <c r="V1662" t="inlineStr">
        <is>
          <t>2002-12-02</t>
        </is>
      </c>
      <c r="W1662" t="inlineStr">
        <is>
          <t>1990-09-18</t>
        </is>
      </c>
      <c r="X1662" t="inlineStr">
        <is>
          <t>1990-09-18</t>
        </is>
      </c>
      <c r="Y1662" t="n">
        <v>940</v>
      </c>
      <c r="Z1662" t="n">
        <v>769</v>
      </c>
      <c r="AA1662" t="n">
        <v>1052</v>
      </c>
      <c r="AB1662" t="n">
        <v>4</v>
      </c>
      <c r="AC1662" t="n">
        <v>9</v>
      </c>
      <c r="AD1662" t="n">
        <v>34</v>
      </c>
      <c r="AE1662" t="n">
        <v>49</v>
      </c>
      <c r="AF1662" t="n">
        <v>17</v>
      </c>
      <c r="AG1662" t="n">
        <v>20</v>
      </c>
      <c r="AH1662" t="n">
        <v>9</v>
      </c>
      <c r="AI1662" t="n">
        <v>11</v>
      </c>
      <c r="AJ1662" t="n">
        <v>16</v>
      </c>
      <c r="AK1662" t="n">
        <v>22</v>
      </c>
      <c r="AL1662" t="n">
        <v>3</v>
      </c>
      <c r="AM1662" t="n">
        <v>8</v>
      </c>
      <c r="AN1662" t="n">
        <v>0</v>
      </c>
      <c r="AO1662" t="n">
        <v>0</v>
      </c>
      <c r="AP1662" t="inlineStr">
        <is>
          <t>No</t>
        </is>
      </c>
      <c r="AQ1662" t="inlineStr">
        <is>
          <t>No</t>
        </is>
      </c>
      <c r="AS1662">
        <f>HYPERLINK("https://creighton-primo.hosted.exlibrisgroup.com/primo-explore/search?tab=default_tab&amp;search_scope=EVERYTHING&amp;vid=01CRU&amp;lang=en_US&amp;offset=0&amp;query=any,contains,991005080659702656","Catalog Record")</f>
        <v/>
      </c>
      <c r="AT1662">
        <f>HYPERLINK("http://www.worldcat.org/oclc/7171425","WorldCat Record")</f>
        <v/>
      </c>
      <c r="AU1662" t="inlineStr">
        <is>
          <t>20428178:eng</t>
        </is>
      </c>
      <c r="AV1662" t="inlineStr">
        <is>
          <t>7171425</t>
        </is>
      </c>
      <c r="AW1662" t="inlineStr">
        <is>
          <t>991005080659702656</t>
        </is>
      </c>
      <c r="AX1662" t="inlineStr">
        <is>
          <t>991005080659702656</t>
        </is>
      </c>
      <c r="AY1662" t="inlineStr">
        <is>
          <t>2255261580002656</t>
        </is>
      </c>
      <c r="AZ1662" t="inlineStr">
        <is>
          <t>BOOK</t>
        </is>
      </c>
      <c r="BB1662" t="inlineStr">
        <is>
          <t>9780521239141</t>
        </is>
      </c>
      <c r="BC1662" t="inlineStr">
        <is>
          <t>32285000291939</t>
        </is>
      </c>
      <c r="BD1662" t="inlineStr">
        <is>
          <t>893876905</t>
        </is>
      </c>
    </row>
    <row r="1663">
      <c r="A1663" t="inlineStr">
        <is>
          <t>No</t>
        </is>
      </c>
      <c r="B1663" t="inlineStr">
        <is>
          <t>DS63.1 .B54</t>
        </is>
      </c>
      <c r="C1663" t="inlineStr">
        <is>
          <t>0                      DS 0063100B  54</t>
        </is>
      </c>
      <c r="D1663" t="inlineStr">
        <is>
          <t>Politics in the Middle East / James A. Bill, Carl Leiden.</t>
        </is>
      </c>
      <c r="F1663" t="inlineStr">
        <is>
          <t>No</t>
        </is>
      </c>
      <c r="G1663" t="inlineStr">
        <is>
          <t>1</t>
        </is>
      </c>
      <c r="H1663" t="inlineStr">
        <is>
          <t>No</t>
        </is>
      </c>
      <c r="I1663" t="inlineStr">
        <is>
          <t>No</t>
        </is>
      </c>
      <c r="J1663" t="inlineStr">
        <is>
          <t>0</t>
        </is>
      </c>
      <c r="K1663" t="inlineStr">
        <is>
          <t>Bill, James A.</t>
        </is>
      </c>
      <c r="L1663" t="inlineStr">
        <is>
          <t>Boston : Little, Brown, c1979.</t>
        </is>
      </c>
      <c r="M1663" t="inlineStr">
        <is>
          <t>1979</t>
        </is>
      </c>
      <c r="O1663" t="inlineStr">
        <is>
          <t>eng</t>
        </is>
      </c>
      <c r="P1663" t="inlineStr">
        <is>
          <t>mau</t>
        </is>
      </c>
      <c r="Q1663" t="inlineStr">
        <is>
          <t>The Little, Brown series in comparative politics</t>
        </is>
      </c>
      <c r="R1663" t="inlineStr">
        <is>
          <t xml:space="preserve">DS </t>
        </is>
      </c>
      <c r="S1663" t="n">
        <v>6</v>
      </c>
      <c r="T1663" t="n">
        <v>6</v>
      </c>
      <c r="U1663" t="inlineStr">
        <is>
          <t>2006-03-30</t>
        </is>
      </c>
      <c r="V1663" t="inlineStr">
        <is>
          <t>2006-03-30</t>
        </is>
      </c>
      <c r="W1663" t="inlineStr">
        <is>
          <t>1990-08-16</t>
        </is>
      </c>
      <c r="X1663" t="inlineStr">
        <is>
          <t>1990-08-16</t>
        </is>
      </c>
      <c r="Y1663" t="n">
        <v>595</v>
      </c>
      <c r="Z1663" t="n">
        <v>508</v>
      </c>
      <c r="AA1663" t="n">
        <v>838</v>
      </c>
      <c r="AB1663" t="n">
        <v>4</v>
      </c>
      <c r="AC1663" t="n">
        <v>6</v>
      </c>
      <c r="AD1663" t="n">
        <v>22</v>
      </c>
      <c r="AE1663" t="n">
        <v>38</v>
      </c>
      <c r="AF1663" t="n">
        <v>10</v>
      </c>
      <c r="AG1663" t="n">
        <v>16</v>
      </c>
      <c r="AH1663" t="n">
        <v>6</v>
      </c>
      <c r="AI1663" t="n">
        <v>10</v>
      </c>
      <c r="AJ1663" t="n">
        <v>7</v>
      </c>
      <c r="AK1663" t="n">
        <v>15</v>
      </c>
      <c r="AL1663" t="n">
        <v>3</v>
      </c>
      <c r="AM1663" t="n">
        <v>5</v>
      </c>
      <c r="AN1663" t="n">
        <v>0</v>
      </c>
      <c r="AO1663" t="n">
        <v>0</v>
      </c>
      <c r="AP1663" t="inlineStr">
        <is>
          <t>No</t>
        </is>
      </c>
      <c r="AQ1663" t="inlineStr">
        <is>
          <t>Yes</t>
        </is>
      </c>
      <c r="AR1663">
        <f>HYPERLINK("http://catalog.hathitrust.org/Record/101955115","HathiTrust Record")</f>
        <v/>
      </c>
      <c r="AS1663">
        <f>HYPERLINK("https://creighton-primo.hosted.exlibrisgroup.com/primo-explore/search?tab=default_tab&amp;search_scope=EVERYTHING&amp;vid=01CRU&amp;lang=en_US&amp;offset=0&amp;query=any,contains,991004779889702656","Catalog Record")</f>
        <v/>
      </c>
      <c r="AT1663">
        <f>HYPERLINK("http://www.worldcat.org/oclc/5103072","WorldCat Record")</f>
        <v/>
      </c>
      <c r="AU1663" t="inlineStr">
        <is>
          <t>15268566:eng</t>
        </is>
      </c>
      <c r="AV1663" t="inlineStr">
        <is>
          <t>5103072</t>
        </is>
      </c>
      <c r="AW1663" t="inlineStr">
        <is>
          <t>991004779889702656</t>
        </is>
      </c>
      <c r="AX1663" t="inlineStr">
        <is>
          <t>991004779889702656</t>
        </is>
      </c>
      <c r="AY1663" t="inlineStr">
        <is>
          <t>2270687360002656</t>
        </is>
      </c>
      <c r="AZ1663" t="inlineStr">
        <is>
          <t>BOOK</t>
        </is>
      </c>
      <c r="BC1663" t="inlineStr">
        <is>
          <t>32285000274372</t>
        </is>
      </c>
      <c r="BD1663" t="inlineStr">
        <is>
          <t>893500950</t>
        </is>
      </c>
    </row>
    <row r="1664">
      <c r="A1664" t="inlineStr">
        <is>
          <t>No</t>
        </is>
      </c>
      <c r="B1664" t="inlineStr">
        <is>
          <t>DS63.1 .B834 1994</t>
        </is>
      </c>
      <c r="C1664" t="inlineStr">
        <is>
          <t>0                      DS 0063100B  834         1994</t>
        </is>
      </c>
      <c r="D1664" t="inlineStr">
        <is>
          <t>Building peace in the Middle East : challenges for states and civil society / edited by Elise Boulding.</t>
        </is>
      </c>
      <c r="F1664" t="inlineStr">
        <is>
          <t>No</t>
        </is>
      </c>
      <c r="G1664" t="inlineStr">
        <is>
          <t>1</t>
        </is>
      </c>
      <c r="H1664" t="inlineStr">
        <is>
          <t>No</t>
        </is>
      </c>
      <c r="I1664" t="inlineStr">
        <is>
          <t>No</t>
        </is>
      </c>
      <c r="J1664" t="inlineStr">
        <is>
          <t>0</t>
        </is>
      </c>
      <c r="L1664" t="inlineStr">
        <is>
          <t>Boulder, Colo. : Lynne Rienner Publishers, c1994.</t>
        </is>
      </c>
      <c r="M1664" t="inlineStr">
        <is>
          <t>1994</t>
        </is>
      </c>
      <c r="O1664" t="inlineStr">
        <is>
          <t>eng</t>
        </is>
      </c>
      <c r="P1664" t="inlineStr">
        <is>
          <t>cou</t>
        </is>
      </c>
      <c r="R1664" t="inlineStr">
        <is>
          <t xml:space="preserve">DS </t>
        </is>
      </c>
      <c r="S1664" t="n">
        <v>6</v>
      </c>
      <c r="T1664" t="n">
        <v>6</v>
      </c>
      <c r="U1664" t="inlineStr">
        <is>
          <t>2002-04-27</t>
        </is>
      </c>
      <c r="V1664" t="inlineStr">
        <is>
          <t>2002-04-27</t>
        </is>
      </c>
      <c r="W1664" t="inlineStr">
        <is>
          <t>1994-02-01</t>
        </is>
      </c>
      <c r="X1664" t="inlineStr">
        <is>
          <t>1994-02-01</t>
        </is>
      </c>
      <c r="Y1664" t="n">
        <v>265</v>
      </c>
      <c r="Z1664" t="n">
        <v>200</v>
      </c>
      <c r="AA1664" t="n">
        <v>205</v>
      </c>
      <c r="AB1664" t="n">
        <v>1</v>
      </c>
      <c r="AC1664" t="n">
        <v>1</v>
      </c>
      <c r="AD1664" t="n">
        <v>12</v>
      </c>
      <c r="AE1664" t="n">
        <v>12</v>
      </c>
      <c r="AF1664" t="n">
        <v>2</v>
      </c>
      <c r="AG1664" t="n">
        <v>2</v>
      </c>
      <c r="AH1664" t="n">
        <v>7</v>
      </c>
      <c r="AI1664" t="n">
        <v>7</v>
      </c>
      <c r="AJ1664" t="n">
        <v>6</v>
      </c>
      <c r="AK1664" t="n">
        <v>6</v>
      </c>
      <c r="AL1664" t="n">
        <v>0</v>
      </c>
      <c r="AM1664" t="n">
        <v>0</v>
      </c>
      <c r="AN1664" t="n">
        <v>0</v>
      </c>
      <c r="AO1664" t="n">
        <v>0</v>
      </c>
      <c r="AP1664" t="inlineStr">
        <is>
          <t>No</t>
        </is>
      </c>
      <c r="AQ1664" t="inlineStr">
        <is>
          <t>No</t>
        </is>
      </c>
      <c r="AS1664">
        <f>HYPERLINK("https://creighton-primo.hosted.exlibrisgroup.com/primo-explore/search?tab=default_tab&amp;search_scope=EVERYTHING&amp;vid=01CRU&amp;lang=en_US&amp;offset=0&amp;query=any,contains,991002217079702656","Catalog Record")</f>
        <v/>
      </c>
      <c r="AT1664">
        <f>HYPERLINK("http://www.worldcat.org/oclc/28548948","WorldCat Record")</f>
        <v/>
      </c>
      <c r="AU1664" t="inlineStr">
        <is>
          <t>836865107:eng</t>
        </is>
      </c>
      <c r="AV1664" t="inlineStr">
        <is>
          <t>28548948</t>
        </is>
      </c>
      <c r="AW1664" t="inlineStr">
        <is>
          <t>991002217079702656</t>
        </is>
      </c>
      <c r="AX1664" t="inlineStr">
        <is>
          <t>991002217079702656</t>
        </is>
      </c>
      <c r="AY1664" t="inlineStr">
        <is>
          <t>2259506720002656</t>
        </is>
      </c>
      <c r="AZ1664" t="inlineStr">
        <is>
          <t>BOOK</t>
        </is>
      </c>
      <c r="BB1664" t="inlineStr">
        <is>
          <t>9781555874360</t>
        </is>
      </c>
      <c r="BC1664" t="inlineStr">
        <is>
          <t>32285001834349</t>
        </is>
      </c>
      <c r="BD1664" t="inlineStr">
        <is>
          <t>893785866</t>
        </is>
      </c>
    </row>
    <row r="1665">
      <c r="A1665" t="inlineStr">
        <is>
          <t>No</t>
        </is>
      </c>
      <c r="B1665" t="inlineStr">
        <is>
          <t>DS63.1 .D39 1986</t>
        </is>
      </c>
      <c r="C1665" t="inlineStr">
        <is>
          <t>0                      DS 0063100D  39          1986</t>
        </is>
      </c>
      <c r="D1665" t="inlineStr">
        <is>
          <t>The Arab radicals / Adeed Dawisha.</t>
        </is>
      </c>
      <c r="F1665" t="inlineStr">
        <is>
          <t>No</t>
        </is>
      </c>
      <c r="G1665" t="inlineStr">
        <is>
          <t>1</t>
        </is>
      </c>
      <c r="H1665" t="inlineStr">
        <is>
          <t>No</t>
        </is>
      </c>
      <c r="I1665" t="inlineStr">
        <is>
          <t>No</t>
        </is>
      </c>
      <c r="J1665" t="inlineStr">
        <is>
          <t>0</t>
        </is>
      </c>
      <c r="K1665" t="inlineStr">
        <is>
          <t>Dawisha, A. I.</t>
        </is>
      </c>
      <c r="L1665" t="inlineStr">
        <is>
          <t>New York : Council on Foreign Relations, c1986.</t>
        </is>
      </c>
      <c r="M1665" t="inlineStr">
        <is>
          <t>1986</t>
        </is>
      </c>
      <c r="O1665" t="inlineStr">
        <is>
          <t>eng</t>
        </is>
      </c>
      <c r="P1665" t="inlineStr">
        <is>
          <t>nyu</t>
        </is>
      </c>
      <c r="R1665" t="inlineStr">
        <is>
          <t xml:space="preserve">DS </t>
        </is>
      </c>
      <c r="S1665" t="n">
        <v>1</v>
      </c>
      <c r="T1665" t="n">
        <v>1</v>
      </c>
      <c r="U1665" t="inlineStr">
        <is>
          <t>1992-03-24</t>
        </is>
      </c>
      <c r="V1665" t="inlineStr">
        <is>
          <t>1992-03-24</t>
        </is>
      </c>
      <c r="W1665" t="inlineStr">
        <is>
          <t>1990-08-16</t>
        </is>
      </c>
      <c r="X1665" t="inlineStr">
        <is>
          <t>1990-08-16</t>
        </is>
      </c>
      <c r="Y1665" t="n">
        <v>477</v>
      </c>
      <c r="Z1665" t="n">
        <v>399</v>
      </c>
      <c r="AA1665" t="n">
        <v>416</v>
      </c>
      <c r="AB1665" t="n">
        <v>3</v>
      </c>
      <c r="AC1665" t="n">
        <v>3</v>
      </c>
      <c r="AD1665" t="n">
        <v>15</v>
      </c>
      <c r="AE1665" t="n">
        <v>17</v>
      </c>
      <c r="AF1665" t="n">
        <v>4</v>
      </c>
      <c r="AG1665" t="n">
        <v>4</v>
      </c>
      <c r="AH1665" t="n">
        <v>5</v>
      </c>
      <c r="AI1665" t="n">
        <v>5</v>
      </c>
      <c r="AJ1665" t="n">
        <v>10</v>
      </c>
      <c r="AK1665" t="n">
        <v>10</v>
      </c>
      <c r="AL1665" t="n">
        <v>2</v>
      </c>
      <c r="AM1665" t="n">
        <v>2</v>
      </c>
      <c r="AN1665" t="n">
        <v>0</v>
      </c>
      <c r="AO1665" t="n">
        <v>2</v>
      </c>
      <c r="AP1665" t="inlineStr">
        <is>
          <t>No</t>
        </is>
      </c>
      <c r="AQ1665" t="inlineStr">
        <is>
          <t>Yes</t>
        </is>
      </c>
      <c r="AR1665">
        <f>HYPERLINK("http://catalog.hathitrust.org/Record/000881118","HathiTrust Record")</f>
        <v/>
      </c>
      <c r="AS1665">
        <f>HYPERLINK("https://creighton-primo.hosted.exlibrisgroup.com/primo-explore/search?tab=default_tab&amp;search_scope=EVERYTHING&amp;vid=01CRU&amp;lang=en_US&amp;offset=0&amp;query=any,contains,991000907209702656","Catalog Record")</f>
        <v/>
      </c>
      <c r="AT1665">
        <f>HYPERLINK("http://www.worldcat.org/oclc/14099361","WorldCat Record")</f>
        <v/>
      </c>
      <c r="AU1665" t="inlineStr">
        <is>
          <t>8095945:eng</t>
        </is>
      </c>
      <c r="AV1665" t="inlineStr">
        <is>
          <t>14099361</t>
        </is>
      </c>
      <c r="AW1665" t="inlineStr">
        <is>
          <t>991000907209702656</t>
        </is>
      </c>
      <c r="AX1665" t="inlineStr">
        <is>
          <t>991000907209702656</t>
        </is>
      </c>
      <c r="AY1665" t="inlineStr">
        <is>
          <t>2262452460002656</t>
        </is>
      </c>
      <c r="AZ1665" t="inlineStr">
        <is>
          <t>BOOK</t>
        </is>
      </c>
      <c r="BB1665" t="inlineStr">
        <is>
          <t>9780876090190</t>
        </is>
      </c>
      <c r="BC1665" t="inlineStr">
        <is>
          <t>32285000274380</t>
        </is>
      </c>
      <c r="BD1665" t="inlineStr">
        <is>
          <t>893432418</t>
        </is>
      </c>
    </row>
    <row r="1666">
      <c r="A1666" t="inlineStr">
        <is>
          <t>No</t>
        </is>
      </c>
      <c r="B1666" t="inlineStr">
        <is>
          <t>DS63.1 .F54 1995</t>
        </is>
      </c>
      <c r="C1666" t="inlineStr">
        <is>
          <t>0                      DS 0063100F  54          1995</t>
        </is>
      </c>
      <c r="D1666" t="inlineStr">
        <is>
          <t>Inside the Arab world / Michael Field.</t>
        </is>
      </c>
      <c r="F1666" t="inlineStr">
        <is>
          <t>No</t>
        </is>
      </c>
      <c r="G1666" t="inlineStr">
        <is>
          <t>1</t>
        </is>
      </c>
      <c r="H1666" t="inlineStr">
        <is>
          <t>No</t>
        </is>
      </c>
      <c r="I1666" t="inlineStr">
        <is>
          <t>No</t>
        </is>
      </c>
      <c r="J1666" t="inlineStr">
        <is>
          <t>0</t>
        </is>
      </c>
      <c r="K1666" t="inlineStr">
        <is>
          <t>Field, Michael, 1949-</t>
        </is>
      </c>
      <c r="L1666" t="inlineStr">
        <is>
          <t>Cambridge, Mass. : Harvard University Press, 1995, c1994.</t>
        </is>
      </c>
      <c r="M1666" t="inlineStr">
        <is>
          <t>1995</t>
        </is>
      </c>
      <c r="O1666" t="inlineStr">
        <is>
          <t>eng</t>
        </is>
      </c>
      <c r="P1666" t="inlineStr">
        <is>
          <t>mau</t>
        </is>
      </c>
      <c r="R1666" t="inlineStr">
        <is>
          <t xml:space="preserve">DS </t>
        </is>
      </c>
      <c r="S1666" t="n">
        <v>6</v>
      </c>
      <c r="T1666" t="n">
        <v>6</v>
      </c>
      <c r="U1666" t="inlineStr">
        <is>
          <t>2004-11-09</t>
        </is>
      </c>
      <c r="V1666" t="inlineStr">
        <is>
          <t>2004-11-09</t>
        </is>
      </c>
      <c r="W1666" t="inlineStr">
        <is>
          <t>1995-04-05</t>
        </is>
      </c>
      <c r="X1666" t="inlineStr">
        <is>
          <t>1995-04-05</t>
        </is>
      </c>
      <c r="Y1666" t="n">
        <v>1000</v>
      </c>
      <c r="Z1666" t="n">
        <v>923</v>
      </c>
      <c r="AA1666" t="n">
        <v>1010</v>
      </c>
      <c r="AB1666" t="n">
        <v>6</v>
      </c>
      <c r="AC1666" t="n">
        <v>6</v>
      </c>
      <c r="AD1666" t="n">
        <v>38</v>
      </c>
      <c r="AE1666" t="n">
        <v>39</v>
      </c>
      <c r="AF1666" t="n">
        <v>18</v>
      </c>
      <c r="AG1666" t="n">
        <v>18</v>
      </c>
      <c r="AH1666" t="n">
        <v>8</v>
      </c>
      <c r="AI1666" t="n">
        <v>9</v>
      </c>
      <c r="AJ1666" t="n">
        <v>14</v>
      </c>
      <c r="AK1666" t="n">
        <v>15</v>
      </c>
      <c r="AL1666" t="n">
        <v>5</v>
      </c>
      <c r="AM1666" t="n">
        <v>5</v>
      </c>
      <c r="AN1666" t="n">
        <v>0</v>
      </c>
      <c r="AO1666" t="n">
        <v>0</v>
      </c>
      <c r="AP1666" t="inlineStr">
        <is>
          <t>No</t>
        </is>
      </c>
      <c r="AQ1666" t="inlineStr">
        <is>
          <t>Yes</t>
        </is>
      </c>
      <c r="AR1666">
        <f>HYPERLINK("http://catalog.hathitrust.org/Record/002972910","HathiTrust Record")</f>
        <v/>
      </c>
      <c r="AS1666">
        <f>HYPERLINK("https://creighton-primo.hosted.exlibrisgroup.com/primo-explore/search?tab=default_tab&amp;search_scope=EVERYTHING&amp;vid=01CRU&amp;lang=en_US&amp;offset=0&amp;query=any,contains,991002353599702656","Catalog Record")</f>
        <v/>
      </c>
      <c r="AT1666">
        <f>HYPERLINK("http://www.worldcat.org/oclc/30625231","WorldCat Record")</f>
        <v/>
      </c>
      <c r="AU1666" t="inlineStr">
        <is>
          <t>9177011:eng</t>
        </is>
      </c>
      <c r="AV1666" t="inlineStr">
        <is>
          <t>30625231</t>
        </is>
      </c>
      <c r="AW1666" t="inlineStr">
        <is>
          <t>991002353599702656</t>
        </is>
      </c>
      <c r="AX1666" t="inlineStr">
        <is>
          <t>991002353599702656</t>
        </is>
      </c>
      <c r="AY1666" t="inlineStr">
        <is>
          <t>2260742270002656</t>
        </is>
      </c>
      <c r="AZ1666" t="inlineStr">
        <is>
          <t>BOOK</t>
        </is>
      </c>
      <c r="BB1666" t="inlineStr">
        <is>
          <t>9780674455207</t>
        </is>
      </c>
      <c r="BC1666" t="inlineStr">
        <is>
          <t>32285002016557</t>
        </is>
      </c>
      <c r="BD1666" t="inlineStr">
        <is>
          <t>893427502</t>
        </is>
      </c>
    </row>
    <row r="1667">
      <c r="A1667" t="inlineStr">
        <is>
          <t>No</t>
        </is>
      </c>
      <c r="B1667" t="inlineStr">
        <is>
          <t>DS63.1 .F6 1984</t>
        </is>
      </c>
      <c r="C1667" t="inlineStr">
        <is>
          <t>0                      DS 0063100F  6           1984</t>
        </is>
      </c>
      <c r="D1667" t="inlineStr">
        <is>
          <t>The Foreign policies of Arab states / [edited by] Bahgat Korany and Ali E. Hillal Dessouki ; with contributions by Ahmad Yousef Ahmad ... [et al.].</t>
        </is>
      </c>
      <c r="F1667" t="inlineStr">
        <is>
          <t>No</t>
        </is>
      </c>
      <c r="G1667" t="inlineStr">
        <is>
          <t>1</t>
        </is>
      </c>
      <c r="H1667" t="inlineStr">
        <is>
          <t>No</t>
        </is>
      </c>
      <c r="I1667" t="inlineStr">
        <is>
          <t>No</t>
        </is>
      </c>
      <c r="J1667" t="inlineStr">
        <is>
          <t>0</t>
        </is>
      </c>
      <c r="L1667" t="inlineStr">
        <is>
          <t>Boulder, CO : Westview Press ; Cairo, Egypt : American Univ. in Cairo Press, 1984.</t>
        </is>
      </c>
      <c r="M1667" t="inlineStr">
        <is>
          <t>1984</t>
        </is>
      </c>
      <c r="O1667" t="inlineStr">
        <is>
          <t>eng</t>
        </is>
      </c>
      <c r="P1667" t="inlineStr">
        <is>
          <t>cou</t>
        </is>
      </c>
      <c r="R1667" t="inlineStr">
        <is>
          <t xml:space="preserve">DS </t>
        </is>
      </c>
      <c r="S1667" t="n">
        <v>1</v>
      </c>
      <c r="T1667" t="n">
        <v>1</v>
      </c>
      <c r="U1667" t="inlineStr">
        <is>
          <t>1998-10-12</t>
        </is>
      </c>
      <c r="V1667" t="inlineStr">
        <is>
          <t>1998-10-12</t>
        </is>
      </c>
      <c r="W1667" t="inlineStr">
        <is>
          <t>1990-08-16</t>
        </is>
      </c>
      <c r="X1667" t="inlineStr">
        <is>
          <t>1990-08-16</t>
        </is>
      </c>
      <c r="Y1667" t="n">
        <v>406</v>
      </c>
      <c r="Z1667" t="n">
        <v>297</v>
      </c>
      <c r="AA1667" t="n">
        <v>720</v>
      </c>
      <c r="AB1667" t="n">
        <v>3</v>
      </c>
      <c r="AC1667" t="n">
        <v>6</v>
      </c>
      <c r="AD1667" t="n">
        <v>10</v>
      </c>
      <c r="AE1667" t="n">
        <v>32</v>
      </c>
      <c r="AF1667" t="n">
        <v>1</v>
      </c>
      <c r="AG1667" t="n">
        <v>10</v>
      </c>
      <c r="AH1667" t="n">
        <v>3</v>
      </c>
      <c r="AI1667" t="n">
        <v>9</v>
      </c>
      <c r="AJ1667" t="n">
        <v>6</v>
      </c>
      <c r="AK1667" t="n">
        <v>13</v>
      </c>
      <c r="AL1667" t="n">
        <v>2</v>
      </c>
      <c r="AM1667" t="n">
        <v>5</v>
      </c>
      <c r="AN1667" t="n">
        <v>0</v>
      </c>
      <c r="AO1667" t="n">
        <v>1</v>
      </c>
      <c r="AP1667" t="inlineStr">
        <is>
          <t>No</t>
        </is>
      </c>
      <c r="AQ1667" t="inlineStr">
        <is>
          <t>Yes</t>
        </is>
      </c>
      <c r="AR1667">
        <f>HYPERLINK("http://catalog.hathitrust.org/Record/000247048","HathiTrust Record")</f>
        <v/>
      </c>
      <c r="AS1667">
        <f>HYPERLINK("https://creighton-primo.hosted.exlibrisgroup.com/primo-explore/search?tab=default_tab&amp;search_scope=EVERYTHING&amp;vid=01CRU&amp;lang=en_US&amp;offset=0&amp;query=any,contains,991000517779702656","Catalog Record")</f>
        <v/>
      </c>
      <c r="AT1667">
        <f>HYPERLINK("http://www.worldcat.org/oclc/11295125","WorldCat Record")</f>
        <v/>
      </c>
      <c r="AU1667" t="inlineStr">
        <is>
          <t>865751297:eng</t>
        </is>
      </c>
      <c r="AV1667" t="inlineStr">
        <is>
          <t>11295125</t>
        </is>
      </c>
      <c r="AW1667" t="inlineStr">
        <is>
          <t>991000517779702656</t>
        </is>
      </c>
      <c r="AX1667" t="inlineStr">
        <is>
          <t>991000517779702656</t>
        </is>
      </c>
      <c r="AY1667" t="inlineStr">
        <is>
          <t>2256880810002656</t>
        </is>
      </c>
      <c r="AZ1667" t="inlineStr">
        <is>
          <t>BOOK</t>
        </is>
      </c>
      <c r="BB1667" t="inlineStr">
        <is>
          <t>9780865316973</t>
        </is>
      </c>
      <c r="BC1667" t="inlineStr">
        <is>
          <t>32285000274406</t>
        </is>
      </c>
      <c r="BD1667" t="inlineStr">
        <is>
          <t>893878106</t>
        </is>
      </c>
    </row>
    <row r="1668">
      <c r="A1668" t="inlineStr">
        <is>
          <t>No</t>
        </is>
      </c>
      <c r="B1668" t="inlineStr">
        <is>
          <t>DS63.1 .G73 1979</t>
        </is>
      </c>
      <c r="C1668" t="inlineStr">
        <is>
          <t>0                      DS 0063100G  73          1979</t>
        </is>
      </c>
      <c r="D1668" t="inlineStr">
        <is>
          <t>Great power intervention in the Middle East / edited by Milton Leitenberg, Gabriel Sheffer.</t>
        </is>
      </c>
      <c r="F1668" t="inlineStr">
        <is>
          <t>No</t>
        </is>
      </c>
      <c r="G1668" t="inlineStr">
        <is>
          <t>1</t>
        </is>
      </c>
      <c r="H1668" t="inlineStr">
        <is>
          <t>No</t>
        </is>
      </c>
      <c r="I1668" t="inlineStr">
        <is>
          <t>No</t>
        </is>
      </c>
      <c r="J1668" t="inlineStr">
        <is>
          <t>0</t>
        </is>
      </c>
      <c r="L1668" t="inlineStr">
        <is>
          <t>New York : Pergamon Press, c1979.</t>
        </is>
      </c>
      <c r="M1668" t="inlineStr">
        <is>
          <t>1979</t>
        </is>
      </c>
      <c r="O1668" t="inlineStr">
        <is>
          <t>eng</t>
        </is>
      </c>
      <c r="P1668" t="inlineStr">
        <is>
          <t>nyu</t>
        </is>
      </c>
      <c r="Q1668" t="inlineStr">
        <is>
          <t>Pergamon policy studies on international politics</t>
        </is>
      </c>
      <c r="R1668" t="inlineStr">
        <is>
          <t xml:space="preserve">DS </t>
        </is>
      </c>
      <c r="S1668" t="n">
        <v>3</v>
      </c>
      <c r="T1668" t="n">
        <v>3</v>
      </c>
      <c r="U1668" t="inlineStr">
        <is>
          <t>1992-11-19</t>
        </is>
      </c>
      <c r="V1668" t="inlineStr">
        <is>
          <t>1992-11-19</t>
        </is>
      </c>
      <c r="W1668" t="inlineStr">
        <is>
          <t>1990-08-16</t>
        </is>
      </c>
      <c r="X1668" t="inlineStr">
        <is>
          <t>1990-08-16</t>
        </is>
      </c>
      <c r="Y1668" t="n">
        <v>429</v>
      </c>
      <c r="Z1668" t="n">
        <v>315</v>
      </c>
      <c r="AA1668" t="n">
        <v>329</v>
      </c>
      <c r="AB1668" t="n">
        <v>4</v>
      </c>
      <c r="AC1668" t="n">
        <v>4</v>
      </c>
      <c r="AD1668" t="n">
        <v>11</v>
      </c>
      <c r="AE1668" t="n">
        <v>11</v>
      </c>
      <c r="AF1668" t="n">
        <v>2</v>
      </c>
      <c r="AG1668" t="n">
        <v>2</v>
      </c>
      <c r="AH1668" t="n">
        <v>4</v>
      </c>
      <c r="AI1668" t="n">
        <v>4</v>
      </c>
      <c r="AJ1668" t="n">
        <v>4</v>
      </c>
      <c r="AK1668" t="n">
        <v>4</v>
      </c>
      <c r="AL1668" t="n">
        <v>3</v>
      </c>
      <c r="AM1668" t="n">
        <v>3</v>
      </c>
      <c r="AN1668" t="n">
        <v>0</v>
      </c>
      <c r="AO1668" t="n">
        <v>0</v>
      </c>
      <c r="AP1668" t="inlineStr">
        <is>
          <t>No</t>
        </is>
      </c>
      <c r="AQ1668" t="inlineStr">
        <is>
          <t>Yes</t>
        </is>
      </c>
      <c r="AR1668">
        <f>HYPERLINK("http://catalog.hathitrust.org/Record/000259873","HathiTrust Record")</f>
        <v/>
      </c>
      <c r="AS1668">
        <f>HYPERLINK("https://creighton-primo.hosted.exlibrisgroup.com/primo-explore/search?tab=default_tab&amp;search_scope=EVERYTHING&amp;vid=01CRU&amp;lang=en_US&amp;offset=0&amp;query=any,contains,991004693899702656","Catalog Record")</f>
        <v/>
      </c>
      <c r="AT1668">
        <f>HYPERLINK("http://www.worldcat.org/oclc/4638152","WorldCat Record")</f>
        <v/>
      </c>
      <c r="AU1668" t="inlineStr">
        <is>
          <t>351143046:eng</t>
        </is>
      </c>
      <c r="AV1668" t="inlineStr">
        <is>
          <t>4638152</t>
        </is>
      </c>
      <c r="AW1668" t="inlineStr">
        <is>
          <t>991004693899702656</t>
        </is>
      </c>
      <c r="AX1668" t="inlineStr">
        <is>
          <t>991004693899702656</t>
        </is>
      </c>
      <c r="AY1668" t="inlineStr">
        <is>
          <t>2256229260002656</t>
        </is>
      </c>
      <c r="AZ1668" t="inlineStr">
        <is>
          <t>BOOK</t>
        </is>
      </c>
      <c r="BB1668" t="inlineStr">
        <is>
          <t>9780080238678</t>
        </is>
      </c>
      <c r="BC1668" t="inlineStr">
        <is>
          <t>32285000274414</t>
        </is>
      </c>
      <c r="BD1668" t="inlineStr">
        <is>
          <t>893338024</t>
        </is>
      </c>
    </row>
    <row r="1669">
      <c r="A1669" t="inlineStr">
        <is>
          <t>No</t>
        </is>
      </c>
      <c r="B1669" t="inlineStr">
        <is>
          <t>DS63.1 .I598 1984</t>
        </is>
      </c>
      <c r="C1669" t="inlineStr">
        <is>
          <t>0                      DS 0063100I  598         1984</t>
        </is>
      </c>
      <c r="D1669" t="inlineStr">
        <is>
          <t>International relations of the Middle East and North Africa / edited by Abid A. Al-Marayati.</t>
        </is>
      </c>
      <c r="F1669" t="inlineStr">
        <is>
          <t>No</t>
        </is>
      </c>
      <c r="G1669" t="inlineStr">
        <is>
          <t>1</t>
        </is>
      </c>
      <c r="H1669" t="inlineStr">
        <is>
          <t>No</t>
        </is>
      </c>
      <c r="I1669" t="inlineStr">
        <is>
          <t>No</t>
        </is>
      </c>
      <c r="J1669" t="inlineStr">
        <is>
          <t>0</t>
        </is>
      </c>
      <c r="L1669" t="inlineStr">
        <is>
          <t>Cambridge, Mass. : Schenkman, c1984.</t>
        </is>
      </c>
      <c r="M1669" t="inlineStr">
        <is>
          <t>1984</t>
        </is>
      </c>
      <c r="O1669" t="inlineStr">
        <is>
          <t>eng</t>
        </is>
      </c>
      <c r="P1669" t="inlineStr">
        <is>
          <t>mau</t>
        </is>
      </c>
      <c r="R1669" t="inlineStr">
        <is>
          <t xml:space="preserve">DS </t>
        </is>
      </c>
      <c r="S1669" t="n">
        <v>2</v>
      </c>
      <c r="T1669" t="n">
        <v>2</v>
      </c>
      <c r="U1669" t="inlineStr">
        <is>
          <t>2004-06-15</t>
        </is>
      </c>
      <c r="V1669" t="inlineStr">
        <is>
          <t>2004-06-15</t>
        </is>
      </c>
      <c r="W1669" t="inlineStr">
        <is>
          <t>1990-08-16</t>
        </is>
      </c>
      <c r="X1669" t="inlineStr">
        <is>
          <t>1990-08-16</t>
        </is>
      </c>
      <c r="Y1669" t="n">
        <v>145</v>
      </c>
      <c r="Z1669" t="n">
        <v>111</v>
      </c>
      <c r="AA1669" t="n">
        <v>113</v>
      </c>
      <c r="AB1669" t="n">
        <v>2</v>
      </c>
      <c r="AC1669" t="n">
        <v>2</v>
      </c>
      <c r="AD1669" t="n">
        <v>4</v>
      </c>
      <c r="AE1669" t="n">
        <v>4</v>
      </c>
      <c r="AF1669" t="n">
        <v>2</v>
      </c>
      <c r="AG1669" t="n">
        <v>2</v>
      </c>
      <c r="AH1669" t="n">
        <v>1</v>
      </c>
      <c r="AI1669" t="n">
        <v>1</v>
      </c>
      <c r="AJ1669" t="n">
        <v>2</v>
      </c>
      <c r="AK1669" t="n">
        <v>2</v>
      </c>
      <c r="AL1669" t="n">
        <v>1</v>
      </c>
      <c r="AM1669" t="n">
        <v>1</v>
      </c>
      <c r="AN1669" t="n">
        <v>0</v>
      </c>
      <c r="AO1669" t="n">
        <v>0</v>
      </c>
      <c r="AP1669" t="inlineStr">
        <is>
          <t>No</t>
        </is>
      </c>
      <c r="AQ1669" t="inlineStr">
        <is>
          <t>Yes</t>
        </is>
      </c>
      <c r="AR1669">
        <f>HYPERLINK("http://catalog.hathitrust.org/Record/000354502","HathiTrust Record")</f>
        <v/>
      </c>
      <c r="AS1669">
        <f>HYPERLINK("https://creighton-primo.hosted.exlibrisgroup.com/primo-explore/search?tab=default_tab&amp;search_scope=EVERYTHING&amp;vid=01CRU&amp;lang=en_US&amp;offset=0&amp;query=any,contains,991005123069702656","Catalog Record")</f>
        <v/>
      </c>
      <c r="AT1669">
        <f>HYPERLINK("http://www.worldcat.org/oclc/7550722","WorldCat Record")</f>
        <v/>
      </c>
      <c r="AU1669" t="inlineStr">
        <is>
          <t>516226:eng</t>
        </is>
      </c>
      <c r="AV1669" t="inlineStr">
        <is>
          <t>7550722</t>
        </is>
      </c>
      <c r="AW1669" t="inlineStr">
        <is>
          <t>991005123069702656</t>
        </is>
      </c>
      <c r="AX1669" t="inlineStr">
        <is>
          <t>991005123069702656</t>
        </is>
      </c>
      <c r="AY1669" t="inlineStr">
        <is>
          <t>2266534650002656</t>
        </is>
      </c>
      <c r="AZ1669" t="inlineStr">
        <is>
          <t>BOOK</t>
        </is>
      </c>
      <c r="BB1669" t="inlineStr">
        <is>
          <t>9780870738241</t>
        </is>
      </c>
      <c r="BC1669" t="inlineStr">
        <is>
          <t>32285000274422</t>
        </is>
      </c>
      <c r="BD1669" t="inlineStr">
        <is>
          <t>893533214</t>
        </is>
      </c>
    </row>
    <row r="1670">
      <c r="A1670" t="inlineStr">
        <is>
          <t>No</t>
        </is>
      </c>
      <c r="B1670" t="inlineStr">
        <is>
          <t>DS63.1 .K4755 1991</t>
        </is>
      </c>
      <c r="C1670" t="inlineStr">
        <is>
          <t>0                      DS 0063100K  4755        1991</t>
        </is>
      </c>
      <c r="D1670" t="inlineStr">
        <is>
          <t>The Middle East postwar environment / Walid Khalidi.</t>
        </is>
      </c>
      <c r="F1670" t="inlineStr">
        <is>
          <t>No</t>
        </is>
      </c>
      <c r="G1670" t="inlineStr">
        <is>
          <t>1</t>
        </is>
      </c>
      <c r="H1670" t="inlineStr">
        <is>
          <t>No</t>
        </is>
      </c>
      <c r="I1670" t="inlineStr">
        <is>
          <t>No</t>
        </is>
      </c>
      <c r="J1670" t="inlineStr">
        <is>
          <t>0</t>
        </is>
      </c>
      <c r="K1670" t="inlineStr">
        <is>
          <t>Khalidi, Walid.</t>
        </is>
      </c>
      <c r="L1670" t="inlineStr">
        <is>
          <t>Washington, D.C. : Institute for Palestine Studies, 1991.</t>
        </is>
      </c>
      <c r="M1670" t="inlineStr">
        <is>
          <t>1991</t>
        </is>
      </c>
      <c r="O1670" t="inlineStr">
        <is>
          <t>eng</t>
        </is>
      </c>
      <c r="P1670" t="inlineStr">
        <is>
          <t>dcu</t>
        </is>
      </c>
      <c r="Q1670" t="inlineStr">
        <is>
          <t>IPS papers</t>
        </is>
      </c>
      <c r="R1670" t="inlineStr">
        <is>
          <t xml:space="preserve">DS </t>
        </is>
      </c>
      <c r="S1670" t="n">
        <v>4</v>
      </c>
      <c r="T1670" t="n">
        <v>4</v>
      </c>
      <c r="U1670" t="inlineStr">
        <is>
          <t>2009-03-16</t>
        </is>
      </c>
      <c r="V1670" t="inlineStr">
        <is>
          <t>2009-03-16</t>
        </is>
      </c>
      <c r="W1670" t="inlineStr">
        <is>
          <t>1995-11-27</t>
        </is>
      </c>
      <c r="X1670" t="inlineStr">
        <is>
          <t>1995-11-27</t>
        </is>
      </c>
      <c r="Y1670" t="n">
        <v>82</v>
      </c>
      <c r="Z1670" t="n">
        <v>54</v>
      </c>
      <c r="AA1670" t="n">
        <v>55</v>
      </c>
      <c r="AB1670" t="n">
        <v>1</v>
      </c>
      <c r="AC1670" t="n">
        <v>1</v>
      </c>
      <c r="AD1670" t="n">
        <v>7</v>
      </c>
      <c r="AE1670" t="n">
        <v>7</v>
      </c>
      <c r="AF1670" t="n">
        <v>3</v>
      </c>
      <c r="AG1670" t="n">
        <v>3</v>
      </c>
      <c r="AH1670" t="n">
        <v>3</v>
      </c>
      <c r="AI1670" t="n">
        <v>3</v>
      </c>
      <c r="AJ1670" t="n">
        <v>4</v>
      </c>
      <c r="AK1670" t="n">
        <v>4</v>
      </c>
      <c r="AL1670" t="n">
        <v>0</v>
      </c>
      <c r="AM1670" t="n">
        <v>0</v>
      </c>
      <c r="AN1670" t="n">
        <v>0</v>
      </c>
      <c r="AO1670" t="n">
        <v>0</v>
      </c>
      <c r="AP1670" t="inlineStr">
        <is>
          <t>No</t>
        </is>
      </c>
      <c r="AQ1670" t="inlineStr">
        <is>
          <t>No</t>
        </is>
      </c>
      <c r="AS1670">
        <f>HYPERLINK("https://creighton-primo.hosted.exlibrisgroup.com/primo-explore/search?tab=default_tab&amp;search_scope=EVERYTHING&amp;vid=01CRU&amp;lang=en_US&amp;offset=0&amp;query=any,contains,991001961849702656","Catalog Record")</f>
        <v/>
      </c>
      <c r="AT1670">
        <f>HYPERLINK("http://www.worldcat.org/oclc/24849295","WorldCat Record")</f>
        <v/>
      </c>
      <c r="AU1670" t="inlineStr">
        <is>
          <t>43050829:eng</t>
        </is>
      </c>
      <c r="AV1670" t="inlineStr">
        <is>
          <t>24849295</t>
        </is>
      </c>
      <c r="AW1670" t="inlineStr">
        <is>
          <t>991001961849702656</t>
        </is>
      </c>
      <c r="AX1670" t="inlineStr">
        <is>
          <t>991001961849702656</t>
        </is>
      </c>
      <c r="AY1670" t="inlineStr">
        <is>
          <t>2270377260002656</t>
        </is>
      </c>
      <c r="AZ1670" t="inlineStr">
        <is>
          <t>BOOK</t>
        </is>
      </c>
      <c r="BB1670" t="inlineStr">
        <is>
          <t>9780887282331</t>
        </is>
      </c>
      <c r="BC1670" t="inlineStr">
        <is>
          <t>32285002105012</t>
        </is>
      </c>
      <c r="BD1670" t="inlineStr">
        <is>
          <t>893885687</t>
        </is>
      </c>
    </row>
    <row r="1671">
      <c r="A1671" t="inlineStr">
        <is>
          <t>No</t>
        </is>
      </c>
      <c r="B1671" t="inlineStr">
        <is>
          <t>DS63.1 .K656 1991</t>
        </is>
      </c>
      <c r="C1671" t="inlineStr">
        <is>
          <t>0                      DS 0063100K  656         1991</t>
        </is>
      </c>
      <c r="D1671" t="inlineStr">
        <is>
          <t>The foreign policies of Arab states : the challenge of change / Bahgat Korany and Ali E. Hillal Dessouki ; with contributions by Ahmad Yousef Ahmad ... [et al.].</t>
        </is>
      </c>
      <c r="F1671" t="inlineStr">
        <is>
          <t>No</t>
        </is>
      </c>
      <c r="G1671" t="inlineStr">
        <is>
          <t>1</t>
        </is>
      </c>
      <c r="H1671" t="inlineStr">
        <is>
          <t>No</t>
        </is>
      </c>
      <c r="I1671" t="inlineStr">
        <is>
          <t>No</t>
        </is>
      </c>
      <c r="J1671" t="inlineStr">
        <is>
          <t>0</t>
        </is>
      </c>
      <c r="K1671" t="inlineStr">
        <is>
          <t>Korany, Bahgat.</t>
        </is>
      </c>
      <c r="L1671" t="inlineStr">
        <is>
          <t>Boulder : Westview Press, 1991.</t>
        </is>
      </c>
      <c r="M1671" t="inlineStr">
        <is>
          <t>1991</t>
        </is>
      </c>
      <c r="N1671" t="inlineStr">
        <is>
          <t>2nd ed., fully rev. and updated</t>
        </is>
      </c>
      <c r="O1671" t="inlineStr">
        <is>
          <t>eng</t>
        </is>
      </c>
      <c r="P1671" t="inlineStr">
        <is>
          <t>cou</t>
        </is>
      </c>
      <c r="R1671" t="inlineStr">
        <is>
          <t xml:space="preserve">DS </t>
        </is>
      </c>
      <c r="S1671" t="n">
        <v>4</v>
      </c>
      <c r="T1671" t="n">
        <v>4</v>
      </c>
      <c r="U1671" t="inlineStr">
        <is>
          <t>1998-04-08</t>
        </is>
      </c>
      <c r="V1671" t="inlineStr">
        <is>
          <t>1998-04-08</t>
        </is>
      </c>
      <c r="W1671" t="inlineStr">
        <is>
          <t>1992-09-22</t>
        </is>
      </c>
      <c r="X1671" t="inlineStr">
        <is>
          <t>1992-09-22</t>
        </is>
      </c>
      <c r="Y1671" t="n">
        <v>341</v>
      </c>
      <c r="Z1671" t="n">
        <v>258</v>
      </c>
      <c r="AA1671" t="n">
        <v>286</v>
      </c>
      <c r="AB1671" t="n">
        <v>2</v>
      </c>
      <c r="AC1671" t="n">
        <v>2</v>
      </c>
      <c r="AD1671" t="n">
        <v>11</v>
      </c>
      <c r="AE1671" t="n">
        <v>11</v>
      </c>
      <c r="AF1671" t="n">
        <v>5</v>
      </c>
      <c r="AG1671" t="n">
        <v>5</v>
      </c>
      <c r="AH1671" t="n">
        <v>2</v>
      </c>
      <c r="AI1671" t="n">
        <v>2</v>
      </c>
      <c r="AJ1671" t="n">
        <v>7</v>
      </c>
      <c r="AK1671" t="n">
        <v>7</v>
      </c>
      <c r="AL1671" t="n">
        <v>1</v>
      </c>
      <c r="AM1671" t="n">
        <v>1</v>
      </c>
      <c r="AN1671" t="n">
        <v>0</v>
      </c>
      <c r="AO1671" t="n">
        <v>0</v>
      </c>
      <c r="AP1671" t="inlineStr">
        <is>
          <t>No</t>
        </is>
      </c>
      <c r="AQ1671" t="inlineStr">
        <is>
          <t>Yes</t>
        </is>
      </c>
      <c r="AR1671">
        <f>HYPERLINK("http://catalog.hathitrust.org/Record/007130425","HathiTrust Record")</f>
        <v/>
      </c>
      <c r="AS1671">
        <f>HYPERLINK("https://creighton-primo.hosted.exlibrisgroup.com/primo-explore/search?tab=default_tab&amp;search_scope=EVERYTHING&amp;vid=01CRU&amp;lang=en_US&amp;offset=0&amp;query=any,contains,991001813789702656","Catalog Record")</f>
        <v/>
      </c>
      <c r="AT1671">
        <f>HYPERLINK("http://www.worldcat.org/oclc/22767203","WorldCat Record")</f>
        <v/>
      </c>
      <c r="AU1671" t="inlineStr">
        <is>
          <t>4928539819:eng</t>
        </is>
      </c>
      <c r="AV1671" t="inlineStr">
        <is>
          <t>22767203</t>
        </is>
      </c>
      <c r="AW1671" t="inlineStr">
        <is>
          <t>991001813789702656</t>
        </is>
      </c>
      <c r="AX1671" t="inlineStr">
        <is>
          <t>991001813789702656</t>
        </is>
      </c>
      <c r="AY1671" t="inlineStr">
        <is>
          <t>2261635140002656</t>
        </is>
      </c>
      <c r="AZ1671" t="inlineStr">
        <is>
          <t>BOOK</t>
        </is>
      </c>
      <c r="BB1671" t="inlineStr">
        <is>
          <t>9780813308753</t>
        </is>
      </c>
      <c r="BC1671" t="inlineStr">
        <is>
          <t>32285001288546</t>
        </is>
      </c>
      <c r="BD1671" t="inlineStr">
        <is>
          <t>893809196</t>
        </is>
      </c>
    </row>
    <row r="1672">
      <c r="A1672" t="inlineStr">
        <is>
          <t>No</t>
        </is>
      </c>
      <c r="B1672" t="inlineStr">
        <is>
          <t>DS63.1 .M25</t>
        </is>
      </c>
      <c r="C1672" t="inlineStr">
        <is>
          <t>0                      DS 0063100M  25</t>
        </is>
      </c>
      <c r="D1672" t="inlineStr">
        <is>
          <t>Foreign policy making in the Middle East : domestic influences on policy in Egypt, Iraq, Israel, and Syria / R. D. McLaurin, Mohammed Mughisuddin, Abraham R. Wagner.</t>
        </is>
      </c>
      <c r="F1672" t="inlineStr">
        <is>
          <t>No</t>
        </is>
      </c>
      <c r="G1672" t="inlineStr">
        <is>
          <t>1</t>
        </is>
      </c>
      <c r="H1672" t="inlineStr">
        <is>
          <t>No</t>
        </is>
      </c>
      <c r="I1672" t="inlineStr">
        <is>
          <t>No</t>
        </is>
      </c>
      <c r="J1672" t="inlineStr">
        <is>
          <t>0</t>
        </is>
      </c>
      <c r="K1672" t="inlineStr">
        <is>
          <t>McLaurin, R. D. (Ronald De), 1944-1995.</t>
        </is>
      </c>
      <c r="L1672" t="inlineStr">
        <is>
          <t>New York : Praeger, 1977.</t>
        </is>
      </c>
      <c r="M1672" t="inlineStr">
        <is>
          <t>1977</t>
        </is>
      </c>
      <c r="O1672" t="inlineStr">
        <is>
          <t>eng</t>
        </is>
      </c>
      <c r="P1672" t="inlineStr">
        <is>
          <t>nyu</t>
        </is>
      </c>
      <c r="Q1672" t="inlineStr">
        <is>
          <t>Praeger special studies in international politics and government</t>
        </is>
      </c>
      <c r="R1672" t="inlineStr">
        <is>
          <t xml:space="preserve">DS </t>
        </is>
      </c>
      <c r="S1672" t="n">
        <v>1</v>
      </c>
      <c r="T1672" t="n">
        <v>1</v>
      </c>
      <c r="U1672" t="inlineStr">
        <is>
          <t>2005-07-15</t>
        </is>
      </c>
      <c r="V1672" t="inlineStr">
        <is>
          <t>2005-07-15</t>
        </is>
      </c>
      <c r="W1672" t="inlineStr">
        <is>
          <t>1990-08-14</t>
        </is>
      </c>
      <c r="X1672" t="inlineStr">
        <is>
          <t>1990-08-14</t>
        </is>
      </c>
      <c r="Y1672" t="n">
        <v>551</v>
      </c>
      <c r="Z1672" t="n">
        <v>453</v>
      </c>
      <c r="AA1672" t="n">
        <v>460</v>
      </c>
      <c r="AB1672" t="n">
        <v>4</v>
      </c>
      <c r="AC1672" t="n">
        <v>4</v>
      </c>
      <c r="AD1672" t="n">
        <v>19</v>
      </c>
      <c r="AE1672" t="n">
        <v>19</v>
      </c>
      <c r="AF1672" t="n">
        <v>4</v>
      </c>
      <c r="AG1672" t="n">
        <v>4</v>
      </c>
      <c r="AH1672" t="n">
        <v>7</v>
      </c>
      <c r="AI1672" t="n">
        <v>7</v>
      </c>
      <c r="AJ1672" t="n">
        <v>10</v>
      </c>
      <c r="AK1672" t="n">
        <v>10</v>
      </c>
      <c r="AL1672" t="n">
        <v>3</v>
      </c>
      <c r="AM1672" t="n">
        <v>3</v>
      </c>
      <c r="AN1672" t="n">
        <v>0</v>
      </c>
      <c r="AO1672" t="n">
        <v>0</v>
      </c>
      <c r="AP1672" t="inlineStr">
        <is>
          <t>No</t>
        </is>
      </c>
      <c r="AQ1672" t="inlineStr">
        <is>
          <t>Yes</t>
        </is>
      </c>
      <c r="AR1672">
        <f>HYPERLINK("http://catalog.hathitrust.org/Record/000251425","HathiTrust Record")</f>
        <v/>
      </c>
      <c r="AS1672">
        <f>HYPERLINK("https://creighton-primo.hosted.exlibrisgroup.com/primo-explore/search?tab=default_tab&amp;search_scope=EVERYTHING&amp;vid=01CRU&amp;lang=en_US&amp;offset=0&amp;query=any,contains,991004315389702656","Catalog Record")</f>
        <v/>
      </c>
      <c r="AT1672">
        <f>HYPERLINK("http://www.worldcat.org/oclc/3003639","WorldCat Record")</f>
        <v/>
      </c>
      <c r="AU1672" t="inlineStr">
        <is>
          <t>6721276:eng</t>
        </is>
      </c>
      <c r="AV1672" t="inlineStr">
        <is>
          <t>3003639</t>
        </is>
      </c>
      <c r="AW1672" t="inlineStr">
        <is>
          <t>991004315389702656</t>
        </is>
      </c>
      <c r="AX1672" t="inlineStr">
        <is>
          <t>991004315389702656</t>
        </is>
      </c>
      <c r="AY1672" t="inlineStr">
        <is>
          <t>2271025560002656</t>
        </is>
      </c>
      <c r="AZ1672" t="inlineStr">
        <is>
          <t>BOOK</t>
        </is>
      </c>
      <c r="BB1672" t="inlineStr">
        <is>
          <t>9780275238704</t>
        </is>
      </c>
      <c r="BC1672" t="inlineStr">
        <is>
          <t>32285000281336</t>
        </is>
      </c>
      <c r="BD1672" t="inlineStr">
        <is>
          <t>893700087</t>
        </is>
      </c>
    </row>
    <row r="1673">
      <c r="A1673" t="inlineStr">
        <is>
          <t>No</t>
        </is>
      </c>
      <c r="B1673" t="inlineStr">
        <is>
          <t>DS63.1 .M484 2007</t>
        </is>
      </c>
      <c r="C1673" t="inlineStr">
        <is>
          <t>0                      DS 0063100M  484         2007</t>
        </is>
      </c>
      <c r="D1673" t="inlineStr">
        <is>
          <t>The Middle East.</t>
        </is>
      </c>
      <c r="F1673" t="inlineStr">
        <is>
          <t>No</t>
        </is>
      </c>
      <c r="G1673" t="inlineStr">
        <is>
          <t>1</t>
        </is>
      </c>
      <c r="H1673" t="inlineStr">
        <is>
          <t>No</t>
        </is>
      </c>
      <c r="I1673" t="inlineStr">
        <is>
          <t>No</t>
        </is>
      </c>
      <c r="J1673" t="inlineStr">
        <is>
          <t>0</t>
        </is>
      </c>
      <c r="L1673" t="inlineStr">
        <is>
          <t>Washington, D.C. : CQ Press, c2007.</t>
        </is>
      </c>
      <c r="M1673" t="inlineStr">
        <is>
          <t>2007</t>
        </is>
      </c>
      <c r="N1673" t="inlineStr">
        <is>
          <t>11th ed.</t>
        </is>
      </c>
      <c r="O1673" t="inlineStr">
        <is>
          <t>eng</t>
        </is>
      </c>
      <c r="P1673" t="inlineStr">
        <is>
          <t>dcu</t>
        </is>
      </c>
      <c r="R1673" t="inlineStr">
        <is>
          <t xml:space="preserve">DS </t>
        </is>
      </c>
      <c r="S1673" t="n">
        <v>1</v>
      </c>
      <c r="T1673" t="n">
        <v>1</v>
      </c>
      <c r="U1673" t="inlineStr">
        <is>
          <t>2009-06-11</t>
        </is>
      </c>
      <c r="V1673" t="inlineStr">
        <is>
          <t>2009-06-11</t>
        </is>
      </c>
      <c r="W1673" t="inlineStr">
        <is>
          <t>2009-06-11</t>
        </is>
      </c>
      <c r="X1673" t="inlineStr">
        <is>
          <t>2009-06-11</t>
        </is>
      </c>
      <c r="Y1673" t="n">
        <v>574</v>
      </c>
      <c r="Z1673" t="n">
        <v>539</v>
      </c>
      <c r="AA1673" t="n">
        <v>539</v>
      </c>
      <c r="AB1673" t="n">
        <v>3</v>
      </c>
      <c r="AC1673" t="n">
        <v>3</v>
      </c>
      <c r="AD1673" t="n">
        <v>20</v>
      </c>
      <c r="AE1673" t="n">
        <v>20</v>
      </c>
      <c r="AF1673" t="n">
        <v>12</v>
      </c>
      <c r="AG1673" t="n">
        <v>12</v>
      </c>
      <c r="AH1673" t="n">
        <v>3</v>
      </c>
      <c r="AI1673" t="n">
        <v>3</v>
      </c>
      <c r="AJ1673" t="n">
        <v>8</v>
      </c>
      <c r="AK1673" t="n">
        <v>8</v>
      </c>
      <c r="AL1673" t="n">
        <v>2</v>
      </c>
      <c r="AM1673" t="n">
        <v>2</v>
      </c>
      <c r="AN1673" t="n">
        <v>0</v>
      </c>
      <c r="AO1673" t="n">
        <v>0</v>
      </c>
      <c r="AP1673" t="inlineStr">
        <is>
          <t>No</t>
        </is>
      </c>
      <c r="AQ1673" t="inlineStr">
        <is>
          <t>No</t>
        </is>
      </c>
      <c r="AS1673">
        <f>HYPERLINK("https://creighton-primo.hosted.exlibrisgroup.com/primo-explore/search?tab=default_tab&amp;search_scope=EVERYTHING&amp;vid=01CRU&amp;lang=en_US&amp;offset=0&amp;query=any,contains,991005321309702656","Catalog Record")</f>
        <v/>
      </c>
      <c r="AT1673">
        <f>HYPERLINK("http://www.worldcat.org/oclc/126231245","WorldCat Record")</f>
        <v/>
      </c>
      <c r="AU1673" t="inlineStr">
        <is>
          <t>8907094011:eng</t>
        </is>
      </c>
      <c r="AV1673" t="inlineStr">
        <is>
          <t>126231245</t>
        </is>
      </c>
      <c r="AW1673" t="inlineStr">
        <is>
          <t>991005321309702656</t>
        </is>
      </c>
      <c r="AX1673" t="inlineStr">
        <is>
          <t>991005321309702656</t>
        </is>
      </c>
      <c r="AY1673" t="inlineStr">
        <is>
          <t>2256108540002656</t>
        </is>
      </c>
      <c r="AZ1673" t="inlineStr">
        <is>
          <t>BOOK</t>
        </is>
      </c>
      <c r="BB1673" t="inlineStr">
        <is>
          <t>9780872893689</t>
        </is>
      </c>
      <c r="BC1673" t="inlineStr">
        <is>
          <t>32285005534564</t>
        </is>
      </c>
      <c r="BD1673" t="inlineStr">
        <is>
          <t>893783397</t>
        </is>
      </c>
    </row>
    <row r="1674">
      <c r="A1674" t="inlineStr">
        <is>
          <t>No</t>
        </is>
      </c>
      <c r="B1674" t="inlineStr">
        <is>
          <t>DS63.1 .M4854 1982</t>
        </is>
      </c>
      <c r="C1674" t="inlineStr">
        <is>
          <t>0                      DS 0063100M  4854        1982</t>
        </is>
      </c>
      <c r="D1674" t="inlineStr">
        <is>
          <t>The Middle East and the Western Alliance / edited by Steven L. Spiegel.</t>
        </is>
      </c>
      <c r="F1674" t="inlineStr">
        <is>
          <t>No</t>
        </is>
      </c>
      <c r="G1674" t="inlineStr">
        <is>
          <t>1</t>
        </is>
      </c>
      <c r="H1674" t="inlineStr">
        <is>
          <t>No</t>
        </is>
      </c>
      <c r="I1674" t="inlineStr">
        <is>
          <t>No</t>
        </is>
      </c>
      <c r="J1674" t="inlineStr">
        <is>
          <t>0</t>
        </is>
      </c>
      <c r="L1674" t="inlineStr">
        <is>
          <t>London ; Boston : G. Allen &amp; Unwin, c1982.</t>
        </is>
      </c>
      <c r="M1674" t="inlineStr">
        <is>
          <t>1982</t>
        </is>
      </c>
      <c r="O1674" t="inlineStr">
        <is>
          <t>eng</t>
        </is>
      </c>
      <c r="P1674" t="inlineStr">
        <is>
          <t>enk</t>
        </is>
      </c>
      <c r="R1674" t="inlineStr">
        <is>
          <t xml:space="preserve">DS </t>
        </is>
      </c>
      <c r="S1674" t="n">
        <v>2</v>
      </c>
      <c r="T1674" t="n">
        <v>2</v>
      </c>
      <c r="U1674" t="inlineStr">
        <is>
          <t>1998-10-12</t>
        </is>
      </c>
      <c r="V1674" t="inlineStr">
        <is>
          <t>1998-10-12</t>
        </is>
      </c>
      <c r="W1674" t="inlineStr">
        <is>
          <t>1990-09-18</t>
        </is>
      </c>
      <c r="X1674" t="inlineStr">
        <is>
          <t>1990-09-18</t>
        </is>
      </c>
      <c r="Y1674" t="n">
        <v>425</v>
      </c>
      <c r="Z1674" t="n">
        <v>294</v>
      </c>
      <c r="AA1674" t="n">
        <v>335</v>
      </c>
      <c r="AB1674" t="n">
        <v>3</v>
      </c>
      <c r="AC1674" t="n">
        <v>3</v>
      </c>
      <c r="AD1674" t="n">
        <v>12</v>
      </c>
      <c r="AE1674" t="n">
        <v>12</v>
      </c>
      <c r="AF1674" t="n">
        <v>3</v>
      </c>
      <c r="AG1674" t="n">
        <v>3</v>
      </c>
      <c r="AH1674" t="n">
        <v>3</v>
      </c>
      <c r="AI1674" t="n">
        <v>3</v>
      </c>
      <c r="AJ1674" t="n">
        <v>6</v>
      </c>
      <c r="AK1674" t="n">
        <v>6</v>
      </c>
      <c r="AL1674" t="n">
        <v>2</v>
      </c>
      <c r="AM1674" t="n">
        <v>2</v>
      </c>
      <c r="AN1674" t="n">
        <v>0</v>
      </c>
      <c r="AO1674" t="n">
        <v>0</v>
      </c>
      <c r="AP1674" t="inlineStr">
        <is>
          <t>No</t>
        </is>
      </c>
      <c r="AQ1674" t="inlineStr">
        <is>
          <t>No</t>
        </is>
      </c>
      <c r="AS1674">
        <f>HYPERLINK("https://creighton-primo.hosted.exlibrisgroup.com/primo-explore/search?tab=default_tab&amp;search_scope=EVERYTHING&amp;vid=01CRU&amp;lang=en_US&amp;offset=0&amp;query=any,contains,991005238159702656","Catalog Record")</f>
        <v/>
      </c>
      <c r="AT1674">
        <f>HYPERLINK("http://www.worldcat.org/oclc/8389618","WorldCat Record")</f>
        <v/>
      </c>
      <c r="AU1674" t="inlineStr">
        <is>
          <t>54495343:eng</t>
        </is>
      </c>
      <c r="AV1674" t="inlineStr">
        <is>
          <t>8389618</t>
        </is>
      </c>
      <c r="AW1674" t="inlineStr">
        <is>
          <t>991005238159702656</t>
        </is>
      </c>
      <c r="AX1674" t="inlineStr">
        <is>
          <t>991005238159702656</t>
        </is>
      </c>
      <c r="AY1674" t="inlineStr">
        <is>
          <t>2261028980002656</t>
        </is>
      </c>
      <c r="AZ1674" t="inlineStr">
        <is>
          <t>BOOK</t>
        </is>
      </c>
      <c r="BB1674" t="inlineStr">
        <is>
          <t>9780043270677</t>
        </is>
      </c>
      <c r="BC1674" t="inlineStr">
        <is>
          <t>32285000291996</t>
        </is>
      </c>
      <c r="BD1674" t="inlineStr">
        <is>
          <t>893338779</t>
        </is>
      </c>
    </row>
    <row r="1675">
      <c r="A1675" t="inlineStr">
        <is>
          <t>No</t>
        </is>
      </c>
      <c r="B1675" t="inlineStr">
        <is>
          <t>DS63.1 .M545 1984</t>
        </is>
      </c>
      <c r="C1675" t="inlineStr">
        <is>
          <t>0                      DS 0063100M  545         1984</t>
        </is>
      </c>
      <c r="D1675" t="inlineStr">
        <is>
          <t>The Middle East since Camp David / edited by Robert O. Freedman.</t>
        </is>
      </c>
      <c r="F1675" t="inlineStr">
        <is>
          <t>No</t>
        </is>
      </c>
      <c r="G1675" t="inlineStr">
        <is>
          <t>1</t>
        </is>
      </c>
      <c r="H1675" t="inlineStr">
        <is>
          <t>No</t>
        </is>
      </c>
      <c r="I1675" t="inlineStr">
        <is>
          <t>No</t>
        </is>
      </c>
      <c r="J1675" t="inlineStr">
        <is>
          <t>0</t>
        </is>
      </c>
      <c r="L1675" t="inlineStr">
        <is>
          <t>Boulder, Colo. : Westview Press, 1984.</t>
        </is>
      </c>
      <c r="M1675" t="inlineStr">
        <is>
          <t>1984</t>
        </is>
      </c>
      <c r="O1675" t="inlineStr">
        <is>
          <t>eng</t>
        </is>
      </c>
      <c r="P1675" t="inlineStr">
        <is>
          <t>cou</t>
        </is>
      </c>
      <c r="Q1675" t="inlineStr">
        <is>
          <t>Westview special studies on the Middle East</t>
        </is>
      </c>
      <c r="R1675" t="inlineStr">
        <is>
          <t xml:space="preserve">DS </t>
        </is>
      </c>
      <c r="S1675" t="n">
        <v>6</v>
      </c>
      <c r="T1675" t="n">
        <v>6</v>
      </c>
      <c r="U1675" t="inlineStr">
        <is>
          <t>2003-11-03</t>
        </is>
      </c>
      <c r="V1675" t="inlineStr">
        <is>
          <t>2003-11-03</t>
        </is>
      </c>
      <c r="W1675" t="inlineStr">
        <is>
          <t>1990-05-01</t>
        </is>
      </c>
      <c r="X1675" t="inlineStr">
        <is>
          <t>1990-05-01</t>
        </is>
      </c>
      <c r="Y1675" t="n">
        <v>387</v>
      </c>
      <c r="Z1675" t="n">
        <v>306</v>
      </c>
      <c r="AA1675" t="n">
        <v>333</v>
      </c>
      <c r="AB1675" t="n">
        <v>4</v>
      </c>
      <c r="AC1675" t="n">
        <v>4</v>
      </c>
      <c r="AD1675" t="n">
        <v>15</v>
      </c>
      <c r="AE1675" t="n">
        <v>15</v>
      </c>
      <c r="AF1675" t="n">
        <v>3</v>
      </c>
      <c r="AG1675" t="n">
        <v>3</v>
      </c>
      <c r="AH1675" t="n">
        <v>6</v>
      </c>
      <c r="AI1675" t="n">
        <v>6</v>
      </c>
      <c r="AJ1675" t="n">
        <v>8</v>
      </c>
      <c r="AK1675" t="n">
        <v>8</v>
      </c>
      <c r="AL1675" t="n">
        <v>3</v>
      </c>
      <c r="AM1675" t="n">
        <v>3</v>
      </c>
      <c r="AN1675" t="n">
        <v>0</v>
      </c>
      <c r="AO1675" t="n">
        <v>0</v>
      </c>
      <c r="AP1675" t="inlineStr">
        <is>
          <t>No</t>
        </is>
      </c>
      <c r="AQ1675" t="inlineStr">
        <is>
          <t>Yes</t>
        </is>
      </c>
      <c r="AR1675">
        <f>HYPERLINK("http://catalog.hathitrust.org/Record/000780856","HathiTrust Record")</f>
        <v/>
      </c>
      <c r="AS1675">
        <f>HYPERLINK("https://creighton-primo.hosted.exlibrisgroup.com/primo-explore/search?tab=default_tab&amp;search_scope=EVERYTHING&amp;vid=01CRU&amp;lang=en_US&amp;offset=0&amp;query=any,contains,991000293889702656","Catalog Record")</f>
        <v/>
      </c>
      <c r="AT1675">
        <f>HYPERLINK("http://www.worldcat.org/oclc/9971250","WorldCat Record")</f>
        <v/>
      </c>
      <c r="AU1675" t="inlineStr">
        <is>
          <t>54597905:eng</t>
        </is>
      </c>
      <c r="AV1675" t="inlineStr">
        <is>
          <t>9971250</t>
        </is>
      </c>
      <c r="AW1675" t="inlineStr">
        <is>
          <t>991000293889702656</t>
        </is>
      </c>
      <c r="AX1675" t="inlineStr">
        <is>
          <t>991000293889702656</t>
        </is>
      </c>
      <c r="AY1675" t="inlineStr">
        <is>
          <t>2257933000002656</t>
        </is>
      </c>
      <c r="AZ1675" t="inlineStr">
        <is>
          <t>BOOK</t>
        </is>
      </c>
      <c r="BB1675" t="inlineStr">
        <is>
          <t>9780865316584</t>
        </is>
      </c>
      <c r="BC1675" t="inlineStr">
        <is>
          <t>32285000129964</t>
        </is>
      </c>
      <c r="BD1675" t="inlineStr">
        <is>
          <t>893626263</t>
        </is>
      </c>
    </row>
    <row r="1676">
      <c r="A1676" t="inlineStr">
        <is>
          <t>No</t>
        </is>
      </c>
      <c r="B1676" t="inlineStr">
        <is>
          <t>DS63.1 .M566 2001</t>
        </is>
      </c>
      <c r="C1676" t="inlineStr">
        <is>
          <t>0                      DS 0063100M  566         2001</t>
        </is>
      </c>
      <c r="D1676" t="inlineStr">
        <is>
          <t>Conflicts in the Middle East since 1945 / Beverley Milton-Edwards and Peter Hinchcliffe.</t>
        </is>
      </c>
      <c r="F1676" t="inlineStr">
        <is>
          <t>No</t>
        </is>
      </c>
      <c r="G1676" t="inlineStr">
        <is>
          <t>1</t>
        </is>
      </c>
      <c r="H1676" t="inlineStr">
        <is>
          <t>No</t>
        </is>
      </c>
      <c r="I1676" t="inlineStr">
        <is>
          <t>No</t>
        </is>
      </c>
      <c r="J1676" t="inlineStr">
        <is>
          <t>0</t>
        </is>
      </c>
      <c r="K1676" t="inlineStr">
        <is>
          <t>Milton-Edwards, Beverley.</t>
        </is>
      </c>
      <c r="L1676" t="inlineStr">
        <is>
          <t>London ; New York : Routledge, 2001.</t>
        </is>
      </c>
      <c r="M1676" t="inlineStr">
        <is>
          <t>2001</t>
        </is>
      </c>
      <c r="O1676" t="inlineStr">
        <is>
          <t>eng</t>
        </is>
      </c>
      <c r="P1676" t="inlineStr">
        <is>
          <t>enk</t>
        </is>
      </c>
      <c r="Q1676" t="inlineStr">
        <is>
          <t>The making of the contemporary world</t>
        </is>
      </c>
      <c r="R1676" t="inlineStr">
        <is>
          <t xml:space="preserve">DS </t>
        </is>
      </c>
      <c r="S1676" t="n">
        <v>7</v>
      </c>
      <c r="T1676" t="n">
        <v>7</v>
      </c>
      <c r="U1676" t="inlineStr">
        <is>
          <t>2006-04-28</t>
        </is>
      </c>
      <c r="V1676" t="inlineStr">
        <is>
          <t>2006-04-28</t>
        </is>
      </c>
      <c r="W1676" t="inlineStr">
        <is>
          <t>2001-10-24</t>
        </is>
      </c>
      <c r="X1676" t="inlineStr">
        <is>
          <t>2001-10-24</t>
        </is>
      </c>
      <c r="Y1676" t="n">
        <v>384</v>
      </c>
      <c r="Z1676" t="n">
        <v>242</v>
      </c>
      <c r="AA1676" t="n">
        <v>844</v>
      </c>
      <c r="AB1676" t="n">
        <v>2</v>
      </c>
      <c r="AC1676" t="n">
        <v>28</v>
      </c>
      <c r="AD1676" t="n">
        <v>10</v>
      </c>
      <c r="AE1676" t="n">
        <v>30</v>
      </c>
      <c r="AF1676" t="n">
        <v>2</v>
      </c>
      <c r="AG1676" t="n">
        <v>10</v>
      </c>
      <c r="AH1676" t="n">
        <v>3</v>
      </c>
      <c r="AI1676" t="n">
        <v>5</v>
      </c>
      <c r="AJ1676" t="n">
        <v>6</v>
      </c>
      <c r="AK1676" t="n">
        <v>11</v>
      </c>
      <c r="AL1676" t="n">
        <v>1</v>
      </c>
      <c r="AM1676" t="n">
        <v>9</v>
      </c>
      <c r="AN1676" t="n">
        <v>0</v>
      </c>
      <c r="AO1676" t="n">
        <v>0</v>
      </c>
      <c r="AP1676" t="inlineStr">
        <is>
          <t>No</t>
        </is>
      </c>
      <c r="AQ1676" t="inlineStr">
        <is>
          <t>No</t>
        </is>
      </c>
      <c r="AS1676">
        <f>HYPERLINK("https://creighton-primo.hosted.exlibrisgroup.com/primo-explore/search?tab=default_tab&amp;search_scope=EVERYTHING&amp;vid=01CRU&amp;lang=en_US&amp;offset=0&amp;query=any,contains,991003639609702656","Catalog Record")</f>
        <v/>
      </c>
      <c r="AT1676">
        <f>HYPERLINK("http://www.worldcat.org/oclc/45958041","WorldCat Record")</f>
        <v/>
      </c>
      <c r="AU1676" t="inlineStr">
        <is>
          <t>695568:eng</t>
        </is>
      </c>
      <c r="AV1676" t="inlineStr">
        <is>
          <t>45958041</t>
        </is>
      </c>
      <c r="AW1676" t="inlineStr">
        <is>
          <t>991003639609702656</t>
        </is>
      </c>
      <c r="AX1676" t="inlineStr">
        <is>
          <t>991003639609702656</t>
        </is>
      </c>
      <c r="AY1676" t="inlineStr">
        <is>
          <t>2261411270002656</t>
        </is>
      </c>
      <c r="AZ1676" t="inlineStr">
        <is>
          <t>BOOK</t>
        </is>
      </c>
      <c r="BB1676" t="inlineStr">
        <is>
          <t>9780415182577</t>
        </is>
      </c>
      <c r="BC1676" t="inlineStr">
        <is>
          <t>32285004399639</t>
        </is>
      </c>
      <c r="BD1676" t="inlineStr">
        <is>
          <t>893598788</t>
        </is>
      </c>
    </row>
    <row r="1677">
      <c r="A1677" t="inlineStr">
        <is>
          <t>No</t>
        </is>
      </c>
      <c r="B1677" t="inlineStr">
        <is>
          <t>DS63.1 .P56 1996</t>
        </is>
      </c>
      <c r="C1677" t="inlineStr">
        <is>
          <t>0                      DS 0063100P  56          1996</t>
        </is>
      </c>
      <c r="D1677" t="inlineStr">
        <is>
          <t>The hidden hand : Middle East fears of conspiracy / Daniel Pipes.</t>
        </is>
      </c>
      <c r="F1677" t="inlineStr">
        <is>
          <t>No</t>
        </is>
      </c>
      <c r="G1677" t="inlineStr">
        <is>
          <t>1</t>
        </is>
      </c>
      <c r="H1677" t="inlineStr">
        <is>
          <t>No</t>
        </is>
      </c>
      <c r="I1677" t="inlineStr">
        <is>
          <t>No</t>
        </is>
      </c>
      <c r="J1677" t="inlineStr">
        <is>
          <t>0</t>
        </is>
      </c>
      <c r="K1677" t="inlineStr">
        <is>
          <t>Pipes, Daniel, 1949-</t>
        </is>
      </c>
      <c r="L1677" t="inlineStr">
        <is>
          <t>New York : St. Martin's Press, 1996.</t>
        </is>
      </c>
      <c r="M1677" t="inlineStr">
        <is>
          <t>1996</t>
        </is>
      </c>
      <c r="O1677" t="inlineStr">
        <is>
          <t>eng</t>
        </is>
      </c>
      <c r="P1677" t="inlineStr">
        <is>
          <t>nyu</t>
        </is>
      </c>
      <c r="R1677" t="inlineStr">
        <is>
          <t xml:space="preserve">DS </t>
        </is>
      </c>
      <c r="S1677" t="n">
        <v>2</v>
      </c>
      <c r="T1677" t="n">
        <v>2</v>
      </c>
      <c r="U1677" t="inlineStr">
        <is>
          <t>2003-11-06</t>
        </is>
      </c>
      <c r="V1677" t="inlineStr">
        <is>
          <t>2003-11-06</t>
        </is>
      </c>
      <c r="W1677" t="inlineStr">
        <is>
          <t>1997-04-24</t>
        </is>
      </c>
      <c r="X1677" t="inlineStr">
        <is>
          <t>1997-04-24</t>
        </is>
      </c>
      <c r="Y1677" t="n">
        <v>286</v>
      </c>
      <c r="Z1677" t="n">
        <v>241</v>
      </c>
      <c r="AA1677" t="n">
        <v>315</v>
      </c>
      <c r="AB1677" t="n">
        <v>3</v>
      </c>
      <c r="AC1677" t="n">
        <v>3</v>
      </c>
      <c r="AD1677" t="n">
        <v>12</v>
      </c>
      <c r="AE1677" t="n">
        <v>14</v>
      </c>
      <c r="AF1677" t="n">
        <v>2</v>
      </c>
      <c r="AG1677" t="n">
        <v>4</v>
      </c>
      <c r="AH1677" t="n">
        <v>4</v>
      </c>
      <c r="AI1677" t="n">
        <v>4</v>
      </c>
      <c r="AJ1677" t="n">
        <v>7</v>
      </c>
      <c r="AK1677" t="n">
        <v>9</v>
      </c>
      <c r="AL1677" t="n">
        <v>2</v>
      </c>
      <c r="AM1677" t="n">
        <v>2</v>
      </c>
      <c r="AN1677" t="n">
        <v>0</v>
      </c>
      <c r="AO1677" t="n">
        <v>0</v>
      </c>
      <c r="AP1677" t="inlineStr">
        <is>
          <t>No</t>
        </is>
      </c>
      <c r="AQ1677" t="inlineStr">
        <is>
          <t>No</t>
        </is>
      </c>
      <c r="AS1677">
        <f>HYPERLINK("https://creighton-primo.hosted.exlibrisgroup.com/primo-explore/search?tab=default_tab&amp;search_scope=EVERYTHING&amp;vid=01CRU&amp;lang=en_US&amp;offset=0&amp;query=any,contains,991002668849702656","Catalog Record")</f>
        <v/>
      </c>
      <c r="AT1677">
        <f>HYPERLINK("http://www.worldcat.org/oclc/34912594","WorldCat Record")</f>
        <v/>
      </c>
      <c r="AU1677" t="inlineStr">
        <is>
          <t>20446934:eng</t>
        </is>
      </c>
      <c r="AV1677" t="inlineStr">
        <is>
          <t>34912594</t>
        </is>
      </c>
      <c r="AW1677" t="inlineStr">
        <is>
          <t>991002668849702656</t>
        </is>
      </c>
      <c r="AX1677" t="inlineStr">
        <is>
          <t>991002668849702656</t>
        </is>
      </c>
      <c r="AY1677" t="inlineStr">
        <is>
          <t>2259116530002656</t>
        </is>
      </c>
      <c r="AZ1677" t="inlineStr">
        <is>
          <t>BOOK</t>
        </is>
      </c>
      <c r="BB1677" t="inlineStr">
        <is>
          <t>9780312162542</t>
        </is>
      </c>
      <c r="BC1677" t="inlineStr">
        <is>
          <t>32285002540630</t>
        </is>
      </c>
      <c r="BD1677" t="inlineStr">
        <is>
          <t>893773892</t>
        </is>
      </c>
    </row>
    <row r="1678">
      <c r="A1678" t="inlineStr">
        <is>
          <t>No</t>
        </is>
      </c>
      <c r="B1678" t="inlineStr">
        <is>
          <t>DS63.1 .P65</t>
        </is>
      </c>
      <c r="C1678" t="inlineStr">
        <is>
          <t>0                      DS 0063100P  65</t>
        </is>
      </c>
      <c r="D1678" t="inlineStr">
        <is>
          <t>Political dynamics in the Middle East. Edited by Paul Y. Hammond and Sidney S. Alexander.</t>
        </is>
      </c>
      <c r="F1678" t="inlineStr">
        <is>
          <t>No</t>
        </is>
      </c>
      <c r="G1678" t="inlineStr">
        <is>
          <t>1</t>
        </is>
      </c>
      <c r="H1678" t="inlineStr">
        <is>
          <t>No</t>
        </is>
      </c>
      <c r="I1678" t="inlineStr">
        <is>
          <t>No</t>
        </is>
      </c>
      <c r="J1678" t="inlineStr">
        <is>
          <t>0</t>
        </is>
      </c>
      <c r="L1678" t="inlineStr">
        <is>
          <t>New York, American Elsevier Pub. Co. [1972]</t>
        </is>
      </c>
      <c r="M1678" t="inlineStr">
        <is>
          <t>1972</t>
        </is>
      </c>
      <c r="O1678" t="inlineStr">
        <is>
          <t>eng</t>
        </is>
      </c>
      <c r="P1678" t="inlineStr">
        <is>
          <t>nyu</t>
        </is>
      </c>
      <c r="Q1678" t="inlineStr">
        <is>
          <t>The Middle East: Economic and political problems and prospects</t>
        </is>
      </c>
      <c r="R1678" t="inlineStr">
        <is>
          <t xml:space="preserve">DS </t>
        </is>
      </c>
      <c r="S1678" t="n">
        <v>1</v>
      </c>
      <c r="T1678" t="n">
        <v>1</v>
      </c>
      <c r="U1678" t="inlineStr">
        <is>
          <t>2001-04-18</t>
        </is>
      </c>
      <c r="V1678" t="inlineStr">
        <is>
          <t>2001-04-18</t>
        </is>
      </c>
      <c r="W1678" t="inlineStr">
        <is>
          <t>1997-02-24</t>
        </is>
      </c>
      <c r="X1678" t="inlineStr">
        <is>
          <t>1997-02-24</t>
        </is>
      </c>
      <c r="Y1678" t="n">
        <v>493</v>
      </c>
      <c r="Z1678" t="n">
        <v>380</v>
      </c>
      <c r="AA1678" t="n">
        <v>382</v>
      </c>
      <c r="AB1678" t="n">
        <v>4</v>
      </c>
      <c r="AC1678" t="n">
        <v>4</v>
      </c>
      <c r="AD1678" t="n">
        <v>17</v>
      </c>
      <c r="AE1678" t="n">
        <v>17</v>
      </c>
      <c r="AF1678" t="n">
        <v>4</v>
      </c>
      <c r="AG1678" t="n">
        <v>4</v>
      </c>
      <c r="AH1678" t="n">
        <v>5</v>
      </c>
      <c r="AI1678" t="n">
        <v>5</v>
      </c>
      <c r="AJ1678" t="n">
        <v>9</v>
      </c>
      <c r="AK1678" t="n">
        <v>9</v>
      </c>
      <c r="AL1678" t="n">
        <v>3</v>
      </c>
      <c r="AM1678" t="n">
        <v>3</v>
      </c>
      <c r="AN1678" t="n">
        <v>0</v>
      </c>
      <c r="AO1678" t="n">
        <v>0</v>
      </c>
      <c r="AP1678" t="inlineStr">
        <is>
          <t>No</t>
        </is>
      </c>
      <c r="AQ1678" t="inlineStr">
        <is>
          <t>Yes</t>
        </is>
      </c>
      <c r="AR1678">
        <f>HYPERLINK("http://catalog.hathitrust.org/Record/001241307","HathiTrust Record")</f>
        <v/>
      </c>
      <c r="AS1678">
        <f>HYPERLINK("https://creighton-primo.hosted.exlibrisgroup.com/primo-explore/search?tab=default_tab&amp;search_scope=EVERYTHING&amp;vid=01CRU&amp;lang=en_US&amp;offset=0&amp;query=any,contains,991002651759702656","Catalog Record")</f>
        <v/>
      </c>
      <c r="AT1678">
        <f>HYPERLINK("http://www.worldcat.org/oclc/387293","WorldCat Record")</f>
        <v/>
      </c>
      <c r="AU1678" t="inlineStr">
        <is>
          <t>793100328:eng</t>
        </is>
      </c>
      <c r="AV1678" t="inlineStr">
        <is>
          <t>387293</t>
        </is>
      </c>
      <c r="AW1678" t="inlineStr">
        <is>
          <t>991002651759702656</t>
        </is>
      </c>
      <c r="AX1678" t="inlineStr">
        <is>
          <t>991002651759702656</t>
        </is>
      </c>
      <c r="AY1678" t="inlineStr">
        <is>
          <t>2258205110002656</t>
        </is>
      </c>
      <c r="AZ1678" t="inlineStr">
        <is>
          <t>BOOK</t>
        </is>
      </c>
      <c r="BB1678" t="inlineStr">
        <is>
          <t>9780444001108</t>
        </is>
      </c>
      <c r="BC1678" t="inlineStr">
        <is>
          <t>32285002469905</t>
        </is>
      </c>
      <c r="BD1678" t="inlineStr">
        <is>
          <t>893347752</t>
        </is>
      </c>
    </row>
    <row r="1679">
      <c r="A1679" t="inlineStr">
        <is>
          <t>No</t>
        </is>
      </c>
      <c r="B1679" t="inlineStr">
        <is>
          <t>DS63.1 .S696 2010</t>
        </is>
      </c>
      <c r="C1679" t="inlineStr">
        <is>
          <t>0                      DS 0063100S  696         2010</t>
        </is>
      </c>
      <c r="D1679" t="inlineStr">
        <is>
          <t>Every man in this village is a liar : an education in war / Megan K. Stack.</t>
        </is>
      </c>
      <c r="F1679" t="inlineStr">
        <is>
          <t>No</t>
        </is>
      </c>
      <c r="G1679" t="inlineStr">
        <is>
          <t>1</t>
        </is>
      </c>
      <c r="H1679" t="inlineStr">
        <is>
          <t>No</t>
        </is>
      </c>
      <c r="I1679" t="inlineStr">
        <is>
          <t>No</t>
        </is>
      </c>
      <c r="J1679" t="inlineStr">
        <is>
          <t>0</t>
        </is>
      </c>
      <c r="K1679" t="inlineStr">
        <is>
          <t>Stack, Megan K.</t>
        </is>
      </c>
      <c r="L1679" t="inlineStr">
        <is>
          <t>New York : Doubleday, c2010.</t>
        </is>
      </c>
      <c r="M1679" t="inlineStr">
        <is>
          <t>2010</t>
        </is>
      </c>
      <c r="N1679" t="inlineStr">
        <is>
          <t>1st ed.</t>
        </is>
      </c>
      <c r="O1679" t="inlineStr">
        <is>
          <t>eng</t>
        </is>
      </c>
      <c r="P1679" t="inlineStr">
        <is>
          <t>nyu</t>
        </is>
      </c>
      <c r="R1679" t="inlineStr">
        <is>
          <t xml:space="preserve">DS </t>
        </is>
      </c>
      <c r="S1679" t="n">
        <v>2</v>
      </c>
      <c r="T1679" t="n">
        <v>2</v>
      </c>
      <c r="U1679" t="inlineStr">
        <is>
          <t>2010-10-05</t>
        </is>
      </c>
      <c r="V1679" t="inlineStr">
        <is>
          <t>2010-10-05</t>
        </is>
      </c>
      <c r="W1679" t="inlineStr">
        <is>
          <t>2010-09-21</t>
        </is>
      </c>
      <c r="X1679" t="inlineStr">
        <is>
          <t>2010-09-21</t>
        </is>
      </c>
      <c r="Y1679" t="n">
        <v>1017</v>
      </c>
      <c r="Z1679" t="n">
        <v>959</v>
      </c>
      <c r="AA1679" t="n">
        <v>1190</v>
      </c>
      <c r="AB1679" t="n">
        <v>12</v>
      </c>
      <c r="AC1679" t="n">
        <v>15</v>
      </c>
      <c r="AD1679" t="n">
        <v>22</v>
      </c>
      <c r="AE1679" t="n">
        <v>24</v>
      </c>
      <c r="AF1679" t="n">
        <v>9</v>
      </c>
      <c r="AG1679" t="n">
        <v>9</v>
      </c>
      <c r="AH1679" t="n">
        <v>4</v>
      </c>
      <c r="AI1679" t="n">
        <v>5</v>
      </c>
      <c r="AJ1679" t="n">
        <v>9</v>
      </c>
      <c r="AK1679" t="n">
        <v>9</v>
      </c>
      <c r="AL1679" t="n">
        <v>5</v>
      </c>
      <c r="AM1679" t="n">
        <v>6</v>
      </c>
      <c r="AN1679" t="n">
        <v>0</v>
      </c>
      <c r="AO1679" t="n">
        <v>0</v>
      </c>
      <c r="AP1679" t="inlineStr">
        <is>
          <t>No</t>
        </is>
      </c>
      <c r="AQ1679" t="inlineStr">
        <is>
          <t>No</t>
        </is>
      </c>
      <c r="AS1679">
        <f>HYPERLINK("https://creighton-primo.hosted.exlibrisgroup.com/primo-explore/search?tab=default_tab&amp;search_scope=EVERYTHING&amp;vid=01CRU&amp;lang=en_US&amp;offset=0&amp;query=any,contains,991000106949702656","Catalog Record")</f>
        <v/>
      </c>
      <c r="AT1679">
        <f>HYPERLINK("http://www.worldcat.org/oclc/434438429","WorldCat Record")</f>
        <v/>
      </c>
      <c r="AU1679" t="inlineStr">
        <is>
          <t>865265456:eng</t>
        </is>
      </c>
      <c r="AV1679" t="inlineStr">
        <is>
          <t>434438429</t>
        </is>
      </c>
      <c r="AW1679" t="inlineStr">
        <is>
          <t>991000106949702656</t>
        </is>
      </c>
      <c r="AX1679" t="inlineStr">
        <is>
          <t>991000106949702656</t>
        </is>
      </c>
      <c r="AY1679" t="inlineStr">
        <is>
          <t>2259357540002656</t>
        </is>
      </c>
      <c r="AZ1679" t="inlineStr">
        <is>
          <t>BOOK</t>
        </is>
      </c>
      <c r="BB1679" t="inlineStr">
        <is>
          <t>9780385527163</t>
        </is>
      </c>
      <c r="BC1679" t="inlineStr">
        <is>
          <t>32285005595847</t>
        </is>
      </c>
      <c r="BD1679" t="inlineStr">
        <is>
          <t>893345390</t>
        </is>
      </c>
    </row>
    <row r="1680">
      <c r="A1680" t="inlineStr">
        <is>
          <t>No</t>
        </is>
      </c>
      <c r="B1680" t="inlineStr">
        <is>
          <t>DS63.18 .R67 2009</t>
        </is>
      </c>
      <c r="C1680" t="inlineStr">
        <is>
          <t>0                      DS 0063180R  67          2009</t>
        </is>
      </c>
      <c r="D1680" t="inlineStr">
        <is>
          <t>The rebirth of the Middle East / Jerry M. Rosenberg.</t>
        </is>
      </c>
      <c r="F1680" t="inlineStr">
        <is>
          <t>No</t>
        </is>
      </c>
      <c r="G1680" t="inlineStr">
        <is>
          <t>1</t>
        </is>
      </c>
      <c r="H1680" t="inlineStr">
        <is>
          <t>No</t>
        </is>
      </c>
      <c r="I1680" t="inlineStr">
        <is>
          <t>No</t>
        </is>
      </c>
      <c r="J1680" t="inlineStr">
        <is>
          <t>0</t>
        </is>
      </c>
      <c r="K1680" t="inlineStr">
        <is>
          <t>Rosenberg, Jerry Martin.</t>
        </is>
      </c>
      <c r="L1680" t="inlineStr">
        <is>
          <t>Lanham, Md. : Hamilton Books, c2009.</t>
        </is>
      </c>
      <c r="M1680" t="inlineStr">
        <is>
          <t>2009</t>
        </is>
      </c>
      <c r="O1680" t="inlineStr">
        <is>
          <t>eng</t>
        </is>
      </c>
      <c r="P1680" t="inlineStr">
        <is>
          <t>mdu</t>
        </is>
      </c>
      <c r="R1680" t="inlineStr">
        <is>
          <t xml:space="preserve">DS </t>
        </is>
      </c>
      <c r="S1680" t="n">
        <v>1</v>
      </c>
      <c r="T1680" t="n">
        <v>1</v>
      </c>
      <c r="U1680" t="inlineStr">
        <is>
          <t>2010-03-25</t>
        </is>
      </c>
      <c r="V1680" t="inlineStr">
        <is>
          <t>2010-03-25</t>
        </is>
      </c>
      <c r="W1680" t="inlineStr">
        <is>
          <t>2010-03-25</t>
        </is>
      </c>
      <c r="X1680" t="inlineStr">
        <is>
          <t>2010-03-25</t>
        </is>
      </c>
      <c r="Y1680" t="n">
        <v>80</v>
      </c>
      <c r="Z1680" t="n">
        <v>67</v>
      </c>
      <c r="AA1680" t="n">
        <v>86</v>
      </c>
      <c r="AB1680" t="n">
        <v>1</v>
      </c>
      <c r="AC1680" t="n">
        <v>1</v>
      </c>
      <c r="AD1680" t="n">
        <v>2</v>
      </c>
      <c r="AE1680" t="n">
        <v>3</v>
      </c>
      <c r="AF1680" t="n">
        <v>0</v>
      </c>
      <c r="AG1680" t="n">
        <v>1</v>
      </c>
      <c r="AH1680" t="n">
        <v>1</v>
      </c>
      <c r="AI1680" t="n">
        <v>2</v>
      </c>
      <c r="AJ1680" t="n">
        <v>2</v>
      </c>
      <c r="AK1680" t="n">
        <v>2</v>
      </c>
      <c r="AL1680" t="n">
        <v>0</v>
      </c>
      <c r="AM1680" t="n">
        <v>0</v>
      </c>
      <c r="AN1680" t="n">
        <v>0</v>
      </c>
      <c r="AO1680" t="n">
        <v>0</v>
      </c>
      <c r="AP1680" t="inlineStr">
        <is>
          <t>No</t>
        </is>
      </c>
      <c r="AQ1680" t="inlineStr">
        <is>
          <t>No</t>
        </is>
      </c>
      <c r="AS1680">
        <f>HYPERLINK("https://creighton-primo.hosted.exlibrisgroup.com/primo-explore/search?tab=default_tab&amp;search_scope=EVERYTHING&amp;vid=01CRU&amp;lang=en_US&amp;offset=0&amp;query=any,contains,991005374819702656","Catalog Record")</f>
        <v/>
      </c>
      <c r="AT1680">
        <f>HYPERLINK("http://www.worldcat.org/oclc/429020403","WorldCat Record")</f>
        <v/>
      </c>
      <c r="AU1680" t="inlineStr">
        <is>
          <t>316117619:eng</t>
        </is>
      </c>
      <c r="AV1680" t="inlineStr">
        <is>
          <t>429020403</t>
        </is>
      </c>
      <c r="AW1680" t="inlineStr">
        <is>
          <t>991005374819702656</t>
        </is>
      </c>
      <c r="AX1680" t="inlineStr">
        <is>
          <t>991005374819702656</t>
        </is>
      </c>
      <c r="AY1680" t="inlineStr">
        <is>
          <t>2271815430002656</t>
        </is>
      </c>
      <c r="AZ1680" t="inlineStr">
        <is>
          <t>BOOK</t>
        </is>
      </c>
      <c r="BB1680" t="inlineStr">
        <is>
          <t>9780761848455</t>
        </is>
      </c>
      <c r="BC1680" t="inlineStr">
        <is>
          <t>32285005579528</t>
        </is>
      </c>
      <c r="BD1680" t="inlineStr">
        <is>
          <t>893594955</t>
        </is>
      </c>
    </row>
    <row r="1681">
      <c r="A1681" t="inlineStr">
        <is>
          <t>No</t>
        </is>
      </c>
      <c r="B1681" t="inlineStr">
        <is>
          <t>DS63.2 .M33 2001</t>
        </is>
      </c>
      <c r="C1681" t="inlineStr">
        <is>
          <t>0                      DS 0063200M  33          2001</t>
        </is>
      </c>
      <c r="D1681" t="inlineStr">
        <is>
          <t>Epic encounters : culture, media, and U.S. interests in the Middle East, 1945-2000 / Melani McAlister.</t>
        </is>
      </c>
      <c r="F1681" t="inlineStr">
        <is>
          <t>No</t>
        </is>
      </c>
      <c r="G1681" t="inlineStr">
        <is>
          <t>1</t>
        </is>
      </c>
      <c r="H1681" t="inlineStr">
        <is>
          <t>No</t>
        </is>
      </c>
      <c r="I1681" t="inlineStr">
        <is>
          <t>No</t>
        </is>
      </c>
      <c r="J1681" t="inlineStr">
        <is>
          <t>0</t>
        </is>
      </c>
      <c r="K1681" t="inlineStr">
        <is>
          <t>McAlister, Melani, 1962-</t>
        </is>
      </c>
      <c r="L1681" t="inlineStr">
        <is>
          <t>Berkeley: University of California Press, c2001.</t>
        </is>
      </c>
      <c r="M1681" t="inlineStr">
        <is>
          <t>2001</t>
        </is>
      </c>
      <c r="O1681" t="inlineStr">
        <is>
          <t>eng</t>
        </is>
      </c>
      <c r="P1681" t="inlineStr">
        <is>
          <t>cau</t>
        </is>
      </c>
      <c r="Q1681" t="inlineStr">
        <is>
          <t>American crossroads ; 6</t>
        </is>
      </c>
      <c r="R1681" t="inlineStr">
        <is>
          <t xml:space="preserve">DS </t>
        </is>
      </c>
      <c r="S1681" t="n">
        <v>8</v>
      </c>
      <c r="T1681" t="n">
        <v>8</v>
      </c>
      <c r="U1681" t="inlineStr">
        <is>
          <t>2003-09-05</t>
        </is>
      </c>
      <c r="V1681" t="inlineStr">
        <is>
          <t>2003-09-05</t>
        </is>
      </c>
      <c r="W1681" t="inlineStr">
        <is>
          <t>2001-12-18</t>
        </is>
      </c>
      <c r="X1681" t="inlineStr">
        <is>
          <t>2001-12-18</t>
        </is>
      </c>
      <c r="Y1681" t="n">
        <v>586</v>
      </c>
      <c r="Z1681" t="n">
        <v>483</v>
      </c>
      <c r="AA1681" t="n">
        <v>1465</v>
      </c>
      <c r="AB1681" t="n">
        <v>2</v>
      </c>
      <c r="AC1681" t="n">
        <v>9</v>
      </c>
      <c r="AD1681" t="n">
        <v>30</v>
      </c>
      <c r="AE1681" t="n">
        <v>51</v>
      </c>
      <c r="AF1681" t="n">
        <v>14</v>
      </c>
      <c r="AG1681" t="n">
        <v>21</v>
      </c>
      <c r="AH1681" t="n">
        <v>7</v>
      </c>
      <c r="AI1681" t="n">
        <v>11</v>
      </c>
      <c r="AJ1681" t="n">
        <v>14</v>
      </c>
      <c r="AK1681" t="n">
        <v>21</v>
      </c>
      <c r="AL1681" t="n">
        <v>1</v>
      </c>
      <c r="AM1681" t="n">
        <v>8</v>
      </c>
      <c r="AN1681" t="n">
        <v>0</v>
      </c>
      <c r="AO1681" t="n">
        <v>1</v>
      </c>
      <c r="AP1681" t="inlineStr">
        <is>
          <t>No</t>
        </is>
      </c>
      <c r="AQ1681" t="inlineStr">
        <is>
          <t>No</t>
        </is>
      </c>
      <c r="AS1681">
        <f>HYPERLINK("https://creighton-primo.hosted.exlibrisgroup.com/primo-explore/search?tab=default_tab&amp;search_scope=EVERYTHING&amp;vid=01CRU&amp;lang=en_US&amp;offset=0&amp;query=any,contains,991003677429702656","Catalog Record")</f>
        <v/>
      </c>
      <c r="AT1681">
        <f>HYPERLINK("http://www.worldcat.org/oclc/45015749","WorldCat Record")</f>
        <v/>
      </c>
      <c r="AU1681" t="inlineStr">
        <is>
          <t>793021405:eng</t>
        </is>
      </c>
      <c r="AV1681" t="inlineStr">
        <is>
          <t>45015749</t>
        </is>
      </c>
      <c r="AW1681" t="inlineStr">
        <is>
          <t>991003677429702656</t>
        </is>
      </c>
      <c r="AX1681" t="inlineStr">
        <is>
          <t>991003677429702656</t>
        </is>
      </c>
      <c r="AY1681" t="inlineStr">
        <is>
          <t>2263250480002656</t>
        </is>
      </c>
      <c r="AZ1681" t="inlineStr">
        <is>
          <t>BOOK</t>
        </is>
      </c>
      <c r="BB1681" t="inlineStr">
        <is>
          <t>9780520214439</t>
        </is>
      </c>
      <c r="BC1681" t="inlineStr">
        <is>
          <t>32285004429089</t>
        </is>
      </c>
      <c r="BD1681" t="inlineStr">
        <is>
          <t>893258709</t>
        </is>
      </c>
    </row>
    <row r="1682">
      <c r="A1682" t="inlineStr">
        <is>
          <t>No</t>
        </is>
      </c>
      <c r="B1682" t="inlineStr">
        <is>
          <t>DS63.2.A4 L48</t>
        </is>
      </c>
      <c r="C1682" t="inlineStr">
        <is>
          <t>0                      DS 0063200A  4                  L  48</t>
        </is>
      </c>
      <c r="D1682" t="inlineStr">
        <is>
          <t>The Arab-African connection : political and economic realities / Victor T. Le Vine and Timothy W. Luke.</t>
        </is>
      </c>
      <c r="F1682" t="inlineStr">
        <is>
          <t>No</t>
        </is>
      </c>
      <c r="G1682" t="inlineStr">
        <is>
          <t>1</t>
        </is>
      </c>
      <c r="H1682" t="inlineStr">
        <is>
          <t>No</t>
        </is>
      </c>
      <c r="I1682" t="inlineStr">
        <is>
          <t>No</t>
        </is>
      </c>
      <c r="J1682" t="inlineStr">
        <is>
          <t>0</t>
        </is>
      </c>
      <c r="K1682" t="inlineStr">
        <is>
          <t>Le Vine, Victor T.</t>
        </is>
      </c>
      <c r="L1682" t="inlineStr">
        <is>
          <t>Boulder, Colo. : Westview Press, 1979.</t>
        </is>
      </c>
      <c r="M1682" t="inlineStr">
        <is>
          <t>1979</t>
        </is>
      </c>
      <c r="O1682" t="inlineStr">
        <is>
          <t>eng</t>
        </is>
      </c>
      <c r="P1682" t="inlineStr">
        <is>
          <t>cou</t>
        </is>
      </c>
      <c r="Q1682" t="inlineStr">
        <is>
          <t>Westview special studies on Africa/the Middle East</t>
        </is>
      </c>
      <c r="R1682" t="inlineStr">
        <is>
          <t xml:space="preserve">DS </t>
        </is>
      </c>
      <c r="S1682" t="n">
        <v>1</v>
      </c>
      <c r="T1682" t="n">
        <v>1</v>
      </c>
      <c r="U1682" t="inlineStr">
        <is>
          <t>1996-03-01</t>
        </is>
      </c>
      <c r="V1682" t="inlineStr">
        <is>
          <t>1996-03-01</t>
        </is>
      </c>
      <c r="W1682" t="inlineStr">
        <is>
          <t>1990-09-18</t>
        </is>
      </c>
      <c r="X1682" t="inlineStr">
        <is>
          <t>1990-09-18</t>
        </is>
      </c>
      <c r="Y1682" t="n">
        <v>501</v>
      </c>
      <c r="Z1682" t="n">
        <v>408</v>
      </c>
      <c r="AA1682" t="n">
        <v>428</v>
      </c>
      <c r="AB1682" t="n">
        <v>3</v>
      </c>
      <c r="AC1682" t="n">
        <v>3</v>
      </c>
      <c r="AD1682" t="n">
        <v>15</v>
      </c>
      <c r="AE1682" t="n">
        <v>15</v>
      </c>
      <c r="AF1682" t="n">
        <v>5</v>
      </c>
      <c r="AG1682" t="n">
        <v>5</v>
      </c>
      <c r="AH1682" t="n">
        <v>5</v>
      </c>
      <c r="AI1682" t="n">
        <v>5</v>
      </c>
      <c r="AJ1682" t="n">
        <v>8</v>
      </c>
      <c r="AK1682" t="n">
        <v>8</v>
      </c>
      <c r="AL1682" t="n">
        <v>2</v>
      </c>
      <c r="AM1682" t="n">
        <v>2</v>
      </c>
      <c r="AN1682" t="n">
        <v>0</v>
      </c>
      <c r="AO1682" t="n">
        <v>0</v>
      </c>
      <c r="AP1682" t="inlineStr">
        <is>
          <t>No</t>
        </is>
      </c>
      <c r="AQ1682" t="inlineStr">
        <is>
          <t>Yes</t>
        </is>
      </c>
      <c r="AR1682">
        <f>HYPERLINK("http://catalog.hathitrust.org/Record/000257527","HathiTrust Record")</f>
        <v/>
      </c>
      <c r="AS1682">
        <f>HYPERLINK("https://creighton-primo.hosted.exlibrisgroup.com/primo-explore/search?tab=default_tab&amp;search_scope=EVERYTHING&amp;vid=01CRU&amp;lang=en_US&amp;offset=0&amp;query=any,contains,991004670559702656","Catalog Record")</f>
        <v/>
      </c>
      <c r="AT1682">
        <f>HYPERLINK("http://www.worldcat.org/oclc/4515392","WorldCat Record")</f>
        <v/>
      </c>
      <c r="AU1682" t="inlineStr">
        <is>
          <t>14830039:eng</t>
        </is>
      </c>
      <c r="AV1682" t="inlineStr">
        <is>
          <t>4515392</t>
        </is>
      </c>
      <c r="AW1682" t="inlineStr">
        <is>
          <t>991004670559702656</t>
        </is>
      </c>
      <c r="AX1682" t="inlineStr">
        <is>
          <t>991004670559702656</t>
        </is>
      </c>
      <c r="AY1682" t="inlineStr">
        <is>
          <t>2265563140002656</t>
        </is>
      </c>
      <c r="AZ1682" t="inlineStr">
        <is>
          <t>BOOK</t>
        </is>
      </c>
      <c r="BB1682" t="inlineStr">
        <is>
          <t>9780891583981</t>
        </is>
      </c>
      <c r="BC1682" t="inlineStr">
        <is>
          <t>32285000292002</t>
        </is>
      </c>
      <c r="BD1682" t="inlineStr">
        <is>
          <t>893593953</t>
        </is>
      </c>
    </row>
    <row r="1683">
      <c r="A1683" t="inlineStr">
        <is>
          <t>No</t>
        </is>
      </c>
      <c r="B1683" t="inlineStr">
        <is>
          <t>DS63.2.E8 A86 1989</t>
        </is>
      </c>
      <c r="C1683" t="inlineStr">
        <is>
          <t>0                      DS 0063200E  8                  A  86          1989</t>
        </is>
      </c>
      <c r="D1683" t="inlineStr">
        <is>
          <t>The Atlantic Alliance and the Middle East / edited by Joseph I. Coffey and Gianni Bonvicini.</t>
        </is>
      </c>
      <c r="F1683" t="inlineStr">
        <is>
          <t>No</t>
        </is>
      </c>
      <c r="G1683" t="inlineStr">
        <is>
          <t>1</t>
        </is>
      </c>
      <c r="H1683" t="inlineStr">
        <is>
          <t>No</t>
        </is>
      </c>
      <c r="I1683" t="inlineStr">
        <is>
          <t>No</t>
        </is>
      </c>
      <c r="J1683" t="inlineStr">
        <is>
          <t>0</t>
        </is>
      </c>
      <c r="L1683" t="inlineStr">
        <is>
          <t>Pittsburgh, Pa. : University of Pittsburgh Press, c1989.</t>
        </is>
      </c>
      <c r="M1683" t="inlineStr">
        <is>
          <t>1989</t>
        </is>
      </c>
      <c r="O1683" t="inlineStr">
        <is>
          <t>eng</t>
        </is>
      </c>
      <c r="P1683" t="inlineStr">
        <is>
          <t>pau</t>
        </is>
      </c>
      <c r="Q1683" t="inlineStr">
        <is>
          <t>Pitt series in policy and institutional studies</t>
        </is>
      </c>
      <c r="R1683" t="inlineStr">
        <is>
          <t xml:space="preserve">DS </t>
        </is>
      </c>
      <c r="S1683" t="n">
        <v>2</v>
      </c>
      <c r="T1683" t="n">
        <v>2</v>
      </c>
      <c r="U1683" t="inlineStr">
        <is>
          <t>1992-11-19</t>
        </is>
      </c>
      <c r="V1683" t="inlineStr">
        <is>
          <t>1992-11-19</t>
        </is>
      </c>
      <c r="W1683" t="inlineStr">
        <is>
          <t>1990-08-16</t>
        </is>
      </c>
      <c r="X1683" t="inlineStr">
        <is>
          <t>1990-08-16</t>
        </is>
      </c>
      <c r="Y1683" t="n">
        <v>291</v>
      </c>
      <c r="Z1683" t="n">
        <v>244</v>
      </c>
      <c r="AA1683" t="n">
        <v>256</v>
      </c>
      <c r="AB1683" t="n">
        <v>3</v>
      </c>
      <c r="AC1683" t="n">
        <v>3</v>
      </c>
      <c r="AD1683" t="n">
        <v>16</v>
      </c>
      <c r="AE1683" t="n">
        <v>17</v>
      </c>
      <c r="AF1683" t="n">
        <v>4</v>
      </c>
      <c r="AG1683" t="n">
        <v>5</v>
      </c>
      <c r="AH1683" t="n">
        <v>4</v>
      </c>
      <c r="AI1683" t="n">
        <v>4</v>
      </c>
      <c r="AJ1683" t="n">
        <v>8</v>
      </c>
      <c r="AK1683" t="n">
        <v>9</v>
      </c>
      <c r="AL1683" t="n">
        <v>2</v>
      </c>
      <c r="AM1683" t="n">
        <v>2</v>
      </c>
      <c r="AN1683" t="n">
        <v>1</v>
      </c>
      <c r="AO1683" t="n">
        <v>1</v>
      </c>
      <c r="AP1683" t="inlineStr">
        <is>
          <t>No</t>
        </is>
      </c>
      <c r="AQ1683" t="inlineStr">
        <is>
          <t>Yes</t>
        </is>
      </c>
      <c r="AR1683">
        <f>HYPERLINK("http://catalog.hathitrust.org/Record/001292447","HathiTrust Record")</f>
        <v/>
      </c>
      <c r="AS1683">
        <f>HYPERLINK("https://creighton-primo.hosted.exlibrisgroup.com/primo-explore/search?tab=default_tab&amp;search_scope=EVERYTHING&amp;vid=01CRU&amp;lang=en_US&amp;offset=0&amp;query=any,contains,991001367459702656","Catalog Record")</f>
        <v/>
      </c>
      <c r="AT1683">
        <f>HYPERLINK("http://www.worldcat.org/oclc/18559456","WorldCat Record")</f>
        <v/>
      </c>
      <c r="AU1683" t="inlineStr">
        <is>
          <t>350380583:eng</t>
        </is>
      </c>
      <c r="AV1683" t="inlineStr">
        <is>
          <t>18559456</t>
        </is>
      </c>
      <c r="AW1683" t="inlineStr">
        <is>
          <t>991001367459702656</t>
        </is>
      </c>
      <c r="AX1683" t="inlineStr">
        <is>
          <t>991001367459702656</t>
        </is>
      </c>
      <c r="AY1683" t="inlineStr">
        <is>
          <t>2260832030002656</t>
        </is>
      </c>
      <c r="AZ1683" t="inlineStr">
        <is>
          <t>BOOK</t>
        </is>
      </c>
      <c r="BB1683" t="inlineStr">
        <is>
          <t>9780822911548</t>
        </is>
      </c>
      <c r="BC1683" t="inlineStr">
        <is>
          <t>32285000274463</t>
        </is>
      </c>
      <c r="BD1683" t="inlineStr">
        <is>
          <t>893621281</t>
        </is>
      </c>
    </row>
    <row r="1684">
      <c r="A1684" t="inlineStr">
        <is>
          <t>No</t>
        </is>
      </c>
      <c r="B1684" t="inlineStr">
        <is>
          <t>DS63.2.E8 H68</t>
        </is>
      </c>
      <c r="C1684" t="inlineStr">
        <is>
          <t>0                      DS 0063200E  8                  H  68</t>
        </is>
      </c>
      <c r="D1684" t="inlineStr">
        <is>
          <t>Europe and the Middle East / Albert Hourani.</t>
        </is>
      </c>
      <c r="F1684" t="inlineStr">
        <is>
          <t>No</t>
        </is>
      </c>
      <c r="G1684" t="inlineStr">
        <is>
          <t>1</t>
        </is>
      </c>
      <c r="H1684" t="inlineStr">
        <is>
          <t>No</t>
        </is>
      </c>
      <c r="I1684" t="inlineStr">
        <is>
          <t>No</t>
        </is>
      </c>
      <c r="J1684" t="inlineStr">
        <is>
          <t>0</t>
        </is>
      </c>
      <c r="K1684" t="inlineStr">
        <is>
          <t>Hourani, Albert, 1915-1993.</t>
        </is>
      </c>
      <c r="L1684" t="inlineStr">
        <is>
          <t>Berkeley : University of California Press, 1980.</t>
        </is>
      </c>
      <c r="M1684" t="inlineStr">
        <is>
          <t>1980</t>
        </is>
      </c>
      <c r="O1684" t="inlineStr">
        <is>
          <t>eng</t>
        </is>
      </c>
      <c r="P1684" t="inlineStr">
        <is>
          <t>cau</t>
        </is>
      </c>
      <c r="R1684" t="inlineStr">
        <is>
          <t xml:space="preserve">DS </t>
        </is>
      </c>
      <c r="S1684" t="n">
        <v>3</v>
      </c>
      <c r="T1684" t="n">
        <v>3</v>
      </c>
      <c r="U1684" t="inlineStr">
        <is>
          <t>1998-11-06</t>
        </is>
      </c>
      <c r="V1684" t="inlineStr">
        <is>
          <t>1998-11-06</t>
        </is>
      </c>
      <c r="W1684" t="inlineStr">
        <is>
          <t>1990-09-18</t>
        </is>
      </c>
      <c r="X1684" t="inlineStr">
        <is>
          <t>1990-09-18</t>
        </is>
      </c>
      <c r="Y1684" t="n">
        <v>551</v>
      </c>
      <c r="Z1684" t="n">
        <v>501</v>
      </c>
      <c r="AA1684" t="n">
        <v>535</v>
      </c>
      <c r="AB1684" t="n">
        <v>4</v>
      </c>
      <c r="AC1684" t="n">
        <v>5</v>
      </c>
      <c r="AD1684" t="n">
        <v>24</v>
      </c>
      <c r="AE1684" t="n">
        <v>25</v>
      </c>
      <c r="AF1684" t="n">
        <v>6</v>
      </c>
      <c r="AG1684" t="n">
        <v>6</v>
      </c>
      <c r="AH1684" t="n">
        <v>10</v>
      </c>
      <c r="AI1684" t="n">
        <v>10</v>
      </c>
      <c r="AJ1684" t="n">
        <v>13</v>
      </c>
      <c r="AK1684" t="n">
        <v>13</v>
      </c>
      <c r="AL1684" t="n">
        <v>3</v>
      </c>
      <c r="AM1684" t="n">
        <v>4</v>
      </c>
      <c r="AN1684" t="n">
        <v>0</v>
      </c>
      <c r="AO1684" t="n">
        <v>0</v>
      </c>
      <c r="AP1684" t="inlineStr">
        <is>
          <t>No</t>
        </is>
      </c>
      <c r="AQ1684" t="inlineStr">
        <is>
          <t>No</t>
        </is>
      </c>
      <c r="AS1684">
        <f>HYPERLINK("https://creighton-primo.hosted.exlibrisgroup.com/primo-explore/search?tab=default_tab&amp;search_scope=EVERYTHING&amp;vid=01CRU&amp;lang=en_US&amp;offset=0&amp;query=any,contains,991004996489702656","Catalog Record")</f>
        <v/>
      </c>
      <c r="AT1684">
        <f>HYPERLINK("http://www.worldcat.org/oclc/6520352","WorldCat Record")</f>
        <v/>
      </c>
      <c r="AU1684" t="inlineStr">
        <is>
          <t>352665190:eng</t>
        </is>
      </c>
      <c r="AV1684" t="inlineStr">
        <is>
          <t>6520352</t>
        </is>
      </c>
      <c r="AW1684" t="inlineStr">
        <is>
          <t>991004996489702656</t>
        </is>
      </c>
      <c r="AX1684" t="inlineStr">
        <is>
          <t>991004996489702656</t>
        </is>
      </c>
      <c r="AY1684" t="inlineStr">
        <is>
          <t>2255486490002656</t>
        </is>
      </c>
      <c r="AZ1684" t="inlineStr">
        <is>
          <t>BOOK</t>
        </is>
      </c>
      <c r="BB1684" t="inlineStr">
        <is>
          <t>9780520037427</t>
        </is>
      </c>
      <c r="BC1684" t="inlineStr">
        <is>
          <t>32285000292010</t>
        </is>
      </c>
      <c r="BD1684" t="inlineStr">
        <is>
          <t>893418245</t>
        </is>
      </c>
    </row>
    <row r="1685">
      <c r="A1685" t="inlineStr">
        <is>
          <t>No</t>
        </is>
      </c>
      <c r="B1685" t="inlineStr">
        <is>
          <t>DS63.2.E8 L48 1982</t>
        </is>
      </c>
      <c r="C1685" t="inlineStr">
        <is>
          <t>0                      DS 0063200E  8                  L  48          1982</t>
        </is>
      </c>
      <c r="D1685" t="inlineStr">
        <is>
          <t>The Muslim discovery of Europe / by Bernard Lewis.</t>
        </is>
      </c>
      <c r="F1685" t="inlineStr">
        <is>
          <t>No</t>
        </is>
      </c>
      <c r="G1685" t="inlineStr">
        <is>
          <t>1</t>
        </is>
      </c>
      <c r="H1685" t="inlineStr">
        <is>
          <t>No</t>
        </is>
      </c>
      <c r="I1685" t="inlineStr">
        <is>
          <t>No</t>
        </is>
      </c>
      <c r="J1685" t="inlineStr">
        <is>
          <t>0</t>
        </is>
      </c>
      <c r="K1685" t="inlineStr">
        <is>
          <t>Lewis, Bernard, 1916-2018.</t>
        </is>
      </c>
      <c r="L1685" t="inlineStr">
        <is>
          <t>New York : W.W. Norton, c1982.</t>
        </is>
      </c>
      <c r="M1685" t="inlineStr">
        <is>
          <t>1982</t>
        </is>
      </c>
      <c r="N1685" t="inlineStr">
        <is>
          <t>1st ed.</t>
        </is>
      </c>
      <c r="O1685" t="inlineStr">
        <is>
          <t>eng</t>
        </is>
      </c>
      <c r="P1685" t="inlineStr">
        <is>
          <t>nyu</t>
        </is>
      </c>
      <c r="R1685" t="inlineStr">
        <is>
          <t xml:space="preserve">DS </t>
        </is>
      </c>
      <c r="S1685" t="n">
        <v>1</v>
      </c>
      <c r="T1685" t="n">
        <v>1</v>
      </c>
      <c r="U1685" t="inlineStr">
        <is>
          <t>1996-03-01</t>
        </is>
      </c>
      <c r="V1685" t="inlineStr">
        <is>
          <t>1996-03-01</t>
        </is>
      </c>
      <c r="W1685" t="inlineStr">
        <is>
          <t>1990-08-16</t>
        </is>
      </c>
      <c r="X1685" t="inlineStr">
        <is>
          <t>1990-08-16</t>
        </is>
      </c>
      <c r="Y1685" t="n">
        <v>982</v>
      </c>
      <c r="Z1685" t="n">
        <v>852</v>
      </c>
      <c r="AA1685" t="n">
        <v>1045</v>
      </c>
      <c r="AB1685" t="n">
        <v>8</v>
      </c>
      <c r="AC1685" t="n">
        <v>11</v>
      </c>
      <c r="AD1685" t="n">
        <v>39</v>
      </c>
      <c r="AE1685" t="n">
        <v>45</v>
      </c>
      <c r="AF1685" t="n">
        <v>15</v>
      </c>
      <c r="AG1685" t="n">
        <v>18</v>
      </c>
      <c r="AH1685" t="n">
        <v>8</v>
      </c>
      <c r="AI1685" t="n">
        <v>8</v>
      </c>
      <c r="AJ1685" t="n">
        <v>18</v>
      </c>
      <c r="AK1685" t="n">
        <v>19</v>
      </c>
      <c r="AL1685" t="n">
        <v>7</v>
      </c>
      <c r="AM1685" t="n">
        <v>9</v>
      </c>
      <c r="AN1685" t="n">
        <v>0</v>
      </c>
      <c r="AO1685" t="n">
        <v>0</v>
      </c>
      <c r="AP1685" t="inlineStr">
        <is>
          <t>No</t>
        </is>
      </c>
      <c r="AQ1685" t="inlineStr">
        <is>
          <t>No</t>
        </is>
      </c>
      <c r="AS1685">
        <f>HYPERLINK("https://creighton-primo.hosted.exlibrisgroup.com/primo-explore/search?tab=default_tab&amp;search_scope=EVERYTHING&amp;vid=01CRU&amp;lang=en_US&amp;offset=0&amp;query=any,contains,991005193679702656","Catalog Record")</f>
        <v/>
      </c>
      <c r="AT1685">
        <f>HYPERLINK("http://www.worldcat.org/oclc/8032662","WorldCat Record")</f>
        <v/>
      </c>
      <c r="AU1685" t="inlineStr">
        <is>
          <t>12747763:eng</t>
        </is>
      </c>
      <c r="AV1685" t="inlineStr">
        <is>
          <t>8032662</t>
        </is>
      </c>
      <c r="AW1685" t="inlineStr">
        <is>
          <t>991005193679702656</t>
        </is>
      </c>
      <c r="AX1685" t="inlineStr">
        <is>
          <t>991005193679702656</t>
        </is>
      </c>
      <c r="AY1685" t="inlineStr">
        <is>
          <t>2269072640002656</t>
        </is>
      </c>
      <c r="AZ1685" t="inlineStr">
        <is>
          <t>BOOK</t>
        </is>
      </c>
      <c r="BB1685" t="inlineStr">
        <is>
          <t>9780393015294</t>
        </is>
      </c>
      <c r="BC1685" t="inlineStr">
        <is>
          <t>32285000274489</t>
        </is>
      </c>
      <c r="BD1685" t="inlineStr">
        <is>
          <t>893877095</t>
        </is>
      </c>
    </row>
    <row r="1686">
      <c r="A1686" t="inlineStr">
        <is>
          <t>No</t>
        </is>
      </c>
      <c r="B1686" t="inlineStr">
        <is>
          <t>DS63.2.G7 A22 1983</t>
        </is>
      </c>
      <c r="C1686" t="inlineStr">
        <is>
          <t>0                      DS 0063200G  7                  A  22          1983</t>
        </is>
      </c>
      <c r="D1686" t="inlineStr">
        <is>
          <t>Britain's withdrawal from the Middle East, 1947-1971 : the economic and strategic imperatives / by Jacob Abadi.</t>
        </is>
      </c>
      <c r="F1686" t="inlineStr">
        <is>
          <t>No</t>
        </is>
      </c>
      <c r="G1686" t="inlineStr">
        <is>
          <t>1</t>
        </is>
      </c>
      <c r="H1686" t="inlineStr">
        <is>
          <t>No</t>
        </is>
      </c>
      <c r="I1686" t="inlineStr">
        <is>
          <t>No</t>
        </is>
      </c>
      <c r="J1686" t="inlineStr">
        <is>
          <t>0</t>
        </is>
      </c>
      <c r="K1686" t="inlineStr">
        <is>
          <t>Abadi, Jacob.</t>
        </is>
      </c>
      <c r="L1686" t="inlineStr">
        <is>
          <t>Princeton, N.J. : Kingston Press, 1982, c1983.</t>
        </is>
      </c>
      <c r="M1686" t="inlineStr">
        <is>
          <t>1983</t>
        </is>
      </c>
      <c r="O1686" t="inlineStr">
        <is>
          <t>eng</t>
        </is>
      </c>
      <c r="P1686" t="inlineStr">
        <is>
          <t>nju</t>
        </is>
      </c>
      <c r="Q1686" t="inlineStr">
        <is>
          <t>The Kingston Press series. Leaders, politics, and social change in the Islamic world</t>
        </is>
      </c>
      <c r="R1686" t="inlineStr">
        <is>
          <t xml:space="preserve">DS </t>
        </is>
      </c>
      <c r="S1686" t="n">
        <v>1</v>
      </c>
      <c r="T1686" t="n">
        <v>1</v>
      </c>
      <c r="U1686" t="inlineStr">
        <is>
          <t>1992-11-19</t>
        </is>
      </c>
      <c r="V1686" t="inlineStr">
        <is>
          <t>1992-11-19</t>
        </is>
      </c>
      <c r="W1686" t="inlineStr">
        <is>
          <t>1990-08-16</t>
        </is>
      </c>
      <c r="X1686" t="inlineStr">
        <is>
          <t>1990-08-16</t>
        </is>
      </c>
      <c r="Y1686" t="n">
        <v>325</v>
      </c>
      <c r="Z1686" t="n">
        <v>251</v>
      </c>
      <c r="AA1686" t="n">
        <v>260</v>
      </c>
      <c r="AB1686" t="n">
        <v>1</v>
      </c>
      <c r="AC1686" t="n">
        <v>1</v>
      </c>
      <c r="AD1686" t="n">
        <v>12</v>
      </c>
      <c r="AE1686" t="n">
        <v>12</v>
      </c>
      <c r="AF1686" t="n">
        <v>5</v>
      </c>
      <c r="AG1686" t="n">
        <v>5</v>
      </c>
      <c r="AH1686" t="n">
        <v>4</v>
      </c>
      <c r="AI1686" t="n">
        <v>4</v>
      </c>
      <c r="AJ1686" t="n">
        <v>7</v>
      </c>
      <c r="AK1686" t="n">
        <v>7</v>
      </c>
      <c r="AL1686" t="n">
        <v>0</v>
      </c>
      <c r="AM1686" t="n">
        <v>0</v>
      </c>
      <c r="AN1686" t="n">
        <v>0</v>
      </c>
      <c r="AO1686" t="n">
        <v>0</v>
      </c>
      <c r="AP1686" t="inlineStr">
        <is>
          <t>No</t>
        </is>
      </c>
      <c r="AQ1686" t="inlineStr">
        <is>
          <t>Yes</t>
        </is>
      </c>
      <c r="AR1686">
        <f>HYPERLINK("http://catalog.hathitrust.org/Record/000592514","HathiTrust Record")</f>
        <v/>
      </c>
      <c r="AS1686">
        <f>HYPERLINK("https://creighton-primo.hosted.exlibrisgroup.com/primo-explore/search?tab=default_tab&amp;search_scope=EVERYTHING&amp;vid=01CRU&amp;lang=en_US&amp;offset=0&amp;query=any,contains,991000272349702656","Catalog Record")</f>
        <v/>
      </c>
      <c r="AT1686">
        <f>HYPERLINK("http://www.worldcat.org/oclc/9875115","WorldCat Record")</f>
        <v/>
      </c>
      <c r="AU1686" t="inlineStr">
        <is>
          <t>890237415:eng</t>
        </is>
      </c>
      <c r="AV1686" t="inlineStr">
        <is>
          <t>9875115</t>
        </is>
      </c>
      <c r="AW1686" t="inlineStr">
        <is>
          <t>991000272349702656</t>
        </is>
      </c>
      <c r="AX1686" t="inlineStr">
        <is>
          <t>991000272349702656</t>
        </is>
      </c>
      <c r="AY1686" t="inlineStr">
        <is>
          <t>2271606630002656</t>
        </is>
      </c>
      <c r="AZ1686" t="inlineStr">
        <is>
          <t>BOOK</t>
        </is>
      </c>
      <c r="BB1686" t="inlineStr">
        <is>
          <t>9780940670198</t>
        </is>
      </c>
      <c r="BC1686" t="inlineStr">
        <is>
          <t>32285000274497</t>
        </is>
      </c>
      <c r="BD1686" t="inlineStr">
        <is>
          <t>893502377</t>
        </is>
      </c>
    </row>
    <row r="1687">
      <c r="A1687" t="inlineStr">
        <is>
          <t>No</t>
        </is>
      </c>
      <c r="B1687" t="inlineStr">
        <is>
          <t>DS63.2.G7 B34 1990</t>
        </is>
      </c>
      <c r="C1687" t="inlineStr">
        <is>
          <t>0                      DS 0063200G  7                  B  34          1990</t>
        </is>
      </c>
      <c r="D1687" t="inlineStr">
        <is>
          <t>The end of empire in the Middle East : Britain's relinquishment of power in her last three Arab dependencies / Glen Balfour-Paul.</t>
        </is>
      </c>
      <c r="F1687" t="inlineStr">
        <is>
          <t>No</t>
        </is>
      </c>
      <c r="G1687" t="inlineStr">
        <is>
          <t>1</t>
        </is>
      </c>
      <c r="H1687" t="inlineStr">
        <is>
          <t>No</t>
        </is>
      </c>
      <c r="I1687" t="inlineStr">
        <is>
          <t>No</t>
        </is>
      </c>
      <c r="J1687" t="inlineStr">
        <is>
          <t>0</t>
        </is>
      </c>
      <c r="K1687" t="inlineStr">
        <is>
          <t>Balfour-Paul, Glen.</t>
        </is>
      </c>
      <c r="L1687" t="inlineStr">
        <is>
          <t>Cambridge [England] ; New York : Cambridge University Press, 1991.</t>
        </is>
      </c>
      <c r="M1687" t="inlineStr">
        <is>
          <t>1991</t>
        </is>
      </c>
      <c r="O1687" t="inlineStr">
        <is>
          <t>eng</t>
        </is>
      </c>
      <c r="P1687" t="inlineStr">
        <is>
          <t>enk</t>
        </is>
      </c>
      <c r="Q1687" t="inlineStr">
        <is>
          <t>Cambridge Middle East library ; 25</t>
        </is>
      </c>
      <c r="R1687" t="inlineStr">
        <is>
          <t xml:space="preserve">DS </t>
        </is>
      </c>
      <c r="S1687" t="n">
        <v>1</v>
      </c>
      <c r="T1687" t="n">
        <v>1</v>
      </c>
      <c r="U1687" t="inlineStr">
        <is>
          <t>1992-09-30</t>
        </is>
      </c>
      <c r="V1687" t="inlineStr">
        <is>
          <t>1992-09-30</t>
        </is>
      </c>
      <c r="W1687" t="inlineStr">
        <is>
          <t>1991-07-01</t>
        </is>
      </c>
      <c r="X1687" t="inlineStr">
        <is>
          <t>1991-07-01</t>
        </is>
      </c>
      <c r="Y1687" t="n">
        <v>540</v>
      </c>
      <c r="Z1687" t="n">
        <v>396</v>
      </c>
      <c r="AA1687" t="n">
        <v>418</v>
      </c>
      <c r="AB1687" t="n">
        <v>4</v>
      </c>
      <c r="AC1687" t="n">
        <v>4</v>
      </c>
      <c r="AD1687" t="n">
        <v>21</v>
      </c>
      <c r="AE1687" t="n">
        <v>23</v>
      </c>
      <c r="AF1687" t="n">
        <v>4</v>
      </c>
      <c r="AG1687" t="n">
        <v>5</v>
      </c>
      <c r="AH1687" t="n">
        <v>6</v>
      </c>
      <c r="AI1687" t="n">
        <v>6</v>
      </c>
      <c r="AJ1687" t="n">
        <v>12</v>
      </c>
      <c r="AK1687" t="n">
        <v>14</v>
      </c>
      <c r="AL1687" t="n">
        <v>3</v>
      </c>
      <c r="AM1687" t="n">
        <v>3</v>
      </c>
      <c r="AN1687" t="n">
        <v>0</v>
      </c>
      <c r="AO1687" t="n">
        <v>0</v>
      </c>
      <c r="AP1687" t="inlineStr">
        <is>
          <t>No</t>
        </is>
      </c>
      <c r="AQ1687" t="inlineStr">
        <is>
          <t>No</t>
        </is>
      </c>
      <c r="AS1687">
        <f>HYPERLINK("https://creighton-primo.hosted.exlibrisgroup.com/primo-explore/search?tab=default_tab&amp;search_scope=EVERYTHING&amp;vid=01CRU&amp;lang=en_US&amp;offset=0&amp;query=any,contains,991001622769702656","Catalog Record")</f>
        <v/>
      </c>
      <c r="AT1687">
        <f>HYPERLINK("http://www.worldcat.org/oclc/20826327","WorldCat Record")</f>
        <v/>
      </c>
      <c r="AU1687" t="inlineStr">
        <is>
          <t>795548454:eng</t>
        </is>
      </c>
      <c r="AV1687" t="inlineStr">
        <is>
          <t>20826327</t>
        </is>
      </c>
      <c r="AW1687" t="inlineStr">
        <is>
          <t>991001622769702656</t>
        </is>
      </c>
      <c r="AX1687" t="inlineStr">
        <is>
          <t>991001622769702656</t>
        </is>
      </c>
      <c r="AY1687" t="inlineStr">
        <is>
          <t>2261107190002656</t>
        </is>
      </c>
      <c r="AZ1687" t="inlineStr">
        <is>
          <t>BOOK</t>
        </is>
      </c>
      <c r="BB1687" t="inlineStr">
        <is>
          <t>9780521382595</t>
        </is>
      </c>
      <c r="BC1687" t="inlineStr">
        <is>
          <t>32285000659366</t>
        </is>
      </c>
      <c r="BD1687" t="inlineStr">
        <is>
          <t>893791544</t>
        </is>
      </c>
    </row>
    <row r="1688">
      <c r="A1688" t="inlineStr">
        <is>
          <t>No</t>
        </is>
      </c>
      <c r="B1688" t="inlineStr">
        <is>
          <t>DS63.2.G7 B74 1992a</t>
        </is>
      </c>
      <c r="C1688" t="inlineStr">
        <is>
          <t>0                      DS 0063200G  7                  B  74          1992a</t>
        </is>
      </c>
      <c r="D1688" t="inlineStr">
        <is>
          <t>Britain and the Middle East in the 1930s : security problems, 1935-39 / edited by Michael J. Cohen and Martin Kolinsky.</t>
        </is>
      </c>
      <c r="F1688" t="inlineStr">
        <is>
          <t>No</t>
        </is>
      </c>
      <c r="G1688" t="inlineStr">
        <is>
          <t>1</t>
        </is>
      </c>
      <c r="H1688" t="inlineStr">
        <is>
          <t>No</t>
        </is>
      </c>
      <c r="I1688" t="inlineStr">
        <is>
          <t>No</t>
        </is>
      </c>
      <c r="J1688" t="inlineStr">
        <is>
          <t>0</t>
        </is>
      </c>
      <c r="L1688" t="inlineStr">
        <is>
          <t>Basingstoke : Macmillan in association with King's College, London, 1992.</t>
        </is>
      </c>
      <c r="M1688" t="inlineStr">
        <is>
          <t>1992</t>
        </is>
      </c>
      <c r="O1688" t="inlineStr">
        <is>
          <t>eng</t>
        </is>
      </c>
      <c r="P1688" t="inlineStr">
        <is>
          <t>enk</t>
        </is>
      </c>
      <c r="Q1688" t="inlineStr">
        <is>
          <t>Studies in military and strategic history</t>
        </is>
      </c>
      <c r="R1688" t="inlineStr">
        <is>
          <t xml:space="preserve">DS </t>
        </is>
      </c>
      <c r="S1688" t="n">
        <v>3</v>
      </c>
      <c r="T1688" t="n">
        <v>3</v>
      </c>
      <c r="U1688" t="inlineStr">
        <is>
          <t>1998-01-12</t>
        </is>
      </c>
      <c r="V1688" t="inlineStr">
        <is>
          <t>1998-01-12</t>
        </is>
      </c>
      <c r="W1688" t="inlineStr">
        <is>
          <t>1993-04-13</t>
        </is>
      </c>
      <c r="X1688" t="inlineStr">
        <is>
          <t>1993-04-13</t>
        </is>
      </c>
      <c r="Y1688" t="n">
        <v>60</v>
      </c>
      <c r="Z1688" t="n">
        <v>18</v>
      </c>
      <c r="AA1688" t="n">
        <v>123</v>
      </c>
      <c r="AB1688" t="n">
        <v>1</v>
      </c>
      <c r="AC1688" t="n">
        <v>1</v>
      </c>
      <c r="AD1688" t="n">
        <v>1</v>
      </c>
      <c r="AE1688" t="n">
        <v>6</v>
      </c>
      <c r="AF1688" t="n">
        <v>0</v>
      </c>
      <c r="AG1688" t="n">
        <v>1</v>
      </c>
      <c r="AH1688" t="n">
        <v>1</v>
      </c>
      <c r="AI1688" t="n">
        <v>3</v>
      </c>
      <c r="AJ1688" t="n">
        <v>1</v>
      </c>
      <c r="AK1688" t="n">
        <v>5</v>
      </c>
      <c r="AL1688" t="n">
        <v>0</v>
      </c>
      <c r="AM1688" t="n">
        <v>0</v>
      </c>
      <c r="AN1688" t="n">
        <v>0</v>
      </c>
      <c r="AO1688" t="n">
        <v>0</v>
      </c>
      <c r="AP1688" t="inlineStr">
        <is>
          <t>No</t>
        </is>
      </c>
      <c r="AQ1688" t="inlineStr">
        <is>
          <t>Yes</t>
        </is>
      </c>
      <c r="AR1688">
        <f>HYPERLINK("http://catalog.hathitrust.org/Record/006041346","HathiTrust Record")</f>
        <v/>
      </c>
      <c r="AS1688">
        <f>HYPERLINK("https://creighton-primo.hosted.exlibrisgroup.com/primo-explore/search?tab=default_tab&amp;search_scope=EVERYTHING&amp;vid=01CRU&amp;lang=en_US&amp;offset=0&amp;query=any,contains,991002113629702656","Catalog Record")</f>
        <v/>
      </c>
      <c r="AT1688">
        <f>HYPERLINK("http://www.worldcat.org/oclc/27072170","WorldCat Record")</f>
        <v/>
      </c>
      <c r="AU1688" t="inlineStr">
        <is>
          <t>836885281:eng</t>
        </is>
      </c>
      <c r="AV1688" t="inlineStr">
        <is>
          <t>27072170</t>
        </is>
      </c>
      <c r="AW1688" t="inlineStr">
        <is>
          <t>991002113629702656</t>
        </is>
      </c>
      <c r="AX1688" t="inlineStr">
        <is>
          <t>991002113629702656</t>
        </is>
      </c>
      <c r="AY1688" t="inlineStr">
        <is>
          <t>2272250610002656</t>
        </is>
      </c>
      <c r="AZ1688" t="inlineStr">
        <is>
          <t>BOOK</t>
        </is>
      </c>
      <c r="BB1688" t="inlineStr">
        <is>
          <t>9780333535141</t>
        </is>
      </c>
      <c r="BC1688" t="inlineStr">
        <is>
          <t>32285001499861</t>
        </is>
      </c>
      <c r="BD1688" t="inlineStr">
        <is>
          <t>893691235</t>
        </is>
      </c>
    </row>
    <row r="1689">
      <c r="A1689" t="inlineStr">
        <is>
          <t>No</t>
        </is>
      </c>
      <c r="B1689" t="inlineStr">
        <is>
          <t>DS63.2.G7 D37 1981</t>
        </is>
      </c>
      <c r="C1689" t="inlineStr">
        <is>
          <t>0                      DS 0063200G  7                  D  37          1981</t>
        </is>
      </c>
      <c r="D1689" t="inlineStr">
        <is>
          <t>Britain, Egypt, and the Middle East : imperial policy in the aftermath of war, 1918-1922 / John Darwin.</t>
        </is>
      </c>
      <c r="F1689" t="inlineStr">
        <is>
          <t>No</t>
        </is>
      </c>
      <c r="G1689" t="inlineStr">
        <is>
          <t>1</t>
        </is>
      </c>
      <c r="H1689" t="inlineStr">
        <is>
          <t>No</t>
        </is>
      </c>
      <c r="I1689" t="inlineStr">
        <is>
          <t>No</t>
        </is>
      </c>
      <c r="J1689" t="inlineStr">
        <is>
          <t>0</t>
        </is>
      </c>
      <c r="K1689" t="inlineStr">
        <is>
          <t>Darwin, John.</t>
        </is>
      </c>
      <c r="L1689" t="inlineStr">
        <is>
          <t>New York : St. Martin's Press, 1981.</t>
        </is>
      </c>
      <c r="M1689" t="inlineStr">
        <is>
          <t>1981</t>
        </is>
      </c>
      <c r="O1689" t="inlineStr">
        <is>
          <t>eng</t>
        </is>
      </c>
      <c r="P1689" t="inlineStr">
        <is>
          <t>nyu</t>
        </is>
      </c>
      <c r="R1689" t="inlineStr">
        <is>
          <t xml:space="preserve">DS </t>
        </is>
      </c>
      <c r="S1689" t="n">
        <v>3</v>
      </c>
      <c r="T1689" t="n">
        <v>3</v>
      </c>
      <c r="U1689" t="inlineStr">
        <is>
          <t>1997-04-12</t>
        </is>
      </c>
      <c r="V1689" t="inlineStr">
        <is>
          <t>1997-04-12</t>
        </is>
      </c>
      <c r="W1689" t="inlineStr">
        <is>
          <t>1990-08-16</t>
        </is>
      </c>
      <c r="X1689" t="inlineStr">
        <is>
          <t>1990-08-16</t>
        </is>
      </c>
      <c r="Y1689" t="n">
        <v>231</v>
      </c>
      <c r="Z1689" t="n">
        <v>203</v>
      </c>
      <c r="AA1689" t="n">
        <v>259</v>
      </c>
      <c r="AB1689" t="n">
        <v>3</v>
      </c>
      <c r="AC1689" t="n">
        <v>4</v>
      </c>
      <c r="AD1689" t="n">
        <v>9</v>
      </c>
      <c r="AE1689" t="n">
        <v>11</v>
      </c>
      <c r="AF1689" t="n">
        <v>2</v>
      </c>
      <c r="AG1689" t="n">
        <v>3</v>
      </c>
      <c r="AH1689" t="n">
        <v>3</v>
      </c>
      <c r="AI1689" t="n">
        <v>3</v>
      </c>
      <c r="AJ1689" t="n">
        <v>4</v>
      </c>
      <c r="AK1689" t="n">
        <v>5</v>
      </c>
      <c r="AL1689" t="n">
        <v>2</v>
      </c>
      <c r="AM1689" t="n">
        <v>3</v>
      </c>
      <c r="AN1689" t="n">
        <v>0</v>
      </c>
      <c r="AO1689" t="n">
        <v>0</v>
      </c>
      <c r="AP1689" t="inlineStr">
        <is>
          <t>No</t>
        </is>
      </c>
      <c r="AQ1689" t="inlineStr">
        <is>
          <t>No</t>
        </is>
      </c>
      <c r="AS1689">
        <f>HYPERLINK("https://creighton-primo.hosted.exlibrisgroup.com/primo-explore/search?tab=default_tab&amp;search_scope=EVERYTHING&amp;vid=01CRU&amp;lang=en_US&amp;offset=0&amp;query=any,contains,991004952579702656","Catalog Record")</f>
        <v/>
      </c>
      <c r="AT1689">
        <f>HYPERLINK("http://www.worldcat.org/oclc/6251595","WorldCat Record")</f>
        <v/>
      </c>
      <c r="AU1689" t="inlineStr">
        <is>
          <t>441765:eng</t>
        </is>
      </c>
      <c r="AV1689" t="inlineStr">
        <is>
          <t>6251595</t>
        </is>
      </c>
      <c r="AW1689" t="inlineStr">
        <is>
          <t>991004952579702656</t>
        </is>
      </c>
      <c r="AX1689" t="inlineStr">
        <is>
          <t>991004952579702656</t>
        </is>
      </c>
      <c r="AY1689" t="inlineStr">
        <is>
          <t>2262907190002656</t>
        </is>
      </c>
      <c r="AZ1689" t="inlineStr">
        <is>
          <t>BOOK</t>
        </is>
      </c>
      <c r="BB1689" t="inlineStr">
        <is>
          <t>9780312097363</t>
        </is>
      </c>
      <c r="BC1689" t="inlineStr">
        <is>
          <t>32285000274505</t>
        </is>
      </c>
      <c r="BD1689" t="inlineStr">
        <is>
          <t>893319813</t>
        </is>
      </c>
    </row>
    <row r="1690">
      <c r="A1690" t="inlineStr">
        <is>
          <t>No</t>
        </is>
      </c>
      <c r="B1690" t="inlineStr">
        <is>
          <t>DS63.2.G7 K4</t>
        </is>
      </c>
      <c r="C1690" t="inlineStr">
        <is>
          <t>0                      DS 0063200G  7                  K  4</t>
        </is>
      </c>
      <c r="D1690" t="inlineStr">
        <is>
          <t>In the Anglo-Arab labyrinth : the McMahon-Husayn correspondence and its interpretations, 1914-1939 / Elie Kedourie.</t>
        </is>
      </c>
      <c r="F1690" t="inlineStr">
        <is>
          <t>No</t>
        </is>
      </c>
      <c r="G1690" t="inlineStr">
        <is>
          <t>1</t>
        </is>
      </c>
      <c r="H1690" t="inlineStr">
        <is>
          <t>No</t>
        </is>
      </c>
      <c r="I1690" t="inlineStr">
        <is>
          <t>No</t>
        </is>
      </c>
      <c r="J1690" t="inlineStr">
        <is>
          <t>0</t>
        </is>
      </c>
      <c r="K1690" t="inlineStr">
        <is>
          <t>Kedourie, Elie.</t>
        </is>
      </c>
      <c r="L1690" t="inlineStr">
        <is>
          <t>Cambridge ; New York : Cambridge University Press, 1976.</t>
        </is>
      </c>
      <c r="M1690" t="inlineStr">
        <is>
          <t>1976</t>
        </is>
      </c>
      <c r="O1690" t="inlineStr">
        <is>
          <t>eng</t>
        </is>
      </c>
      <c r="P1690" t="inlineStr">
        <is>
          <t>mau</t>
        </is>
      </c>
      <c r="Q1690" t="inlineStr">
        <is>
          <t>Cambridge studies in the history and theory of politics</t>
        </is>
      </c>
      <c r="R1690" t="inlineStr">
        <is>
          <t xml:space="preserve">DS </t>
        </is>
      </c>
      <c r="S1690" t="n">
        <v>3</v>
      </c>
      <c r="T1690" t="n">
        <v>3</v>
      </c>
      <c r="U1690" t="inlineStr">
        <is>
          <t>2010-10-12</t>
        </is>
      </c>
      <c r="V1690" t="inlineStr">
        <is>
          <t>2010-10-12</t>
        </is>
      </c>
      <c r="W1690" t="inlineStr">
        <is>
          <t>1992-05-05</t>
        </is>
      </c>
      <c r="X1690" t="inlineStr">
        <is>
          <t>1992-05-05</t>
        </is>
      </c>
      <c r="Y1690" t="n">
        <v>438</v>
      </c>
      <c r="Z1690" t="n">
        <v>293</v>
      </c>
      <c r="AA1690" t="n">
        <v>347</v>
      </c>
      <c r="AB1690" t="n">
        <v>3</v>
      </c>
      <c r="AC1690" t="n">
        <v>3</v>
      </c>
      <c r="AD1690" t="n">
        <v>13</v>
      </c>
      <c r="AE1690" t="n">
        <v>14</v>
      </c>
      <c r="AF1690" t="n">
        <v>2</v>
      </c>
      <c r="AG1690" t="n">
        <v>2</v>
      </c>
      <c r="AH1690" t="n">
        <v>4</v>
      </c>
      <c r="AI1690" t="n">
        <v>4</v>
      </c>
      <c r="AJ1690" t="n">
        <v>9</v>
      </c>
      <c r="AK1690" t="n">
        <v>10</v>
      </c>
      <c r="AL1690" t="n">
        <v>2</v>
      </c>
      <c r="AM1690" t="n">
        <v>2</v>
      </c>
      <c r="AN1690" t="n">
        <v>0</v>
      </c>
      <c r="AO1690" t="n">
        <v>0</v>
      </c>
      <c r="AP1690" t="inlineStr">
        <is>
          <t>No</t>
        </is>
      </c>
      <c r="AQ1690" t="inlineStr">
        <is>
          <t>No</t>
        </is>
      </c>
      <c r="AS1690">
        <f>HYPERLINK("https://creighton-primo.hosted.exlibrisgroup.com/primo-explore/search?tab=default_tab&amp;search_scope=EVERYTHING&amp;vid=01CRU&amp;lang=en_US&amp;offset=0&amp;query=any,contains,991003909349702656","Catalog Record")</f>
        <v/>
      </c>
      <c r="AT1690">
        <f>HYPERLINK("http://www.worldcat.org/oclc/1848902","WorldCat Record")</f>
        <v/>
      </c>
      <c r="AU1690" t="inlineStr">
        <is>
          <t>2702719:eng</t>
        </is>
      </c>
      <c r="AV1690" t="inlineStr">
        <is>
          <t>1848902</t>
        </is>
      </c>
      <c r="AW1690" t="inlineStr">
        <is>
          <t>991003909349702656</t>
        </is>
      </c>
      <c r="AX1690" t="inlineStr">
        <is>
          <t>991003909349702656</t>
        </is>
      </c>
      <c r="AY1690" t="inlineStr">
        <is>
          <t>2257260520002656</t>
        </is>
      </c>
      <c r="AZ1690" t="inlineStr">
        <is>
          <t>BOOK</t>
        </is>
      </c>
      <c r="BB1690" t="inlineStr">
        <is>
          <t>9780521208260</t>
        </is>
      </c>
      <c r="BC1690" t="inlineStr">
        <is>
          <t>32285001093219</t>
        </is>
      </c>
      <c r="BD1690" t="inlineStr">
        <is>
          <t>893525413</t>
        </is>
      </c>
    </row>
    <row r="1691">
      <c r="A1691" t="inlineStr">
        <is>
          <t>No</t>
        </is>
      </c>
      <c r="B1691" t="inlineStr">
        <is>
          <t>DS63.2.G7 K58</t>
        </is>
      </c>
      <c r="C1691" t="inlineStr">
        <is>
          <t>0                      DS 0063200G  7                  K  58</t>
        </is>
      </c>
      <c r="D1691" t="inlineStr">
        <is>
          <t>Foundations of British policy in the Arab world : the Cairo Conference of 1921 / [by] Aaron S. Klieman.</t>
        </is>
      </c>
      <c r="F1691" t="inlineStr">
        <is>
          <t>No</t>
        </is>
      </c>
      <c r="G1691" t="inlineStr">
        <is>
          <t>1</t>
        </is>
      </c>
      <c r="H1691" t="inlineStr">
        <is>
          <t>No</t>
        </is>
      </c>
      <c r="I1691" t="inlineStr">
        <is>
          <t>No</t>
        </is>
      </c>
      <c r="J1691" t="inlineStr">
        <is>
          <t>0</t>
        </is>
      </c>
      <c r="K1691" t="inlineStr">
        <is>
          <t>Klieman, Aaron S.</t>
        </is>
      </c>
      <c r="L1691" t="inlineStr">
        <is>
          <t>Baltimore : Johns Hopkins Press, [1970]</t>
        </is>
      </c>
      <c r="M1691" t="inlineStr">
        <is>
          <t>1970</t>
        </is>
      </c>
      <c r="O1691" t="inlineStr">
        <is>
          <t>eng</t>
        </is>
      </c>
      <c r="P1691" t="inlineStr">
        <is>
          <t>mdu</t>
        </is>
      </c>
      <c r="R1691" t="inlineStr">
        <is>
          <t xml:space="preserve">DS </t>
        </is>
      </c>
      <c r="S1691" t="n">
        <v>2</v>
      </c>
      <c r="T1691" t="n">
        <v>2</v>
      </c>
      <c r="U1691" t="inlineStr">
        <is>
          <t>2009-10-13</t>
        </is>
      </c>
      <c r="V1691" t="inlineStr">
        <is>
          <t>2009-10-13</t>
        </is>
      </c>
      <c r="W1691" t="inlineStr">
        <is>
          <t>1992-08-19</t>
        </is>
      </c>
      <c r="X1691" t="inlineStr">
        <is>
          <t>1992-08-19</t>
        </is>
      </c>
      <c r="Y1691" t="n">
        <v>629</v>
      </c>
      <c r="Z1691" t="n">
        <v>501</v>
      </c>
      <c r="AA1691" t="n">
        <v>506</v>
      </c>
      <c r="AB1691" t="n">
        <v>6</v>
      </c>
      <c r="AC1691" t="n">
        <v>6</v>
      </c>
      <c r="AD1691" t="n">
        <v>27</v>
      </c>
      <c r="AE1691" t="n">
        <v>27</v>
      </c>
      <c r="AF1691" t="n">
        <v>8</v>
      </c>
      <c r="AG1691" t="n">
        <v>8</v>
      </c>
      <c r="AH1691" t="n">
        <v>8</v>
      </c>
      <c r="AI1691" t="n">
        <v>8</v>
      </c>
      <c r="AJ1691" t="n">
        <v>11</v>
      </c>
      <c r="AK1691" t="n">
        <v>11</v>
      </c>
      <c r="AL1691" t="n">
        <v>5</v>
      </c>
      <c r="AM1691" t="n">
        <v>5</v>
      </c>
      <c r="AN1691" t="n">
        <v>0</v>
      </c>
      <c r="AO1691" t="n">
        <v>0</v>
      </c>
      <c r="AP1691" t="inlineStr">
        <is>
          <t>No</t>
        </is>
      </c>
      <c r="AQ1691" t="inlineStr">
        <is>
          <t>Yes</t>
        </is>
      </c>
      <c r="AR1691">
        <f>HYPERLINK("http://catalog.hathitrust.org/Record/001241325","HathiTrust Record")</f>
        <v/>
      </c>
      <c r="AS1691">
        <f>HYPERLINK("https://creighton-primo.hosted.exlibrisgroup.com/primo-explore/search?tab=default_tab&amp;search_scope=EVERYTHING&amp;vid=01CRU&amp;lang=en_US&amp;offset=0&amp;query=any,contains,991000607589702656","Catalog Record")</f>
        <v/>
      </c>
      <c r="AT1691">
        <f>HYPERLINK("http://www.worldcat.org/oclc/99612","WorldCat Record")</f>
        <v/>
      </c>
      <c r="AU1691" t="inlineStr">
        <is>
          <t>1333790:eng</t>
        </is>
      </c>
      <c r="AV1691" t="inlineStr">
        <is>
          <t>99612</t>
        </is>
      </c>
      <c r="AW1691" t="inlineStr">
        <is>
          <t>991000607589702656</t>
        </is>
      </c>
      <c r="AX1691" t="inlineStr">
        <is>
          <t>991000607589702656</t>
        </is>
      </c>
      <c r="AY1691" t="inlineStr">
        <is>
          <t>2268917640002656</t>
        </is>
      </c>
      <c r="AZ1691" t="inlineStr">
        <is>
          <t>BOOK</t>
        </is>
      </c>
      <c r="BB1691" t="inlineStr">
        <is>
          <t>9780801811258</t>
        </is>
      </c>
      <c r="BC1691" t="inlineStr">
        <is>
          <t>32285001246775</t>
        </is>
      </c>
      <c r="BD1691" t="inlineStr">
        <is>
          <t>893419617</t>
        </is>
      </c>
    </row>
    <row r="1692">
      <c r="A1692" t="inlineStr">
        <is>
          <t>No</t>
        </is>
      </c>
      <c r="B1692" t="inlineStr">
        <is>
          <t>DS63.2.G7 L68 1984</t>
        </is>
      </c>
      <c r="C1692" t="inlineStr">
        <is>
          <t>0                      DS 0063200G  7                  L  68          1984</t>
        </is>
      </c>
      <c r="D1692" t="inlineStr">
        <is>
          <t>The British Empire in the Middle East, 1945-1951 : Arab nationalism, the United States, and postwar imperialism / by Wm. Roger Louis.</t>
        </is>
      </c>
      <c r="F1692" t="inlineStr">
        <is>
          <t>No</t>
        </is>
      </c>
      <c r="G1692" t="inlineStr">
        <is>
          <t>1</t>
        </is>
      </c>
      <c r="H1692" t="inlineStr">
        <is>
          <t>No</t>
        </is>
      </c>
      <c r="I1692" t="inlineStr">
        <is>
          <t>No</t>
        </is>
      </c>
      <c r="J1692" t="inlineStr">
        <is>
          <t>0</t>
        </is>
      </c>
      <c r="K1692" t="inlineStr">
        <is>
          <t>Louis, William Roger, 1936-</t>
        </is>
      </c>
      <c r="L1692" t="inlineStr">
        <is>
          <t>Oxford : Clarendon Press ; New York : Oxford University Press, 1984.</t>
        </is>
      </c>
      <c r="M1692" t="inlineStr">
        <is>
          <t>1984</t>
        </is>
      </c>
      <c r="O1692" t="inlineStr">
        <is>
          <t>eng</t>
        </is>
      </c>
      <c r="P1692" t="inlineStr">
        <is>
          <t>enk</t>
        </is>
      </c>
      <c r="R1692" t="inlineStr">
        <is>
          <t xml:space="preserve">DS </t>
        </is>
      </c>
      <c r="S1692" t="n">
        <v>1</v>
      </c>
      <c r="T1692" t="n">
        <v>1</v>
      </c>
      <c r="U1692" t="inlineStr">
        <is>
          <t>1992-11-11</t>
        </is>
      </c>
      <c r="V1692" t="inlineStr">
        <is>
          <t>1992-11-11</t>
        </is>
      </c>
      <c r="W1692" t="inlineStr">
        <is>
          <t>1990-09-18</t>
        </is>
      </c>
      <c r="X1692" t="inlineStr">
        <is>
          <t>1990-09-18</t>
        </is>
      </c>
      <c r="Y1692" t="n">
        <v>793</v>
      </c>
      <c r="Z1692" t="n">
        <v>595</v>
      </c>
      <c r="AA1692" t="n">
        <v>599</v>
      </c>
      <c r="AB1692" t="n">
        <v>3</v>
      </c>
      <c r="AC1692" t="n">
        <v>3</v>
      </c>
      <c r="AD1692" t="n">
        <v>30</v>
      </c>
      <c r="AE1692" t="n">
        <v>30</v>
      </c>
      <c r="AF1692" t="n">
        <v>12</v>
      </c>
      <c r="AG1692" t="n">
        <v>12</v>
      </c>
      <c r="AH1692" t="n">
        <v>8</v>
      </c>
      <c r="AI1692" t="n">
        <v>8</v>
      </c>
      <c r="AJ1692" t="n">
        <v>18</v>
      </c>
      <c r="AK1692" t="n">
        <v>18</v>
      </c>
      <c r="AL1692" t="n">
        <v>2</v>
      </c>
      <c r="AM1692" t="n">
        <v>2</v>
      </c>
      <c r="AN1692" t="n">
        <v>0</v>
      </c>
      <c r="AO1692" t="n">
        <v>0</v>
      </c>
      <c r="AP1692" t="inlineStr">
        <is>
          <t>No</t>
        </is>
      </c>
      <c r="AQ1692" t="inlineStr">
        <is>
          <t>No</t>
        </is>
      </c>
      <c r="AS1692">
        <f>HYPERLINK("https://creighton-primo.hosted.exlibrisgroup.com/primo-explore/search?tab=default_tab&amp;search_scope=EVERYTHING&amp;vid=01CRU&amp;lang=en_US&amp;offset=0&amp;query=any,contains,991000283129702656","Catalog Record")</f>
        <v/>
      </c>
      <c r="AT1692">
        <f>HYPERLINK("http://www.worldcat.org/oclc/9919777","WorldCat Record")</f>
        <v/>
      </c>
      <c r="AU1692" t="inlineStr">
        <is>
          <t>836629389:eng</t>
        </is>
      </c>
      <c r="AV1692" t="inlineStr">
        <is>
          <t>9919777</t>
        </is>
      </c>
      <c r="AW1692" t="inlineStr">
        <is>
          <t>991000283129702656</t>
        </is>
      </c>
      <c r="AX1692" t="inlineStr">
        <is>
          <t>991000283129702656</t>
        </is>
      </c>
      <c r="AY1692" t="inlineStr">
        <is>
          <t>2268126110002656</t>
        </is>
      </c>
      <c r="AZ1692" t="inlineStr">
        <is>
          <t>BOOK</t>
        </is>
      </c>
      <c r="BB1692" t="inlineStr">
        <is>
          <t>9780198224891</t>
        </is>
      </c>
      <c r="BC1692" t="inlineStr">
        <is>
          <t>32285000292044</t>
        </is>
      </c>
      <c r="BD1692" t="inlineStr">
        <is>
          <t>893871550</t>
        </is>
      </c>
    </row>
    <row r="1693">
      <c r="A1693" t="inlineStr">
        <is>
          <t>No</t>
        </is>
      </c>
      <c r="B1693" t="inlineStr">
        <is>
          <t>DS63.2.I68 R36 1986</t>
        </is>
      </c>
      <c r="C1693" t="inlineStr">
        <is>
          <t>0                      DS 0063200I  68                 R  36          1986</t>
        </is>
      </c>
      <c r="D1693" t="inlineStr">
        <is>
          <t>Revolutionary Iran : challenge and response in the Middle East / R.K. Ramazani.</t>
        </is>
      </c>
      <c r="F1693" t="inlineStr">
        <is>
          <t>No</t>
        </is>
      </c>
      <c r="G1693" t="inlineStr">
        <is>
          <t>1</t>
        </is>
      </c>
      <c r="H1693" t="inlineStr">
        <is>
          <t>No</t>
        </is>
      </c>
      <c r="I1693" t="inlineStr">
        <is>
          <t>No</t>
        </is>
      </c>
      <c r="J1693" t="inlineStr">
        <is>
          <t>0</t>
        </is>
      </c>
      <c r="K1693" t="inlineStr">
        <is>
          <t>Ramazani, Rouhollah K., 1928-2016.</t>
        </is>
      </c>
      <c r="L1693" t="inlineStr">
        <is>
          <t>Baltimore : Johns Hopkins University Press, c1986, 1987 printing.</t>
        </is>
      </c>
      <c r="M1693" t="inlineStr">
        <is>
          <t>1986</t>
        </is>
      </c>
      <c r="O1693" t="inlineStr">
        <is>
          <t>eng</t>
        </is>
      </c>
      <c r="P1693" t="inlineStr">
        <is>
          <t>mdu</t>
        </is>
      </c>
      <c r="R1693" t="inlineStr">
        <is>
          <t xml:space="preserve">DS </t>
        </is>
      </c>
      <c r="S1693" t="n">
        <v>2</v>
      </c>
      <c r="T1693" t="n">
        <v>2</v>
      </c>
      <c r="U1693" t="inlineStr">
        <is>
          <t>1996-04-22</t>
        </is>
      </c>
      <c r="V1693" t="inlineStr">
        <is>
          <t>1996-04-22</t>
        </is>
      </c>
      <c r="W1693" t="inlineStr">
        <is>
          <t>1990-08-16</t>
        </is>
      </c>
      <c r="X1693" t="inlineStr">
        <is>
          <t>1990-08-16</t>
        </is>
      </c>
      <c r="Y1693" t="n">
        <v>947</v>
      </c>
      <c r="Z1693" t="n">
        <v>837</v>
      </c>
      <c r="AA1693" t="n">
        <v>903</v>
      </c>
      <c r="AB1693" t="n">
        <v>5</v>
      </c>
      <c r="AC1693" t="n">
        <v>5</v>
      </c>
      <c r="AD1693" t="n">
        <v>32</v>
      </c>
      <c r="AE1693" t="n">
        <v>34</v>
      </c>
      <c r="AF1693" t="n">
        <v>11</v>
      </c>
      <c r="AG1693" t="n">
        <v>12</v>
      </c>
      <c r="AH1693" t="n">
        <v>7</v>
      </c>
      <c r="AI1693" t="n">
        <v>7</v>
      </c>
      <c r="AJ1693" t="n">
        <v>19</v>
      </c>
      <c r="AK1693" t="n">
        <v>21</v>
      </c>
      <c r="AL1693" t="n">
        <v>4</v>
      </c>
      <c r="AM1693" t="n">
        <v>4</v>
      </c>
      <c r="AN1693" t="n">
        <v>1</v>
      </c>
      <c r="AO1693" t="n">
        <v>1</v>
      </c>
      <c r="AP1693" t="inlineStr">
        <is>
          <t>No</t>
        </is>
      </c>
      <c r="AQ1693" t="inlineStr">
        <is>
          <t>Yes</t>
        </is>
      </c>
      <c r="AR1693">
        <f>HYPERLINK("http://catalog.hathitrust.org/Record/000805152","HathiTrust Record")</f>
        <v/>
      </c>
      <c r="AS1693">
        <f>HYPERLINK("https://creighton-primo.hosted.exlibrisgroup.com/primo-explore/search?tab=default_tab&amp;search_scope=EVERYTHING&amp;vid=01CRU&amp;lang=en_US&amp;offset=0&amp;query=any,contains,991000858049702656","Catalog Record")</f>
        <v/>
      </c>
      <c r="AT1693">
        <f>HYPERLINK("http://www.worldcat.org/oclc/13667151","WorldCat Record")</f>
        <v/>
      </c>
      <c r="AU1693" t="inlineStr">
        <is>
          <t>7121673:eng</t>
        </is>
      </c>
      <c r="AV1693" t="inlineStr">
        <is>
          <t>13667151</t>
        </is>
      </c>
      <c r="AW1693" t="inlineStr">
        <is>
          <t>991000858049702656</t>
        </is>
      </c>
      <c r="AX1693" t="inlineStr">
        <is>
          <t>991000858049702656</t>
        </is>
      </c>
      <c r="AY1693" t="inlineStr">
        <is>
          <t>2272027130002656</t>
        </is>
      </c>
      <c r="AZ1693" t="inlineStr">
        <is>
          <t>BOOK</t>
        </is>
      </c>
      <c r="BB1693" t="inlineStr">
        <is>
          <t>9780801833779</t>
        </is>
      </c>
      <c r="BC1693" t="inlineStr">
        <is>
          <t>32285000274513</t>
        </is>
      </c>
      <c r="BD1693" t="inlineStr">
        <is>
          <t>893690101</t>
        </is>
      </c>
    </row>
    <row r="1694">
      <c r="A1694" t="inlineStr">
        <is>
          <t>No</t>
        </is>
      </c>
      <c r="B1694" t="inlineStr">
        <is>
          <t>DS63.2.R9 K74 2007</t>
        </is>
      </c>
      <c r="C1694" t="inlineStr">
        <is>
          <t>0                      DS 0063200R  9                  K  74          2007</t>
        </is>
      </c>
      <c r="D1694" t="inlineStr">
        <is>
          <t>Russia in the Middle East : friend or foe? / Andrej Kreutz.</t>
        </is>
      </c>
      <c r="F1694" t="inlineStr">
        <is>
          <t>No</t>
        </is>
      </c>
      <c r="G1694" t="inlineStr">
        <is>
          <t>1</t>
        </is>
      </c>
      <c r="H1694" t="inlineStr">
        <is>
          <t>No</t>
        </is>
      </c>
      <c r="I1694" t="inlineStr">
        <is>
          <t>No</t>
        </is>
      </c>
      <c r="J1694" t="inlineStr">
        <is>
          <t>0</t>
        </is>
      </c>
      <c r="K1694" t="inlineStr">
        <is>
          <t>Kreutz, Andrej.</t>
        </is>
      </c>
      <c r="L1694" t="inlineStr">
        <is>
          <t>Westport, Conn. : Praeger Security International, 2007.</t>
        </is>
      </c>
      <c r="M1694" t="inlineStr">
        <is>
          <t>2007</t>
        </is>
      </c>
      <c r="O1694" t="inlineStr">
        <is>
          <t>eng</t>
        </is>
      </c>
      <c r="P1694" t="inlineStr">
        <is>
          <t>ctu</t>
        </is>
      </c>
      <c r="R1694" t="inlineStr">
        <is>
          <t xml:space="preserve">DS </t>
        </is>
      </c>
      <c r="S1694" t="n">
        <v>1</v>
      </c>
      <c r="T1694" t="n">
        <v>1</v>
      </c>
      <c r="U1694" t="inlineStr">
        <is>
          <t>2007-09-25</t>
        </is>
      </c>
      <c r="V1694" t="inlineStr">
        <is>
          <t>2007-09-25</t>
        </is>
      </c>
      <c r="W1694" t="inlineStr">
        <is>
          <t>2007-09-25</t>
        </is>
      </c>
      <c r="X1694" t="inlineStr">
        <is>
          <t>2007-09-25</t>
        </is>
      </c>
      <c r="Y1694" t="n">
        <v>270</v>
      </c>
      <c r="Z1694" t="n">
        <v>203</v>
      </c>
      <c r="AA1694" t="n">
        <v>562</v>
      </c>
      <c r="AB1694" t="n">
        <v>3</v>
      </c>
      <c r="AC1694" t="n">
        <v>5</v>
      </c>
      <c r="AD1694" t="n">
        <v>12</v>
      </c>
      <c r="AE1694" t="n">
        <v>17</v>
      </c>
      <c r="AF1694" t="n">
        <v>4</v>
      </c>
      <c r="AG1694" t="n">
        <v>6</v>
      </c>
      <c r="AH1694" t="n">
        <v>4</v>
      </c>
      <c r="AI1694" t="n">
        <v>4</v>
      </c>
      <c r="AJ1694" t="n">
        <v>6</v>
      </c>
      <c r="AK1694" t="n">
        <v>7</v>
      </c>
      <c r="AL1694" t="n">
        <v>2</v>
      </c>
      <c r="AM1694" t="n">
        <v>4</v>
      </c>
      <c r="AN1694" t="n">
        <v>0</v>
      </c>
      <c r="AO1694" t="n">
        <v>0</v>
      </c>
      <c r="AP1694" t="inlineStr">
        <is>
          <t>No</t>
        </is>
      </c>
      <c r="AQ1694" t="inlineStr">
        <is>
          <t>Yes</t>
        </is>
      </c>
      <c r="AR1694">
        <f>HYPERLINK("http://catalog.hathitrust.org/Record/005406944","HathiTrust Record")</f>
        <v/>
      </c>
      <c r="AS1694">
        <f>HYPERLINK("https://creighton-primo.hosted.exlibrisgroup.com/primo-explore/search?tab=default_tab&amp;search_scope=EVERYTHING&amp;vid=01CRU&amp;lang=en_US&amp;offset=0&amp;query=any,contains,991005116219702656","Catalog Record")</f>
        <v/>
      </c>
      <c r="AT1694">
        <f>HYPERLINK("http://www.worldcat.org/oclc/71163997","WorldCat Record")</f>
        <v/>
      </c>
      <c r="AU1694" t="inlineStr">
        <is>
          <t>327349979:eng</t>
        </is>
      </c>
      <c r="AV1694" t="inlineStr">
        <is>
          <t>71163997</t>
        </is>
      </c>
      <c r="AW1694" t="inlineStr">
        <is>
          <t>991005116219702656</t>
        </is>
      </c>
      <c r="AX1694" t="inlineStr">
        <is>
          <t>991005116219702656</t>
        </is>
      </c>
      <c r="AY1694" t="inlineStr">
        <is>
          <t>2259180770002656</t>
        </is>
      </c>
      <c r="AZ1694" t="inlineStr">
        <is>
          <t>BOOK</t>
        </is>
      </c>
      <c r="BB1694" t="inlineStr">
        <is>
          <t>9780275993283</t>
        </is>
      </c>
      <c r="BC1694" t="inlineStr">
        <is>
          <t>32285005326094</t>
        </is>
      </c>
      <c r="BD1694" t="inlineStr">
        <is>
          <t>893507636</t>
        </is>
      </c>
    </row>
    <row r="1695">
      <c r="A1695" t="inlineStr">
        <is>
          <t>No</t>
        </is>
      </c>
      <c r="B1695" t="inlineStr">
        <is>
          <t>DS63.2.R9 N59 1999</t>
        </is>
      </c>
      <c r="C1695" t="inlineStr">
        <is>
          <t>0                      DS 0063200R  9                  N  59          1999</t>
        </is>
      </c>
      <c r="D1695" t="inlineStr">
        <is>
          <t>Russia and the Middle East : towards a new foreign policy / Talal Nizameddin.</t>
        </is>
      </c>
      <c r="F1695" t="inlineStr">
        <is>
          <t>No</t>
        </is>
      </c>
      <c r="G1695" t="inlineStr">
        <is>
          <t>1</t>
        </is>
      </c>
      <c r="H1695" t="inlineStr">
        <is>
          <t>No</t>
        </is>
      </c>
      <c r="I1695" t="inlineStr">
        <is>
          <t>No</t>
        </is>
      </c>
      <c r="J1695" t="inlineStr">
        <is>
          <t>0</t>
        </is>
      </c>
      <c r="K1695" t="inlineStr">
        <is>
          <t>Nizameddin, Talal.</t>
        </is>
      </c>
      <c r="L1695" t="inlineStr">
        <is>
          <t>New York : St. Martin's Press, 1999.</t>
        </is>
      </c>
      <c r="M1695" t="inlineStr">
        <is>
          <t>1999</t>
        </is>
      </c>
      <c r="O1695" t="inlineStr">
        <is>
          <t>eng</t>
        </is>
      </c>
      <c r="P1695" t="inlineStr">
        <is>
          <t>nyu</t>
        </is>
      </c>
      <c r="R1695" t="inlineStr">
        <is>
          <t xml:space="preserve">DS </t>
        </is>
      </c>
      <c r="S1695" t="n">
        <v>1</v>
      </c>
      <c r="T1695" t="n">
        <v>1</v>
      </c>
      <c r="U1695" t="inlineStr">
        <is>
          <t>2004-04-04</t>
        </is>
      </c>
      <c r="V1695" t="inlineStr">
        <is>
          <t>2004-04-04</t>
        </is>
      </c>
      <c r="W1695" t="inlineStr">
        <is>
          <t>2000-03-23</t>
        </is>
      </c>
      <c r="X1695" t="inlineStr">
        <is>
          <t>2000-03-23</t>
        </is>
      </c>
      <c r="Y1695" t="n">
        <v>172</v>
      </c>
      <c r="Z1695" t="n">
        <v>147</v>
      </c>
      <c r="AA1695" t="n">
        <v>178</v>
      </c>
      <c r="AB1695" t="n">
        <v>2</v>
      </c>
      <c r="AC1695" t="n">
        <v>2</v>
      </c>
      <c r="AD1695" t="n">
        <v>8</v>
      </c>
      <c r="AE1695" t="n">
        <v>10</v>
      </c>
      <c r="AF1695" t="n">
        <v>1</v>
      </c>
      <c r="AG1695" t="n">
        <v>1</v>
      </c>
      <c r="AH1695" t="n">
        <v>3</v>
      </c>
      <c r="AI1695" t="n">
        <v>5</v>
      </c>
      <c r="AJ1695" t="n">
        <v>4</v>
      </c>
      <c r="AK1695" t="n">
        <v>6</v>
      </c>
      <c r="AL1695" t="n">
        <v>1</v>
      </c>
      <c r="AM1695" t="n">
        <v>1</v>
      </c>
      <c r="AN1695" t="n">
        <v>0</v>
      </c>
      <c r="AO1695" t="n">
        <v>0</v>
      </c>
      <c r="AP1695" t="inlineStr">
        <is>
          <t>No</t>
        </is>
      </c>
      <c r="AQ1695" t="inlineStr">
        <is>
          <t>No</t>
        </is>
      </c>
      <c r="AS1695">
        <f>HYPERLINK("https://creighton-primo.hosted.exlibrisgroup.com/primo-explore/search?tab=default_tab&amp;search_scope=EVERYTHING&amp;vid=01CRU&amp;lang=en_US&amp;offset=0&amp;query=any,contains,991003016069702656","Catalog Record")</f>
        <v/>
      </c>
      <c r="AT1695">
        <f>HYPERLINK("http://www.worldcat.org/oclc/41026427","WorldCat Record")</f>
        <v/>
      </c>
      <c r="AU1695" t="inlineStr">
        <is>
          <t>26008100:eng</t>
        </is>
      </c>
      <c r="AV1695" t="inlineStr">
        <is>
          <t>41026427</t>
        </is>
      </c>
      <c r="AW1695" t="inlineStr">
        <is>
          <t>991003016069702656</t>
        </is>
      </c>
      <c r="AX1695" t="inlineStr">
        <is>
          <t>991003016069702656</t>
        </is>
      </c>
      <c r="AY1695" t="inlineStr">
        <is>
          <t>2257962580002656</t>
        </is>
      </c>
      <c r="AZ1695" t="inlineStr">
        <is>
          <t>BOOK</t>
        </is>
      </c>
      <c r="BB1695" t="inlineStr">
        <is>
          <t>9780312225384</t>
        </is>
      </c>
      <c r="BC1695" t="inlineStr">
        <is>
          <t>32285003673679</t>
        </is>
      </c>
      <c r="BD1695" t="inlineStr">
        <is>
          <t>893704806</t>
        </is>
      </c>
    </row>
    <row r="1696">
      <c r="A1696" t="inlineStr">
        <is>
          <t>No</t>
        </is>
      </c>
      <c r="B1696" t="inlineStr">
        <is>
          <t>DS63.2.R9 S65 1959</t>
        </is>
      </c>
      <c r="C1696" t="inlineStr">
        <is>
          <t>0                      DS 0063200R  9                  S  65          1959</t>
        </is>
      </c>
      <c r="D1696" t="inlineStr">
        <is>
          <t>The Soviet Union and the Muslim world, 1917-1958.</t>
        </is>
      </c>
      <c r="F1696" t="inlineStr">
        <is>
          <t>No</t>
        </is>
      </c>
      <c r="G1696" t="inlineStr">
        <is>
          <t>1</t>
        </is>
      </c>
      <c r="H1696" t="inlineStr">
        <is>
          <t>No</t>
        </is>
      </c>
      <c r="I1696" t="inlineStr">
        <is>
          <t>No</t>
        </is>
      </c>
      <c r="J1696" t="inlineStr">
        <is>
          <t>0</t>
        </is>
      </c>
      <c r="K1696" t="inlineStr">
        <is>
          <t>Spector, Ivar, 1898-1989.</t>
        </is>
      </c>
      <c r="L1696" t="inlineStr">
        <is>
          <t>Seattle, Distributed by University of Washington Press, 1959.</t>
        </is>
      </c>
      <c r="M1696" t="inlineStr">
        <is>
          <t>1959</t>
        </is>
      </c>
      <c r="O1696" t="inlineStr">
        <is>
          <t>eng</t>
        </is>
      </c>
      <c r="P1696" t="inlineStr">
        <is>
          <t>wau</t>
        </is>
      </c>
      <c r="R1696" t="inlineStr">
        <is>
          <t xml:space="preserve">DS </t>
        </is>
      </c>
      <c r="S1696" t="n">
        <v>1</v>
      </c>
      <c r="T1696" t="n">
        <v>1</v>
      </c>
      <c r="U1696" t="inlineStr">
        <is>
          <t>2001-04-21</t>
        </is>
      </c>
      <c r="V1696" t="inlineStr">
        <is>
          <t>2001-04-21</t>
        </is>
      </c>
      <c r="W1696" t="inlineStr">
        <is>
          <t>1997-02-24</t>
        </is>
      </c>
      <c r="X1696" t="inlineStr">
        <is>
          <t>1997-02-24</t>
        </is>
      </c>
      <c r="Y1696" t="n">
        <v>473</v>
      </c>
      <c r="Z1696" t="n">
        <v>385</v>
      </c>
      <c r="AA1696" t="n">
        <v>575</v>
      </c>
      <c r="AB1696" t="n">
        <v>3</v>
      </c>
      <c r="AC1696" t="n">
        <v>5</v>
      </c>
      <c r="AD1696" t="n">
        <v>15</v>
      </c>
      <c r="AE1696" t="n">
        <v>24</v>
      </c>
      <c r="AF1696" t="n">
        <v>5</v>
      </c>
      <c r="AG1696" t="n">
        <v>6</v>
      </c>
      <c r="AH1696" t="n">
        <v>3</v>
      </c>
      <c r="AI1696" t="n">
        <v>6</v>
      </c>
      <c r="AJ1696" t="n">
        <v>9</v>
      </c>
      <c r="AK1696" t="n">
        <v>14</v>
      </c>
      <c r="AL1696" t="n">
        <v>2</v>
      </c>
      <c r="AM1696" t="n">
        <v>4</v>
      </c>
      <c r="AN1696" t="n">
        <v>0</v>
      </c>
      <c r="AO1696" t="n">
        <v>0</v>
      </c>
      <c r="AP1696" t="inlineStr">
        <is>
          <t>No</t>
        </is>
      </c>
      <c r="AQ1696" t="inlineStr">
        <is>
          <t>Yes</t>
        </is>
      </c>
      <c r="AR1696">
        <f>HYPERLINK("http://catalog.hathitrust.org/Record/001241352","HathiTrust Record")</f>
        <v/>
      </c>
      <c r="AS1696">
        <f>HYPERLINK("https://creighton-primo.hosted.exlibrisgroup.com/primo-explore/search?tab=default_tab&amp;search_scope=EVERYTHING&amp;vid=01CRU&amp;lang=en_US&amp;offset=0&amp;query=any,contains,991002279019702656","Catalog Record")</f>
        <v/>
      </c>
      <c r="AT1696">
        <f>HYPERLINK("http://www.worldcat.org/oclc/310686","WorldCat Record")</f>
        <v/>
      </c>
      <c r="AU1696" t="inlineStr">
        <is>
          <t>1370882:eng</t>
        </is>
      </c>
      <c r="AV1696" t="inlineStr">
        <is>
          <t>310686</t>
        </is>
      </c>
      <c r="AW1696" t="inlineStr">
        <is>
          <t>991002279019702656</t>
        </is>
      </c>
      <c r="AX1696" t="inlineStr">
        <is>
          <t>991002279019702656</t>
        </is>
      </c>
      <c r="AY1696" t="inlineStr">
        <is>
          <t>2259773970002656</t>
        </is>
      </c>
      <c r="AZ1696" t="inlineStr">
        <is>
          <t>BOOK</t>
        </is>
      </c>
      <c r="BC1696" t="inlineStr">
        <is>
          <t>32285002460078</t>
        </is>
      </c>
      <c r="BD1696" t="inlineStr">
        <is>
          <t>893433705</t>
        </is>
      </c>
    </row>
    <row r="1697">
      <c r="A1697" t="inlineStr">
        <is>
          <t>No</t>
        </is>
      </c>
      <c r="B1697" t="inlineStr">
        <is>
          <t>DS63.2.S65 F72 1991</t>
        </is>
      </c>
      <c r="C1697" t="inlineStr">
        <is>
          <t>0                      DS 0063200S  65                 F  72          1991</t>
        </is>
      </c>
      <c r="D1697" t="inlineStr">
        <is>
          <t>Moscow and the Middle East : Soviet policy since the invasion of Afghanistan / Robert O. Freedman.</t>
        </is>
      </c>
      <c r="F1697" t="inlineStr">
        <is>
          <t>No</t>
        </is>
      </c>
      <c r="G1697" t="inlineStr">
        <is>
          <t>1</t>
        </is>
      </c>
      <c r="H1697" t="inlineStr">
        <is>
          <t>No</t>
        </is>
      </c>
      <c r="I1697" t="inlineStr">
        <is>
          <t>No</t>
        </is>
      </c>
      <c r="J1697" t="inlineStr">
        <is>
          <t>0</t>
        </is>
      </c>
      <c r="K1697" t="inlineStr">
        <is>
          <t>Freedman, Robert Owen.</t>
        </is>
      </c>
      <c r="L1697" t="inlineStr">
        <is>
          <t>Cambridge [England] ; New York : Cambridge University Press, 1991.</t>
        </is>
      </c>
      <c r="M1697" t="inlineStr">
        <is>
          <t>1991</t>
        </is>
      </c>
      <c r="O1697" t="inlineStr">
        <is>
          <t>eng</t>
        </is>
      </c>
      <c r="P1697" t="inlineStr">
        <is>
          <t>enk</t>
        </is>
      </c>
      <c r="R1697" t="inlineStr">
        <is>
          <t xml:space="preserve">DS </t>
        </is>
      </c>
      <c r="S1697" t="n">
        <v>3</v>
      </c>
      <c r="T1697" t="n">
        <v>3</v>
      </c>
      <c r="U1697" t="inlineStr">
        <is>
          <t>2007-10-07</t>
        </is>
      </c>
      <c r="V1697" t="inlineStr">
        <is>
          <t>2007-10-07</t>
        </is>
      </c>
      <c r="W1697" t="inlineStr">
        <is>
          <t>1991-05-31</t>
        </is>
      </c>
      <c r="X1697" t="inlineStr">
        <is>
          <t>1991-05-31</t>
        </is>
      </c>
      <c r="Y1697" t="n">
        <v>528</v>
      </c>
      <c r="Z1697" t="n">
        <v>389</v>
      </c>
      <c r="AA1697" t="n">
        <v>390</v>
      </c>
      <c r="AB1697" t="n">
        <v>3</v>
      </c>
      <c r="AC1697" t="n">
        <v>3</v>
      </c>
      <c r="AD1697" t="n">
        <v>23</v>
      </c>
      <c r="AE1697" t="n">
        <v>23</v>
      </c>
      <c r="AF1697" t="n">
        <v>6</v>
      </c>
      <c r="AG1697" t="n">
        <v>6</v>
      </c>
      <c r="AH1697" t="n">
        <v>7</v>
      </c>
      <c r="AI1697" t="n">
        <v>7</v>
      </c>
      <c r="AJ1697" t="n">
        <v>12</v>
      </c>
      <c r="AK1697" t="n">
        <v>12</v>
      </c>
      <c r="AL1697" t="n">
        <v>2</v>
      </c>
      <c r="AM1697" t="n">
        <v>2</v>
      </c>
      <c r="AN1697" t="n">
        <v>0</v>
      </c>
      <c r="AO1697" t="n">
        <v>0</v>
      </c>
      <c r="AP1697" t="inlineStr">
        <is>
          <t>No</t>
        </is>
      </c>
      <c r="AQ1697" t="inlineStr">
        <is>
          <t>No</t>
        </is>
      </c>
      <c r="AS1697">
        <f>HYPERLINK("https://creighton-primo.hosted.exlibrisgroup.com/primo-explore/search?tab=default_tab&amp;search_scope=EVERYTHING&amp;vid=01CRU&amp;lang=en_US&amp;offset=0&amp;query=any,contains,991001650339702656","Catalog Record")</f>
        <v/>
      </c>
      <c r="AT1697">
        <f>HYPERLINK("http://www.worldcat.org/oclc/21080238","WorldCat Record")</f>
        <v/>
      </c>
      <c r="AU1697" t="inlineStr">
        <is>
          <t>22525907:eng</t>
        </is>
      </c>
      <c r="AV1697" t="inlineStr">
        <is>
          <t>21080238</t>
        </is>
      </c>
      <c r="AW1697" t="inlineStr">
        <is>
          <t>991001650339702656</t>
        </is>
      </c>
      <c r="AX1697" t="inlineStr">
        <is>
          <t>991001650339702656</t>
        </is>
      </c>
      <c r="AY1697" t="inlineStr">
        <is>
          <t>2257098730002656</t>
        </is>
      </c>
      <c r="AZ1697" t="inlineStr">
        <is>
          <t>BOOK</t>
        </is>
      </c>
      <c r="BB1697" t="inlineStr">
        <is>
          <t>9780521359764</t>
        </is>
      </c>
      <c r="BC1697" t="inlineStr">
        <is>
          <t>32285000590710</t>
        </is>
      </c>
      <c r="BD1697" t="inlineStr">
        <is>
          <t>893590509</t>
        </is>
      </c>
    </row>
    <row r="1698">
      <c r="A1698" t="inlineStr">
        <is>
          <t>No</t>
        </is>
      </c>
      <c r="B1698" t="inlineStr">
        <is>
          <t>DS63.2.S65 G645 1992</t>
        </is>
      </c>
      <c r="C1698" t="inlineStr">
        <is>
          <t>0                      DS 0063200S  65                 G  645         1992</t>
        </is>
      </c>
      <c r="D1698" t="inlineStr">
        <is>
          <t>Moscow and the Middle East : new thinking on regional conflict / Galia Golan.</t>
        </is>
      </c>
      <c r="F1698" t="inlineStr">
        <is>
          <t>No</t>
        </is>
      </c>
      <c r="G1698" t="inlineStr">
        <is>
          <t>1</t>
        </is>
      </c>
      <c r="H1698" t="inlineStr">
        <is>
          <t>No</t>
        </is>
      </c>
      <c r="I1698" t="inlineStr">
        <is>
          <t>No</t>
        </is>
      </c>
      <c r="J1698" t="inlineStr">
        <is>
          <t>0</t>
        </is>
      </c>
      <c r="K1698" t="inlineStr">
        <is>
          <t>Golan, Galia.</t>
        </is>
      </c>
      <c r="L1698" t="inlineStr">
        <is>
          <t>New York : Published in North America for the Royal Institute of International Affairs [by] Council on Foreign Relations Press, c1992.</t>
        </is>
      </c>
      <c r="M1698" t="inlineStr">
        <is>
          <t>1992</t>
        </is>
      </c>
      <c r="O1698" t="inlineStr">
        <is>
          <t>eng</t>
        </is>
      </c>
      <c r="P1698" t="inlineStr">
        <is>
          <t>nyu</t>
        </is>
      </c>
      <c r="Q1698" t="inlineStr">
        <is>
          <t>Chatham House papers</t>
        </is>
      </c>
      <c r="R1698" t="inlineStr">
        <is>
          <t xml:space="preserve">DS </t>
        </is>
      </c>
      <c r="S1698" t="n">
        <v>2</v>
      </c>
      <c r="T1698" t="n">
        <v>2</v>
      </c>
      <c r="U1698" t="inlineStr">
        <is>
          <t>2004-04-04</t>
        </is>
      </c>
      <c r="V1698" t="inlineStr">
        <is>
          <t>2004-04-04</t>
        </is>
      </c>
      <c r="W1698" t="inlineStr">
        <is>
          <t>1992-09-09</t>
        </is>
      </c>
      <c r="X1698" t="inlineStr">
        <is>
          <t>1992-09-09</t>
        </is>
      </c>
      <c r="Y1698" t="n">
        <v>165</v>
      </c>
      <c r="Z1698" t="n">
        <v>142</v>
      </c>
      <c r="AA1698" t="n">
        <v>183</v>
      </c>
      <c r="AB1698" t="n">
        <v>2</v>
      </c>
      <c r="AC1698" t="n">
        <v>2</v>
      </c>
      <c r="AD1698" t="n">
        <v>9</v>
      </c>
      <c r="AE1698" t="n">
        <v>12</v>
      </c>
      <c r="AF1698" t="n">
        <v>1</v>
      </c>
      <c r="AG1698" t="n">
        <v>1</v>
      </c>
      <c r="AH1698" t="n">
        <v>4</v>
      </c>
      <c r="AI1698" t="n">
        <v>5</v>
      </c>
      <c r="AJ1698" t="n">
        <v>5</v>
      </c>
      <c r="AK1698" t="n">
        <v>6</v>
      </c>
      <c r="AL1698" t="n">
        <v>1</v>
      </c>
      <c r="AM1698" t="n">
        <v>1</v>
      </c>
      <c r="AN1698" t="n">
        <v>0</v>
      </c>
      <c r="AO1698" t="n">
        <v>2</v>
      </c>
      <c r="AP1698" t="inlineStr">
        <is>
          <t>No</t>
        </is>
      </c>
      <c r="AQ1698" t="inlineStr">
        <is>
          <t>No</t>
        </is>
      </c>
      <c r="AS1698">
        <f>HYPERLINK("https://creighton-primo.hosted.exlibrisgroup.com/primo-explore/search?tab=default_tab&amp;search_scope=EVERYTHING&amp;vid=01CRU&amp;lang=en_US&amp;offset=0&amp;query=any,contains,991002009759702656","Catalog Record")</f>
        <v/>
      </c>
      <c r="AT1698">
        <f>HYPERLINK("http://www.worldcat.org/oclc/25548508","WorldCat Record")</f>
        <v/>
      </c>
      <c r="AU1698" t="inlineStr">
        <is>
          <t>28426089:eng</t>
        </is>
      </c>
      <c r="AV1698" t="inlineStr">
        <is>
          <t>25548508</t>
        </is>
      </c>
      <c r="AW1698" t="inlineStr">
        <is>
          <t>991002009759702656</t>
        </is>
      </c>
      <c r="AX1698" t="inlineStr">
        <is>
          <t>991002009759702656</t>
        </is>
      </c>
      <c r="AY1698" t="inlineStr">
        <is>
          <t>2260047970002656</t>
        </is>
      </c>
      <c r="AZ1698" t="inlineStr">
        <is>
          <t>BOOK</t>
        </is>
      </c>
      <c r="BB1698" t="inlineStr">
        <is>
          <t>9780876091265</t>
        </is>
      </c>
      <c r="BC1698" t="inlineStr">
        <is>
          <t>32285001281749</t>
        </is>
      </c>
      <c r="BD1698" t="inlineStr">
        <is>
          <t>893322465</t>
        </is>
      </c>
    </row>
    <row r="1699">
      <c r="A1699" t="inlineStr">
        <is>
          <t>No</t>
        </is>
      </c>
      <c r="B1699" t="inlineStr">
        <is>
          <t>DS63.2.S65 S67 1982</t>
        </is>
      </c>
      <c r="C1699" t="inlineStr">
        <is>
          <t>0                      DS 0063200S  65                 S  67          1982</t>
        </is>
      </c>
      <c r="D1699" t="inlineStr">
        <is>
          <t>The Soviet Union in the Middle East : policies and perspectives / edited by Adeed Dawisha and Karen Dawisha.</t>
        </is>
      </c>
      <c r="F1699" t="inlineStr">
        <is>
          <t>No</t>
        </is>
      </c>
      <c r="G1699" t="inlineStr">
        <is>
          <t>1</t>
        </is>
      </c>
      <c r="H1699" t="inlineStr">
        <is>
          <t>No</t>
        </is>
      </c>
      <c r="I1699" t="inlineStr">
        <is>
          <t>No</t>
        </is>
      </c>
      <c r="J1699" t="inlineStr">
        <is>
          <t>0</t>
        </is>
      </c>
      <c r="L1699" t="inlineStr">
        <is>
          <t>New York, N.Y. : Published by Holmes &amp; Meier Publishers for the Royal Institute of International Affairs, 1982.</t>
        </is>
      </c>
      <c r="M1699" t="inlineStr">
        <is>
          <t>1982</t>
        </is>
      </c>
      <c r="O1699" t="inlineStr">
        <is>
          <t>eng</t>
        </is>
      </c>
      <c r="P1699" t="inlineStr">
        <is>
          <t>nyu</t>
        </is>
      </c>
      <c r="R1699" t="inlineStr">
        <is>
          <t xml:space="preserve">DS </t>
        </is>
      </c>
      <c r="S1699" t="n">
        <v>1</v>
      </c>
      <c r="T1699" t="n">
        <v>1</v>
      </c>
      <c r="U1699" t="inlineStr">
        <is>
          <t>2007-10-07</t>
        </is>
      </c>
      <c r="V1699" t="inlineStr">
        <is>
          <t>2007-10-07</t>
        </is>
      </c>
      <c r="W1699" t="inlineStr">
        <is>
          <t>1990-08-16</t>
        </is>
      </c>
      <c r="X1699" t="inlineStr">
        <is>
          <t>1990-08-16</t>
        </is>
      </c>
      <c r="Y1699" t="n">
        <v>349</v>
      </c>
      <c r="Z1699" t="n">
        <v>306</v>
      </c>
      <c r="AA1699" t="n">
        <v>350</v>
      </c>
      <c r="AB1699" t="n">
        <v>4</v>
      </c>
      <c r="AC1699" t="n">
        <v>4</v>
      </c>
      <c r="AD1699" t="n">
        <v>12</v>
      </c>
      <c r="AE1699" t="n">
        <v>14</v>
      </c>
      <c r="AF1699" t="n">
        <v>2</v>
      </c>
      <c r="AG1699" t="n">
        <v>3</v>
      </c>
      <c r="AH1699" t="n">
        <v>3</v>
      </c>
      <c r="AI1699" t="n">
        <v>4</v>
      </c>
      <c r="AJ1699" t="n">
        <v>6</v>
      </c>
      <c r="AK1699" t="n">
        <v>7</v>
      </c>
      <c r="AL1699" t="n">
        <v>3</v>
      </c>
      <c r="AM1699" t="n">
        <v>3</v>
      </c>
      <c r="AN1699" t="n">
        <v>0</v>
      </c>
      <c r="AO1699" t="n">
        <v>0</v>
      </c>
      <c r="AP1699" t="inlineStr">
        <is>
          <t>No</t>
        </is>
      </c>
      <c r="AQ1699" t="inlineStr">
        <is>
          <t>Yes</t>
        </is>
      </c>
      <c r="AR1699">
        <f>HYPERLINK("http://catalog.hathitrust.org/Record/007880592","HathiTrust Record")</f>
        <v/>
      </c>
      <c r="AS1699">
        <f>HYPERLINK("https://creighton-primo.hosted.exlibrisgroup.com/primo-explore/search?tab=default_tab&amp;search_scope=EVERYTHING&amp;vid=01CRU&amp;lang=en_US&amp;offset=0&amp;query=any,contains,991005212189702656","Catalog Record")</f>
        <v/>
      </c>
      <c r="AT1699">
        <f>HYPERLINK("http://www.worldcat.org/oclc/8170124","WorldCat Record")</f>
        <v/>
      </c>
      <c r="AU1699" t="inlineStr">
        <is>
          <t>768611954:eng</t>
        </is>
      </c>
      <c r="AV1699" t="inlineStr">
        <is>
          <t>8170124</t>
        </is>
      </c>
      <c r="AW1699" t="inlineStr">
        <is>
          <t>991005212189702656</t>
        </is>
      </c>
      <c r="AX1699" t="inlineStr">
        <is>
          <t>991005212189702656</t>
        </is>
      </c>
      <c r="AY1699" t="inlineStr">
        <is>
          <t>2256639070002656</t>
        </is>
      </c>
      <c r="AZ1699" t="inlineStr">
        <is>
          <t>BOOK</t>
        </is>
      </c>
      <c r="BB1699" t="inlineStr">
        <is>
          <t>9780841907966</t>
        </is>
      </c>
      <c r="BC1699" t="inlineStr">
        <is>
          <t>32285000274539</t>
        </is>
      </c>
      <c r="BD1699" t="inlineStr">
        <is>
          <t>893344848</t>
        </is>
      </c>
    </row>
    <row r="1700">
      <c r="A1700" t="inlineStr">
        <is>
          <t>No</t>
        </is>
      </c>
      <c r="B1700" t="inlineStr">
        <is>
          <t>DS63.2.S65 S87 1985</t>
        </is>
      </c>
      <c r="C1700" t="inlineStr">
        <is>
          <t>0                      DS 0063200S  65                 S  87          1985</t>
        </is>
      </c>
      <c r="D1700" t="inlineStr">
        <is>
          <t>Superpower involvement in the Middle East : dynamics of foreign policy / edited by Paul Marantz and Blema S. Steinberg.</t>
        </is>
      </c>
      <c r="F1700" t="inlineStr">
        <is>
          <t>No</t>
        </is>
      </c>
      <c r="G1700" t="inlineStr">
        <is>
          <t>1</t>
        </is>
      </c>
      <c r="H1700" t="inlineStr">
        <is>
          <t>No</t>
        </is>
      </c>
      <c r="I1700" t="inlineStr">
        <is>
          <t>No</t>
        </is>
      </c>
      <c r="J1700" t="inlineStr">
        <is>
          <t>0</t>
        </is>
      </c>
      <c r="L1700" t="inlineStr">
        <is>
          <t>Boulder : Westview Press, 1985.</t>
        </is>
      </c>
      <c r="M1700" t="inlineStr">
        <is>
          <t>1985</t>
        </is>
      </c>
      <c r="O1700" t="inlineStr">
        <is>
          <t>eng</t>
        </is>
      </c>
      <c r="P1700" t="inlineStr">
        <is>
          <t>cou</t>
        </is>
      </c>
      <c r="Q1700" t="inlineStr">
        <is>
          <t>Westview special studies in international relations</t>
        </is>
      </c>
      <c r="R1700" t="inlineStr">
        <is>
          <t xml:space="preserve">DS </t>
        </is>
      </c>
      <c r="S1700" t="n">
        <v>1</v>
      </c>
      <c r="T1700" t="n">
        <v>1</v>
      </c>
      <c r="U1700" t="inlineStr">
        <is>
          <t>2001-04-05</t>
        </is>
      </c>
      <c r="V1700" t="inlineStr">
        <is>
          <t>2001-04-05</t>
        </is>
      </c>
      <c r="W1700" t="inlineStr">
        <is>
          <t>1990-08-16</t>
        </is>
      </c>
      <c r="X1700" t="inlineStr">
        <is>
          <t>1990-08-16</t>
        </is>
      </c>
      <c r="Y1700" t="n">
        <v>275</v>
      </c>
      <c r="Z1700" t="n">
        <v>209</v>
      </c>
      <c r="AA1700" t="n">
        <v>228</v>
      </c>
      <c r="AB1700" t="n">
        <v>2</v>
      </c>
      <c r="AC1700" t="n">
        <v>2</v>
      </c>
      <c r="AD1700" t="n">
        <v>6</v>
      </c>
      <c r="AE1700" t="n">
        <v>6</v>
      </c>
      <c r="AF1700" t="n">
        <v>1</v>
      </c>
      <c r="AG1700" t="n">
        <v>1</v>
      </c>
      <c r="AH1700" t="n">
        <v>3</v>
      </c>
      <c r="AI1700" t="n">
        <v>3</v>
      </c>
      <c r="AJ1700" t="n">
        <v>3</v>
      </c>
      <c r="AK1700" t="n">
        <v>3</v>
      </c>
      <c r="AL1700" t="n">
        <v>1</v>
      </c>
      <c r="AM1700" t="n">
        <v>1</v>
      </c>
      <c r="AN1700" t="n">
        <v>0</v>
      </c>
      <c r="AO1700" t="n">
        <v>0</v>
      </c>
      <c r="AP1700" t="inlineStr">
        <is>
          <t>No</t>
        </is>
      </c>
      <c r="AQ1700" t="inlineStr">
        <is>
          <t>Yes</t>
        </is>
      </c>
      <c r="AR1700">
        <f>HYPERLINK("http://catalog.hathitrust.org/Record/000376923","HathiTrust Record")</f>
        <v/>
      </c>
      <c r="AS1700">
        <f>HYPERLINK("https://creighton-primo.hosted.exlibrisgroup.com/primo-explore/search?tab=default_tab&amp;search_scope=EVERYTHING&amp;vid=01CRU&amp;lang=en_US&amp;offset=0&amp;query=any,contains,991000652569702656","Catalog Record")</f>
        <v/>
      </c>
      <c r="AT1700">
        <f>HYPERLINK("http://www.worldcat.org/oclc/12188475","WorldCat Record")</f>
        <v/>
      </c>
      <c r="AU1700" t="inlineStr">
        <is>
          <t>375310110:eng</t>
        </is>
      </c>
      <c r="AV1700" t="inlineStr">
        <is>
          <t>12188475</t>
        </is>
      </c>
      <c r="AW1700" t="inlineStr">
        <is>
          <t>991000652569702656</t>
        </is>
      </c>
      <c r="AX1700" t="inlineStr">
        <is>
          <t>991000652569702656</t>
        </is>
      </c>
      <c r="AY1700" t="inlineStr">
        <is>
          <t>2254758220002656</t>
        </is>
      </c>
      <c r="AZ1700" t="inlineStr">
        <is>
          <t>BOOK</t>
        </is>
      </c>
      <c r="BB1700" t="inlineStr">
        <is>
          <t>9780813371009</t>
        </is>
      </c>
      <c r="BC1700" t="inlineStr">
        <is>
          <t>32285000274547</t>
        </is>
      </c>
      <c r="BD1700" t="inlineStr">
        <is>
          <t>893333653</t>
        </is>
      </c>
    </row>
    <row r="1701">
      <c r="A1701" t="inlineStr">
        <is>
          <t>No</t>
        </is>
      </c>
      <c r="B1701" t="inlineStr">
        <is>
          <t>DS63.2.T8 R64 1991</t>
        </is>
      </c>
      <c r="C1701" t="inlineStr">
        <is>
          <t>0                      DS 0063200T  8                  R  64          1991</t>
        </is>
      </c>
      <c r="D1701" t="inlineStr">
        <is>
          <t>Turkey and the Middle East / Philip Robins.</t>
        </is>
      </c>
      <c r="F1701" t="inlineStr">
        <is>
          <t>No</t>
        </is>
      </c>
      <c r="G1701" t="inlineStr">
        <is>
          <t>1</t>
        </is>
      </c>
      <c r="H1701" t="inlineStr">
        <is>
          <t>No</t>
        </is>
      </c>
      <c r="I1701" t="inlineStr">
        <is>
          <t>No</t>
        </is>
      </c>
      <c r="J1701" t="inlineStr">
        <is>
          <t>0</t>
        </is>
      </c>
      <c r="K1701" t="inlineStr">
        <is>
          <t>Robins, Philip.</t>
        </is>
      </c>
      <c r="L1701" t="inlineStr">
        <is>
          <t>New York : Council on Foreign Relations Press, c1991.</t>
        </is>
      </c>
      <c r="M1701" t="inlineStr">
        <is>
          <t>1991</t>
        </is>
      </c>
      <c r="O1701" t="inlineStr">
        <is>
          <t>eng</t>
        </is>
      </c>
      <c r="P1701" t="inlineStr">
        <is>
          <t>nyu</t>
        </is>
      </c>
      <c r="Q1701" t="inlineStr">
        <is>
          <t>Chatham House papers</t>
        </is>
      </c>
      <c r="R1701" t="inlineStr">
        <is>
          <t xml:space="preserve">DS </t>
        </is>
      </c>
      <c r="S1701" t="n">
        <v>3</v>
      </c>
      <c r="T1701" t="n">
        <v>3</v>
      </c>
      <c r="U1701" t="inlineStr">
        <is>
          <t>2000-11-29</t>
        </is>
      </c>
      <c r="V1701" t="inlineStr">
        <is>
          <t>2000-11-29</t>
        </is>
      </c>
      <c r="W1701" t="inlineStr">
        <is>
          <t>1991-12-17</t>
        </is>
      </c>
      <c r="X1701" t="inlineStr">
        <is>
          <t>1991-12-17</t>
        </is>
      </c>
      <c r="Y1701" t="n">
        <v>189</v>
      </c>
      <c r="Z1701" t="n">
        <v>161</v>
      </c>
      <c r="AA1701" t="n">
        <v>214</v>
      </c>
      <c r="AB1701" t="n">
        <v>2</v>
      </c>
      <c r="AC1701" t="n">
        <v>2</v>
      </c>
      <c r="AD1701" t="n">
        <v>8</v>
      </c>
      <c r="AE1701" t="n">
        <v>10</v>
      </c>
      <c r="AF1701" t="n">
        <v>3</v>
      </c>
      <c r="AG1701" t="n">
        <v>3</v>
      </c>
      <c r="AH1701" t="n">
        <v>3</v>
      </c>
      <c r="AI1701" t="n">
        <v>3</v>
      </c>
      <c r="AJ1701" t="n">
        <v>3</v>
      </c>
      <c r="AK1701" t="n">
        <v>3</v>
      </c>
      <c r="AL1701" t="n">
        <v>1</v>
      </c>
      <c r="AM1701" t="n">
        <v>1</v>
      </c>
      <c r="AN1701" t="n">
        <v>0</v>
      </c>
      <c r="AO1701" t="n">
        <v>2</v>
      </c>
      <c r="AP1701" t="inlineStr">
        <is>
          <t>No</t>
        </is>
      </c>
      <c r="AQ1701" t="inlineStr">
        <is>
          <t>Yes</t>
        </is>
      </c>
      <c r="AR1701">
        <f>HYPERLINK("http://catalog.hathitrust.org/Record/006253487","HathiTrust Record")</f>
        <v/>
      </c>
      <c r="AS1701">
        <f>HYPERLINK("https://creighton-primo.hosted.exlibrisgroup.com/primo-explore/search?tab=default_tab&amp;search_scope=EVERYTHING&amp;vid=01CRU&amp;lang=en_US&amp;offset=0&amp;query=any,contains,991001866479702656","Catalog Record")</f>
        <v/>
      </c>
      <c r="AT1701">
        <f>HYPERLINK("http://www.worldcat.org/oclc/23463522","WorldCat Record")</f>
        <v/>
      </c>
      <c r="AU1701" t="inlineStr">
        <is>
          <t>14075011:eng</t>
        </is>
      </c>
      <c r="AV1701" t="inlineStr">
        <is>
          <t>23463522</t>
        </is>
      </c>
      <c r="AW1701" t="inlineStr">
        <is>
          <t>991001866479702656</t>
        </is>
      </c>
      <c r="AX1701" t="inlineStr">
        <is>
          <t>991001866479702656</t>
        </is>
      </c>
      <c r="AY1701" t="inlineStr">
        <is>
          <t>2256024950002656</t>
        </is>
      </c>
      <c r="AZ1701" t="inlineStr">
        <is>
          <t>BOOK</t>
        </is>
      </c>
      <c r="BB1701" t="inlineStr">
        <is>
          <t>9780876091012</t>
        </is>
      </c>
      <c r="BC1701" t="inlineStr">
        <is>
          <t>32285000859586</t>
        </is>
      </c>
      <c r="BD1701" t="inlineStr">
        <is>
          <t>893238385</t>
        </is>
      </c>
    </row>
    <row r="1702">
      <c r="A1702" t="inlineStr">
        <is>
          <t>No</t>
        </is>
      </c>
      <c r="B1702" t="inlineStr">
        <is>
          <t>DS63.2.U5 A64 1991</t>
        </is>
      </c>
      <c r="C1702" t="inlineStr">
        <is>
          <t>0                      DS 0063200U  5                  A  64          1991</t>
        </is>
      </c>
      <c r="D1702" t="inlineStr">
        <is>
          <t>After the storm : challenges for American policy in the Middle East : report of the Washington Institute's Strategic Study Group.</t>
        </is>
      </c>
      <c r="F1702" t="inlineStr">
        <is>
          <t>No</t>
        </is>
      </c>
      <c r="G1702" t="inlineStr">
        <is>
          <t>1</t>
        </is>
      </c>
      <c r="H1702" t="inlineStr">
        <is>
          <t>No</t>
        </is>
      </c>
      <c r="I1702" t="inlineStr">
        <is>
          <t>No</t>
        </is>
      </c>
      <c r="J1702" t="inlineStr">
        <is>
          <t>0</t>
        </is>
      </c>
      <c r="L1702" t="inlineStr">
        <is>
          <t>Washington, D.C. : Washington Institute for Near East Policy, 1991.</t>
        </is>
      </c>
      <c r="M1702" t="inlineStr">
        <is>
          <t>1991</t>
        </is>
      </c>
      <c r="O1702" t="inlineStr">
        <is>
          <t>eng</t>
        </is>
      </c>
      <c r="P1702" t="inlineStr">
        <is>
          <t>dcu</t>
        </is>
      </c>
      <c r="R1702" t="inlineStr">
        <is>
          <t xml:space="preserve">DS </t>
        </is>
      </c>
      <c r="S1702" t="n">
        <v>3</v>
      </c>
      <c r="T1702" t="n">
        <v>3</v>
      </c>
      <c r="U1702" t="inlineStr">
        <is>
          <t>1994-10-10</t>
        </is>
      </c>
      <c r="V1702" t="inlineStr">
        <is>
          <t>1994-10-10</t>
        </is>
      </c>
      <c r="W1702" t="inlineStr">
        <is>
          <t>1992-07-09</t>
        </is>
      </c>
      <c r="X1702" t="inlineStr">
        <is>
          <t>1992-07-09</t>
        </is>
      </c>
      <c r="Y1702" t="n">
        <v>65</v>
      </c>
      <c r="Z1702" t="n">
        <v>49</v>
      </c>
      <c r="AA1702" t="n">
        <v>49</v>
      </c>
      <c r="AB1702" t="n">
        <v>1</v>
      </c>
      <c r="AC1702" t="n">
        <v>1</v>
      </c>
      <c r="AD1702" t="n">
        <v>1</v>
      </c>
      <c r="AE1702" t="n">
        <v>1</v>
      </c>
      <c r="AF1702" t="n">
        <v>1</v>
      </c>
      <c r="AG1702" t="n">
        <v>1</v>
      </c>
      <c r="AH1702" t="n">
        <v>0</v>
      </c>
      <c r="AI1702" t="n">
        <v>0</v>
      </c>
      <c r="AJ1702" t="n">
        <v>1</v>
      </c>
      <c r="AK1702" t="n">
        <v>1</v>
      </c>
      <c r="AL1702" t="n">
        <v>0</v>
      </c>
      <c r="AM1702" t="n">
        <v>0</v>
      </c>
      <c r="AN1702" t="n">
        <v>0</v>
      </c>
      <c r="AO1702" t="n">
        <v>0</v>
      </c>
      <c r="AP1702" t="inlineStr">
        <is>
          <t>No</t>
        </is>
      </c>
      <c r="AQ1702" t="inlineStr">
        <is>
          <t>No</t>
        </is>
      </c>
      <c r="AS1702">
        <f>HYPERLINK("https://creighton-primo.hosted.exlibrisgroup.com/primo-explore/search?tab=default_tab&amp;search_scope=EVERYTHING&amp;vid=01CRU&amp;lang=en_US&amp;offset=0&amp;query=any,contains,991001904479702656","Catalog Record")</f>
        <v/>
      </c>
      <c r="AT1702">
        <f>HYPERLINK("http://www.worldcat.org/oclc/24066435","WorldCat Record")</f>
        <v/>
      </c>
      <c r="AU1702" t="inlineStr">
        <is>
          <t>25109611:eng</t>
        </is>
      </c>
      <c r="AV1702" t="inlineStr">
        <is>
          <t>24066435</t>
        </is>
      </c>
      <c r="AW1702" t="inlineStr">
        <is>
          <t>991001904479702656</t>
        </is>
      </c>
      <c r="AX1702" t="inlineStr">
        <is>
          <t>991001904479702656</t>
        </is>
      </c>
      <c r="AY1702" t="inlineStr">
        <is>
          <t>2262050400002656</t>
        </is>
      </c>
      <c r="AZ1702" t="inlineStr">
        <is>
          <t>BOOK</t>
        </is>
      </c>
      <c r="BB1702" t="inlineStr">
        <is>
          <t>9780944029114</t>
        </is>
      </c>
      <c r="BC1702" t="inlineStr">
        <is>
          <t>32285001158301</t>
        </is>
      </c>
      <c r="BD1702" t="inlineStr">
        <is>
          <t>893791818</t>
        </is>
      </c>
    </row>
    <row r="1703">
      <c r="A1703" t="inlineStr">
        <is>
          <t>No</t>
        </is>
      </c>
      <c r="B1703" t="inlineStr">
        <is>
          <t>DS63.2.U5 B32</t>
        </is>
      </c>
      <c r="C1703" t="inlineStr">
        <is>
          <t>0                      DS 0063200U  5                  B  32</t>
        </is>
      </c>
      <c r="D1703" t="inlineStr">
        <is>
          <t>The American approach to the Arab world, by John S. Badeau.</t>
        </is>
      </c>
      <c r="F1703" t="inlineStr">
        <is>
          <t>No</t>
        </is>
      </c>
      <c r="G1703" t="inlineStr">
        <is>
          <t>1</t>
        </is>
      </c>
      <c r="H1703" t="inlineStr">
        <is>
          <t>No</t>
        </is>
      </c>
      <c r="I1703" t="inlineStr">
        <is>
          <t>No</t>
        </is>
      </c>
      <c r="J1703" t="inlineStr">
        <is>
          <t>0</t>
        </is>
      </c>
      <c r="K1703" t="inlineStr">
        <is>
          <t>Badeau, John S. (John Stothoff), 1903-1995.</t>
        </is>
      </c>
      <c r="L1703" t="inlineStr">
        <is>
          <t>New York, Published for the Council on Foreign Relations by Harper &amp; Row [1968]</t>
        </is>
      </c>
      <c r="M1703" t="inlineStr">
        <is>
          <t>1968</t>
        </is>
      </c>
      <c r="N1703" t="inlineStr">
        <is>
          <t>[1st ed.]</t>
        </is>
      </c>
      <c r="O1703" t="inlineStr">
        <is>
          <t>eng</t>
        </is>
      </c>
      <c r="P1703" t="inlineStr">
        <is>
          <t>nyu</t>
        </is>
      </c>
      <c r="Q1703" t="inlineStr">
        <is>
          <t>Policy books of the Council on Foreign Relations</t>
        </is>
      </c>
      <c r="R1703" t="inlineStr">
        <is>
          <t xml:space="preserve">DS </t>
        </is>
      </c>
      <c r="S1703" t="n">
        <v>1</v>
      </c>
      <c r="T1703" t="n">
        <v>1</v>
      </c>
      <c r="U1703" t="inlineStr">
        <is>
          <t>2002-09-07</t>
        </is>
      </c>
      <c r="V1703" t="inlineStr">
        <is>
          <t>2002-09-07</t>
        </is>
      </c>
      <c r="W1703" t="inlineStr">
        <is>
          <t>1997-02-24</t>
        </is>
      </c>
      <c r="X1703" t="inlineStr">
        <is>
          <t>1997-02-24</t>
        </is>
      </c>
      <c r="Y1703" t="n">
        <v>832</v>
      </c>
      <c r="Z1703" t="n">
        <v>722</v>
      </c>
      <c r="AA1703" t="n">
        <v>746</v>
      </c>
      <c r="AB1703" t="n">
        <v>4</v>
      </c>
      <c r="AC1703" t="n">
        <v>4</v>
      </c>
      <c r="AD1703" t="n">
        <v>31</v>
      </c>
      <c r="AE1703" t="n">
        <v>35</v>
      </c>
      <c r="AF1703" t="n">
        <v>12</v>
      </c>
      <c r="AG1703" t="n">
        <v>12</v>
      </c>
      <c r="AH1703" t="n">
        <v>6</v>
      </c>
      <c r="AI1703" t="n">
        <v>6</v>
      </c>
      <c r="AJ1703" t="n">
        <v>14</v>
      </c>
      <c r="AK1703" t="n">
        <v>14</v>
      </c>
      <c r="AL1703" t="n">
        <v>3</v>
      </c>
      <c r="AM1703" t="n">
        <v>3</v>
      </c>
      <c r="AN1703" t="n">
        <v>2</v>
      </c>
      <c r="AO1703" t="n">
        <v>6</v>
      </c>
      <c r="AP1703" t="inlineStr">
        <is>
          <t>No</t>
        </is>
      </c>
      <c r="AQ1703" t="inlineStr">
        <is>
          <t>Yes</t>
        </is>
      </c>
      <c r="AR1703">
        <f>HYPERLINK("http://catalog.hathitrust.org/Record/001241358","HathiTrust Record")</f>
        <v/>
      </c>
      <c r="AS1703">
        <f>HYPERLINK("https://creighton-primo.hosted.exlibrisgroup.com/primo-explore/search?tab=default_tab&amp;search_scope=EVERYTHING&amp;vid=01CRU&amp;lang=en_US&amp;offset=0&amp;query=any,contains,991001633639702656","Catalog Record")</f>
        <v/>
      </c>
      <c r="AT1703">
        <f>HYPERLINK("http://www.worldcat.org/oclc/233678","WorldCat Record")</f>
        <v/>
      </c>
      <c r="AU1703" t="inlineStr">
        <is>
          <t>1361855:eng</t>
        </is>
      </c>
      <c r="AV1703" t="inlineStr">
        <is>
          <t>233678</t>
        </is>
      </c>
      <c r="AW1703" t="inlineStr">
        <is>
          <t>991001633639702656</t>
        </is>
      </c>
      <c r="AX1703" t="inlineStr">
        <is>
          <t>991001633639702656</t>
        </is>
      </c>
      <c r="AY1703" t="inlineStr">
        <is>
          <t>2259220210002656</t>
        </is>
      </c>
      <c r="AZ1703" t="inlineStr">
        <is>
          <t>BOOK</t>
        </is>
      </c>
      <c r="BC1703" t="inlineStr">
        <is>
          <t>32285002460102</t>
        </is>
      </c>
      <c r="BD1703" t="inlineStr">
        <is>
          <t>893250345</t>
        </is>
      </c>
    </row>
    <row r="1704">
      <c r="A1704" t="inlineStr">
        <is>
          <t>No</t>
        </is>
      </c>
      <c r="B1704" t="inlineStr">
        <is>
          <t>DS63.2.U5 B6 2002</t>
        </is>
      </c>
      <c r="C1704" t="inlineStr">
        <is>
          <t>0                      DS 0063200U  5                  B  6           2002</t>
        </is>
      </c>
      <c r="D1704" t="inlineStr">
        <is>
          <t>The high cost of peace : how Washington's Middle East policy left America vulnerable to terrorism / Yossef Bodansky.</t>
        </is>
      </c>
      <c r="F1704" t="inlineStr">
        <is>
          <t>No</t>
        </is>
      </c>
      <c r="G1704" t="inlineStr">
        <is>
          <t>1</t>
        </is>
      </c>
      <c r="H1704" t="inlineStr">
        <is>
          <t>No</t>
        </is>
      </c>
      <c r="I1704" t="inlineStr">
        <is>
          <t>No</t>
        </is>
      </c>
      <c r="J1704" t="inlineStr">
        <is>
          <t>0</t>
        </is>
      </c>
      <c r="K1704" t="inlineStr">
        <is>
          <t>Bodansky, Yossef.</t>
        </is>
      </c>
      <c r="L1704" t="inlineStr">
        <is>
          <t>Roseville, Calif. : Forum, 2002.</t>
        </is>
      </c>
      <c r="M1704" t="inlineStr">
        <is>
          <t>2002</t>
        </is>
      </c>
      <c r="N1704" t="inlineStr">
        <is>
          <t>1st ed.</t>
        </is>
      </c>
      <c r="O1704" t="inlineStr">
        <is>
          <t>eng</t>
        </is>
      </c>
      <c r="P1704" t="inlineStr">
        <is>
          <t>cau</t>
        </is>
      </c>
      <c r="R1704" t="inlineStr">
        <is>
          <t xml:space="preserve">DS </t>
        </is>
      </c>
      <c r="S1704" t="n">
        <v>3</v>
      </c>
      <c r="T1704" t="n">
        <v>3</v>
      </c>
      <c r="U1704" t="inlineStr">
        <is>
          <t>2003-01-08</t>
        </is>
      </c>
      <c r="V1704" t="inlineStr">
        <is>
          <t>2003-01-08</t>
        </is>
      </c>
      <c r="W1704" t="inlineStr">
        <is>
          <t>2003-01-08</t>
        </is>
      </c>
      <c r="X1704" t="inlineStr">
        <is>
          <t>2003-01-08</t>
        </is>
      </c>
      <c r="Y1704" t="n">
        <v>489</v>
      </c>
      <c r="Z1704" t="n">
        <v>420</v>
      </c>
      <c r="AA1704" t="n">
        <v>434</v>
      </c>
      <c r="AB1704" t="n">
        <v>2</v>
      </c>
      <c r="AC1704" t="n">
        <v>2</v>
      </c>
      <c r="AD1704" t="n">
        <v>14</v>
      </c>
      <c r="AE1704" t="n">
        <v>15</v>
      </c>
      <c r="AF1704" t="n">
        <v>6</v>
      </c>
      <c r="AG1704" t="n">
        <v>6</v>
      </c>
      <c r="AH1704" t="n">
        <v>2</v>
      </c>
      <c r="AI1704" t="n">
        <v>2</v>
      </c>
      <c r="AJ1704" t="n">
        <v>6</v>
      </c>
      <c r="AK1704" t="n">
        <v>7</v>
      </c>
      <c r="AL1704" t="n">
        <v>1</v>
      </c>
      <c r="AM1704" t="n">
        <v>1</v>
      </c>
      <c r="AN1704" t="n">
        <v>1</v>
      </c>
      <c r="AO1704" t="n">
        <v>1</v>
      </c>
      <c r="AP1704" t="inlineStr">
        <is>
          <t>No</t>
        </is>
      </c>
      <c r="AQ1704" t="inlineStr">
        <is>
          <t>Yes</t>
        </is>
      </c>
      <c r="AR1704">
        <f>HYPERLINK("http://catalog.hathitrust.org/Record/004283326","HathiTrust Record")</f>
        <v/>
      </c>
      <c r="AS1704">
        <f>HYPERLINK("https://creighton-primo.hosted.exlibrisgroup.com/primo-explore/search?tab=default_tab&amp;search_scope=EVERYTHING&amp;vid=01CRU&amp;lang=en_US&amp;offset=0&amp;query=any,contains,991003955969702656","Catalog Record")</f>
        <v/>
      </c>
      <c r="AT1704">
        <f>HYPERLINK("http://www.worldcat.org/oclc/49530004","WorldCat Record")</f>
        <v/>
      </c>
      <c r="AU1704" t="inlineStr">
        <is>
          <t>341673257:eng</t>
        </is>
      </c>
      <c r="AV1704" t="inlineStr">
        <is>
          <t>49530004</t>
        </is>
      </c>
      <c r="AW1704" t="inlineStr">
        <is>
          <t>991003955969702656</t>
        </is>
      </c>
      <c r="AX1704" t="inlineStr">
        <is>
          <t>991003955969702656</t>
        </is>
      </c>
      <c r="AY1704" t="inlineStr">
        <is>
          <t>2268070560002656</t>
        </is>
      </c>
      <c r="AZ1704" t="inlineStr">
        <is>
          <t>BOOK</t>
        </is>
      </c>
      <c r="BB1704" t="inlineStr">
        <is>
          <t>9780761535799</t>
        </is>
      </c>
      <c r="BC1704" t="inlineStr">
        <is>
          <t>32285004692348</t>
        </is>
      </c>
      <c r="BD1704" t="inlineStr">
        <is>
          <t>893263033</t>
        </is>
      </c>
    </row>
    <row r="1705">
      <c r="A1705" t="inlineStr">
        <is>
          <t>No</t>
        </is>
      </c>
      <c r="B1705" t="inlineStr">
        <is>
          <t>DS63.2.U5 F47</t>
        </is>
      </c>
      <c r="C1705" t="inlineStr">
        <is>
          <t>0                      DS 0063200U  5                  F  47</t>
        </is>
      </c>
      <c r="D1705" t="inlineStr">
        <is>
          <t>America and the Mediterranean world, 1776-1882, by James A. Field, Jr.</t>
        </is>
      </c>
      <c r="F1705" t="inlineStr">
        <is>
          <t>No</t>
        </is>
      </c>
      <c r="G1705" t="inlineStr">
        <is>
          <t>1</t>
        </is>
      </c>
      <c r="H1705" t="inlineStr">
        <is>
          <t>No</t>
        </is>
      </c>
      <c r="I1705" t="inlineStr">
        <is>
          <t>No</t>
        </is>
      </c>
      <c r="J1705" t="inlineStr">
        <is>
          <t>0</t>
        </is>
      </c>
      <c r="K1705" t="inlineStr">
        <is>
          <t>Field, James A.</t>
        </is>
      </c>
      <c r="L1705" t="inlineStr">
        <is>
          <t>Princeton, N.J., Princeton University Press, 1969.</t>
        </is>
      </c>
      <c r="M1705" t="inlineStr">
        <is>
          <t>1969</t>
        </is>
      </c>
      <c r="O1705" t="inlineStr">
        <is>
          <t>eng</t>
        </is>
      </c>
      <c r="P1705" t="inlineStr">
        <is>
          <t>nju</t>
        </is>
      </c>
      <c r="R1705" t="inlineStr">
        <is>
          <t xml:space="preserve">DS </t>
        </is>
      </c>
      <c r="S1705" t="n">
        <v>0</v>
      </c>
      <c r="T1705" t="n">
        <v>0</v>
      </c>
      <c r="U1705" t="inlineStr">
        <is>
          <t>2006-11-13</t>
        </is>
      </c>
      <c r="V1705" t="inlineStr">
        <is>
          <t>2006-11-13</t>
        </is>
      </c>
      <c r="W1705" t="inlineStr">
        <is>
          <t>1997-02-24</t>
        </is>
      </c>
      <c r="X1705" t="inlineStr">
        <is>
          <t>1997-02-24</t>
        </is>
      </c>
      <c r="Y1705" t="n">
        <v>761</v>
      </c>
      <c r="Z1705" t="n">
        <v>672</v>
      </c>
      <c r="AA1705" t="n">
        <v>710</v>
      </c>
      <c r="AB1705" t="n">
        <v>5</v>
      </c>
      <c r="AC1705" t="n">
        <v>5</v>
      </c>
      <c r="AD1705" t="n">
        <v>33</v>
      </c>
      <c r="AE1705" t="n">
        <v>34</v>
      </c>
      <c r="AF1705" t="n">
        <v>13</v>
      </c>
      <c r="AG1705" t="n">
        <v>14</v>
      </c>
      <c r="AH1705" t="n">
        <v>9</v>
      </c>
      <c r="AI1705" t="n">
        <v>9</v>
      </c>
      <c r="AJ1705" t="n">
        <v>18</v>
      </c>
      <c r="AK1705" t="n">
        <v>19</v>
      </c>
      <c r="AL1705" t="n">
        <v>4</v>
      </c>
      <c r="AM1705" t="n">
        <v>4</v>
      </c>
      <c r="AN1705" t="n">
        <v>0</v>
      </c>
      <c r="AO1705" t="n">
        <v>0</v>
      </c>
      <c r="AP1705" t="inlineStr">
        <is>
          <t>No</t>
        </is>
      </c>
      <c r="AQ1705" t="inlineStr">
        <is>
          <t>No</t>
        </is>
      </c>
      <c r="AS1705">
        <f>HYPERLINK("https://creighton-primo.hosted.exlibrisgroup.com/primo-explore/search?tab=default_tab&amp;search_scope=EVERYTHING&amp;vid=01CRU&amp;lang=en_US&amp;offset=0&amp;query=any,contains,991005431969702656","Catalog Record")</f>
        <v/>
      </c>
      <c r="AT1705">
        <f>HYPERLINK("http://www.worldcat.org/oclc/821","WorldCat Record")</f>
        <v/>
      </c>
      <c r="AU1705" t="inlineStr">
        <is>
          <t>1124106:eng</t>
        </is>
      </c>
      <c r="AV1705" t="inlineStr">
        <is>
          <t>821</t>
        </is>
      </c>
      <c r="AW1705" t="inlineStr">
        <is>
          <t>991005431969702656</t>
        </is>
      </c>
      <c r="AX1705" t="inlineStr">
        <is>
          <t>991005431969702656</t>
        </is>
      </c>
      <c r="AY1705" t="inlineStr">
        <is>
          <t>2272652540002656</t>
        </is>
      </c>
      <c r="AZ1705" t="inlineStr">
        <is>
          <t>BOOK</t>
        </is>
      </c>
      <c r="BC1705" t="inlineStr">
        <is>
          <t>32285002460177</t>
        </is>
      </c>
      <c r="BD1705" t="inlineStr">
        <is>
          <t>893508254</t>
        </is>
      </c>
    </row>
    <row r="1706">
      <c r="A1706" t="inlineStr">
        <is>
          <t>No</t>
        </is>
      </c>
      <c r="B1706" t="inlineStr">
        <is>
          <t>DS63.2.U5 F7 1989</t>
        </is>
      </c>
      <c r="C1706" t="inlineStr">
        <is>
          <t>0                      DS 0063200U  5                  F  7           1989</t>
        </is>
      </c>
      <c r="D1706" t="inlineStr">
        <is>
          <t>The USA and the Middle East since World War 2 / T.G. Fraser.</t>
        </is>
      </c>
      <c r="F1706" t="inlineStr">
        <is>
          <t>No</t>
        </is>
      </c>
      <c r="G1706" t="inlineStr">
        <is>
          <t>1</t>
        </is>
      </c>
      <c r="H1706" t="inlineStr">
        <is>
          <t>No</t>
        </is>
      </c>
      <c r="I1706" t="inlineStr">
        <is>
          <t>No</t>
        </is>
      </c>
      <c r="J1706" t="inlineStr">
        <is>
          <t>0</t>
        </is>
      </c>
      <c r="K1706" t="inlineStr">
        <is>
          <t>Fraser, T. G.</t>
        </is>
      </c>
      <c r="L1706" t="inlineStr">
        <is>
          <t>New York : St. Martin's Press, 1989.</t>
        </is>
      </c>
      <c r="M1706" t="inlineStr">
        <is>
          <t>1989</t>
        </is>
      </c>
      <c r="O1706" t="inlineStr">
        <is>
          <t>eng</t>
        </is>
      </c>
      <c r="P1706" t="inlineStr">
        <is>
          <t>nyu</t>
        </is>
      </c>
      <c r="R1706" t="inlineStr">
        <is>
          <t xml:space="preserve">DS </t>
        </is>
      </c>
      <c r="S1706" t="n">
        <v>2</v>
      </c>
      <c r="T1706" t="n">
        <v>2</v>
      </c>
      <c r="U1706" t="inlineStr">
        <is>
          <t>2006-04-11</t>
        </is>
      </c>
      <c r="V1706" t="inlineStr">
        <is>
          <t>2006-04-11</t>
        </is>
      </c>
      <c r="W1706" t="inlineStr">
        <is>
          <t>1990-07-05</t>
        </is>
      </c>
      <c r="X1706" t="inlineStr">
        <is>
          <t>1990-07-05</t>
        </is>
      </c>
      <c r="Y1706" t="n">
        <v>473</v>
      </c>
      <c r="Z1706" t="n">
        <v>426</v>
      </c>
      <c r="AA1706" t="n">
        <v>518</v>
      </c>
      <c r="AB1706" t="n">
        <v>3</v>
      </c>
      <c r="AC1706" t="n">
        <v>3</v>
      </c>
      <c r="AD1706" t="n">
        <v>15</v>
      </c>
      <c r="AE1706" t="n">
        <v>17</v>
      </c>
      <c r="AF1706" t="n">
        <v>5</v>
      </c>
      <c r="AG1706" t="n">
        <v>6</v>
      </c>
      <c r="AH1706" t="n">
        <v>4</v>
      </c>
      <c r="AI1706" t="n">
        <v>5</v>
      </c>
      <c r="AJ1706" t="n">
        <v>8</v>
      </c>
      <c r="AK1706" t="n">
        <v>9</v>
      </c>
      <c r="AL1706" t="n">
        <v>2</v>
      </c>
      <c r="AM1706" t="n">
        <v>2</v>
      </c>
      <c r="AN1706" t="n">
        <v>0</v>
      </c>
      <c r="AO1706" t="n">
        <v>0</v>
      </c>
      <c r="AP1706" t="inlineStr">
        <is>
          <t>No</t>
        </is>
      </c>
      <c r="AQ1706" t="inlineStr">
        <is>
          <t>No</t>
        </is>
      </c>
      <c r="AS1706">
        <f>HYPERLINK("https://creighton-primo.hosted.exlibrisgroup.com/primo-explore/search?tab=default_tab&amp;search_scope=EVERYTHING&amp;vid=01CRU&amp;lang=en_US&amp;offset=0&amp;query=any,contains,991001416489702656","Catalog Record")</f>
        <v/>
      </c>
      <c r="AT1706">
        <f>HYPERLINK("http://www.worldcat.org/oclc/18949652","WorldCat Record")</f>
        <v/>
      </c>
      <c r="AU1706" t="inlineStr">
        <is>
          <t>19450010:eng</t>
        </is>
      </c>
      <c r="AV1706" t="inlineStr">
        <is>
          <t>18949652</t>
        </is>
      </c>
      <c r="AW1706" t="inlineStr">
        <is>
          <t>991001416489702656</t>
        </is>
      </c>
      <c r="AX1706" t="inlineStr">
        <is>
          <t>991001416489702656</t>
        </is>
      </c>
      <c r="AY1706" t="inlineStr">
        <is>
          <t>2270746820002656</t>
        </is>
      </c>
      <c r="AZ1706" t="inlineStr">
        <is>
          <t>BOOK</t>
        </is>
      </c>
      <c r="BB1706" t="inlineStr">
        <is>
          <t>9780312030186</t>
        </is>
      </c>
      <c r="BC1706" t="inlineStr">
        <is>
          <t>32285000207430</t>
        </is>
      </c>
      <c r="BD1706" t="inlineStr">
        <is>
          <t>893866217</t>
        </is>
      </c>
    </row>
    <row r="1707">
      <c r="A1707" t="inlineStr">
        <is>
          <t>No</t>
        </is>
      </c>
      <c r="B1707" t="inlineStr">
        <is>
          <t>DS63.2.U5 F74 1992</t>
        </is>
      </c>
      <c r="C1707" t="inlineStr">
        <is>
          <t>0                      DS 0063200U  5                  F  74          1992</t>
        </is>
      </c>
      <c r="D1707" t="inlineStr">
        <is>
          <t>Dawn over Suez : the rise of American power in the Middle East, 1953-1957 / Steven Z. Freiberger.</t>
        </is>
      </c>
      <c r="F1707" t="inlineStr">
        <is>
          <t>No</t>
        </is>
      </c>
      <c r="G1707" t="inlineStr">
        <is>
          <t>1</t>
        </is>
      </c>
      <c r="H1707" t="inlineStr">
        <is>
          <t>No</t>
        </is>
      </c>
      <c r="I1707" t="inlineStr">
        <is>
          <t>No</t>
        </is>
      </c>
      <c r="J1707" t="inlineStr">
        <is>
          <t>0</t>
        </is>
      </c>
      <c r="K1707" t="inlineStr">
        <is>
          <t>Freiberger, Steven Z.</t>
        </is>
      </c>
      <c r="L1707" t="inlineStr">
        <is>
          <t>Chicago : I.R. Dee, 1992.</t>
        </is>
      </c>
      <c r="M1707" t="inlineStr">
        <is>
          <t>1992</t>
        </is>
      </c>
      <c r="O1707" t="inlineStr">
        <is>
          <t>eng</t>
        </is>
      </c>
      <c r="P1707" t="inlineStr">
        <is>
          <t>ilu</t>
        </is>
      </c>
      <c r="R1707" t="inlineStr">
        <is>
          <t xml:space="preserve">DS </t>
        </is>
      </c>
      <c r="S1707" t="n">
        <v>4</v>
      </c>
      <c r="T1707" t="n">
        <v>4</v>
      </c>
      <c r="U1707" t="inlineStr">
        <is>
          <t>2010-09-13</t>
        </is>
      </c>
      <c r="V1707" t="inlineStr">
        <is>
          <t>2010-09-13</t>
        </is>
      </c>
      <c r="W1707" t="inlineStr">
        <is>
          <t>1992-08-26</t>
        </is>
      </c>
      <c r="X1707" t="inlineStr">
        <is>
          <t>1992-08-26</t>
        </is>
      </c>
      <c r="Y1707" t="n">
        <v>535</v>
      </c>
      <c r="Z1707" t="n">
        <v>447</v>
      </c>
      <c r="AA1707" t="n">
        <v>467</v>
      </c>
      <c r="AB1707" t="n">
        <v>2</v>
      </c>
      <c r="AC1707" t="n">
        <v>2</v>
      </c>
      <c r="AD1707" t="n">
        <v>25</v>
      </c>
      <c r="AE1707" t="n">
        <v>25</v>
      </c>
      <c r="AF1707" t="n">
        <v>11</v>
      </c>
      <c r="AG1707" t="n">
        <v>11</v>
      </c>
      <c r="AH1707" t="n">
        <v>8</v>
      </c>
      <c r="AI1707" t="n">
        <v>8</v>
      </c>
      <c r="AJ1707" t="n">
        <v>13</v>
      </c>
      <c r="AK1707" t="n">
        <v>13</v>
      </c>
      <c r="AL1707" t="n">
        <v>1</v>
      </c>
      <c r="AM1707" t="n">
        <v>1</v>
      </c>
      <c r="AN1707" t="n">
        <v>0</v>
      </c>
      <c r="AO1707" t="n">
        <v>0</v>
      </c>
      <c r="AP1707" t="inlineStr">
        <is>
          <t>No</t>
        </is>
      </c>
      <c r="AQ1707" t="inlineStr">
        <is>
          <t>Yes</t>
        </is>
      </c>
      <c r="AR1707">
        <f>HYPERLINK("http://catalog.hathitrust.org/Record/002534531","HathiTrust Record")</f>
        <v/>
      </c>
      <c r="AS1707">
        <f>HYPERLINK("https://creighton-primo.hosted.exlibrisgroup.com/primo-explore/search?tab=default_tab&amp;search_scope=EVERYTHING&amp;vid=01CRU&amp;lang=en_US&amp;offset=0&amp;query=any,contains,991001980469702656","Catalog Record")</f>
        <v/>
      </c>
      <c r="AT1707">
        <f>HYPERLINK("http://www.worldcat.org/oclc/25131069","WorldCat Record")</f>
        <v/>
      </c>
      <c r="AU1707" t="inlineStr">
        <is>
          <t>365417108:eng</t>
        </is>
      </c>
      <c r="AV1707" t="inlineStr">
        <is>
          <t>25131069</t>
        </is>
      </c>
      <c r="AW1707" t="inlineStr">
        <is>
          <t>991001980469702656</t>
        </is>
      </c>
      <c r="AX1707" t="inlineStr">
        <is>
          <t>991001980469702656</t>
        </is>
      </c>
      <c r="AY1707" t="inlineStr">
        <is>
          <t>2271262330002656</t>
        </is>
      </c>
      <c r="AZ1707" t="inlineStr">
        <is>
          <t>BOOK</t>
        </is>
      </c>
      <c r="BB1707" t="inlineStr">
        <is>
          <t>9780929587837</t>
        </is>
      </c>
      <c r="BC1707" t="inlineStr">
        <is>
          <t>32285001199263</t>
        </is>
      </c>
      <c r="BD1707" t="inlineStr">
        <is>
          <t>893785585</t>
        </is>
      </c>
    </row>
    <row r="1708">
      <c r="A1708" t="inlineStr">
        <is>
          <t>No</t>
        </is>
      </c>
      <c r="B1708" t="inlineStr">
        <is>
          <t>DS63.2.U5 F85 2006</t>
        </is>
      </c>
      <c r="C1708" t="inlineStr">
        <is>
          <t>0                      DS 0063200U  5                  F  85          2006</t>
        </is>
      </c>
      <c r="D1708" t="inlineStr">
        <is>
          <t>Advertising's war on terrorism : the story of the U.S. State Department's Shared Values Initiative / Jami A. Fullerton, Alice G. Kendrick.</t>
        </is>
      </c>
      <c r="F1708" t="inlineStr">
        <is>
          <t>No</t>
        </is>
      </c>
      <c r="G1708" t="inlineStr">
        <is>
          <t>1</t>
        </is>
      </c>
      <c r="H1708" t="inlineStr">
        <is>
          <t>No</t>
        </is>
      </c>
      <c r="I1708" t="inlineStr">
        <is>
          <t>No</t>
        </is>
      </c>
      <c r="J1708" t="inlineStr">
        <is>
          <t>0</t>
        </is>
      </c>
      <c r="K1708" t="inlineStr">
        <is>
          <t>Fullerton, Jami A., 1963-</t>
        </is>
      </c>
      <c r="L1708" t="inlineStr">
        <is>
          <t>Spokane, Wash. : Marquette Books, c2006.</t>
        </is>
      </c>
      <c r="M1708" t="inlineStr">
        <is>
          <t>2006</t>
        </is>
      </c>
      <c r="O1708" t="inlineStr">
        <is>
          <t>eng</t>
        </is>
      </c>
      <c r="P1708" t="inlineStr">
        <is>
          <t>wau</t>
        </is>
      </c>
      <c r="R1708" t="inlineStr">
        <is>
          <t xml:space="preserve">DS </t>
        </is>
      </c>
      <c r="S1708" t="n">
        <v>2</v>
      </c>
      <c r="T1708" t="n">
        <v>2</v>
      </c>
      <c r="U1708" t="inlineStr">
        <is>
          <t>2007-02-09</t>
        </is>
      </c>
      <c r="V1708" t="inlineStr">
        <is>
          <t>2007-02-09</t>
        </is>
      </c>
      <c r="W1708" t="inlineStr">
        <is>
          <t>2007-01-30</t>
        </is>
      </c>
      <c r="X1708" t="inlineStr">
        <is>
          <t>2007-01-30</t>
        </is>
      </c>
      <c r="Y1708" t="n">
        <v>238</v>
      </c>
      <c r="Z1708" t="n">
        <v>212</v>
      </c>
      <c r="AA1708" t="n">
        <v>214</v>
      </c>
      <c r="AB1708" t="n">
        <v>2</v>
      </c>
      <c r="AC1708" t="n">
        <v>2</v>
      </c>
      <c r="AD1708" t="n">
        <v>14</v>
      </c>
      <c r="AE1708" t="n">
        <v>14</v>
      </c>
      <c r="AF1708" t="n">
        <v>5</v>
      </c>
      <c r="AG1708" t="n">
        <v>5</v>
      </c>
      <c r="AH1708" t="n">
        <v>5</v>
      </c>
      <c r="AI1708" t="n">
        <v>5</v>
      </c>
      <c r="AJ1708" t="n">
        <v>6</v>
      </c>
      <c r="AK1708" t="n">
        <v>6</v>
      </c>
      <c r="AL1708" t="n">
        <v>1</v>
      </c>
      <c r="AM1708" t="n">
        <v>1</v>
      </c>
      <c r="AN1708" t="n">
        <v>0</v>
      </c>
      <c r="AO1708" t="n">
        <v>0</v>
      </c>
      <c r="AP1708" t="inlineStr">
        <is>
          <t>No</t>
        </is>
      </c>
      <c r="AQ1708" t="inlineStr">
        <is>
          <t>Yes</t>
        </is>
      </c>
      <c r="AR1708">
        <f>HYPERLINK("http://catalog.hathitrust.org/Record/005103500","HathiTrust Record")</f>
        <v/>
      </c>
      <c r="AS1708">
        <f>HYPERLINK("https://creighton-primo.hosted.exlibrisgroup.com/primo-explore/search?tab=default_tab&amp;search_scope=EVERYTHING&amp;vid=01CRU&amp;lang=en_US&amp;offset=0&amp;query=any,contains,991005017719702656","Catalog Record")</f>
        <v/>
      </c>
      <c r="AT1708">
        <f>HYPERLINK("http://www.worldcat.org/oclc/63679944","WorldCat Record")</f>
        <v/>
      </c>
      <c r="AU1708" t="inlineStr">
        <is>
          <t>47793309:eng</t>
        </is>
      </c>
      <c r="AV1708" t="inlineStr">
        <is>
          <t>63679944</t>
        </is>
      </c>
      <c r="AW1708" t="inlineStr">
        <is>
          <t>991005017719702656</t>
        </is>
      </c>
      <c r="AX1708" t="inlineStr">
        <is>
          <t>991005017719702656</t>
        </is>
      </c>
      <c r="AY1708" t="inlineStr">
        <is>
          <t>2270028810002656</t>
        </is>
      </c>
      <c r="AZ1708" t="inlineStr">
        <is>
          <t>BOOK</t>
        </is>
      </c>
      <c r="BB1708" t="inlineStr">
        <is>
          <t>9780922993437</t>
        </is>
      </c>
      <c r="BC1708" t="inlineStr">
        <is>
          <t>32285005273759</t>
        </is>
      </c>
      <c r="BD1708" t="inlineStr">
        <is>
          <t>893254332</t>
        </is>
      </c>
    </row>
    <row r="1709">
      <c r="A1709" t="inlineStr">
        <is>
          <t>No</t>
        </is>
      </c>
      <c r="B1709" t="inlineStr">
        <is>
          <t>DS63.2.U5 G47 1984</t>
        </is>
      </c>
      <c r="C1709" t="inlineStr">
        <is>
          <t>0                      DS 0063200U  5                  G  47          1984</t>
        </is>
      </c>
      <c r="D1709" t="inlineStr">
        <is>
          <t>The Kissinger legacy : American-Middle East policy / by Ishaq I. Ghanayem and Alden H. Voth.</t>
        </is>
      </c>
      <c r="F1709" t="inlineStr">
        <is>
          <t>No</t>
        </is>
      </c>
      <c r="G1709" t="inlineStr">
        <is>
          <t>1</t>
        </is>
      </c>
      <c r="H1709" t="inlineStr">
        <is>
          <t>No</t>
        </is>
      </c>
      <c r="I1709" t="inlineStr">
        <is>
          <t>No</t>
        </is>
      </c>
      <c r="J1709" t="inlineStr">
        <is>
          <t>0</t>
        </is>
      </c>
      <c r="K1709" t="inlineStr">
        <is>
          <t>Ghanayem, Ishaq I.</t>
        </is>
      </c>
      <c r="L1709" t="inlineStr">
        <is>
          <t>New York : Praeger, 1984.</t>
        </is>
      </c>
      <c r="M1709" t="inlineStr">
        <is>
          <t>1984</t>
        </is>
      </c>
      <c r="O1709" t="inlineStr">
        <is>
          <t>eng</t>
        </is>
      </c>
      <c r="P1709" t="inlineStr">
        <is>
          <t>nyu</t>
        </is>
      </c>
      <c r="R1709" t="inlineStr">
        <is>
          <t xml:space="preserve">DS </t>
        </is>
      </c>
      <c r="S1709" t="n">
        <v>8</v>
      </c>
      <c r="T1709" t="n">
        <v>8</v>
      </c>
      <c r="U1709" t="inlineStr">
        <is>
          <t>1994-10-09</t>
        </is>
      </c>
      <c r="V1709" t="inlineStr">
        <is>
          <t>1994-10-09</t>
        </is>
      </c>
      <c r="W1709" t="inlineStr">
        <is>
          <t>1990-04-02</t>
        </is>
      </c>
      <c r="X1709" t="inlineStr">
        <is>
          <t>1990-04-02</t>
        </is>
      </c>
      <c r="Y1709" t="n">
        <v>429</v>
      </c>
      <c r="Z1709" t="n">
        <v>357</v>
      </c>
      <c r="AA1709" t="n">
        <v>359</v>
      </c>
      <c r="AB1709" t="n">
        <v>5</v>
      </c>
      <c r="AC1709" t="n">
        <v>5</v>
      </c>
      <c r="AD1709" t="n">
        <v>14</v>
      </c>
      <c r="AE1709" t="n">
        <v>14</v>
      </c>
      <c r="AF1709" t="n">
        <v>1</v>
      </c>
      <c r="AG1709" t="n">
        <v>1</v>
      </c>
      <c r="AH1709" t="n">
        <v>4</v>
      </c>
      <c r="AI1709" t="n">
        <v>4</v>
      </c>
      <c r="AJ1709" t="n">
        <v>6</v>
      </c>
      <c r="AK1709" t="n">
        <v>6</v>
      </c>
      <c r="AL1709" t="n">
        <v>3</v>
      </c>
      <c r="AM1709" t="n">
        <v>3</v>
      </c>
      <c r="AN1709" t="n">
        <v>1</v>
      </c>
      <c r="AO1709" t="n">
        <v>1</v>
      </c>
      <c r="AP1709" t="inlineStr">
        <is>
          <t>No</t>
        </is>
      </c>
      <c r="AQ1709" t="inlineStr">
        <is>
          <t>Yes</t>
        </is>
      </c>
      <c r="AR1709">
        <f>HYPERLINK("http://catalog.hathitrust.org/Record/000324743","HathiTrust Record")</f>
        <v/>
      </c>
      <c r="AS1709">
        <f>HYPERLINK("https://creighton-primo.hosted.exlibrisgroup.com/primo-explore/search?tab=default_tab&amp;search_scope=EVERYTHING&amp;vid=01CRU&amp;lang=en_US&amp;offset=0&amp;query=any,contains,991000324649702656","Catalog Record")</f>
        <v/>
      </c>
      <c r="AT1709">
        <f>HYPERLINK("http://www.worldcat.org/oclc/10163252","WorldCat Record")</f>
        <v/>
      </c>
      <c r="AU1709" t="inlineStr">
        <is>
          <t>2559869:eng</t>
        </is>
      </c>
      <c r="AV1709" t="inlineStr">
        <is>
          <t>10163252</t>
        </is>
      </c>
      <c r="AW1709" t="inlineStr">
        <is>
          <t>991000324649702656</t>
        </is>
      </c>
      <c r="AX1709" t="inlineStr">
        <is>
          <t>991000324649702656</t>
        </is>
      </c>
      <c r="AY1709" t="inlineStr">
        <is>
          <t>2268558130002656</t>
        </is>
      </c>
      <c r="AZ1709" t="inlineStr">
        <is>
          <t>BOOK</t>
        </is>
      </c>
      <c r="BB1709" t="inlineStr">
        <is>
          <t>9780030697524</t>
        </is>
      </c>
      <c r="BC1709" t="inlineStr">
        <is>
          <t>32285000107838</t>
        </is>
      </c>
      <c r="BD1709" t="inlineStr">
        <is>
          <t>893871568</t>
        </is>
      </c>
    </row>
    <row r="1710">
      <c r="A1710" t="inlineStr">
        <is>
          <t>No</t>
        </is>
      </c>
      <c r="B1710" t="inlineStr">
        <is>
          <t>DS63.2.U5 H345 2005</t>
        </is>
      </c>
      <c r="C1710" t="inlineStr">
        <is>
          <t>0                      DS 0063200U  5                  H  345         2005</t>
        </is>
      </c>
      <c r="D1710" t="inlineStr">
        <is>
          <t>Sandstorm : policy failure in the Middle East / Leon Hadar.</t>
        </is>
      </c>
      <c r="F1710" t="inlineStr">
        <is>
          <t>No</t>
        </is>
      </c>
      <c r="G1710" t="inlineStr">
        <is>
          <t>1</t>
        </is>
      </c>
      <c r="H1710" t="inlineStr">
        <is>
          <t>No</t>
        </is>
      </c>
      <c r="I1710" t="inlineStr">
        <is>
          <t>No</t>
        </is>
      </c>
      <c r="J1710" t="inlineStr">
        <is>
          <t>0</t>
        </is>
      </c>
      <c r="K1710" t="inlineStr">
        <is>
          <t>Hadar, Leon T.</t>
        </is>
      </c>
      <c r="L1710" t="inlineStr">
        <is>
          <t>New York : Palgrave Macmillan, 2005.</t>
        </is>
      </c>
      <c r="M1710" t="inlineStr">
        <is>
          <t>2005</t>
        </is>
      </c>
      <c r="O1710" t="inlineStr">
        <is>
          <t>eng</t>
        </is>
      </c>
      <c r="P1710" t="inlineStr">
        <is>
          <t>nyu</t>
        </is>
      </c>
      <c r="R1710" t="inlineStr">
        <is>
          <t xml:space="preserve">DS </t>
        </is>
      </c>
      <c r="S1710" t="n">
        <v>2</v>
      </c>
      <c r="T1710" t="n">
        <v>2</v>
      </c>
      <c r="U1710" t="inlineStr">
        <is>
          <t>2006-10-13</t>
        </is>
      </c>
      <c r="V1710" t="inlineStr">
        <is>
          <t>2006-10-13</t>
        </is>
      </c>
      <c r="W1710" t="inlineStr">
        <is>
          <t>2006-09-25</t>
        </is>
      </c>
      <c r="X1710" t="inlineStr">
        <is>
          <t>2006-09-25</t>
        </is>
      </c>
      <c r="Y1710" t="n">
        <v>463</v>
      </c>
      <c r="Z1710" t="n">
        <v>380</v>
      </c>
      <c r="AA1710" t="n">
        <v>423</v>
      </c>
      <c r="AB1710" t="n">
        <v>6</v>
      </c>
      <c r="AC1710" t="n">
        <v>6</v>
      </c>
      <c r="AD1710" t="n">
        <v>17</v>
      </c>
      <c r="AE1710" t="n">
        <v>18</v>
      </c>
      <c r="AF1710" t="n">
        <v>5</v>
      </c>
      <c r="AG1710" t="n">
        <v>6</v>
      </c>
      <c r="AH1710" t="n">
        <v>4</v>
      </c>
      <c r="AI1710" t="n">
        <v>4</v>
      </c>
      <c r="AJ1710" t="n">
        <v>6</v>
      </c>
      <c r="AK1710" t="n">
        <v>6</v>
      </c>
      <c r="AL1710" t="n">
        <v>5</v>
      </c>
      <c r="AM1710" t="n">
        <v>5</v>
      </c>
      <c r="AN1710" t="n">
        <v>0</v>
      </c>
      <c r="AO1710" t="n">
        <v>0</v>
      </c>
      <c r="AP1710" t="inlineStr">
        <is>
          <t>No</t>
        </is>
      </c>
      <c r="AQ1710" t="inlineStr">
        <is>
          <t>No</t>
        </is>
      </c>
      <c r="AS1710">
        <f>HYPERLINK("https://creighton-primo.hosted.exlibrisgroup.com/primo-explore/search?tab=default_tab&amp;search_scope=EVERYTHING&amp;vid=01CRU&amp;lang=en_US&amp;offset=0&amp;query=any,contains,991004911589702656","Catalog Record")</f>
        <v/>
      </c>
      <c r="AT1710">
        <f>HYPERLINK("http://www.worldcat.org/oclc/56840484","WorldCat Record")</f>
        <v/>
      </c>
      <c r="AU1710" t="inlineStr">
        <is>
          <t>793983007:eng</t>
        </is>
      </c>
      <c r="AV1710" t="inlineStr">
        <is>
          <t>56840484</t>
        </is>
      </c>
      <c r="AW1710" t="inlineStr">
        <is>
          <t>991004911589702656</t>
        </is>
      </c>
      <c r="AX1710" t="inlineStr">
        <is>
          <t>991004911589702656</t>
        </is>
      </c>
      <c r="AY1710" t="inlineStr">
        <is>
          <t>2256143670002656</t>
        </is>
      </c>
      <c r="AZ1710" t="inlineStr">
        <is>
          <t>BOOK</t>
        </is>
      </c>
      <c r="BB1710" t="inlineStr">
        <is>
          <t>9781403967244</t>
        </is>
      </c>
      <c r="BC1710" t="inlineStr">
        <is>
          <t>32285005225213</t>
        </is>
      </c>
      <c r="BD1710" t="inlineStr">
        <is>
          <t>893241962</t>
        </is>
      </c>
    </row>
    <row r="1711">
      <c r="A1711" t="inlineStr">
        <is>
          <t>No</t>
        </is>
      </c>
      <c r="B1711" t="inlineStr">
        <is>
          <t>DS63.2.U5 K35 1993</t>
        </is>
      </c>
      <c r="C1711" t="inlineStr">
        <is>
          <t>0                      DS 0063200U  5                  K  35          1993</t>
        </is>
      </c>
      <c r="D1711" t="inlineStr">
        <is>
          <t>The Arabists : the romance of an American elite / Robert D. Kaplan.</t>
        </is>
      </c>
      <c r="F1711" t="inlineStr">
        <is>
          <t>No</t>
        </is>
      </c>
      <c r="G1711" t="inlineStr">
        <is>
          <t>1</t>
        </is>
      </c>
      <c r="H1711" t="inlineStr">
        <is>
          <t>No</t>
        </is>
      </c>
      <c r="I1711" t="inlineStr">
        <is>
          <t>No</t>
        </is>
      </c>
      <c r="J1711" t="inlineStr">
        <is>
          <t>0</t>
        </is>
      </c>
      <c r="K1711" t="inlineStr">
        <is>
          <t>Kaplan, Robert D., 1952-</t>
        </is>
      </c>
      <c r="L1711" t="inlineStr">
        <is>
          <t>New York : Free Press ; Toronto : Maxwell Macmillan Canada ; New York : Maxwell Macmillan International, c1993.</t>
        </is>
      </c>
      <c r="M1711" t="inlineStr">
        <is>
          <t>1993</t>
        </is>
      </c>
      <c r="O1711" t="inlineStr">
        <is>
          <t>eng</t>
        </is>
      </c>
      <c r="P1711" t="inlineStr">
        <is>
          <t>nyu</t>
        </is>
      </c>
      <c r="R1711" t="inlineStr">
        <is>
          <t xml:space="preserve">DS </t>
        </is>
      </c>
      <c r="S1711" t="n">
        <v>1</v>
      </c>
      <c r="T1711" t="n">
        <v>1</v>
      </c>
      <c r="U1711" t="inlineStr">
        <is>
          <t>2008-05-19</t>
        </is>
      </c>
      <c r="V1711" t="inlineStr">
        <is>
          <t>2008-05-19</t>
        </is>
      </c>
      <c r="W1711" t="inlineStr">
        <is>
          <t>2008-05-19</t>
        </is>
      </c>
      <c r="X1711" t="inlineStr">
        <is>
          <t>2008-05-19</t>
        </is>
      </c>
      <c r="Y1711" t="n">
        <v>704</v>
      </c>
      <c r="Z1711" t="n">
        <v>629</v>
      </c>
      <c r="AA1711" t="n">
        <v>744</v>
      </c>
      <c r="AB1711" t="n">
        <v>6</v>
      </c>
      <c r="AC1711" t="n">
        <v>7</v>
      </c>
      <c r="AD1711" t="n">
        <v>25</v>
      </c>
      <c r="AE1711" t="n">
        <v>28</v>
      </c>
      <c r="AF1711" t="n">
        <v>11</v>
      </c>
      <c r="AG1711" t="n">
        <v>11</v>
      </c>
      <c r="AH1711" t="n">
        <v>5</v>
      </c>
      <c r="AI1711" t="n">
        <v>6</v>
      </c>
      <c r="AJ1711" t="n">
        <v>14</v>
      </c>
      <c r="AK1711" t="n">
        <v>15</v>
      </c>
      <c r="AL1711" t="n">
        <v>3</v>
      </c>
      <c r="AM1711" t="n">
        <v>4</v>
      </c>
      <c r="AN1711" t="n">
        <v>0</v>
      </c>
      <c r="AO1711" t="n">
        <v>0</v>
      </c>
      <c r="AP1711" t="inlineStr">
        <is>
          <t>No</t>
        </is>
      </c>
      <c r="AQ1711" t="inlineStr">
        <is>
          <t>Yes</t>
        </is>
      </c>
      <c r="AR1711">
        <f>HYPERLINK("http://catalog.hathitrust.org/Record/002790018","HathiTrust Record")</f>
        <v/>
      </c>
      <c r="AS1711">
        <f>HYPERLINK("https://creighton-primo.hosted.exlibrisgroup.com/primo-explore/search?tab=default_tab&amp;search_scope=EVERYTHING&amp;vid=01CRU&amp;lang=en_US&amp;offset=0&amp;query=any,contains,991005223419702656","Catalog Record")</f>
        <v/>
      </c>
      <c r="AT1711">
        <f>HYPERLINK("http://www.worldcat.org/oclc/28182832","WorldCat Record")</f>
        <v/>
      </c>
      <c r="AU1711" t="inlineStr">
        <is>
          <t>837009956:eng</t>
        </is>
      </c>
      <c r="AV1711" t="inlineStr">
        <is>
          <t>28182832</t>
        </is>
      </c>
      <c r="AW1711" t="inlineStr">
        <is>
          <t>991005223419702656</t>
        </is>
      </c>
      <c r="AX1711" t="inlineStr">
        <is>
          <t>991005223419702656</t>
        </is>
      </c>
      <c r="AY1711" t="inlineStr">
        <is>
          <t>2270348040002656</t>
        </is>
      </c>
      <c r="AZ1711" t="inlineStr">
        <is>
          <t>BOOK</t>
        </is>
      </c>
      <c r="BB1711" t="inlineStr">
        <is>
          <t>9780029167854</t>
        </is>
      </c>
      <c r="BC1711" t="inlineStr">
        <is>
          <t>32285005409684</t>
        </is>
      </c>
      <c r="BD1711" t="inlineStr">
        <is>
          <t>893720009</t>
        </is>
      </c>
    </row>
    <row r="1712">
      <c r="A1712" t="inlineStr">
        <is>
          <t>No</t>
        </is>
      </c>
      <c r="B1712" t="inlineStr">
        <is>
          <t>DS63.2.U5 M43 2003</t>
        </is>
      </c>
      <c r="C1712" t="inlineStr">
        <is>
          <t>0                      DS 0063200U  5                  M  43          2003</t>
        </is>
      </c>
      <c r="D1712" t="inlineStr">
        <is>
          <t>The Middle East and the United States : a historical and political reassessment / edited by David W. Lesch.</t>
        </is>
      </c>
      <c r="F1712" t="inlineStr">
        <is>
          <t>No</t>
        </is>
      </c>
      <c r="G1712" t="inlineStr">
        <is>
          <t>1</t>
        </is>
      </c>
      <c r="H1712" t="inlineStr">
        <is>
          <t>No</t>
        </is>
      </c>
      <c r="I1712" t="inlineStr">
        <is>
          <t>No</t>
        </is>
      </c>
      <c r="J1712" t="inlineStr">
        <is>
          <t>0</t>
        </is>
      </c>
      <c r="L1712" t="inlineStr">
        <is>
          <t>Boulder, Colo. : Westview Press, 2003.</t>
        </is>
      </c>
      <c r="M1712" t="inlineStr">
        <is>
          <t>2003</t>
        </is>
      </c>
      <c r="N1712" t="inlineStr">
        <is>
          <t>3rd ed.</t>
        </is>
      </c>
      <c r="O1712" t="inlineStr">
        <is>
          <t>eng</t>
        </is>
      </c>
      <c r="P1712" t="inlineStr">
        <is>
          <t>cou</t>
        </is>
      </c>
      <c r="R1712" t="inlineStr">
        <is>
          <t xml:space="preserve">DS </t>
        </is>
      </c>
      <c r="S1712" t="n">
        <v>15</v>
      </c>
      <c r="T1712" t="n">
        <v>15</v>
      </c>
      <c r="U1712" t="inlineStr">
        <is>
          <t>2009-11-08</t>
        </is>
      </c>
      <c r="V1712" t="inlineStr">
        <is>
          <t>2009-11-08</t>
        </is>
      </c>
      <c r="W1712" t="inlineStr">
        <is>
          <t>2003-04-08</t>
        </is>
      </c>
      <c r="X1712" t="inlineStr">
        <is>
          <t>2003-04-08</t>
        </is>
      </c>
      <c r="Y1712" t="n">
        <v>287</v>
      </c>
      <c r="Z1712" t="n">
        <v>221</v>
      </c>
      <c r="AA1712" t="n">
        <v>801</v>
      </c>
      <c r="AB1712" t="n">
        <v>1</v>
      </c>
      <c r="AC1712" t="n">
        <v>3</v>
      </c>
      <c r="AD1712" t="n">
        <v>9</v>
      </c>
      <c r="AE1712" t="n">
        <v>33</v>
      </c>
      <c r="AF1712" t="n">
        <v>3</v>
      </c>
      <c r="AG1712" t="n">
        <v>14</v>
      </c>
      <c r="AH1712" t="n">
        <v>4</v>
      </c>
      <c r="AI1712" t="n">
        <v>8</v>
      </c>
      <c r="AJ1712" t="n">
        <v>6</v>
      </c>
      <c r="AK1712" t="n">
        <v>18</v>
      </c>
      <c r="AL1712" t="n">
        <v>0</v>
      </c>
      <c r="AM1712" t="n">
        <v>2</v>
      </c>
      <c r="AN1712" t="n">
        <v>0</v>
      </c>
      <c r="AO1712" t="n">
        <v>0</v>
      </c>
      <c r="AP1712" t="inlineStr">
        <is>
          <t>No</t>
        </is>
      </c>
      <c r="AQ1712" t="inlineStr">
        <is>
          <t>Yes</t>
        </is>
      </c>
      <c r="AR1712">
        <f>HYPERLINK("http://catalog.hathitrust.org/Record/004306020","HathiTrust Record")</f>
        <v/>
      </c>
      <c r="AS1712">
        <f>HYPERLINK("https://creighton-primo.hosted.exlibrisgroup.com/primo-explore/search?tab=default_tab&amp;search_scope=EVERYTHING&amp;vid=01CRU&amp;lang=en_US&amp;offset=0&amp;query=any,contains,991004016149702656","Catalog Record")</f>
        <v/>
      </c>
      <c r="AT1712">
        <f>HYPERLINK("http://www.worldcat.org/oclc/51519564","WorldCat Record")</f>
        <v/>
      </c>
      <c r="AU1712" t="inlineStr">
        <is>
          <t>792572048:eng</t>
        </is>
      </c>
      <c r="AV1712" t="inlineStr">
        <is>
          <t>51519564</t>
        </is>
      </c>
      <c r="AW1712" t="inlineStr">
        <is>
          <t>991004016149702656</t>
        </is>
      </c>
      <c r="AX1712" t="inlineStr">
        <is>
          <t>991004016149702656</t>
        </is>
      </c>
      <c r="AY1712" t="inlineStr">
        <is>
          <t>2260357640002656</t>
        </is>
      </c>
      <c r="AZ1712" t="inlineStr">
        <is>
          <t>BOOK</t>
        </is>
      </c>
      <c r="BB1712" t="inlineStr">
        <is>
          <t>9780813339405</t>
        </is>
      </c>
      <c r="BC1712" t="inlineStr">
        <is>
          <t>32285004689997</t>
        </is>
      </c>
      <c r="BD1712" t="inlineStr">
        <is>
          <t>893605534</t>
        </is>
      </c>
    </row>
    <row r="1713">
      <c r="A1713" t="inlineStr">
        <is>
          <t>No</t>
        </is>
      </c>
      <c r="B1713" t="inlineStr">
        <is>
          <t>DS63.2.U5 O54 2007</t>
        </is>
      </c>
      <c r="C1713" t="inlineStr">
        <is>
          <t>0                      DS 0063200U  5                  O  54          2007</t>
        </is>
      </c>
      <c r="D1713" t="inlineStr">
        <is>
          <t>Power, faith, and fantasy : America in the Middle East, 1776 to the present / Michael B. Oren.</t>
        </is>
      </c>
      <c r="F1713" t="inlineStr">
        <is>
          <t>No</t>
        </is>
      </c>
      <c r="G1713" t="inlineStr">
        <is>
          <t>1</t>
        </is>
      </c>
      <c r="H1713" t="inlineStr">
        <is>
          <t>No</t>
        </is>
      </c>
      <c r="I1713" t="inlineStr">
        <is>
          <t>No</t>
        </is>
      </c>
      <c r="J1713" t="inlineStr">
        <is>
          <t>0</t>
        </is>
      </c>
      <c r="K1713" t="inlineStr">
        <is>
          <t>Oren, Michael B., 1955-</t>
        </is>
      </c>
      <c r="L1713" t="inlineStr">
        <is>
          <t>New York : W.W. Norton &amp; Co., c2007.</t>
        </is>
      </c>
      <c r="M1713" t="inlineStr">
        <is>
          <t>2007</t>
        </is>
      </c>
      <c r="N1713" t="inlineStr">
        <is>
          <t>1st ed.</t>
        </is>
      </c>
      <c r="O1713" t="inlineStr">
        <is>
          <t>eng</t>
        </is>
      </c>
      <c r="P1713" t="inlineStr">
        <is>
          <t>nyu</t>
        </is>
      </c>
      <c r="R1713" t="inlineStr">
        <is>
          <t xml:space="preserve">DS </t>
        </is>
      </c>
      <c r="S1713" t="n">
        <v>2</v>
      </c>
      <c r="T1713" t="n">
        <v>2</v>
      </c>
      <c r="U1713" t="inlineStr">
        <is>
          <t>2008-07-14</t>
        </is>
      </c>
      <c r="V1713" t="inlineStr">
        <is>
          <t>2008-07-14</t>
        </is>
      </c>
      <c r="W1713" t="inlineStr">
        <is>
          <t>2007-06-05</t>
        </is>
      </c>
      <c r="X1713" t="inlineStr">
        <is>
          <t>2007-06-05</t>
        </is>
      </c>
      <c r="Y1713" t="n">
        <v>2321</v>
      </c>
      <c r="Z1713" t="n">
        <v>2128</v>
      </c>
      <c r="AA1713" t="n">
        <v>2286</v>
      </c>
      <c r="AB1713" t="n">
        <v>16</v>
      </c>
      <c r="AC1713" t="n">
        <v>19</v>
      </c>
      <c r="AD1713" t="n">
        <v>45</v>
      </c>
      <c r="AE1713" t="n">
        <v>50</v>
      </c>
      <c r="AF1713" t="n">
        <v>16</v>
      </c>
      <c r="AG1713" t="n">
        <v>17</v>
      </c>
      <c r="AH1713" t="n">
        <v>9</v>
      </c>
      <c r="AI1713" t="n">
        <v>9</v>
      </c>
      <c r="AJ1713" t="n">
        <v>18</v>
      </c>
      <c r="AK1713" t="n">
        <v>21</v>
      </c>
      <c r="AL1713" t="n">
        <v>8</v>
      </c>
      <c r="AM1713" t="n">
        <v>10</v>
      </c>
      <c r="AN1713" t="n">
        <v>1</v>
      </c>
      <c r="AO1713" t="n">
        <v>1</v>
      </c>
      <c r="AP1713" t="inlineStr">
        <is>
          <t>No</t>
        </is>
      </c>
      <c r="AQ1713" t="inlineStr">
        <is>
          <t>No</t>
        </is>
      </c>
      <c r="AS1713">
        <f>HYPERLINK("https://creighton-primo.hosted.exlibrisgroup.com/primo-explore/search?tab=default_tab&amp;search_scope=EVERYTHING&amp;vid=01CRU&amp;lang=en_US&amp;offset=0&amp;query=any,contains,991005082999702656","Catalog Record")</f>
        <v/>
      </c>
      <c r="AT1713">
        <f>HYPERLINK("http://www.worldcat.org/oclc/74965235","WorldCat Record")</f>
        <v/>
      </c>
      <c r="AU1713" t="inlineStr">
        <is>
          <t>793074724:eng</t>
        </is>
      </c>
      <c r="AV1713" t="inlineStr">
        <is>
          <t>74965235</t>
        </is>
      </c>
      <c r="AW1713" t="inlineStr">
        <is>
          <t>991005082999702656</t>
        </is>
      </c>
      <c r="AX1713" t="inlineStr">
        <is>
          <t>991005082999702656</t>
        </is>
      </c>
      <c r="AY1713" t="inlineStr">
        <is>
          <t>2257913310002656</t>
        </is>
      </c>
      <c r="AZ1713" t="inlineStr">
        <is>
          <t>BOOK</t>
        </is>
      </c>
      <c r="BB1713" t="inlineStr">
        <is>
          <t>9780393058260</t>
        </is>
      </c>
      <c r="BC1713" t="inlineStr">
        <is>
          <t>32285005315055</t>
        </is>
      </c>
      <c r="BD1713" t="inlineStr">
        <is>
          <t>893326131</t>
        </is>
      </c>
    </row>
    <row r="1714">
      <c r="A1714" t="inlineStr">
        <is>
          <t>No</t>
        </is>
      </c>
      <c r="B1714" t="inlineStr">
        <is>
          <t>DS63.2.U5 S62 1985</t>
        </is>
      </c>
      <c r="C1714" t="inlineStr">
        <is>
          <t>0                      DS 0063200U  5                  S  62          1985</t>
        </is>
      </c>
      <c r="D1714" t="inlineStr">
        <is>
          <t>The other Arab-Israeli conflict : making America's Middle East policy, from Truman to Reagan / Steven L. Spiegel.</t>
        </is>
      </c>
      <c r="F1714" t="inlineStr">
        <is>
          <t>No</t>
        </is>
      </c>
      <c r="G1714" t="inlineStr">
        <is>
          <t>1</t>
        </is>
      </c>
      <c r="H1714" t="inlineStr">
        <is>
          <t>No</t>
        </is>
      </c>
      <c r="I1714" t="inlineStr">
        <is>
          <t>No</t>
        </is>
      </c>
      <c r="J1714" t="inlineStr">
        <is>
          <t>0</t>
        </is>
      </c>
      <c r="K1714" t="inlineStr">
        <is>
          <t>Spiegel, Steven L.</t>
        </is>
      </c>
      <c r="L1714" t="inlineStr">
        <is>
          <t>Chicago : University of Chicago Press, c1985.</t>
        </is>
      </c>
      <c r="M1714" t="inlineStr">
        <is>
          <t>1985</t>
        </is>
      </c>
      <c r="O1714" t="inlineStr">
        <is>
          <t>eng</t>
        </is>
      </c>
      <c r="P1714" t="inlineStr">
        <is>
          <t>ilu</t>
        </is>
      </c>
      <c r="Q1714" t="inlineStr">
        <is>
          <t>Middle Eastern studies ; monograph 1</t>
        </is>
      </c>
      <c r="R1714" t="inlineStr">
        <is>
          <t xml:space="preserve">DS </t>
        </is>
      </c>
      <c r="S1714" t="n">
        <v>3</v>
      </c>
      <c r="T1714" t="n">
        <v>3</v>
      </c>
      <c r="U1714" t="inlineStr">
        <is>
          <t>1993-09-22</t>
        </is>
      </c>
      <c r="V1714" t="inlineStr">
        <is>
          <t>1993-09-22</t>
        </is>
      </c>
      <c r="W1714" t="inlineStr">
        <is>
          <t>1990-05-17</t>
        </is>
      </c>
      <c r="X1714" t="inlineStr">
        <is>
          <t>1990-05-17</t>
        </is>
      </c>
      <c r="Y1714" t="n">
        <v>1027</v>
      </c>
      <c r="Z1714" t="n">
        <v>880</v>
      </c>
      <c r="AA1714" t="n">
        <v>908</v>
      </c>
      <c r="AB1714" t="n">
        <v>6</v>
      </c>
      <c r="AC1714" t="n">
        <v>6</v>
      </c>
      <c r="AD1714" t="n">
        <v>36</v>
      </c>
      <c r="AE1714" t="n">
        <v>37</v>
      </c>
      <c r="AF1714" t="n">
        <v>14</v>
      </c>
      <c r="AG1714" t="n">
        <v>15</v>
      </c>
      <c r="AH1714" t="n">
        <v>9</v>
      </c>
      <c r="AI1714" t="n">
        <v>10</v>
      </c>
      <c r="AJ1714" t="n">
        <v>18</v>
      </c>
      <c r="AK1714" t="n">
        <v>18</v>
      </c>
      <c r="AL1714" t="n">
        <v>4</v>
      </c>
      <c r="AM1714" t="n">
        <v>4</v>
      </c>
      <c r="AN1714" t="n">
        <v>1</v>
      </c>
      <c r="AO1714" t="n">
        <v>1</v>
      </c>
      <c r="AP1714" t="inlineStr">
        <is>
          <t>No</t>
        </is>
      </c>
      <c r="AQ1714" t="inlineStr">
        <is>
          <t>No</t>
        </is>
      </c>
      <c r="AS1714">
        <f>HYPERLINK("https://creighton-primo.hosted.exlibrisgroup.com/primo-explore/search?tab=default_tab&amp;search_scope=EVERYTHING&amp;vid=01CRU&amp;lang=en_US&amp;offset=0&amp;query=any,contains,991000506259702656","Catalog Record")</f>
        <v/>
      </c>
      <c r="AT1714">
        <f>HYPERLINK("http://www.worldcat.org/oclc/11211328","WorldCat Record")</f>
        <v/>
      </c>
      <c r="AU1714" t="inlineStr">
        <is>
          <t>19974274:eng</t>
        </is>
      </c>
      <c r="AV1714" t="inlineStr">
        <is>
          <t>11211328</t>
        </is>
      </c>
      <c r="AW1714" t="inlineStr">
        <is>
          <t>991000506259702656</t>
        </is>
      </c>
      <c r="AX1714" t="inlineStr">
        <is>
          <t>991000506259702656</t>
        </is>
      </c>
      <c r="AY1714" t="inlineStr">
        <is>
          <t>2255422190002656</t>
        </is>
      </c>
      <c r="AZ1714" t="inlineStr">
        <is>
          <t>BOOK</t>
        </is>
      </c>
      <c r="BB1714" t="inlineStr">
        <is>
          <t>9780226769615</t>
        </is>
      </c>
      <c r="BC1714" t="inlineStr">
        <is>
          <t>32285000152420</t>
        </is>
      </c>
      <c r="BD1714" t="inlineStr">
        <is>
          <t>893607967</t>
        </is>
      </c>
    </row>
    <row r="1715">
      <c r="A1715" t="inlineStr">
        <is>
          <t>No</t>
        </is>
      </c>
      <c r="B1715" t="inlineStr">
        <is>
          <t>DS63.2.U5 S64 1983</t>
        </is>
      </c>
      <c r="C1715" t="inlineStr">
        <is>
          <t>0                      DS 0063200U  5                  S  64          1983</t>
        </is>
      </c>
      <c r="D1715" t="inlineStr">
        <is>
          <t>Split vision : the portrayal of Arabs in the American media / edited by Edmund Ghareeb.</t>
        </is>
      </c>
      <c r="F1715" t="inlineStr">
        <is>
          <t>No</t>
        </is>
      </c>
      <c r="G1715" t="inlineStr">
        <is>
          <t>1</t>
        </is>
      </c>
      <c r="H1715" t="inlineStr">
        <is>
          <t>No</t>
        </is>
      </c>
      <c r="I1715" t="inlineStr">
        <is>
          <t>No</t>
        </is>
      </c>
      <c r="J1715" t="inlineStr">
        <is>
          <t>0</t>
        </is>
      </c>
      <c r="L1715" t="inlineStr">
        <is>
          <t>Washington, D.C. : American-Arab Affairs Council, c1983.</t>
        </is>
      </c>
      <c r="M1715" t="inlineStr">
        <is>
          <t>1983</t>
        </is>
      </c>
      <c r="N1715" t="inlineStr">
        <is>
          <t>Rev. and expanded ed.</t>
        </is>
      </c>
      <c r="O1715" t="inlineStr">
        <is>
          <t>eng</t>
        </is>
      </c>
      <c r="P1715" t="inlineStr">
        <is>
          <t>dcu</t>
        </is>
      </c>
      <c r="R1715" t="inlineStr">
        <is>
          <t xml:space="preserve">DS </t>
        </is>
      </c>
      <c r="S1715" t="n">
        <v>2</v>
      </c>
      <c r="T1715" t="n">
        <v>2</v>
      </c>
      <c r="U1715" t="inlineStr">
        <is>
          <t>1994-03-16</t>
        </is>
      </c>
      <c r="V1715" t="inlineStr">
        <is>
          <t>1994-03-16</t>
        </is>
      </c>
      <c r="W1715" t="inlineStr">
        <is>
          <t>1990-04-06</t>
        </is>
      </c>
      <c r="X1715" t="inlineStr">
        <is>
          <t>1990-04-06</t>
        </is>
      </c>
      <c r="Y1715" t="n">
        <v>1033</v>
      </c>
      <c r="Z1715" t="n">
        <v>978</v>
      </c>
      <c r="AA1715" t="n">
        <v>1033</v>
      </c>
      <c r="AB1715" t="n">
        <v>8</v>
      </c>
      <c r="AC1715" t="n">
        <v>9</v>
      </c>
      <c r="AD1715" t="n">
        <v>45</v>
      </c>
      <c r="AE1715" t="n">
        <v>47</v>
      </c>
      <c r="AF1715" t="n">
        <v>18</v>
      </c>
      <c r="AG1715" t="n">
        <v>19</v>
      </c>
      <c r="AH1715" t="n">
        <v>10</v>
      </c>
      <c r="AI1715" t="n">
        <v>10</v>
      </c>
      <c r="AJ1715" t="n">
        <v>20</v>
      </c>
      <c r="AK1715" t="n">
        <v>21</v>
      </c>
      <c r="AL1715" t="n">
        <v>6</v>
      </c>
      <c r="AM1715" t="n">
        <v>7</v>
      </c>
      <c r="AN1715" t="n">
        <v>1</v>
      </c>
      <c r="AO1715" t="n">
        <v>1</v>
      </c>
      <c r="AP1715" t="inlineStr">
        <is>
          <t>No</t>
        </is>
      </c>
      <c r="AQ1715" t="inlineStr">
        <is>
          <t>Yes</t>
        </is>
      </c>
      <c r="AR1715">
        <f>HYPERLINK("http://catalog.hathitrust.org/Record/000772907","HathiTrust Record")</f>
        <v/>
      </c>
      <c r="AS1715">
        <f>HYPERLINK("https://creighton-primo.hosted.exlibrisgroup.com/primo-explore/search?tab=default_tab&amp;search_scope=EVERYTHING&amp;vid=01CRU&amp;lang=en_US&amp;offset=0&amp;query=any,contains,991000246649702656","Catalog Record")</f>
        <v/>
      </c>
      <c r="AT1715">
        <f>HYPERLINK("http://www.worldcat.org/oclc/9715095","WorldCat Record")</f>
        <v/>
      </c>
      <c r="AU1715" t="inlineStr">
        <is>
          <t>364113501:eng</t>
        </is>
      </c>
      <c r="AV1715" t="inlineStr">
        <is>
          <t>9715095</t>
        </is>
      </c>
      <c r="AW1715" t="inlineStr">
        <is>
          <t>991000246649702656</t>
        </is>
      </c>
      <c r="AX1715" t="inlineStr">
        <is>
          <t>991000246649702656</t>
        </is>
      </c>
      <c r="AY1715" t="inlineStr">
        <is>
          <t>2265638880002656</t>
        </is>
      </c>
      <c r="AZ1715" t="inlineStr">
        <is>
          <t>BOOK</t>
        </is>
      </c>
      <c r="BB1715" t="inlineStr">
        <is>
          <t>9780943182001</t>
        </is>
      </c>
      <c r="BC1715" t="inlineStr">
        <is>
          <t>32285000111624</t>
        </is>
      </c>
      <c r="BD1715" t="inlineStr">
        <is>
          <t>893802625</t>
        </is>
      </c>
    </row>
    <row r="1716">
      <c r="A1716" t="inlineStr">
        <is>
          <t>No</t>
        </is>
      </c>
      <c r="B1716" t="inlineStr">
        <is>
          <t>DS63.2.U5 S72 2003</t>
        </is>
      </c>
      <c r="C1716" t="inlineStr">
        <is>
          <t>0                      DS 0063200U  5                  S  72          2003</t>
        </is>
      </c>
      <c r="D1716" t="inlineStr">
        <is>
          <t>Challenges to peace in the Middle East / Dennis G. Stevens.</t>
        </is>
      </c>
      <c r="F1716" t="inlineStr">
        <is>
          <t>No</t>
        </is>
      </c>
      <c r="G1716" t="inlineStr">
        <is>
          <t>1</t>
        </is>
      </c>
      <c r="H1716" t="inlineStr">
        <is>
          <t>No</t>
        </is>
      </c>
      <c r="I1716" t="inlineStr">
        <is>
          <t>No</t>
        </is>
      </c>
      <c r="J1716" t="inlineStr">
        <is>
          <t>0</t>
        </is>
      </c>
      <c r="K1716" t="inlineStr">
        <is>
          <t>Stevens, Dennis G.</t>
        </is>
      </c>
      <c r="L1716" t="inlineStr">
        <is>
          <t>New York : Longman, c2003.</t>
        </is>
      </c>
      <c r="M1716" t="inlineStr">
        <is>
          <t>2003</t>
        </is>
      </c>
      <c r="O1716" t="inlineStr">
        <is>
          <t>eng</t>
        </is>
      </c>
      <c r="P1716" t="inlineStr">
        <is>
          <t>nyu</t>
        </is>
      </c>
      <c r="R1716" t="inlineStr">
        <is>
          <t xml:space="preserve">DS </t>
        </is>
      </c>
      <c r="S1716" t="n">
        <v>2</v>
      </c>
      <c r="T1716" t="n">
        <v>2</v>
      </c>
      <c r="U1716" t="inlineStr">
        <is>
          <t>2006-04-11</t>
        </is>
      </c>
      <c r="V1716" t="inlineStr">
        <is>
          <t>2006-04-11</t>
        </is>
      </c>
      <c r="W1716" t="inlineStr">
        <is>
          <t>2003-09-30</t>
        </is>
      </c>
      <c r="X1716" t="inlineStr">
        <is>
          <t>2003-09-30</t>
        </is>
      </c>
      <c r="Y1716" t="n">
        <v>151</v>
      </c>
      <c r="Z1716" t="n">
        <v>119</v>
      </c>
      <c r="AA1716" t="n">
        <v>122</v>
      </c>
      <c r="AB1716" t="n">
        <v>2</v>
      </c>
      <c r="AC1716" t="n">
        <v>2</v>
      </c>
      <c r="AD1716" t="n">
        <v>7</v>
      </c>
      <c r="AE1716" t="n">
        <v>7</v>
      </c>
      <c r="AF1716" t="n">
        <v>2</v>
      </c>
      <c r="AG1716" t="n">
        <v>2</v>
      </c>
      <c r="AH1716" t="n">
        <v>2</v>
      </c>
      <c r="AI1716" t="n">
        <v>2</v>
      </c>
      <c r="AJ1716" t="n">
        <v>5</v>
      </c>
      <c r="AK1716" t="n">
        <v>5</v>
      </c>
      <c r="AL1716" t="n">
        <v>1</v>
      </c>
      <c r="AM1716" t="n">
        <v>1</v>
      </c>
      <c r="AN1716" t="n">
        <v>0</v>
      </c>
      <c r="AO1716" t="n">
        <v>0</v>
      </c>
      <c r="AP1716" t="inlineStr">
        <is>
          <t>No</t>
        </is>
      </c>
      <c r="AQ1716" t="inlineStr">
        <is>
          <t>No</t>
        </is>
      </c>
      <c r="AS1716">
        <f>HYPERLINK("https://creighton-primo.hosted.exlibrisgroup.com/primo-explore/search?tab=default_tab&amp;search_scope=EVERYTHING&amp;vid=01CRU&amp;lang=en_US&amp;offset=0&amp;query=any,contains,991004141629702656","Catalog Record")</f>
        <v/>
      </c>
      <c r="AT1716">
        <f>HYPERLINK("http://www.worldcat.org/oclc/50645583","WorldCat Record")</f>
        <v/>
      </c>
      <c r="AU1716" t="inlineStr">
        <is>
          <t>665844:eng</t>
        </is>
      </c>
      <c r="AV1716" t="inlineStr">
        <is>
          <t>50645583</t>
        </is>
      </c>
      <c r="AW1716" t="inlineStr">
        <is>
          <t>991004141629702656</t>
        </is>
      </c>
      <c r="AX1716" t="inlineStr">
        <is>
          <t>991004141629702656</t>
        </is>
      </c>
      <c r="AY1716" t="inlineStr">
        <is>
          <t>2257670190002656</t>
        </is>
      </c>
      <c r="AZ1716" t="inlineStr">
        <is>
          <t>BOOK</t>
        </is>
      </c>
      <c r="BB1716" t="inlineStr">
        <is>
          <t>9780205280636</t>
        </is>
      </c>
      <c r="BC1716" t="inlineStr">
        <is>
          <t>32285004795661</t>
        </is>
      </c>
      <c r="BD1716" t="inlineStr">
        <is>
          <t>893435934</t>
        </is>
      </c>
    </row>
    <row r="1717">
      <c r="A1717" t="inlineStr">
        <is>
          <t>No</t>
        </is>
      </c>
      <c r="B1717" t="inlineStr">
        <is>
          <t>DS63.2.U5 S8 1988</t>
        </is>
      </c>
      <c r="C1717" t="inlineStr">
        <is>
          <t>0                      DS 0063200U  5                  S  8           1988</t>
        </is>
      </c>
      <c r="D1717" t="inlineStr">
        <is>
          <t>The Arabs in the mind of America.</t>
        </is>
      </c>
      <c r="F1717" t="inlineStr">
        <is>
          <t>No</t>
        </is>
      </c>
      <c r="G1717" t="inlineStr">
        <is>
          <t>1</t>
        </is>
      </c>
      <c r="H1717" t="inlineStr">
        <is>
          <t>No</t>
        </is>
      </c>
      <c r="I1717" t="inlineStr">
        <is>
          <t>No</t>
        </is>
      </c>
      <c r="J1717" t="inlineStr">
        <is>
          <t>0</t>
        </is>
      </c>
      <c r="K1717" t="inlineStr">
        <is>
          <t>Suleiman, Michael W.</t>
        </is>
      </c>
      <c r="L1717" t="inlineStr">
        <is>
          <t>Brattleboro : Amana Books, c1988.</t>
        </is>
      </c>
      <c r="M1717" t="inlineStr">
        <is>
          <t>1988</t>
        </is>
      </c>
      <c r="O1717" t="inlineStr">
        <is>
          <t>eng</t>
        </is>
      </c>
      <c r="P1717" t="inlineStr">
        <is>
          <t>vtu</t>
        </is>
      </c>
      <c r="R1717" t="inlineStr">
        <is>
          <t xml:space="preserve">DS </t>
        </is>
      </c>
      <c r="S1717" t="n">
        <v>1</v>
      </c>
      <c r="T1717" t="n">
        <v>1</v>
      </c>
      <c r="U1717" t="inlineStr">
        <is>
          <t>2000-11-05</t>
        </is>
      </c>
      <c r="V1717" t="inlineStr">
        <is>
          <t>2000-11-05</t>
        </is>
      </c>
      <c r="W1717" t="inlineStr">
        <is>
          <t>1990-08-16</t>
        </is>
      </c>
      <c r="X1717" t="inlineStr">
        <is>
          <t>1990-08-16</t>
        </is>
      </c>
      <c r="Y1717" t="n">
        <v>248</v>
      </c>
      <c r="Z1717" t="n">
        <v>229</v>
      </c>
      <c r="AA1717" t="n">
        <v>231</v>
      </c>
      <c r="AB1717" t="n">
        <v>3</v>
      </c>
      <c r="AC1717" t="n">
        <v>3</v>
      </c>
      <c r="AD1717" t="n">
        <v>14</v>
      </c>
      <c r="AE1717" t="n">
        <v>14</v>
      </c>
      <c r="AF1717" t="n">
        <v>4</v>
      </c>
      <c r="AG1717" t="n">
        <v>4</v>
      </c>
      <c r="AH1717" t="n">
        <v>4</v>
      </c>
      <c r="AI1717" t="n">
        <v>4</v>
      </c>
      <c r="AJ1717" t="n">
        <v>8</v>
      </c>
      <c r="AK1717" t="n">
        <v>8</v>
      </c>
      <c r="AL1717" t="n">
        <v>2</v>
      </c>
      <c r="AM1717" t="n">
        <v>2</v>
      </c>
      <c r="AN1717" t="n">
        <v>0</v>
      </c>
      <c r="AO1717" t="n">
        <v>0</v>
      </c>
      <c r="AP1717" t="inlineStr">
        <is>
          <t>No</t>
        </is>
      </c>
      <c r="AQ1717" t="inlineStr">
        <is>
          <t>Yes</t>
        </is>
      </c>
      <c r="AR1717">
        <f>HYPERLINK("http://catalog.hathitrust.org/Record/000947884","HathiTrust Record")</f>
        <v/>
      </c>
      <c r="AS1717">
        <f>HYPERLINK("https://creighton-primo.hosted.exlibrisgroup.com/primo-explore/search?tab=default_tab&amp;search_scope=EVERYTHING&amp;vid=01CRU&amp;lang=en_US&amp;offset=0&amp;query=any,contains,991001355609702656","Catalog Record")</f>
        <v/>
      </c>
      <c r="AT1717">
        <f>HYPERLINK("http://www.worldcat.org/oclc/18467164","WorldCat Record")</f>
        <v/>
      </c>
      <c r="AU1717" t="inlineStr">
        <is>
          <t>1099374463:eng</t>
        </is>
      </c>
      <c r="AV1717" t="inlineStr">
        <is>
          <t>18467164</t>
        </is>
      </c>
      <c r="AW1717" t="inlineStr">
        <is>
          <t>991001355609702656</t>
        </is>
      </c>
      <c r="AX1717" t="inlineStr">
        <is>
          <t>991001355609702656</t>
        </is>
      </c>
      <c r="AY1717" t="inlineStr">
        <is>
          <t>2267160560002656</t>
        </is>
      </c>
      <c r="AZ1717" t="inlineStr">
        <is>
          <t>BOOK</t>
        </is>
      </c>
      <c r="BB1717" t="inlineStr">
        <is>
          <t>9780915597697</t>
        </is>
      </c>
      <c r="BC1717" t="inlineStr">
        <is>
          <t>32285000274620</t>
        </is>
      </c>
      <c r="BD1717" t="inlineStr">
        <is>
          <t>893225796</t>
        </is>
      </c>
    </row>
    <row r="1718">
      <c r="A1718" t="inlineStr">
        <is>
          <t>No</t>
        </is>
      </c>
      <c r="B1718" t="inlineStr">
        <is>
          <t>DS63.2.U5 T45 1993</t>
        </is>
      </c>
      <c r="C1718" t="inlineStr">
        <is>
          <t>0                      DS 0063200U  5                  T  45          1993</t>
        </is>
      </c>
      <c r="D1718" t="inlineStr">
        <is>
          <t>Twin pillars to Desert Storm : America's flawed vision in the Middle East from Nixon to Bush / Howard Teicher and Gayle Radley Teicher.</t>
        </is>
      </c>
      <c r="F1718" t="inlineStr">
        <is>
          <t>No</t>
        </is>
      </c>
      <c r="G1718" t="inlineStr">
        <is>
          <t>1</t>
        </is>
      </c>
      <c r="H1718" t="inlineStr">
        <is>
          <t>No</t>
        </is>
      </c>
      <c r="I1718" t="inlineStr">
        <is>
          <t>No</t>
        </is>
      </c>
      <c r="J1718" t="inlineStr">
        <is>
          <t>0</t>
        </is>
      </c>
      <c r="K1718" t="inlineStr">
        <is>
          <t>Teicher, Howard.</t>
        </is>
      </c>
      <c r="L1718" t="inlineStr">
        <is>
          <t>New York : William Morrow and Co., 1993.</t>
        </is>
      </c>
      <c r="M1718" t="inlineStr">
        <is>
          <t>1993</t>
        </is>
      </c>
      <c r="N1718" t="inlineStr">
        <is>
          <t>1st ed.</t>
        </is>
      </c>
      <c r="O1718" t="inlineStr">
        <is>
          <t>eng</t>
        </is>
      </c>
      <c r="P1718" t="inlineStr">
        <is>
          <t>nyu</t>
        </is>
      </c>
      <c r="R1718" t="inlineStr">
        <is>
          <t xml:space="preserve">DS </t>
        </is>
      </c>
      <c r="S1718" t="n">
        <v>6</v>
      </c>
      <c r="T1718" t="n">
        <v>6</v>
      </c>
      <c r="U1718" t="inlineStr">
        <is>
          <t>1994-10-10</t>
        </is>
      </c>
      <c r="V1718" t="inlineStr">
        <is>
          <t>1994-10-10</t>
        </is>
      </c>
      <c r="W1718" t="inlineStr">
        <is>
          <t>1993-06-01</t>
        </is>
      </c>
      <c r="X1718" t="inlineStr">
        <is>
          <t>1993-06-01</t>
        </is>
      </c>
      <c r="Y1718" t="n">
        <v>549</v>
      </c>
      <c r="Z1718" t="n">
        <v>497</v>
      </c>
      <c r="AA1718" t="n">
        <v>503</v>
      </c>
      <c r="AB1718" t="n">
        <v>5</v>
      </c>
      <c r="AC1718" t="n">
        <v>5</v>
      </c>
      <c r="AD1718" t="n">
        <v>21</v>
      </c>
      <c r="AE1718" t="n">
        <v>21</v>
      </c>
      <c r="AF1718" t="n">
        <v>5</v>
      </c>
      <c r="AG1718" t="n">
        <v>5</v>
      </c>
      <c r="AH1718" t="n">
        <v>7</v>
      </c>
      <c r="AI1718" t="n">
        <v>7</v>
      </c>
      <c r="AJ1718" t="n">
        <v>11</v>
      </c>
      <c r="AK1718" t="n">
        <v>11</v>
      </c>
      <c r="AL1718" t="n">
        <v>4</v>
      </c>
      <c r="AM1718" t="n">
        <v>4</v>
      </c>
      <c r="AN1718" t="n">
        <v>0</v>
      </c>
      <c r="AO1718" t="n">
        <v>0</v>
      </c>
      <c r="AP1718" t="inlineStr">
        <is>
          <t>No</t>
        </is>
      </c>
      <c r="AQ1718" t="inlineStr">
        <is>
          <t>Yes</t>
        </is>
      </c>
      <c r="AR1718">
        <f>HYPERLINK("http://catalog.hathitrust.org/Record/004530034","HathiTrust Record")</f>
        <v/>
      </c>
      <c r="AS1718">
        <f>HYPERLINK("https://creighton-primo.hosted.exlibrisgroup.com/primo-explore/search?tab=default_tab&amp;search_scope=EVERYTHING&amp;vid=01CRU&amp;lang=en_US&amp;offset=0&amp;query=any,contains,991002091529702656","Catalog Record")</f>
        <v/>
      </c>
      <c r="AT1718">
        <f>HYPERLINK("http://www.worldcat.org/oclc/26850955","WorldCat Record")</f>
        <v/>
      </c>
      <c r="AU1718" t="inlineStr">
        <is>
          <t>29165776:eng</t>
        </is>
      </c>
      <c r="AV1718" t="inlineStr">
        <is>
          <t>26850955</t>
        </is>
      </c>
      <c r="AW1718" t="inlineStr">
        <is>
          <t>991002091529702656</t>
        </is>
      </c>
      <c r="AX1718" t="inlineStr">
        <is>
          <t>991002091529702656</t>
        </is>
      </c>
      <c r="AY1718" t="inlineStr">
        <is>
          <t>2265811490002656</t>
        </is>
      </c>
      <c r="AZ1718" t="inlineStr">
        <is>
          <t>BOOK</t>
        </is>
      </c>
      <c r="BB1718" t="inlineStr">
        <is>
          <t>9780688112547</t>
        </is>
      </c>
      <c r="BC1718" t="inlineStr">
        <is>
          <t>32285001583953</t>
        </is>
      </c>
      <c r="BD1718" t="inlineStr">
        <is>
          <t>893873091</t>
        </is>
      </c>
    </row>
    <row r="1719">
      <c r="A1719" t="inlineStr">
        <is>
          <t>No</t>
        </is>
      </c>
      <c r="B1719" t="inlineStr">
        <is>
          <t>DS63.2.U5 T459 2002</t>
        </is>
      </c>
      <c r="C1719" t="inlineStr">
        <is>
          <t>0                      DS 0063200U  5                  T  459         2002</t>
        </is>
      </c>
      <c r="D1719" t="inlineStr">
        <is>
          <t>The stakes : America and the Middle East : the consequences of power and the choice for peace / Shibley Telhami.</t>
        </is>
      </c>
      <c r="F1719" t="inlineStr">
        <is>
          <t>No</t>
        </is>
      </c>
      <c r="G1719" t="inlineStr">
        <is>
          <t>1</t>
        </is>
      </c>
      <c r="H1719" t="inlineStr">
        <is>
          <t>No</t>
        </is>
      </c>
      <c r="I1719" t="inlineStr">
        <is>
          <t>No</t>
        </is>
      </c>
      <c r="J1719" t="inlineStr">
        <is>
          <t>0</t>
        </is>
      </c>
      <c r="K1719" t="inlineStr">
        <is>
          <t>Telhami, Shibley.</t>
        </is>
      </c>
      <c r="L1719" t="inlineStr">
        <is>
          <t>Boulder, Colo. : Westview Press, 2002.</t>
        </is>
      </c>
      <c r="M1719" t="inlineStr">
        <is>
          <t>2002</t>
        </is>
      </c>
      <c r="O1719" t="inlineStr">
        <is>
          <t>eng</t>
        </is>
      </c>
      <c r="P1719" t="inlineStr">
        <is>
          <t>cou</t>
        </is>
      </c>
      <c r="R1719" t="inlineStr">
        <is>
          <t xml:space="preserve">DS </t>
        </is>
      </c>
      <c r="S1719" t="n">
        <v>3</v>
      </c>
      <c r="T1719" t="n">
        <v>3</v>
      </c>
      <c r="U1719" t="inlineStr">
        <is>
          <t>2003-10-15</t>
        </is>
      </c>
      <c r="V1719" t="inlineStr">
        <is>
          <t>2003-10-15</t>
        </is>
      </c>
      <c r="W1719" t="inlineStr">
        <is>
          <t>2003-02-06</t>
        </is>
      </c>
      <c r="X1719" t="inlineStr">
        <is>
          <t>2003-02-06</t>
        </is>
      </c>
      <c r="Y1719" t="n">
        <v>683</v>
      </c>
      <c r="Z1719" t="n">
        <v>611</v>
      </c>
      <c r="AA1719" t="n">
        <v>620</v>
      </c>
      <c r="AB1719" t="n">
        <v>5</v>
      </c>
      <c r="AC1719" t="n">
        <v>5</v>
      </c>
      <c r="AD1719" t="n">
        <v>29</v>
      </c>
      <c r="AE1719" t="n">
        <v>29</v>
      </c>
      <c r="AF1719" t="n">
        <v>9</v>
      </c>
      <c r="AG1719" t="n">
        <v>9</v>
      </c>
      <c r="AH1719" t="n">
        <v>8</v>
      </c>
      <c r="AI1719" t="n">
        <v>8</v>
      </c>
      <c r="AJ1719" t="n">
        <v>13</v>
      </c>
      <c r="AK1719" t="n">
        <v>13</v>
      </c>
      <c r="AL1719" t="n">
        <v>4</v>
      </c>
      <c r="AM1719" t="n">
        <v>4</v>
      </c>
      <c r="AN1719" t="n">
        <v>1</v>
      </c>
      <c r="AO1719" t="n">
        <v>1</v>
      </c>
      <c r="AP1719" t="inlineStr">
        <is>
          <t>No</t>
        </is>
      </c>
      <c r="AQ1719" t="inlineStr">
        <is>
          <t>Yes</t>
        </is>
      </c>
      <c r="AR1719">
        <f>HYPERLINK("http://catalog.hathitrust.org/Record/004297176","HathiTrust Record")</f>
        <v/>
      </c>
      <c r="AS1719">
        <f>HYPERLINK("https://creighton-primo.hosted.exlibrisgroup.com/primo-explore/search?tab=default_tab&amp;search_scope=EVERYTHING&amp;vid=01CRU&amp;lang=en_US&amp;offset=0&amp;query=any,contains,991003968289702656","Catalog Record")</f>
        <v/>
      </c>
      <c r="AT1719">
        <f>HYPERLINK("http://www.worldcat.org/oclc/51115357","WorldCat Record")</f>
        <v/>
      </c>
      <c r="AU1719" t="inlineStr">
        <is>
          <t>3901268913:eng</t>
        </is>
      </c>
      <c r="AV1719" t="inlineStr">
        <is>
          <t>51115357</t>
        </is>
      </c>
      <c r="AW1719" t="inlineStr">
        <is>
          <t>991003968289702656</t>
        </is>
      </c>
      <c r="AX1719" t="inlineStr">
        <is>
          <t>991003968289702656</t>
        </is>
      </c>
      <c r="AY1719" t="inlineStr">
        <is>
          <t>2272433770002656</t>
        </is>
      </c>
      <c r="AZ1719" t="inlineStr">
        <is>
          <t>BOOK</t>
        </is>
      </c>
      <c r="BB1719" t="inlineStr">
        <is>
          <t>9780813340784</t>
        </is>
      </c>
      <c r="BC1719" t="inlineStr">
        <is>
          <t>32285004697594</t>
        </is>
      </c>
      <c r="BD1719" t="inlineStr">
        <is>
          <t>893718297</t>
        </is>
      </c>
    </row>
    <row r="1720">
      <c r="A1720" t="inlineStr">
        <is>
          <t>No</t>
        </is>
      </c>
      <c r="B1720" t="inlineStr">
        <is>
          <t>DS63.2.U5 Y48  2004</t>
        </is>
      </c>
      <c r="C1720" t="inlineStr">
        <is>
          <t>0                      DS 0063200U  5                  Y  48          2004</t>
        </is>
      </c>
      <c r="D1720" t="inlineStr">
        <is>
          <t>Crude awakenings : global oil security and American foreign policy / Steve A. Yetiv.</t>
        </is>
      </c>
      <c r="F1720" t="inlineStr">
        <is>
          <t>No</t>
        </is>
      </c>
      <c r="G1720" t="inlineStr">
        <is>
          <t>1</t>
        </is>
      </c>
      <c r="H1720" t="inlineStr">
        <is>
          <t>No</t>
        </is>
      </c>
      <c r="I1720" t="inlineStr">
        <is>
          <t>No</t>
        </is>
      </c>
      <c r="J1720" t="inlineStr">
        <is>
          <t>0</t>
        </is>
      </c>
      <c r="K1720" t="inlineStr">
        <is>
          <t>Yetiv, Steven A.</t>
        </is>
      </c>
      <c r="L1720" t="inlineStr">
        <is>
          <t>Ithaca : Cornell University Press, 2004.</t>
        </is>
      </c>
      <c r="M1720" t="inlineStr">
        <is>
          <t>2004</t>
        </is>
      </c>
      <c r="O1720" t="inlineStr">
        <is>
          <t>eng</t>
        </is>
      </c>
      <c r="P1720" t="inlineStr">
        <is>
          <t>nyu</t>
        </is>
      </c>
      <c r="R1720" t="inlineStr">
        <is>
          <t xml:space="preserve">DS </t>
        </is>
      </c>
      <c r="S1720" t="n">
        <v>4</v>
      </c>
      <c r="T1720" t="n">
        <v>4</v>
      </c>
      <c r="U1720" t="inlineStr">
        <is>
          <t>2006-10-29</t>
        </is>
      </c>
      <c r="V1720" t="inlineStr">
        <is>
          <t>2006-10-29</t>
        </is>
      </c>
      <c r="W1720" t="inlineStr">
        <is>
          <t>2004-11-30</t>
        </is>
      </c>
      <c r="X1720" t="inlineStr">
        <is>
          <t>2004-11-30</t>
        </is>
      </c>
      <c r="Y1720" t="n">
        <v>671</v>
      </c>
      <c r="Z1720" t="n">
        <v>564</v>
      </c>
      <c r="AA1720" t="n">
        <v>950</v>
      </c>
      <c r="AB1720" t="n">
        <v>5</v>
      </c>
      <c r="AC1720" t="n">
        <v>8</v>
      </c>
      <c r="AD1720" t="n">
        <v>32</v>
      </c>
      <c r="AE1720" t="n">
        <v>47</v>
      </c>
      <c r="AF1720" t="n">
        <v>13</v>
      </c>
      <c r="AG1720" t="n">
        <v>19</v>
      </c>
      <c r="AH1720" t="n">
        <v>8</v>
      </c>
      <c r="AI1720" t="n">
        <v>10</v>
      </c>
      <c r="AJ1720" t="n">
        <v>14</v>
      </c>
      <c r="AK1720" t="n">
        <v>19</v>
      </c>
      <c r="AL1720" t="n">
        <v>4</v>
      </c>
      <c r="AM1720" t="n">
        <v>7</v>
      </c>
      <c r="AN1720" t="n">
        <v>1</v>
      </c>
      <c r="AO1720" t="n">
        <v>2</v>
      </c>
      <c r="AP1720" t="inlineStr">
        <is>
          <t>No</t>
        </is>
      </c>
      <c r="AQ1720" t="inlineStr">
        <is>
          <t>Yes</t>
        </is>
      </c>
      <c r="AR1720">
        <f>HYPERLINK("http://catalog.hathitrust.org/Record/004763477","HathiTrust Record")</f>
        <v/>
      </c>
      <c r="AS1720">
        <f>HYPERLINK("https://creighton-primo.hosted.exlibrisgroup.com/primo-explore/search?tab=default_tab&amp;search_scope=EVERYTHING&amp;vid=01CRU&amp;lang=en_US&amp;offset=0&amp;query=any,contains,991004406699702656","Catalog Record")</f>
        <v/>
      </c>
      <c r="AT1720">
        <f>HYPERLINK("http://www.worldcat.org/oclc/54529089","WorldCat Record")</f>
        <v/>
      </c>
      <c r="AU1720" t="inlineStr">
        <is>
          <t>864151282:eng</t>
        </is>
      </c>
      <c r="AV1720" t="inlineStr">
        <is>
          <t>54529089</t>
        </is>
      </c>
      <c r="AW1720" t="inlineStr">
        <is>
          <t>991004406699702656</t>
        </is>
      </c>
      <c r="AX1720" t="inlineStr">
        <is>
          <t>991004406699702656</t>
        </is>
      </c>
      <c r="AY1720" t="inlineStr">
        <is>
          <t>2272491480002656</t>
        </is>
      </c>
      <c r="AZ1720" t="inlineStr">
        <is>
          <t>BOOK</t>
        </is>
      </c>
      <c r="BB1720" t="inlineStr">
        <is>
          <t>9780801442681</t>
        </is>
      </c>
      <c r="BC1720" t="inlineStr">
        <is>
          <t>32285005013676</t>
        </is>
      </c>
      <c r="BD1720" t="inlineStr">
        <is>
          <t>893343798</t>
        </is>
      </c>
    </row>
    <row r="1721">
      <c r="A1721" t="inlineStr">
        <is>
          <t>No</t>
        </is>
      </c>
      <c r="B1721" t="inlineStr">
        <is>
          <t>DS63.2.U5 Y48 2008</t>
        </is>
      </c>
      <c r="C1721" t="inlineStr">
        <is>
          <t>0                      DS 0063200U  5                  Y  48          2008</t>
        </is>
      </c>
      <c r="D1721" t="inlineStr">
        <is>
          <t>The absence of grand strategy : the United States in the Persian Gulf, 1972-2005 / Steve A. Yetiv.</t>
        </is>
      </c>
      <c r="F1721" t="inlineStr">
        <is>
          <t>No</t>
        </is>
      </c>
      <c r="G1721" t="inlineStr">
        <is>
          <t>1</t>
        </is>
      </c>
      <c r="H1721" t="inlineStr">
        <is>
          <t>No</t>
        </is>
      </c>
      <c r="I1721" t="inlineStr">
        <is>
          <t>No</t>
        </is>
      </c>
      <c r="J1721" t="inlineStr">
        <is>
          <t>0</t>
        </is>
      </c>
      <c r="K1721" t="inlineStr">
        <is>
          <t>Yetiv, Steven A.</t>
        </is>
      </c>
      <c r="L1721" t="inlineStr">
        <is>
          <t>Baltimore, MD : Johns Hopkins University Press, 2008.</t>
        </is>
      </c>
      <c r="M1721" t="inlineStr">
        <is>
          <t>2008</t>
        </is>
      </c>
      <c r="O1721" t="inlineStr">
        <is>
          <t>eng</t>
        </is>
      </c>
      <c r="P1721" t="inlineStr">
        <is>
          <t>mdu</t>
        </is>
      </c>
      <c r="R1721" t="inlineStr">
        <is>
          <t xml:space="preserve">DS </t>
        </is>
      </c>
      <c r="S1721" t="n">
        <v>4</v>
      </c>
      <c r="T1721" t="n">
        <v>4</v>
      </c>
      <c r="U1721" t="inlineStr">
        <is>
          <t>2009-02-18</t>
        </is>
      </c>
      <c r="V1721" t="inlineStr">
        <is>
          <t>2009-02-18</t>
        </is>
      </c>
      <c r="W1721" t="inlineStr">
        <is>
          <t>2009-02-12</t>
        </is>
      </c>
      <c r="X1721" t="inlineStr">
        <is>
          <t>2009-02-12</t>
        </is>
      </c>
      <c r="Y1721" t="n">
        <v>447</v>
      </c>
      <c r="Z1721" t="n">
        <v>359</v>
      </c>
      <c r="AA1721" t="n">
        <v>703</v>
      </c>
      <c r="AB1721" t="n">
        <v>3</v>
      </c>
      <c r="AC1721" t="n">
        <v>6</v>
      </c>
      <c r="AD1721" t="n">
        <v>26</v>
      </c>
      <c r="AE1721" t="n">
        <v>37</v>
      </c>
      <c r="AF1721" t="n">
        <v>15</v>
      </c>
      <c r="AG1721" t="n">
        <v>17</v>
      </c>
      <c r="AH1721" t="n">
        <v>5</v>
      </c>
      <c r="AI1721" t="n">
        <v>8</v>
      </c>
      <c r="AJ1721" t="n">
        <v>11</v>
      </c>
      <c r="AK1721" t="n">
        <v>14</v>
      </c>
      <c r="AL1721" t="n">
        <v>2</v>
      </c>
      <c r="AM1721" t="n">
        <v>5</v>
      </c>
      <c r="AN1721" t="n">
        <v>0</v>
      </c>
      <c r="AO1721" t="n">
        <v>1</v>
      </c>
      <c r="AP1721" t="inlineStr">
        <is>
          <t>No</t>
        </is>
      </c>
      <c r="AQ1721" t="inlineStr">
        <is>
          <t>Yes</t>
        </is>
      </c>
      <c r="AR1721">
        <f>HYPERLINK("http://catalog.hathitrust.org/Record/005912505","HathiTrust Record")</f>
        <v/>
      </c>
      <c r="AS1721">
        <f>HYPERLINK("https://creighton-primo.hosted.exlibrisgroup.com/primo-explore/search?tab=default_tab&amp;search_scope=EVERYTHING&amp;vid=01CRU&amp;lang=en_US&amp;offset=0&amp;query=any,contains,991005294619702656","Catalog Record")</f>
        <v/>
      </c>
      <c r="AT1721">
        <f>HYPERLINK("http://www.worldcat.org/oclc/162502014","WorldCat Record")</f>
        <v/>
      </c>
      <c r="AU1721" t="inlineStr">
        <is>
          <t>797250851:eng</t>
        </is>
      </c>
      <c r="AV1721" t="inlineStr">
        <is>
          <t>162502014</t>
        </is>
      </c>
      <c r="AW1721" t="inlineStr">
        <is>
          <t>991005294619702656</t>
        </is>
      </c>
      <c r="AX1721" t="inlineStr">
        <is>
          <t>991005294619702656</t>
        </is>
      </c>
      <c r="AY1721" t="inlineStr">
        <is>
          <t>2259386740002656</t>
        </is>
      </c>
      <c r="AZ1721" t="inlineStr">
        <is>
          <t>BOOK</t>
        </is>
      </c>
      <c r="BB1721" t="inlineStr">
        <is>
          <t>9780801887819</t>
        </is>
      </c>
      <c r="BC1721" t="inlineStr">
        <is>
          <t>32285005503908</t>
        </is>
      </c>
      <c r="BD1721" t="inlineStr">
        <is>
          <t>893418703</t>
        </is>
      </c>
    </row>
    <row r="1722">
      <c r="A1722" t="inlineStr">
        <is>
          <t>No</t>
        </is>
      </c>
      <c r="B1722" t="inlineStr">
        <is>
          <t>DS63.4 .T39 1995</t>
        </is>
      </c>
      <c r="C1722" t="inlineStr">
        <is>
          <t>0                      DS 0063400T  39          1995</t>
        </is>
      </c>
      <c r="D1722" t="inlineStr">
        <is>
          <t>The formation of modern Syria and Iraq / Eliezer Tauber.</t>
        </is>
      </c>
      <c r="F1722" t="inlineStr">
        <is>
          <t>No</t>
        </is>
      </c>
      <c r="G1722" t="inlineStr">
        <is>
          <t>1</t>
        </is>
      </c>
      <c r="H1722" t="inlineStr">
        <is>
          <t>No</t>
        </is>
      </c>
      <c r="I1722" t="inlineStr">
        <is>
          <t>No</t>
        </is>
      </c>
      <c r="J1722" t="inlineStr">
        <is>
          <t>0</t>
        </is>
      </c>
      <c r="K1722" t="inlineStr">
        <is>
          <t>Ṭaʼuber, Eliʻezer.</t>
        </is>
      </c>
      <c r="L1722" t="inlineStr">
        <is>
          <t>Ilford, Essex, England ; Portland, Or. : Frank Cass, 1995.</t>
        </is>
      </c>
      <c r="M1722" t="inlineStr">
        <is>
          <t>1995</t>
        </is>
      </c>
      <c r="O1722" t="inlineStr">
        <is>
          <t>eng</t>
        </is>
      </c>
      <c r="P1722" t="inlineStr">
        <is>
          <t>enk</t>
        </is>
      </c>
      <c r="R1722" t="inlineStr">
        <is>
          <t xml:space="preserve">DS </t>
        </is>
      </c>
      <c r="S1722" t="n">
        <v>6</v>
      </c>
      <c r="T1722" t="n">
        <v>6</v>
      </c>
      <c r="U1722" t="inlineStr">
        <is>
          <t>2006-04-28</t>
        </is>
      </c>
      <c r="V1722" t="inlineStr">
        <is>
          <t>2006-04-28</t>
        </is>
      </c>
      <c r="W1722" t="inlineStr">
        <is>
          <t>1997-11-24</t>
        </is>
      </c>
      <c r="X1722" t="inlineStr">
        <is>
          <t>1997-11-24</t>
        </is>
      </c>
      <c r="Y1722" t="n">
        <v>370</v>
      </c>
      <c r="Z1722" t="n">
        <v>270</v>
      </c>
      <c r="AA1722" t="n">
        <v>291</v>
      </c>
      <c r="AB1722" t="n">
        <v>2</v>
      </c>
      <c r="AC1722" t="n">
        <v>2</v>
      </c>
      <c r="AD1722" t="n">
        <v>14</v>
      </c>
      <c r="AE1722" t="n">
        <v>14</v>
      </c>
      <c r="AF1722" t="n">
        <v>6</v>
      </c>
      <c r="AG1722" t="n">
        <v>6</v>
      </c>
      <c r="AH1722" t="n">
        <v>4</v>
      </c>
      <c r="AI1722" t="n">
        <v>4</v>
      </c>
      <c r="AJ1722" t="n">
        <v>8</v>
      </c>
      <c r="AK1722" t="n">
        <v>8</v>
      </c>
      <c r="AL1722" t="n">
        <v>1</v>
      </c>
      <c r="AM1722" t="n">
        <v>1</v>
      </c>
      <c r="AN1722" t="n">
        <v>0</v>
      </c>
      <c r="AO1722" t="n">
        <v>0</v>
      </c>
      <c r="AP1722" t="inlineStr">
        <is>
          <t>No</t>
        </is>
      </c>
      <c r="AQ1722" t="inlineStr">
        <is>
          <t>No</t>
        </is>
      </c>
      <c r="AS1722">
        <f>HYPERLINK("https://creighton-primo.hosted.exlibrisgroup.com/primo-explore/search?tab=default_tab&amp;search_scope=EVERYTHING&amp;vid=01CRU&amp;lang=en_US&amp;offset=0&amp;query=any,contains,991002357589702656","Catalog Record")</f>
        <v/>
      </c>
      <c r="AT1722">
        <f>HYPERLINK("http://www.worldcat.org/oclc/30667943","WorldCat Record")</f>
        <v/>
      </c>
      <c r="AU1722" t="inlineStr">
        <is>
          <t>2699541:eng</t>
        </is>
      </c>
      <c r="AV1722" t="inlineStr">
        <is>
          <t>30667943</t>
        </is>
      </c>
      <c r="AW1722" t="inlineStr">
        <is>
          <t>991002357589702656</t>
        </is>
      </c>
      <c r="AX1722" t="inlineStr">
        <is>
          <t>991002357589702656</t>
        </is>
      </c>
      <c r="AY1722" t="inlineStr">
        <is>
          <t>2268048000002656</t>
        </is>
      </c>
      <c r="AZ1722" t="inlineStr">
        <is>
          <t>BOOK</t>
        </is>
      </c>
      <c r="BB1722" t="inlineStr">
        <is>
          <t>9780714641058</t>
        </is>
      </c>
      <c r="BC1722" t="inlineStr">
        <is>
          <t>32285003273264</t>
        </is>
      </c>
      <c r="BD1722" t="inlineStr">
        <is>
          <t>893703967</t>
        </is>
      </c>
    </row>
    <row r="1723">
      <c r="A1723" t="inlineStr">
        <is>
          <t>No</t>
        </is>
      </c>
      <c r="B1723" t="inlineStr">
        <is>
          <t>DS63.6 .B22 2004</t>
        </is>
      </c>
      <c r="C1723" t="inlineStr">
        <is>
          <t>0                      DS 0063600B  22          2004</t>
        </is>
      </c>
      <c r="D1723" t="inlineStr">
        <is>
          <t>Arab unity and disunity : past and present / Fuad Baali.</t>
        </is>
      </c>
      <c r="F1723" t="inlineStr">
        <is>
          <t>No</t>
        </is>
      </c>
      <c r="G1723" t="inlineStr">
        <is>
          <t>1</t>
        </is>
      </c>
      <c r="H1723" t="inlineStr">
        <is>
          <t>No</t>
        </is>
      </c>
      <c r="I1723" t="inlineStr">
        <is>
          <t>No</t>
        </is>
      </c>
      <c r="J1723" t="inlineStr">
        <is>
          <t>0</t>
        </is>
      </c>
      <c r="K1723" t="inlineStr">
        <is>
          <t>Baali, Fuad.</t>
        </is>
      </c>
      <c r="L1723" t="inlineStr">
        <is>
          <t>Lanham, MD : University Press of America, 2004.</t>
        </is>
      </c>
      <c r="M1723" t="inlineStr">
        <is>
          <t>2004</t>
        </is>
      </c>
      <c r="O1723" t="inlineStr">
        <is>
          <t>eng</t>
        </is>
      </c>
      <c r="P1723" t="inlineStr">
        <is>
          <t>mdu</t>
        </is>
      </c>
      <c r="R1723" t="inlineStr">
        <is>
          <t xml:space="preserve">DS </t>
        </is>
      </c>
      <c r="S1723" t="n">
        <v>3</v>
      </c>
      <c r="T1723" t="n">
        <v>3</v>
      </c>
      <c r="U1723" t="inlineStr">
        <is>
          <t>2009-09-11</t>
        </is>
      </c>
      <c r="V1723" t="inlineStr">
        <is>
          <t>2009-09-11</t>
        </is>
      </c>
      <c r="W1723" t="inlineStr">
        <is>
          <t>2004-08-30</t>
        </is>
      </c>
      <c r="X1723" t="inlineStr">
        <is>
          <t>2004-08-30</t>
        </is>
      </c>
      <c r="Y1723" t="n">
        <v>73</v>
      </c>
      <c r="Z1723" t="n">
        <v>62</v>
      </c>
      <c r="AA1723" t="n">
        <v>87</v>
      </c>
      <c r="AB1723" t="n">
        <v>1</v>
      </c>
      <c r="AC1723" t="n">
        <v>1</v>
      </c>
      <c r="AD1723" t="n">
        <v>3</v>
      </c>
      <c r="AE1723" t="n">
        <v>3</v>
      </c>
      <c r="AF1723" t="n">
        <v>0</v>
      </c>
      <c r="AG1723" t="n">
        <v>0</v>
      </c>
      <c r="AH1723" t="n">
        <v>2</v>
      </c>
      <c r="AI1723" t="n">
        <v>2</v>
      </c>
      <c r="AJ1723" t="n">
        <v>2</v>
      </c>
      <c r="AK1723" t="n">
        <v>2</v>
      </c>
      <c r="AL1723" t="n">
        <v>0</v>
      </c>
      <c r="AM1723" t="n">
        <v>0</v>
      </c>
      <c r="AN1723" t="n">
        <v>0</v>
      </c>
      <c r="AO1723" t="n">
        <v>0</v>
      </c>
      <c r="AP1723" t="inlineStr">
        <is>
          <t>No</t>
        </is>
      </c>
      <c r="AQ1723" t="inlineStr">
        <is>
          <t>No</t>
        </is>
      </c>
      <c r="AS1723">
        <f>HYPERLINK("https://creighton-primo.hosted.exlibrisgroup.com/primo-explore/search?tab=default_tab&amp;search_scope=EVERYTHING&amp;vid=01CRU&amp;lang=en_US&amp;offset=0&amp;query=any,contains,991004328949702656","Catalog Record")</f>
        <v/>
      </c>
      <c r="AT1723">
        <f>HYPERLINK("http://www.worldcat.org/oclc/55672822","WorldCat Record")</f>
        <v/>
      </c>
      <c r="AU1723" t="inlineStr">
        <is>
          <t>15997389:eng</t>
        </is>
      </c>
      <c r="AV1723" t="inlineStr">
        <is>
          <t>55672822</t>
        </is>
      </c>
      <c r="AW1723" t="inlineStr">
        <is>
          <t>991004328949702656</t>
        </is>
      </c>
      <c r="AX1723" t="inlineStr">
        <is>
          <t>991004328949702656</t>
        </is>
      </c>
      <c r="AY1723" t="inlineStr">
        <is>
          <t>2264094100002656</t>
        </is>
      </c>
      <c r="AZ1723" t="inlineStr">
        <is>
          <t>BOOK</t>
        </is>
      </c>
      <c r="BB1723" t="inlineStr">
        <is>
          <t>9780761829157</t>
        </is>
      </c>
      <c r="BC1723" t="inlineStr">
        <is>
          <t>32285004983986</t>
        </is>
      </c>
      <c r="BD1723" t="inlineStr">
        <is>
          <t>893888572</t>
        </is>
      </c>
    </row>
    <row r="1724">
      <c r="A1724" t="inlineStr">
        <is>
          <t>No</t>
        </is>
      </c>
      <c r="B1724" t="inlineStr">
        <is>
          <t>DS63.6 .K73 1996</t>
        </is>
      </c>
      <c r="C1724" t="inlineStr">
        <is>
          <t>0                      DS 0063600K  73          1996</t>
        </is>
      </c>
      <c r="D1724" t="inlineStr">
        <is>
          <t>Arab awakening &amp; Islamic revival : the politics of ideas in the Middle East / Martin Kramer.</t>
        </is>
      </c>
      <c r="F1724" t="inlineStr">
        <is>
          <t>No</t>
        </is>
      </c>
      <c r="G1724" t="inlineStr">
        <is>
          <t>1</t>
        </is>
      </c>
      <c r="H1724" t="inlineStr">
        <is>
          <t>No</t>
        </is>
      </c>
      <c r="I1724" t="inlineStr">
        <is>
          <t>No</t>
        </is>
      </c>
      <c r="J1724" t="inlineStr">
        <is>
          <t>0</t>
        </is>
      </c>
      <c r="K1724" t="inlineStr">
        <is>
          <t>Kramer, Martin S.</t>
        </is>
      </c>
      <c r="L1724" t="inlineStr">
        <is>
          <t>New Brunswick : Transaction Publishers, c1996.</t>
        </is>
      </c>
      <c r="M1724" t="inlineStr">
        <is>
          <t>1996</t>
        </is>
      </c>
      <c r="O1724" t="inlineStr">
        <is>
          <t>eng</t>
        </is>
      </c>
      <c r="P1724" t="inlineStr">
        <is>
          <t>nju</t>
        </is>
      </c>
      <c r="R1724" t="inlineStr">
        <is>
          <t xml:space="preserve">DS </t>
        </is>
      </c>
      <c r="S1724" t="n">
        <v>4</v>
      </c>
      <c r="T1724" t="n">
        <v>4</v>
      </c>
      <c r="U1724" t="inlineStr">
        <is>
          <t>1998-11-01</t>
        </is>
      </c>
      <c r="V1724" t="inlineStr">
        <is>
          <t>1998-11-01</t>
        </is>
      </c>
      <c r="W1724" t="inlineStr">
        <is>
          <t>1998-06-10</t>
        </is>
      </c>
      <c r="X1724" t="inlineStr">
        <is>
          <t>1998-06-10</t>
        </is>
      </c>
      <c r="Y1724" t="n">
        <v>347</v>
      </c>
      <c r="Z1724" t="n">
        <v>261</v>
      </c>
      <c r="AA1724" t="n">
        <v>304</v>
      </c>
      <c r="AB1724" t="n">
        <v>3</v>
      </c>
      <c r="AC1724" t="n">
        <v>3</v>
      </c>
      <c r="AD1724" t="n">
        <v>15</v>
      </c>
      <c r="AE1724" t="n">
        <v>15</v>
      </c>
      <c r="AF1724" t="n">
        <v>3</v>
      </c>
      <c r="AG1724" t="n">
        <v>3</v>
      </c>
      <c r="AH1724" t="n">
        <v>7</v>
      </c>
      <c r="AI1724" t="n">
        <v>7</v>
      </c>
      <c r="AJ1724" t="n">
        <v>8</v>
      </c>
      <c r="AK1724" t="n">
        <v>8</v>
      </c>
      <c r="AL1724" t="n">
        <v>2</v>
      </c>
      <c r="AM1724" t="n">
        <v>2</v>
      </c>
      <c r="AN1724" t="n">
        <v>0</v>
      </c>
      <c r="AO1724" t="n">
        <v>0</v>
      </c>
      <c r="AP1724" t="inlineStr">
        <is>
          <t>No</t>
        </is>
      </c>
      <c r="AQ1724" t="inlineStr">
        <is>
          <t>No</t>
        </is>
      </c>
      <c r="AS1724">
        <f>HYPERLINK("https://creighton-primo.hosted.exlibrisgroup.com/primo-explore/search?tab=default_tab&amp;search_scope=EVERYTHING&amp;vid=01CRU&amp;lang=en_US&amp;offset=0&amp;query=any,contains,991002643609702656","Catalog Record")</f>
        <v/>
      </c>
      <c r="AT1724">
        <f>HYPERLINK("http://www.worldcat.org/oclc/34598181","WorldCat Record")</f>
        <v/>
      </c>
      <c r="AU1724" t="inlineStr">
        <is>
          <t>284800769:eng</t>
        </is>
      </c>
      <c r="AV1724" t="inlineStr">
        <is>
          <t>34598181</t>
        </is>
      </c>
      <c r="AW1724" t="inlineStr">
        <is>
          <t>991002643609702656</t>
        </is>
      </c>
      <c r="AX1724" t="inlineStr">
        <is>
          <t>991002643609702656</t>
        </is>
      </c>
      <c r="AY1724" t="inlineStr">
        <is>
          <t>2268710950002656</t>
        </is>
      </c>
      <c r="AZ1724" t="inlineStr">
        <is>
          <t>BOOK</t>
        </is>
      </c>
      <c r="BB1724" t="inlineStr">
        <is>
          <t>9781560002727</t>
        </is>
      </c>
      <c r="BC1724" t="inlineStr">
        <is>
          <t>32285003414686</t>
        </is>
      </c>
      <c r="BD1724" t="inlineStr">
        <is>
          <t>893873777</t>
        </is>
      </c>
    </row>
    <row r="1725">
      <c r="A1725" t="inlineStr">
        <is>
          <t>No</t>
        </is>
      </c>
      <c r="B1725" t="inlineStr">
        <is>
          <t>DS63.6 .O75 1991</t>
        </is>
      </c>
      <c r="C1725" t="inlineStr">
        <is>
          <t>0                      DS 0063600O  75          1991</t>
        </is>
      </c>
      <c r="D1725" t="inlineStr">
        <is>
          <t>The Origins of Arab nationalism / edited by Rashid Khalidi ... [et al.].</t>
        </is>
      </c>
      <c r="F1725" t="inlineStr">
        <is>
          <t>No</t>
        </is>
      </c>
      <c r="G1725" t="inlineStr">
        <is>
          <t>1</t>
        </is>
      </c>
      <c r="H1725" t="inlineStr">
        <is>
          <t>No</t>
        </is>
      </c>
      <c r="I1725" t="inlineStr">
        <is>
          <t>No</t>
        </is>
      </c>
      <c r="J1725" t="inlineStr">
        <is>
          <t>0</t>
        </is>
      </c>
      <c r="L1725" t="inlineStr">
        <is>
          <t>New York : Columbia University Press, c1991.</t>
        </is>
      </c>
      <c r="M1725" t="inlineStr">
        <is>
          <t>1991</t>
        </is>
      </c>
      <c r="O1725" t="inlineStr">
        <is>
          <t>eng</t>
        </is>
      </c>
      <c r="P1725" t="inlineStr">
        <is>
          <t>nyu</t>
        </is>
      </c>
      <c r="R1725" t="inlineStr">
        <is>
          <t xml:space="preserve">DS </t>
        </is>
      </c>
      <c r="S1725" t="n">
        <v>6</v>
      </c>
      <c r="T1725" t="n">
        <v>6</v>
      </c>
      <c r="U1725" t="inlineStr">
        <is>
          <t>2006-11-13</t>
        </is>
      </c>
      <c r="V1725" t="inlineStr">
        <is>
          <t>2006-11-13</t>
        </is>
      </c>
      <c r="W1725" t="inlineStr">
        <is>
          <t>1992-05-11</t>
        </is>
      </c>
      <c r="X1725" t="inlineStr">
        <is>
          <t>1992-05-11</t>
        </is>
      </c>
      <c r="Y1725" t="n">
        <v>653</v>
      </c>
      <c r="Z1725" t="n">
        <v>480</v>
      </c>
      <c r="AA1725" t="n">
        <v>486</v>
      </c>
      <c r="AB1725" t="n">
        <v>6</v>
      </c>
      <c r="AC1725" t="n">
        <v>6</v>
      </c>
      <c r="AD1725" t="n">
        <v>27</v>
      </c>
      <c r="AE1725" t="n">
        <v>27</v>
      </c>
      <c r="AF1725" t="n">
        <v>10</v>
      </c>
      <c r="AG1725" t="n">
        <v>10</v>
      </c>
      <c r="AH1725" t="n">
        <v>6</v>
      </c>
      <c r="AI1725" t="n">
        <v>6</v>
      </c>
      <c r="AJ1725" t="n">
        <v>12</v>
      </c>
      <c r="AK1725" t="n">
        <v>12</v>
      </c>
      <c r="AL1725" t="n">
        <v>5</v>
      </c>
      <c r="AM1725" t="n">
        <v>5</v>
      </c>
      <c r="AN1725" t="n">
        <v>0</v>
      </c>
      <c r="AO1725" t="n">
        <v>0</v>
      </c>
      <c r="AP1725" t="inlineStr">
        <is>
          <t>No</t>
        </is>
      </c>
      <c r="AQ1725" t="inlineStr">
        <is>
          <t>No</t>
        </is>
      </c>
      <c r="AS1725">
        <f>HYPERLINK("https://creighton-primo.hosted.exlibrisgroup.com/primo-explore/search?tab=default_tab&amp;search_scope=EVERYTHING&amp;vid=01CRU&amp;lang=en_US&amp;offset=0&amp;query=any,contains,991001882019702656","Catalog Record")</f>
        <v/>
      </c>
      <c r="AT1725">
        <f>HYPERLINK("http://www.worldcat.org/oclc/23732543","WorldCat Record")</f>
        <v/>
      </c>
      <c r="AU1725" t="inlineStr">
        <is>
          <t>55461222:eng</t>
        </is>
      </c>
      <c r="AV1725" t="inlineStr">
        <is>
          <t>23732543</t>
        </is>
      </c>
      <c r="AW1725" t="inlineStr">
        <is>
          <t>991001882019702656</t>
        </is>
      </c>
      <c r="AX1725" t="inlineStr">
        <is>
          <t>991001882019702656</t>
        </is>
      </c>
      <c r="AY1725" t="inlineStr">
        <is>
          <t>2265472980002656</t>
        </is>
      </c>
      <c r="AZ1725" t="inlineStr">
        <is>
          <t>BOOK</t>
        </is>
      </c>
      <c r="BB1725" t="inlineStr">
        <is>
          <t>9780231074346</t>
        </is>
      </c>
      <c r="BC1725" t="inlineStr">
        <is>
          <t>32285001039949</t>
        </is>
      </c>
      <c r="BD1725" t="inlineStr">
        <is>
          <t>893879263</t>
        </is>
      </c>
    </row>
    <row r="1726">
      <c r="A1726" t="inlineStr">
        <is>
          <t>No</t>
        </is>
      </c>
      <c r="B1726" t="inlineStr">
        <is>
          <t>DS63.6 .R47 1997</t>
        </is>
      </c>
      <c r="C1726" t="inlineStr">
        <is>
          <t>0                      DS 0063600R  47          1997</t>
        </is>
      </c>
      <c r="D1726" t="inlineStr">
        <is>
          <t>Rethinking nationalism in the Arab Middle East / James Jankowski and Israel Gershoni, editors.</t>
        </is>
      </c>
      <c r="F1726" t="inlineStr">
        <is>
          <t>No</t>
        </is>
      </c>
      <c r="G1726" t="inlineStr">
        <is>
          <t>1</t>
        </is>
      </c>
      <c r="H1726" t="inlineStr">
        <is>
          <t>No</t>
        </is>
      </c>
      <c r="I1726" t="inlineStr">
        <is>
          <t>No</t>
        </is>
      </c>
      <c r="J1726" t="inlineStr">
        <is>
          <t>0</t>
        </is>
      </c>
      <c r="L1726" t="inlineStr">
        <is>
          <t>New York : Columbia University Press, c1997.</t>
        </is>
      </c>
      <c r="M1726" t="inlineStr">
        <is>
          <t>1997</t>
        </is>
      </c>
      <c r="O1726" t="inlineStr">
        <is>
          <t>eng</t>
        </is>
      </c>
      <c r="P1726" t="inlineStr">
        <is>
          <t>nyu</t>
        </is>
      </c>
      <c r="R1726" t="inlineStr">
        <is>
          <t xml:space="preserve">DS </t>
        </is>
      </c>
      <c r="S1726" t="n">
        <v>7</v>
      </c>
      <c r="T1726" t="n">
        <v>7</v>
      </c>
      <c r="U1726" t="inlineStr">
        <is>
          <t>2000-09-25</t>
        </is>
      </c>
      <c r="V1726" t="inlineStr">
        <is>
          <t>2000-09-25</t>
        </is>
      </c>
      <c r="W1726" t="inlineStr">
        <is>
          <t>1999-03-17</t>
        </is>
      </c>
      <c r="X1726" t="inlineStr">
        <is>
          <t>1999-03-17</t>
        </is>
      </c>
      <c r="Y1726" t="n">
        <v>435</v>
      </c>
      <c r="Z1726" t="n">
        <v>306</v>
      </c>
      <c r="AA1726" t="n">
        <v>308</v>
      </c>
      <c r="AB1726" t="n">
        <v>3</v>
      </c>
      <c r="AC1726" t="n">
        <v>3</v>
      </c>
      <c r="AD1726" t="n">
        <v>19</v>
      </c>
      <c r="AE1726" t="n">
        <v>19</v>
      </c>
      <c r="AF1726" t="n">
        <v>6</v>
      </c>
      <c r="AG1726" t="n">
        <v>6</v>
      </c>
      <c r="AH1726" t="n">
        <v>4</v>
      </c>
      <c r="AI1726" t="n">
        <v>4</v>
      </c>
      <c r="AJ1726" t="n">
        <v>12</v>
      </c>
      <c r="AK1726" t="n">
        <v>12</v>
      </c>
      <c r="AL1726" t="n">
        <v>2</v>
      </c>
      <c r="AM1726" t="n">
        <v>2</v>
      </c>
      <c r="AN1726" t="n">
        <v>0</v>
      </c>
      <c r="AO1726" t="n">
        <v>0</v>
      </c>
      <c r="AP1726" t="inlineStr">
        <is>
          <t>No</t>
        </is>
      </c>
      <c r="AQ1726" t="inlineStr">
        <is>
          <t>No</t>
        </is>
      </c>
      <c r="AS1726">
        <f>HYPERLINK("https://creighton-primo.hosted.exlibrisgroup.com/primo-explore/search?tab=default_tab&amp;search_scope=EVERYTHING&amp;vid=01CRU&amp;lang=en_US&amp;offset=0&amp;query=any,contains,991002788299702656","Catalog Record")</f>
        <v/>
      </c>
      <c r="AT1726">
        <f>HYPERLINK("http://www.worldcat.org/oclc/36621944","WorldCat Record")</f>
        <v/>
      </c>
      <c r="AU1726" t="inlineStr">
        <is>
          <t>1081639401:eng</t>
        </is>
      </c>
      <c r="AV1726" t="inlineStr">
        <is>
          <t>36621944</t>
        </is>
      </c>
      <c r="AW1726" t="inlineStr">
        <is>
          <t>991002788299702656</t>
        </is>
      </c>
      <c r="AX1726" t="inlineStr">
        <is>
          <t>991002788299702656</t>
        </is>
      </c>
      <c r="AY1726" t="inlineStr">
        <is>
          <t>2265323800002656</t>
        </is>
      </c>
      <c r="AZ1726" t="inlineStr">
        <is>
          <t>BOOK</t>
        </is>
      </c>
      <c r="BB1726" t="inlineStr">
        <is>
          <t>9780231106948</t>
        </is>
      </c>
      <c r="BC1726" t="inlineStr">
        <is>
          <t>32285003533535</t>
        </is>
      </c>
      <c r="BD1726" t="inlineStr">
        <is>
          <t>893622726</t>
        </is>
      </c>
    </row>
    <row r="1727">
      <c r="A1727" t="inlineStr">
        <is>
          <t>No</t>
        </is>
      </c>
      <c r="B1727" t="inlineStr">
        <is>
          <t>DS63.6 .W38 2006</t>
        </is>
      </c>
      <c r="C1727" t="inlineStr">
        <is>
          <t>0                      DS 0063600W  38          2006</t>
        </is>
      </c>
      <c r="D1727" t="inlineStr">
        <is>
          <t>Being modern in the Middle East : revolution, nationalism, colonialism, and the Arab middle class / Keith David Watenpaugh.</t>
        </is>
      </c>
      <c r="F1727" t="inlineStr">
        <is>
          <t>No</t>
        </is>
      </c>
      <c r="G1727" t="inlineStr">
        <is>
          <t>1</t>
        </is>
      </c>
      <c r="H1727" t="inlineStr">
        <is>
          <t>No</t>
        </is>
      </c>
      <c r="I1727" t="inlineStr">
        <is>
          <t>No</t>
        </is>
      </c>
      <c r="J1727" t="inlineStr">
        <is>
          <t>0</t>
        </is>
      </c>
      <c r="K1727" t="inlineStr">
        <is>
          <t>Watenpaugh, Keith David, 1966-</t>
        </is>
      </c>
      <c r="L1727" t="inlineStr">
        <is>
          <t>Princeton, N.J. : Princeton University Press, c2006.</t>
        </is>
      </c>
      <c r="M1727" t="inlineStr">
        <is>
          <t>2006</t>
        </is>
      </c>
      <c r="O1727" t="inlineStr">
        <is>
          <t>eng</t>
        </is>
      </c>
      <c r="P1727" t="inlineStr">
        <is>
          <t>nju</t>
        </is>
      </c>
      <c r="R1727" t="inlineStr">
        <is>
          <t xml:space="preserve">DS </t>
        </is>
      </c>
      <c r="S1727" t="n">
        <v>4</v>
      </c>
      <c r="T1727" t="n">
        <v>4</v>
      </c>
      <c r="U1727" t="inlineStr">
        <is>
          <t>2008-04-20</t>
        </is>
      </c>
      <c r="V1727" t="inlineStr">
        <is>
          <t>2008-04-20</t>
        </is>
      </c>
      <c r="W1727" t="inlineStr">
        <is>
          <t>2007-04-24</t>
        </is>
      </c>
      <c r="X1727" t="inlineStr">
        <is>
          <t>2007-04-24</t>
        </is>
      </c>
      <c r="Y1727" t="n">
        <v>399</v>
      </c>
      <c r="Z1727" t="n">
        <v>288</v>
      </c>
      <c r="AA1727" t="n">
        <v>734</v>
      </c>
      <c r="AB1727" t="n">
        <v>3</v>
      </c>
      <c r="AC1727" t="n">
        <v>6</v>
      </c>
      <c r="AD1727" t="n">
        <v>17</v>
      </c>
      <c r="AE1727" t="n">
        <v>37</v>
      </c>
      <c r="AF1727" t="n">
        <v>5</v>
      </c>
      <c r="AG1727" t="n">
        <v>15</v>
      </c>
      <c r="AH1727" t="n">
        <v>5</v>
      </c>
      <c r="AI1727" t="n">
        <v>10</v>
      </c>
      <c r="AJ1727" t="n">
        <v>9</v>
      </c>
      <c r="AK1727" t="n">
        <v>18</v>
      </c>
      <c r="AL1727" t="n">
        <v>2</v>
      </c>
      <c r="AM1727" t="n">
        <v>4</v>
      </c>
      <c r="AN1727" t="n">
        <v>0</v>
      </c>
      <c r="AO1727" t="n">
        <v>0</v>
      </c>
      <c r="AP1727" t="inlineStr">
        <is>
          <t>No</t>
        </is>
      </c>
      <c r="AQ1727" t="inlineStr">
        <is>
          <t>No</t>
        </is>
      </c>
      <c r="AS1727">
        <f>HYPERLINK("https://creighton-primo.hosted.exlibrisgroup.com/primo-explore/search?tab=default_tab&amp;search_scope=EVERYTHING&amp;vid=01CRU&amp;lang=en_US&amp;offset=0&amp;query=any,contains,991005066189702656","Catalog Record")</f>
        <v/>
      </c>
      <c r="AT1727">
        <f>HYPERLINK("http://www.worldcat.org/oclc/61162277","WorldCat Record")</f>
        <v/>
      </c>
      <c r="AU1727" t="inlineStr">
        <is>
          <t>890964472:eng</t>
        </is>
      </c>
      <c r="AV1727" t="inlineStr">
        <is>
          <t>61162277</t>
        </is>
      </c>
      <c r="AW1727" t="inlineStr">
        <is>
          <t>991005066189702656</t>
        </is>
      </c>
      <c r="AX1727" t="inlineStr">
        <is>
          <t>991005066189702656</t>
        </is>
      </c>
      <c r="AY1727" t="inlineStr">
        <is>
          <t>2269060720002656</t>
        </is>
      </c>
      <c r="AZ1727" t="inlineStr">
        <is>
          <t>BOOK</t>
        </is>
      </c>
      <c r="BB1727" t="inlineStr">
        <is>
          <t>9780691121697</t>
        </is>
      </c>
      <c r="BC1727" t="inlineStr">
        <is>
          <t>32285005289417</t>
        </is>
      </c>
      <c r="BD1727" t="inlineStr">
        <is>
          <t>893807769</t>
        </is>
      </c>
    </row>
    <row r="1728">
      <c r="A1728" t="inlineStr">
        <is>
          <t>No</t>
        </is>
      </c>
      <c r="B1728" t="inlineStr">
        <is>
          <t>DS63.74 .G46 1999</t>
        </is>
      </c>
      <c r="C1728" t="inlineStr">
        <is>
          <t>0                      DS 0063740G  46          1999</t>
        </is>
      </c>
      <c r="D1728" t="inlineStr">
        <is>
          <t>America and political Islam : clash of cultures or clash of interests? / Fawaz A. Gerges.</t>
        </is>
      </c>
      <c r="F1728" t="inlineStr">
        <is>
          <t>No</t>
        </is>
      </c>
      <c r="G1728" t="inlineStr">
        <is>
          <t>1</t>
        </is>
      </c>
      <c r="H1728" t="inlineStr">
        <is>
          <t>No</t>
        </is>
      </c>
      <c r="I1728" t="inlineStr">
        <is>
          <t>No</t>
        </is>
      </c>
      <c r="J1728" t="inlineStr">
        <is>
          <t>0</t>
        </is>
      </c>
      <c r="K1728" t="inlineStr">
        <is>
          <t>Gerges, Fawaz A., 1958-</t>
        </is>
      </c>
      <c r="L1728" t="inlineStr">
        <is>
          <t>Cambridge, UK ; New York, NY : Cambridge University Press, 1999.</t>
        </is>
      </c>
      <c r="M1728" t="inlineStr">
        <is>
          <t>1999</t>
        </is>
      </c>
      <c r="O1728" t="inlineStr">
        <is>
          <t>eng</t>
        </is>
      </c>
      <c r="P1728" t="inlineStr">
        <is>
          <t>enk</t>
        </is>
      </c>
      <c r="R1728" t="inlineStr">
        <is>
          <t xml:space="preserve">DS </t>
        </is>
      </c>
      <c r="S1728" t="n">
        <v>3</v>
      </c>
      <c r="T1728" t="n">
        <v>3</v>
      </c>
      <c r="U1728" t="inlineStr">
        <is>
          <t>2006-05-17</t>
        </is>
      </c>
      <c r="V1728" t="inlineStr">
        <is>
          <t>2006-05-17</t>
        </is>
      </c>
      <c r="W1728" t="inlineStr">
        <is>
          <t>2003-07-16</t>
        </is>
      </c>
      <c r="X1728" t="inlineStr">
        <is>
          <t>2003-07-16</t>
        </is>
      </c>
      <c r="Y1728" t="n">
        <v>1014</v>
      </c>
      <c r="Z1728" t="n">
        <v>788</v>
      </c>
      <c r="AA1728" t="n">
        <v>798</v>
      </c>
      <c r="AB1728" t="n">
        <v>5</v>
      </c>
      <c r="AC1728" t="n">
        <v>5</v>
      </c>
      <c r="AD1728" t="n">
        <v>46</v>
      </c>
      <c r="AE1728" t="n">
        <v>46</v>
      </c>
      <c r="AF1728" t="n">
        <v>22</v>
      </c>
      <c r="AG1728" t="n">
        <v>22</v>
      </c>
      <c r="AH1728" t="n">
        <v>9</v>
      </c>
      <c r="AI1728" t="n">
        <v>9</v>
      </c>
      <c r="AJ1728" t="n">
        <v>23</v>
      </c>
      <c r="AK1728" t="n">
        <v>23</v>
      </c>
      <c r="AL1728" t="n">
        <v>4</v>
      </c>
      <c r="AM1728" t="n">
        <v>4</v>
      </c>
      <c r="AN1728" t="n">
        <v>0</v>
      </c>
      <c r="AO1728" t="n">
        <v>0</v>
      </c>
      <c r="AP1728" t="inlineStr">
        <is>
          <t>No</t>
        </is>
      </c>
      <c r="AQ1728" t="inlineStr">
        <is>
          <t>No</t>
        </is>
      </c>
      <c r="AS1728">
        <f>HYPERLINK("https://creighton-primo.hosted.exlibrisgroup.com/primo-explore/search?tab=default_tab&amp;search_scope=EVERYTHING&amp;vid=01CRU&amp;lang=en_US&amp;offset=0&amp;query=any,contains,991003884299702656","Catalog Record")</f>
        <v/>
      </c>
      <c r="AT1728">
        <f>HYPERLINK("http://www.worldcat.org/oclc/39654883","WorldCat Record")</f>
        <v/>
      </c>
      <c r="AU1728" t="inlineStr">
        <is>
          <t>836977503:eng</t>
        </is>
      </c>
      <c r="AV1728" t="inlineStr">
        <is>
          <t>39654883</t>
        </is>
      </c>
      <c r="AW1728" t="inlineStr">
        <is>
          <t>991003884299702656</t>
        </is>
      </c>
      <c r="AX1728" t="inlineStr">
        <is>
          <t>991003884299702656</t>
        </is>
      </c>
      <c r="AY1728" t="inlineStr">
        <is>
          <t>2268139100002656</t>
        </is>
      </c>
      <c r="AZ1728" t="inlineStr">
        <is>
          <t>BOOK</t>
        </is>
      </c>
      <c r="BB1728" t="inlineStr">
        <is>
          <t>9780521630429</t>
        </is>
      </c>
      <c r="BC1728" t="inlineStr">
        <is>
          <t>32285004755673</t>
        </is>
      </c>
      <c r="BD1728" t="inlineStr">
        <is>
          <t>893435593</t>
        </is>
      </c>
    </row>
    <row r="1729">
      <c r="A1729" t="inlineStr">
        <is>
          <t>No</t>
        </is>
      </c>
      <c r="B1729" t="inlineStr">
        <is>
          <t>DS632.B25 W55 1990</t>
        </is>
      </c>
      <c r="C1729" t="inlineStr">
        <is>
          <t>0                      DS 0632000B  25                 W  55          1990</t>
        </is>
      </c>
      <c r="D1729" t="inlineStr">
        <is>
          <t>Managing turbulent hearts : a Balinese formula for living / Unni Wikan.</t>
        </is>
      </c>
      <c r="F1729" t="inlineStr">
        <is>
          <t>No</t>
        </is>
      </c>
      <c r="G1729" t="inlineStr">
        <is>
          <t>1</t>
        </is>
      </c>
      <c r="H1729" t="inlineStr">
        <is>
          <t>No</t>
        </is>
      </c>
      <c r="I1729" t="inlineStr">
        <is>
          <t>No</t>
        </is>
      </c>
      <c r="J1729" t="inlineStr">
        <is>
          <t>0</t>
        </is>
      </c>
      <c r="K1729" t="inlineStr">
        <is>
          <t>Wikan, Unni, 1944-</t>
        </is>
      </c>
      <c r="L1729" t="inlineStr">
        <is>
          <t>Chicago : University of Chicago Press, 1990.</t>
        </is>
      </c>
      <c r="M1729" t="inlineStr">
        <is>
          <t>1990</t>
        </is>
      </c>
      <c r="O1729" t="inlineStr">
        <is>
          <t>eng</t>
        </is>
      </c>
      <c r="P1729" t="inlineStr">
        <is>
          <t>ilu</t>
        </is>
      </c>
      <c r="R1729" t="inlineStr">
        <is>
          <t xml:space="preserve">DS </t>
        </is>
      </c>
      <c r="S1729" t="n">
        <v>4</v>
      </c>
      <c r="T1729" t="n">
        <v>4</v>
      </c>
      <c r="U1729" t="inlineStr">
        <is>
          <t>2006-04-17</t>
        </is>
      </c>
      <c r="V1729" t="inlineStr">
        <is>
          <t>2006-04-17</t>
        </is>
      </c>
      <c r="W1729" t="inlineStr">
        <is>
          <t>1991-08-06</t>
        </is>
      </c>
      <c r="X1729" t="inlineStr">
        <is>
          <t>1991-08-06</t>
        </is>
      </c>
      <c r="Y1729" t="n">
        <v>401</v>
      </c>
      <c r="Z1729" t="n">
        <v>302</v>
      </c>
      <c r="AA1729" t="n">
        <v>307</v>
      </c>
      <c r="AB1729" t="n">
        <v>2</v>
      </c>
      <c r="AC1729" t="n">
        <v>2</v>
      </c>
      <c r="AD1729" t="n">
        <v>18</v>
      </c>
      <c r="AE1729" t="n">
        <v>18</v>
      </c>
      <c r="AF1729" t="n">
        <v>5</v>
      </c>
      <c r="AG1729" t="n">
        <v>5</v>
      </c>
      <c r="AH1729" t="n">
        <v>4</v>
      </c>
      <c r="AI1729" t="n">
        <v>4</v>
      </c>
      <c r="AJ1729" t="n">
        <v>12</v>
      </c>
      <c r="AK1729" t="n">
        <v>12</v>
      </c>
      <c r="AL1729" t="n">
        <v>1</v>
      </c>
      <c r="AM1729" t="n">
        <v>1</v>
      </c>
      <c r="AN1729" t="n">
        <v>0</v>
      </c>
      <c r="AO1729" t="n">
        <v>0</v>
      </c>
      <c r="AP1729" t="inlineStr">
        <is>
          <t>No</t>
        </is>
      </c>
      <c r="AQ1729" t="inlineStr">
        <is>
          <t>No</t>
        </is>
      </c>
      <c r="AS1729">
        <f>HYPERLINK("https://creighton-primo.hosted.exlibrisgroup.com/primo-explore/search?tab=default_tab&amp;search_scope=EVERYTHING&amp;vid=01CRU&amp;lang=en_US&amp;offset=0&amp;query=any,contains,991001732429702656","Catalog Record")</f>
        <v/>
      </c>
      <c r="AT1729">
        <f>HYPERLINK("http://www.worldcat.org/oclc/21948938","WorldCat Record")</f>
        <v/>
      </c>
      <c r="AU1729" t="inlineStr">
        <is>
          <t>23939843:eng</t>
        </is>
      </c>
      <c r="AV1729" t="inlineStr">
        <is>
          <t>21948938</t>
        </is>
      </c>
      <c r="AW1729" t="inlineStr">
        <is>
          <t>991001732429702656</t>
        </is>
      </c>
      <c r="AX1729" t="inlineStr">
        <is>
          <t>991001732429702656</t>
        </is>
      </c>
      <c r="AY1729" t="inlineStr">
        <is>
          <t>2258510960002656</t>
        </is>
      </c>
      <c r="AZ1729" t="inlineStr">
        <is>
          <t>BOOK</t>
        </is>
      </c>
      <c r="BB1729" t="inlineStr">
        <is>
          <t>9780226896809</t>
        </is>
      </c>
      <c r="BC1729" t="inlineStr">
        <is>
          <t>32285000664051</t>
        </is>
      </c>
      <c r="BD1729" t="inlineStr">
        <is>
          <t>893626804</t>
        </is>
      </c>
    </row>
    <row r="1730">
      <c r="A1730" t="inlineStr">
        <is>
          <t>No</t>
        </is>
      </c>
      <c r="B1730" t="inlineStr">
        <is>
          <t>DS632.L33 B37 1996</t>
        </is>
      </c>
      <c r="C1730" t="inlineStr">
        <is>
          <t>0                      DS 0632000L  33                 B  37          1996</t>
        </is>
      </c>
      <c r="D1730" t="inlineStr">
        <is>
          <t>Sea hunters of Indonesia : fishers and weavers of Lamalera / R.H. Barnes.</t>
        </is>
      </c>
      <c r="F1730" t="inlineStr">
        <is>
          <t>No</t>
        </is>
      </c>
      <c r="G1730" t="inlineStr">
        <is>
          <t>1</t>
        </is>
      </c>
      <c r="H1730" t="inlineStr">
        <is>
          <t>No</t>
        </is>
      </c>
      <c r="I1730" t="inlineStr">
        <is>
          <t>No</t>
        </is>
      </c>
      <c r="J1730" t="inlineStr">
        <is>
          <t>0</t>
        </is>
      </c>
      <c r="K1730" t="inlineStr">
        <is>
          <t>Barnes, R. H. (Robert Harrison), 1944-</t>
        </is>
      </c>
      <c r="L1730" t="inlineStr">
        <is>
          <t>Oxford : Clarendon Press ; New York : Oxford University Press, 1996.</t>
        </is>
      </c>
      <c r="M1730" t="inlineStr">
        <is>
          <t>1996</t>
        </is>
      </c>
      <c r="O1730" t="inlineStr">
        <is>
          <t>eng</t>
        </is>
      </c>
      <c r="P1730" t="inlineStr">
        <is>
          <t>enk</t>
        </is>
      </c>
      <c r="Q1730" t="inlineStr">
        <is>
          <t>Oxford studies in social and cultural anthropology</t>
        </is>
      </c>
      <c r="R1730" t="inlineStr">
        <is>
          <t xml:space="preserve">DS </t>
        </is>
      </c>
      <c r="S1730" t="n">
        <v>5</v>
      </c>
      <c r="T1730" t="n">
        <v>5</v>
      </c>
      <c r="U1730" t="inlineStr">
        <is>
          <t>1998-11-22</t>
        </is>
      </c>
      <c r="V1730" t="inlineStr">
        <is>
          <t>1998-11-22</t>
        </is>
      </c>
      <c r="W1730" t="inlineStr">
        <is>
          <t>1997-12-05</t>
        </is>
      </c>
      <c r="X1730" t="inlineStr">
        <is>
          <t>1997-12-05</t>
        </is>
      </c>
      <c r="Y1730" t="n">
        <v>214</v>
      </c>
      <c r="Z1730" t="n">
        <v>143</v>
      </c>
      <c r="AA1730" t="n">
        <v>143</v>
      </c>
      <c r="AB1730" t="n">
        <v>2</v>
      </c>
      <c r="AC1730" t="n">
        <v>2</v>
      </c>
      <c r="AD1730" t="n">
        <v>8</v>
      </c>
      <c r="AE1730" t="n">
        <v>8</v>
      </c>
      <c r="AF1730" t="n">
        <v>1</v>
      </c>
      <c r="AG1730" t="n">
        <v>1</v>
      </c>
      <c r="AH1730" t="n">
        <v>2</v>
      </c>
      <c r="AI1730" t="n">
        <v>2</v>
      </c>
      <c r="AJ1730" t="n">
        <v>7</v>
      </c>
      <c r="AK1730" t="n">
        <v>7</v>
      </c>
      <c r="AL1730" t="n">
        <v>1</v>
      </c>
      <c r="AM1730" t="n">
        <v>1</v>
      </c>
      <c r="AN1730" t="n">
        <v>0</v>
      </c>
      <c r="AO1730" t="n">
        <v>0</v>
      </c>
      <c r="AP1730" t="inlineStr">
        <is>
          <t>No</t>
        </is>
      </c>
      <c r="AQ1730" t="inlineStr">
        <is>
          <t>No</t>
        </is>
      </c>
      <c r="AS1730">
        <f>HYPERLINK("https://creighton-primo.hosted.exlibrisgroup.com/primo-explore/search?tab=default_tab&amp;search_scope=EVERYTHING&amp;vid=01CRU&amp;lang=en_US&amp;offset=0&amp;query=any,contains,991002654749702656","Catalog Record")</f>
        <v/>
      </c>
      <c r="AT1730">
        <f>HYPERLINK("http://www.worldcat.org/oclc/34705093","WorldCat Record")</f>
        <v/>
      </c>
      <c r="AU1730" t="inlineStr">
        <is>
          <t>39539219:eng</t>
        </is>
      </c>
      <c r="AV1730" t="inlineStr">
        <is>
          <t>34705093</t>
        </is>
      </c>
      <c r="AW1730" t="inlineStr">
        <is>
          <t>991002654749702656</t>
        </is>
      </c>
      <c r="AX1730" t="inlineStr">
        <is>
          <t>991002654749702656</t>
        </is>
      </c>
      <c r="AY1730" t="inlineStr">
        <is>
          <t>2264800020002656</t>
        </is>
      </c>
      <c r="AZ1730" t="inlineStr">
        <is>
          <t>BOOK</t>
        </is>
      </c>
      <c r="BB1730" t="inlineStr">
        <is>
          <t>9780198280705</t>
        </is>
      </c>
      <c r="BC1730" t="inlineStr">
        <is>
          <t>32285003281549</t>
        </is>
      </c>
      <c r="BD1730" t="inlineStr">
        <is>
          <t>893710520</t>
        </is>
      </c>
    </row>
    <row r="1731">
      <c r="A1731" t="inlineStr">
        <is>
          <t>No</t>
        </is>
      </c>
      <c r="B1731" t="inlineStr">
        <is>
          <t>DS632.M4 B53 2000</t>
        </is>
      </c>
      <c r="C1731" t="inlineStr">
        <is>
          <t>0                      DS 0632000M  4                  B  53          2000</t>
        </is>
      </c>
      <c r="D1731" t="inlineStr">
        <is>
          <t>Webs of power : women, kin, and community in a Sumatran village / Evelyn Blackwood.</t>
        </is>
      </c>
      <c r="F1731" t="inlineStr">
        <is>
          <t>No</t>
        </is>
      </c>
      <c r="G1731" t="inlineStr">
        <is>
          <t>1</t>
        </is>
      </c>
      <c r="H1731" t="inlineStr">
        <is>
          <t>No</t>
        </is>
      </c>
      <c r="I1731" t="inlineStr">
        <is>
          <t>No</t>
        </is>
      </c>
      <c r="J1731" t="inlineStr">
        <is>
          <t>0</t>
        </is>
      </c>
      <c r="K1731" t="inlineStr">
        <is>
          <t>Blackwood, Evelyn.</t>
        </is>
      </c>
      <c r="L1731" t="inlineStr">
        <is>
          <t>Lanham : Rowman &amp; Littlefield, c2000.</t>
        </is>
      </c>
      <c r="M1731" t="inlineStr">
        <is>
          <t>2000</t>
        </is>
      </c>
      <c r="O1731" t="inlineStr">
        <is>
          <t>eng</t>
        </is>
      </c>
      <c r="P1731" t="inlineStr">
        <is>
          <t>mdu</t>
        </is>
      </c>
      <c r="R1731" t="inlineStr">
        <is>
          <t xml:space="preserve">DS </t>
        </is>
      </c>
      <c r="S1731" t="n">
        <v>1</v>
      </c>
      <c r="T1731" t="n">
        <v>1</v>
      </c>
      <c r="U1731" t="inlineStr">
        <is>
          <t>2000-12-13</t>
        </is>
      </c>
      <c r="V1731" t="inlineStr">
        <is>
          <t>2000-12-13</t>
        </is>
      </c>
      <c r="W1731" t="inlineStr">
        <is>
          <t>2000-12-13</t>
        </is>
      </c>
      <c r="X1731" t="inlineStr">
        <is>
          <t>2000-12-13</t>
        </is>
      </c>
      <c r="Y1731" t="n">
        <v>317</v>
      </c>
      <c r="Z1731" t="n">
        <v>244</v>
      </c>
      <c r="AA1731" t="n">
        <v>262</v>
      </c>
      <c r="AB1731" t="n">
        <v>2</v>
      </c>
      <c r="AC1731" t="n">
        <v>2</v>
      </c>
      <c r="AD1731" t="n">
        <v>16</v>
      </c>
      <c r="AE1731" t="n">
        <v>16</v>
      </c>
      <c r="AF1731" t="n">
        <v>4</v>
      </c>
      <c r="AG1731" t="n">
        <v>4</v>
      </c>
      <c r="AH1731" t="n">
        <v>5</v>
      </c>
      <c r="AI1731" t="n">
        <v>5</v>
      </c>
      <c r="AJ1731" t="n">
        <v>10</v>
      </c>
      <c r="AK1731" t="n">
        <v>10</v>
      </c>
      <c r="AL1731" t="n">
        <v>1</v>
      </c>
      <c r="AM1731" t="n">
        <v>1</v>
      </c>
      <c r="AN1731" t="n">
        <v>0</v>
      </c>
      <c r="AO1731" t="n">
        <v>0</v>
      </c>
      <c r="AP1731" t="inlineStr">
        <is>
          <t>No</t>
        </is>
      </c>
      <c r="AQ1731" t="inlineStr">
        <is>
          <t>Yes</t>
        </is>
      </c>
      <c r="AR1731">
        <f>HYPERLINK("http://catalog.hathitrust.org/Record/004079722","HathiTrust Record")</f>
        <v/>
      </c>
      <c r="AS1731">
        <f>HYPERLINK("https://creighton-primo.hosted.exlibrisgroup.com/primo-explore/search?tab=default_tab&amp;search_scope=EVERYTHING&amp;vid=01CRU&amp;lang=en_US&amp;offset=0&amp;query=any,contains,991003321829702656","Catalog Record")</f>
        <v/>
      </c>
      <c r="AT1731">
        <f>HYPERLINK("http://www.worldcat.org/oclc/42296701","WorldCat Record")</f>
        <v/>
      </c>
      <c r="AU1731" t="inlineStr">
        <is>
          <t>366475603:eng</t>
        </is>
      </c>
      <c r="AV1731" t="inlineStr">
        <is>
          <t>42296701</t>
        </is>
      </c>
      <c r="AW1731" t="inlineStr">
        <is>
          <t>991003321829702656</t>
        </is>
      </c>
      <c r="AX1731" t="inlineStr">
        <is>
          <t>991003321829702656</t>
        </is>
      </c>
      <c r="AY1731" t="inlineStr">
        <is>
          <t>2255610660002656</t>
        </is>
      </c>
      <c r="AZ1731" t="inlineStr">
        <is>
          <t>BOOK</t>
        </is>
      </c>
      <c r="BB1731" t="inlineStr">
        <is>
          <t>9780847699100</t>
        </is>
      </c>
      <c r="BC1731" t="inlineStr">
        <is>
          <t>32285004276563</t>
        </is>
      </c>
      <c r="BD1731" t="inlineStr">
        <is>
          <t>893899862</t>
        </is>
      </c>
    </row>
    <row r="1732">
      <c r="A1732" t="inlineStr">
        <is>
          <t>No</t>
        </is>
      </c>
      <c r="B1732" t="inlineStr">
        <is>
          <t>DS632.M4 H34 2008</t>
        </is>
      </c>
      <c r="C1732" t="inlineStr">
        <is>
          <t>0                      DS 0632000M  4                  H  34          2008</t>
        </is>
      </c>
      <c r="D1732" t="inlineStr">
        <is>
          <t>Muslims and matriarchs : cultural resilience in Indonesia through jihad and colonialism / Jeffrey Hadler.</t>
        </is>
      </c>
      <c r="F1732" t="inlineStr">
        <is>
          <t>No</t>
        </is>
      </c>
      <c r="G1732" t="inlineStr">
        <is>
          <t>1</t>
        </is>
      </c>
      <c r="H1732" t="inlineStr">
        <is>
          <t>No</t>
        </is>
      </c>
      <c r="I1732" t="inlineStr">
        <is>
          <t>No</t>
        </is>
      </c>
      <c r="J1732" t="inlineStr">
        <is>
          <t>0</t>
        </is>
      </c>
      <c r="K1732" t="inlineStr">
        <is>
          <t>Hadler, Jeffrey Alan, 1968-2017.</t>
        </is>
      </c>
      <c r="L1732" t="inlineStr">
        <is>
          <t>Ithaca : Cornell University Press, 2008.</t>
        </is>
      </c>
      <c r="M1732" t="inlineStr">
        <is>
          <t>2008</t>
        </is>
      </c>
      <c r="O1732" t="inlineStr">
        <is>
          <t>eng</t>
        </is>
      </c>
      <c r="P1732" t="inlineStr">
        <is>
          <t>nyu</t>
        </is>
      </c>
      <c r="R1732" t="inlineStr">
        <is>
          <t xml:space="preserve">DS </t>
        </is>
      </c>
      <c r="S1732" t="n">
        <v>1</v>
      </c>
      <c r="T1732" t="n">
        <v>1</v>
      </c>
      <c r="U1732" t="inlineStr">
        <is>
          <t>2010-10-13</t>
        </is>
      </c>
      <c r="V1732" t="inlineStr">
        <is>
          <t>2010-10-13</t>
        </is>
      </c>
      <c r="W1732" t="inlineStr">
        <is>
          <t>2010-10-13</t>
        </is>
      </c>
      <c r="X1732" t="inlineStr">
        <is>
          <t>2010-10-13</t>
        </is>
      </c>
      <c r="Y1732" t="n">
        <v>278</v>
      </c>
      <c r="Z1732" t="n">
        <v>200</v>
      </c>
      <c r="AA1732" t="n">
        <v>824</v>
      </c>
      <c r="AB1732" t="n">
        <v>2</v>
      </c>
      <c r="AC1732" t="n">
        <v>8</v>
      </c>
      <c r="AD1732" t="n">
        <v>15</v>
      </c>
      <c r="AE1732" t="n">
        <v>38</v>
      </c>
      <c r="AF1732" t="n">
        <v>3</v>
      </c>
      <c r="AG1732" t="n">
        <v>13</v>
      </c>
      <c r="AH1732" t="n">
        <v>6</v>
      </c>
      <c r="AI1732" t="n">
        <v>11</v>
      </c>
      <c r="AJ1732" t="n">
        <v>9</v>
      </c>
      <c r="AK1732" t="n">
        <v>16</v>
      </c>
      <c r="AL1732" t="n">
        <v>1</v>
      </c>
      <c r="AM1732" t="n">
        <v>6</v>
      </c>
      <c r="AN1732" t="n">
        <v>0</v>
      </c>
      <c r="AO1732" t="n">
        <v>1</v>
      </c>
      <c r="AP1732" t="inlineStr">
        <is>
          <t>No</t>
        </is>
      </c>
      <c r="AQ1732" t="inlineStr">
        <is>
          <t>Yes</t>
        </is>
      </c>
      <c r="AR1732">
        <f>HYPERLINK("http://catalog.hathitrust.org/Record/005824387","HathiTrust Record")</f>
        <v/>
      </c>
      <c r="AS1732">
        <f>HYPERLINK("https://creighton-primo.hosted.exlibrisgroup.com/primo-explore/search?tab=default_tab&amp;search_scope=EVERYTHING&amp;vid=01CRU&amp;lang=en_US&amp;offset=0&amp;query=any,contains,991000179639702656","Catalog Record")</f>
        <v/>
      </c>
      <c r="AT1732">
        <f>HYPERLINK("http://www.worldcat.org/oclc/225852390","WorldCat Record")</f>
        <v/>
      </c>
      <c r="AU1732" t="inlineStr">
        <is>
          <t>917854169:eng</t>
        </is>
      </c>
      <c r="AV1732" t="inlineStr">
        <is>
          <t>225852390</t>
        </is>
      </c>
      <c r="AW1732" t="inlineStr">
        <is>
          <t>991000179639702656</t>
        </is>
      </c>
      <c r="AX1732" t="inlineStr">
        <is>
          <t>991000179639702656</t>
        </is>
      </c>
      <c r="AY1732" t="inlineStr">
        <is>
          <t>2254849760002656</t>
        </is>
      </c>
      <c r="AZ1732" t="inlineStr">
        <is>
          <t>BOOK</t>
        </is>
      </c>
      <c r="BB1732" t="inlineStr">
        <is>
          <t>9780801446979</t>
        </is>
      </c>
      <c r="BC1732" t="inlineStr">
        <is>
          <t>32285005601272</t>
        </is>
      </c>
      <c r="BD1732" t="inlineStr">
        <is>
          <t>893884205</t>
        </is>
      </c>
    </row>
    <row r="1733">
      <c r="A1733" t="inlineStr">
        <is>
          <t>No</t>
        </is>
      </c>
      <c r="B1733" t="inlineStr">
        <is>
          <t>DS632.S89 F67 2001</t>
        </is>
      </c>
      <c r="C1733" t="inlineStr">
        <is>
          <t>0                      DS 0632000S  89                 F  67          2001</t>
        </is>
      </c>
      <c r="D1733" t="inlineStr">
        <is>
          <t>Between the folds : stories of cloth, lives, and travels from Sumba / Jill Forshee.</t>
        </is>
      </c>
      <c r="F1733" t="inlineStr">
        <is>
          <t>No</t>
        </is>
      </c>
      <c r="G1733" t="inlineStr">
        <is>
          <t>1</t>
        </is>
      </c>
      <c r="H1733" t="inlineStr">
        <is>
          <t>No</t>
        </is>
      </c>
      <c r="I1733" t="inlineStr">
        <is>
          <t>No</t>
        </is>
      </c>
      <c r="J1733" t="inlineStr">
        <is>
          <t>0</t>
        </is>
      </c>
      <c r="K1733" t="inlineStr">
        <is>
          <t>Forshee, Jill.</t>
        </is>
      </c>
      <c r="L1733" t="inlineStr">
        <is>
          <t>[Honolulu] : University of Hawai'i Press, c2001.</t>
        </is>
      </c>
      <c r="M1733" t="inlineStr">
        <is>
          <t>2001</t>
        </is>
      </c>
      <c r="O1733" t="inlineStr">
        <is>
          <t>eng</t>
        </is>
      </c>
      <c r="P1733" t="inlineStr">
        <is>
          <t>hiu</t>
        </is>
      </c>
      <c r="R1733" t="inlineStr">
        <is>
          <t xml:space="preserve">DS </t>
        </is>
      </c>
      <c r="S1733" t="n">
        <v>2</v>
      </c>
      <c r="T1733" t="n">
        <v>2</v>
      </c>
      <c r="U1733" t="inlineStr">
        <is>
          <t>2007-11-29</t>
        </is>
      </c>
      <c r="V1733" t="inlineStr">
        <is>
          <t>2007-11-29</t>
        </is>
      </c>
      <c r="W1733" t="inlineStr">
        <is>
          <t>2001-10-23</t>
        </is>
      </c>
      <c r="X1733" t="inlineStr">
        <is>
          <t>2001-10-23</t>
        </is>
      </c>
      <c r="Y1733" t="n">
        <v>268</v>
      </c>
      <c r="Z1733" t="n">
        <v>200</v>
      </c>
      <c r="AA1733" t="n">
        <v>758</v>
      </c>
      <c r="AB1733" t="n">
        <v>2</v>
      </c>
      <c r="AC1733" t="n">
        <v>3</v>
      </c>
      <c r="AD1733" t="n">
        <v>7</v>
      </c>
      <c r="AE1733" t="n">
        <v>20</v>
      </c>
      <c r="AF1733" t="n">
        <v>1</v>
      </c>
      <c r="AG1733" t="n">
        <v>8</v>
      </c>
      <c r="AH1733" t="n">
        <v>3</v>
      </c>
      <c r="AI1733" t="n">
        <v>6</v>
      </c>
      <c r="AJ1733" t="n">
        <v>5</v>
      </c>
      <c r="AK1733" t="n">
        <v>12</v>
      </c>
      <c r="AL1733" t="n">
        <v>1</v>
      </c>
      <c r="AM1733" t="n">
        <v>2</v>
      </c>
      <c r="AN1733" t="n">
        <v>0</v>
      </c>
      <c r="AO1733" t="n">
        <v>0</v>
      </c>
      <c r="AP1733" t="inlineStr">
        <is>
          <t>No</t>
        </is>
      </c>
      <c r="AQ1733" t="inlineStr">
        <is>
          <t>Yes</t>
        </is>
      </c>
      <c r="AR1733">
        <f>HYPERLINK("http://catalog.hathitrust.org/Record/004078586","HathiTrust Record")</f>
        <v/>
      </c>
      <c r="AS1733">
        <f>HYPERLINK("https://creighton-primo.hosted.exlibrisgroup.com/primo-explore/search?tab=default_tab&amp;search_scope=EVERYTHING&amp;vid=01CRU&amp;lang=en_US&amp;offset=0&amp;query=any,contains,991003641589702656","Catalog Record")</f>
        <v/>
      </c>
      <c r="AT1733">
        <f>HYPERLINK("http://www.worldcat.org/oclc/44019162","WorldCat Record")</f>
        <v/>
      </c>
      <c r="AU1733" t="inlineStr">
        <is>
          <t>793843714:eng</t>
        </is>
      </c>
      <c r="AV1733" t="inlineStr">
        <is>
          <t>44019162</t>
        </is>
      </c>
      <c r="AW1733" t="inlineStr">
        <is>
          <t>991003641589702656</t>
        </is>
      </c>
      <c r="AX1733" t="inlineStr">
        <is>
          <t>991003641589702656</t>
        </is>
      </c>
      <c r="AY1733" t="inlineStr">
        <is>
          <t>2262413980002656</t>
        </is>
      </c>
      <c r="AZ1733" t="inlineStr">
        <is>
          <t>BOOK</t>
        </is>
      </c>
      <c r="BB1733" t="inlineStr">
        <is>
          <t>9780824822880</t>
        </is>
      </c>
      <c r="BC1733" t="inlineStr">
        <is>
          <t>32285004399522</t>
        </is>
      </c>
      <c r="BD1733" t="inlineStr">
        <is>
          <t>893781226</t>
        </is>
      </c>
    </row>
    <row r="1734">
      <c r="A1734" t="inlineStr">
        <is>
          <t>No</t>
        </is>
      </c>
      <c r="B1734" t="inlineStr">
        <is>
          <t>DS632.S9 J32</t>
        </is>
      </c>
      <c r="C1734" t="inlineStr">
        <is>
          <t>0                      DS 0632000S  9                  J  32</t>
        </is>
      </c>
      <c r="D1734" t="inlineStr">
        <is>
          <t>Traditional authority, Islam, and rebellion : a study of Indonesian political behavior / Karl D. Jackson.</t>
        </is>
      </c>
      <c r="F1734" t="inlineStr">
        <is>
          <t>No</t>
        </is>
      </c>
      <c r="G1734" t="inlineStr">
        <is>
          <t>1</t>
        </is>
      </c>
      <c r="H1734" t="inlineStr">
        <is>
          <t>No</t>
        </is>
      </c>
      <c r="I1734" t="inlineStr">
        <is>
          <t>No</t>
        </is>
      </c>
      <c r="J1734" t="inlineStr">
        <is>
          <t>0</t>
        </is>
      </c>
      <c r="K1734" t="inlineStr">
        <is>
          <t>Jackson, Karl D.</t>
        </is>
      </c>
      <c r="L1734" t="inlineStr">
        <is>
          <t>Berkeley : University of California Press, c1980.</t>
        </is>
      </c>
      <c r="M1734" t="inlineStr">
        <is>
          <t>1980</t>
        </is>
      </c>
      <c r="O1734" t="inlineStr">
        <is>
          <t>eng</t>
        </is>
      </c>
      <c r="P1734" t="inlineStr">
        <is>
          <t>cau</t>
        </is>
      </c>
      <c r="R1734" t="inlineStr">
        <is>
          <t xml:space="preserve">DS </t>
        </is>
      </c>
      <c r="S1734" t="n">
        <v>4</v>
      </c>
      <c r="T1734" t="n">
        <v>4</v>
      </c>
      <c r="U1734" t="inlineStr">
        <is>
          <t>1999-09-30</t>
        </is>
      </c>
      <c r="V1734" t="inlineStr">
        <is>
          <t>1999-09-30</t>
        </is>
      </c>
      <c r="W1734" t="inlineStr">
        <is>
          <t>1990-10-11</t>
        </is>
      </c>
      <c r="X1734" t="inlineStr">
        <is>
          <t>1990-10-11</t>
        </is>
      </c>
      <c r="Y1734" t="n">
        <v>389</v>
      </c>
      <c r="Z1734" t="n">
        <v>281</v>
      </c>
      <c r="AA1734" t="n">
        <v>294</v>
      </c>
      <c r="AB1734" t="n">
        <v>2</v>
      </c>
      <c r="AC1734" t="n">
        <v>2</v>
      </c>
      <c r="AD1734" t="n">
        <v>11</v>
      </c>
      <c r="AE1734" t="n">
        <v>11</v>
      </c>
      <c r="AF1734" t="n">
        <v>0</v>
      </c>
      <c r="AG1734" t="n">
        <v>0</v>
      </c>
      <c r="AH1734" t="n">
        <v>4</v>
      </c>
      <c r="AI1734" t="n">
        <v>4</v>
      </c>
      <c r="AJ1734" t="n">
        <v>8</v>
      </c>
      <c r="AK1734" t="n">
        <v>8</v>
      </c>
      <c r="AL1734" t="n">
        <v>1</v>
      </c>
      <c r="AM1734" t="n">
        <v>1</v>
      </c>
      <c r="AN1734" t="n">
        <v>0</v>
      </c>
      <c r="AO1734" t="n">
        <v>0</v>
      </c>
      <c r="AP1734" t="inlineStr">
        <is>
          <t>No</t>
        </is>
      </c>
      <c r="AQ1734" t="inlineStr">
        <is>
          <t>No</t>
        </is>
      </c>
      <c r="AS1734">
        <f>HYPERLINK("https://creighton-primo.hosted.exlibrisgroup.com/primo-explore/search?tab=default_tab&amp;search_scope=EVERYTHING&amp;vid=01CRU&amp;lang=en_US&amp;offset=0&amp;query=any,contains,991004940059702656","Catalog Record")</f>
        <v/>
      </c>
      <c r="AT1734">
        <f>HYPERLINK("http://www.worldcat.org/oclc/6176114","WorldCat Record")</f>
        <v/>
      </c>
      <c r="AU1734" t="inlineStr">
        <is>
          <t>501868:eng</t>
        </is>
      </c>
      <c r="AV1734" t="inlineStr">
        <is>
          <t>6176114</t>
        </is>
      </c>
      <c r="AW1734" t="inlineStr">
        <is>
          <t>991004940059702656</t>
        </is>
      </c>
      <c r="AX1734" t="inlineStr">
        <is>
          <t>991004940059702656</t>
        </is>
      </c>
      <c r="AY1734" t="inlineStr">
        <is>
          <t>2258124960002656</t>
        </is>
      </c>
      <c r="AZ1734" t="inlineStr">
        <is>
          <t>BOOK</t>
        </is>
      </c>
      <c r="BB1734" t="inlineStr">
        <is>
          <t>9780520037694</t>
        </is>
      </c>
      <c r="BC1734" t="inlineStr">
        <is>
          <t>32285000337856</t>
        </is>
      </c>
      <c r="BD1734" t="inlineStr">
        <is>
          <t>893801525</t>
        </is>
      </c>
    </row>
    <row r="1735">
      <c r="A1735" t="inlineStr">
        <is>
          <t>No</t>
        </is>
      </c>
      <c r="B1735" t="inlineStr">
        <is>
          <t>DS632.T62 R63 1997</t>
        </is>
      </c>
      <c r="C1735" t="inlineStr">
        <is>
          <t>0                      DS 0632000T  62                 R  63          1997</t>
        </is>
      </c>
      <c r="D1735" t="inlineStr">
        <is>
          <t>In the shadow of migration : rural women and their households in North Tapanuli, Indonesia / Janet Rodenburg.</t>
        </is>
      </c>
      <c r="F1735" t="inlineStr">
        <is>
          <t>No</t>
        </is>
      </c>
      <c r="G1735" t="inlineStr">
        <is>
          <t>1</t>
        </is>
      </c>
      <c r="H1735" t="inlineStr">
        <is>
          <t>No</t>
        </is>
      </c>
      <c r="I1735" t="inlineStr">
        <is>
          <t>No</t>
        </is>
      </c>
      <c r="J1735" t="inlineStr">
        <is>
          <t>0</t>
        </is>
      </c>
      <c r="K1735" t="inlineStr">
        <is>
          <t>Rodenburg, Janet, 1960-</t>
        </is>
      </c>
      <c r="L1735" t="inlineStr">
        <is>
          <t>Leiden : KITLV Press, 1997.</t>
        </is>
      </c>
      <c r="M1735" t="inlineStr">
        <is>
          <t>1997</t>
        </is>
      </c>
      <c r="O1735" t="inlineStr">
        <is>
          <t>eng</t>
        </is>
      </c>
      <c r="P1735" t="inlineStr">
        <is>
          <t xml:space="preserve">ne </t>
        </is>
      </c>
      <c r="Q1735" t="inlineStr">
        <is>
          <t>Verhandelingen van het Koninklijk Instituut voor Taal-, Land- en Volkenkunde ; 174</t>
        </is>
      </c>
      <c r="R1735" t="inlineStr">
        <is>
          <t xml:space="preserve">DS </t>
        </is>
      </c>
      <c r="S1735" t="n">
        <v>1</v>
      </c>
      <c r="T1735" t="n">
        <v>1</v>
      </c>
      <c r="U1735" t="inlineStr">
        <is>
          <t>2003-04-08</t>
        </is>
      </c>
      <c r="V1735" t="inlineStr">
        <is>
          <t>2003-04-08</t>
        </is>
      </c>
      <c r="W1735" t="inlineStr">
        <is>
          <t>1998-09-23</t>
        </is>
      </c>
      <c r="X1735" t="inlineStr">
        <is>
          <t>1998-09-23</t>
        </is>
      </c>
      <c r="Y1735" t="n">
        <v>146</v>
      </c>
      <c r="Z1735" t="n">
        <v>93</v>
      </c>
      <c r="AA1735" t="n">
        <v>95</v>
      </c>
      <c r="AB1735" t="n">
        <v>1</v>
      </c>
      <c r="AC1735" t="n">
        <v>1</v>
      </c>
      <c r="AD1735" t="n">
        <v>5</v>
      </c>
      <c r="AE1735" t="n">
        <v>5</v>
      </c>
      <c r="AF1735" t="n">
        <v>1</v>
      </c>
      <c r="AG1735" t="n">
        <v>1</v>
      </c>
      <c r="AH1735" t="n">
        <v>2</v>
      </c>
      <c r="AI1735" t="n">
        <v>2</v>
      </c>
      <c r="AJ1735" t="n">
        <v>4</v>
      </c>
      <c r="AK1735" t="n">
        <v>4</v>
      </c>
      <c r="AL1735" t="n">
        <v>0</v>
      </c>
      <c r="AM1735" t="n">
        <v>0</v>
      </c>
      <c r="AN1735" t="n">
        <v>0</v>
      </c>
      <c r="AO1735" t="n">
        <v>0</v>
      </c>
      <c r="AP1735" t="inlineStr">
        <is>
          <t>No</t>
        </is>
      </c>
      <c r="AQ1735" t="inlineStr">
        <is>
          <t>Yes</t>
        </is>
      </c>
      <c r="AR1735">
        <f>HYPERLINK("http://catalog.hathitrust.org/Record/003197821","HathiTrust Record")</f>
        <v/>
      </c>
      <c r="AS1735">
        <f>HYPERLINK("https://creighton-primo.hosted.exlibrisgroup.com/primo-explore/search?tab=default_tab&amp;search_scope=EVERYTHING&amp;vid=01CRU&amp;lang=en_US&amp;offset=0&amp;query=any,contains,991002880799702656","Catalog Record")</f>
        <v/>
      </c>
      <c r="AT1735">
        <f>HYPERLINK("http://www.worldcat.org/oclc/37971841","WorldCat Record")</f>
        <v/>
      </c>
      <c r="AU1735" t="inlineStr">
        <is>
          <t>635470:eng</t>
        </is>
      </c>
      <c r="AV1735" t="inlineStr">
        <is>
          <t>37971841</t>
        </is>
      </c>
      <c r="AW1735" t="inlineStr">
        <is>
          <t>991002880799702656</t>
        </is>
      </c>
      <c r="AX1735" t="inlineStr">
        <is>
          <t>991002880799702656</t>
        </is>
      </c>
      <c r="AY1735" t="inlineStr">
        <is>
          <t>2263411150002656</t>
        </is>
      </c>
      <c r="AZ1735" t="inlineStr">
        <is>
          <t>BOOK</t>
        </is>
      </c>
      <c r="BB1735" t="inlineStr">
        <is>
          <t>9789067181082</t>
        </is>
      </c>
      <c r="BC1735" t="inlineStr">
        <is>
          <t>32285003470662</t>
        </is>
      </c>
      <c r="BD1735" t="inlineStr">
        <is>
          <t>893610415</t>
        </is>
      </c>
    </row>
    <row r="1736">
      <c r="A1736" t="inlineStr">
        <is>
          <t>No</t>
        </is>
      </c>
      <c r="B1736" t="inlineStr">
        <is>
          <t>DS634 .Z3 1970</t>
        </is>
      </c>
      <c r="C1736" t="inlineStr">
        <is>
          <t>0                      DS 0634000Z  3           1970</t>
        </is>
      </c>
      <c r="D1736" t="inlineStr">
        <is>
          <t>A short history of Indonesia / [by] Ailsa Zainu'ddin.</t>
        </is>
      </c>
      <c r="F1736" t="inlineStr">
        <is>
          <t>No</t>
        </is>
      </c>
      <c r="G1736" t="inlineStr">
        <is>
          <t>1</t>
        </is>
      </c>
      <c r="H1736" t="inlineStr">
        <is>
          <t>No</t>
        </is>
      </c>
      <c r="I1736" t="inlineStr">
        <is>
          <t>No</t>
        </is>
      </c>
      <c r="J1736" t="inlineStr">
        <is>
          <t>0</t>
        </is>
      </c>
      <c r="K1736" t="inlineStr">
        <is>
          <t>Zainu'ddin, Ailsa Gwennyth.</t>
        </is>
      </c>
      <c r="L1736" t="inlineStr">
        <is>
          <t>New York : Praeger Publishers, [1970, c1968]</t>
        </is>
      </c>
      <c r="M1736" t="inlineStr">
        <is>
          <t>1970</t>
        </is>
      </c>
      <c r="O1736" t="inlineStr">
        <is>
          <t>eng</t>
        </is>
      </c>
      <c r="P1736" t="inlineStr">
        <is>
          <t>nyu</t>
        </is>
      </c>
      <c r="R1736" t="inlineStr">
        <is>
          <t xml:space="preserve">DS </t>
        </is>
      </c>
      <c r="S1736" t="n">
        <v>4</v>
      </c>
      <c r="T1736" t="n">
        <v>4</v>
      </c>
      <c r="U1736" t="inlineStr">
        <is>
          <t>1997-02-11</t>
        </is>
      </c>
      <c r="V1736" t="inlineStr">
        <is>
          <t>1997-02-11</t>
        </is>
      </c>
      <c r="W1736" t="inlineStr">
        <is>
          <t>1992-11-04</t>
        </is>
      </c>
      <c r="X1736" t="inlineStr">
        <is>
          <t>1992-11-04</t>
        </is>
      </c>
      <c r="Y1736" t="n">
        <v>423</v>
      </c>
      <c r="Z1736" t="n">
        <v>396</v>
      </c>
      <c r="AA1736" t="n">
        <v>481</v>
      </c>
      <c r="AB1736" t="n">
        <v>2</v>
      </c>
      <c r="AC1736" t="n">
        <v>3</v>
      </c>
      <c r="AD1736" t="n">
        <v>10</v>
      </c>
      <c r="AE1736" t="n">
        <v>12</v>
      </c>
      <c r="AF1736" t="n">
        <v>3</v>
      </c>
      <c r="AG1736" t="n">
        <v>4</v>
      </c>
      <c r="AH1736" t="n">
        <v>2</v>
      </c>
      <c r="AI1736" t="n">
        <v>2</v>
      </c>
      <c r="AJ1736" t="n">
        <v>5</v>
      </c>
      <c r="AK1736" t="n">
        <v>5</v>
      </c>
      <c r="AL1736" t="n">
        <v>1</v>
      </c>
      <c r="AM1736" t="n">
        <v>2</v>
      </c>
      <c r="AN1736" t="n">
        <v>0</v>
      </c>
      <c r="AO1736" t="n">
        <v>0</v>
      </c>
      <c r="AP1736" t="inlineStr">
        <is>
          <t>No</t>
        </is>
      </c>
      <c r="AQ1736" t="inlineStr">
        <is>
          <t>No</t>
        </is>
      </c>
      <c r="AS1736">
        <f>HYPERLINK("https://creighton-primo.hosted.exlibrisgroup.com/primo-explore/search?tab=default_tab&amp;search_scope=EVERYTHING&amp;vid=01CRU&amp;lang=en_US&amp;offset=0&amp;query=any,contains,991000499699702656","Catalog Record")</f>
        <v/>
      </c>
      <c r="AT1736">
        <f>HYPERLINK("http://www.worldcat.org/oclc/81178","WorldCat Record")</f>
        <v/>
      </c>
      <c r="AU1736" t="inlineStr">
        <is>
          <t>1139015:eng</t>
        </is>
      </c>
      <c r="AV1736" t="inlineStr">
        <is>
          <t>81178</t>
        </is>
      </c>
      <c r="AW1736" t="inlineStr">
        <is>
          <t>991000499699702656</t>
        </is>
      </c>
      <c r="AX1736" t="inlineStr">
        <is>
          <t>991000499699702656</t>
        </is>
      </c>
      <c r="AY1736" t="inlineStr">
        <is>
          <t>2269807900002656</t>
        </is>
      </c>
      <c r="AZ1736" t="inlineStr">
        <is>
          <t>BOOK</t>
        </is>
      </c>
      <c r="BC1736" t="inlineStr">
        <is>
          <t>32285001380640</t>
        </is>
      </c>
      <c r="BD1736" t="inlineStr">
        <is>
          <t>893777984</t>
        </is>
      </c>
    </row>
    <row r="1737">
      <c r="A1737" t="inlineStr">
        <is>
          <t>No</t>
        </is>
      </c>
      <c r="B1737" t="inlineStr">
        <is>
          <t>DS640.M34 M3</t>
        </is>
      </c>
      <c r="C1737" t="inlineStr">
        <is>
          <t>0                      DS 0640000M  34                 M  3</t>
        </is>
      </c>
      <c r="D1737" t="inlineStr">
        <is>
          <t>Konfrontasi : the Indonesia-Malaysia dispute, 1963-1966 / J. A. C. Mackie.</t>
        </is>
      </c>
      <c r="F1737" t="inlineStr">
        <is>
          <t>No</t>
        </is>
      </c>
      <c r="G1737" t="inlineStr">
        <is>
          <t>1</t>
        </is>
      </c>
      <c r="H1737" t="inlineStr">
        <is>
          <t>No</t>
        </is>
      </c>
      <c r="I1737" t="inlineStr">
        <is>
          <t>No</t>
        </is>
      </c>
      <c r="J1737" t="inlineStr">
        <is>
          <t>0</t>
        </is>
      </c>
      <c r="K1737" t="inlineStr">
        <is>
          <t>Mackie, J. A. C.</t>
        </is>
      </c>
      <c r="L1737" t="inlineStr">
        <is>
          <t>Kuala Lumpur ; New York : Published for the Australian Institute of International Affairs [by] Oxford University Press, 1974.</t>
        </is>
      </c>
      <c r="M1737" t="inlineStr">
        <is>
          <t>1974</t>
        </is>
      </c>
      <c r="O1737" t="inlineStr">
        <is>
          <t>eng</t>
        </is>
      </c>
      <c r="P1737" t="inlineStr">
        <is>
          <t xml:space="preserve">my </t>
        </is>
      </c>
      <c r="R1737" t="inlineStr">
        <is>
          <t xml:space="preserve">DS </t>
        </is>
      </c>
      <c r="S1737" t="n">
        <v>3</v>
      </c>
      <c r="T1737" t="n">
        <v>3</v>
      </c>
      <c r="U1737" t="inlineStr">
        <is>
          <t>1998-12-05</t>
        </is>
      </c>
      <c r="V1737" t="inlineStr">
        <is>
          <t>1998-12-05</t>
        </is>
      </c>
      <c r="W1737" t="inlineStr">
        <is>
          <t>1997-03-11</t>
        </is>
      </c>
      <c r="X1737" t="inlineStr">
        <is>
          <t>1997-03-11</t>
        </is>
      </c>
      <c r="Y1737" t="n">
        <v>304</v>
      </c>
      <c r="Z1737" t="n">
        <v>207</v>
      </c>
      <c r="AA1737" t="n">
        <v>211</v>
      </c>
      <c r="AB1737" t="n">
        <v>2</v>
      </c>
      <c r="AC1737" t="n">
        <v>2</v>
      </c>
      <c r="AD1737" t="n">
        <v>12</v>
      </c>
      <c r="AE1737" t="n">
        <v>12</v>
      </c>
      <c r="AF1737" t="n">
        <v>2</v>
      </c>
      <c r="AG1737" t="n">
        <v>2</v>
      </c>
      <c r="AH1737" t="n">
        <v>4</v>
      </c>
      <c r="AI1737" t="n">
        <v>4</v>
      </c>
      <c r="AJ1737" t="n">
        <v>8</v>
      </c>
      <c r="AK1737" t="n">
        <v>8</v>
      </c>
      <c r="AL1737" t="n">
        <v>1</v>
      </c>
      <c r="AM1737" t="n">
        <v>1</v>
      </c>
      <c r="AN1737" t="n">
        <v>0</v>
      </c>
      <c r="AO1737" t="n">
        <v>0</v>
      </c>
      <c r="AP1737" t="inlineStr">
        <is>
          <t>No</t>
        </is>
      </c>
      <c r="AQ1737" t="inlineStr">
        <is>
          <t>Yes</t>
        </is>
      </c>
      <c r="AR1737">
        <f>HYPERLINK("http://catalog.hathitrust.org/Record/001256191","HathiTrust Record")</f>
        <v/>
      </c>
      <c r="AS1737">
        <f>HYPERLINK("https://creighton-primo.hosted.exlibrisgroup.com/primo-explore/search?tab=default_tab&amp;search_scope=EVERYTHING&amp;vid=01CRU&amp;lang=en_US&amp;offset=0&amp;query=any,contains,991003721879702656","Catalog Record")</f>
        <v/>
      </c>
      <c r="AT1737">
        <f>HYPERLINK("http://www.worldcat.org/oclc/1366675","WorldCat Record")</f>
        <v/>
      </c>
      <c r="AU1737" t="inlineStr">
        <is>
          <t>131916879:eng</t>
        </is>
      </c>
      <c r="AV1737" t="inlineStr">
        <is>
          <t>1366675</t>
        </is>
      </c>
      <c r="AW1737" t="inlineStr">
        <is>
          <t>991003721879702656</t>
        </is>
      </c>
      <c r="AX1737" t="inlineStr">
        <is>
          <t>991003721879702656</t>
        </is>
      </c>
      <c r="AY1737" t="inlineStr">
        <is>
          <t>2255219100002656</t>
        </is>
      </c>
      <c r="AZ1737" t="inlineStr">
        <is>
          <t>BOOK</t>
        </is>
      </c>
      <c r="BB1737" t="inlineStr">
        <is>
          <t>9780196382470</t>
        </is>
      </c>
      <c r="BC1737" t="inlineStr">
        <is>
          <t>32285002445384</t>
        </is>
      </c>
      <c r="BD1737" t="inlineStr">
        <is>
          <t>893711701</t>
        </is>
      </c>
    </row>
    <row r="1738">
      <c r="A1738" t="inlineStr">
        <is>
          <t>No</t>
        </is>
      </c>
      <c r="B1738" t="inlineStr">
        <is>
          <t>DS644 .L364 1983</t>
        </is>
      </c>
      <c r="C1738" t="inlineStr">
        <is>
          <t>0                      DS 0644000L  364         1983</t>
        </is>
      </c>
      <c r="D1738" t="inlineStr">
        <is>
          <t>Indonesia's foreign policy / Michael Leifer.</t>
        </is>
      </c>
      <c r="F1738" t="inlineStr">
        <is>
          <t>No</t>
        </is>
      </c>
      <c r="G1738" t="inlineStr">
        <is>
          <t>1</t>
        </is>
      </c>
      <c r="H1738" t="inlineStr">
        <is>
          <t>No</t>
        </is>
      </c>
      <c r="I1738" t="inlineStr">
        <is>
          <t>No</t>
        </is>
      </c>
      <c r="J1738" t="inlineStr">
        <is>
          <t>0</t>
        </is>
      </c>
      <c r="K1738" t="inlineStr">
        <is>
          <t>Leifer, Michael.</t>
        </is>
      </c>
      <c r="L1738" t="inlineStr">
        <is>
          <t>London ; Boston : Published for the Royal Institute of International Affairs by Allen &amp; Unwin, 1983.</t>
        </is>
      </c>
      <c r="M1738" t="inlineStr">
        <is>
          <t>1983</t>
        </is>
      </c>
      <c r="O1738" t="inlineStr">
        <is>
          <t>eng</t>
        </is>
      </c>
      <c r="P1738" t="inlineStr">
        <is>
          <t>enk</t>
        </is>
      </c>
      <c r="R1738" t="inlineStr">
        <is>
          <t xml:space="preserve">DS </t>
        </is>
      </c>
      <c r="S1738" t="n">
        <v>1</v>
      </c>
      <c r="T1738" t="n">
        <v>1</v>
      </c>
      <c r="U1738" t="inlineStr">
        <is>
          <t>2005-01-04</t>
        </is>
      </c>
      <c r="V1738" t="inlineStr">
        <is>
          <t>2005-01-04</t>
        </is>
      </c>
      <c r="W1738" t="inlineStr">
        <is>
          <t>1991-06-28</t>
        </is>
      </c>
      <c r="X1738" t="inlineStr">
        <is>
          <t>1991-06-28</t>
        </is>
      </c>
      <c r="Y1738" t="n">
        <v>358</v>
      </c>
      <c r="Z1738" t="n">
        <v>233</v>
      </c>
      <c r="AA1738" t="n">
        <v>236</v>
      </c>
      <c r="AB1738" t="n">
        <v>3</v>
      </c>
      <c r="AC1738" t="n">
        <v>3</v>
      </c>
      <c r="AD1738" t="n">
        <v>7</v>
      </c>
      <c r="AE1738" t="n">
        <v>7</v>
      </c>
      <c r="AF1738" t="n">
        <v>1</v>
      </c>
      <c r="AG1738" t="n">
        <v>1</v>
      </c>
      <c r="AH1738" t="n">
        <v>3</v>
      </c>
      <c r="AI1738" t="n">
        <v>3</v>
      </c>
      <c r="AJ1738" t="n">
        <v>2</v>
      </c>
      <c r="AK1738" t="n">
        <v>2</v>
      </c>
      <c r="AL1738" t="n">
        <v>2</v>
      </c>
      <c r="AM1738" t="n">
        <v>2</v>
      </c>
      <c r="AN1738" t="n">
        <v>0</v>
      </c>
      <c r="AO1738" t="n">
        <v>0</v>
      </c>
      <c r="AP1738" t="inlineStr">
        <is>
          <t>No</t>
        </is>
      </c>
      <c r="AQ1738" t="inlineStr">
        <is>
          <t>No</t>
        </is>
      </c>
      <c r="AS1738">
        <f>HYPERLINK("https://creighton-primo.hosted.exlibrisgroup.com/primo-explore/search?tab=default_tab&amp;search_scope=EVERYTHING&amp;vid=01CRU&amp;lang=en_US&amp;offset=0&amp;query=any,contains,991000135929702656","Catalog Record")</f>
        <v/>
      </c>
      <c r="AT1738">
        <f>HYPERLINK("http://www.worldcat.org/oclc/9133040","WorldCat Record")</f>
        <v/>
      </c>
      <c r="AU1738" t="inlineStr">
        <is>
          <t>43559754:eng</t>
        </is>
      </c>
      <c r="AV1738" t="inlineStr">
        <is>
          <t>9133040</t>
        </is>
      </c>
      <c r="AW1738" t="inlineStr">
        <is>
          <t>991000135929702656</t>
        </is>
      </c>
      <c r="AX1738" t="inlineStr">
        <is>
          <t>991000135929702656</t>
        </is>
      </c>
      <c r="AY1738" t="inlineStr">
        <is>
          <t>2270321430002656</t>
        </is>
      </c>
      <c r="AZ1738" t="inlineStr">
        <is>
          <t>BOOK</t>
        </is>
      </c>
      <c r="BB1738" t="inlineStr">
        <is>
          <t>9780043270691</t>
        </is>
      </c>
      <c r="BC1738" t="inlineStr">
        <is>
          <t>32285000672492</t>
        </is>
      </c>
      <c r="BD1738" t="inlineStr">
        <is>
          <t>893601491</t>
        </is>
      </c>
    </row>
    <row r="1739">
      <c r="A1739" t="inlineStr">
        <is>
          <t>No</t>
        </is>
      </c>
      <c r="B1739" t="inlineStr">
        <is>
          <t>DS644.1.S8 H47 2002</t>
        </is>
      </c>
      <c r="C1739" t="inlineStr">
        <is>
          <t>0                      DS 0644100S  8                  H  47          2002</t>
        </is>
      </c>
      <c r="D1739" t="inlineStr">
        <is>
          <t>Soekarno : founding father of Indonesia, 1901-1945 / Bob Hering.</t>
        </is>
      </c>
      <c r="F1739" t="inlineStr">
        <is>
          <t>No</t>
        </is>
      </c>
      <c r="G1739" t="inlineStr">
        <is>
          <t>1</t>
        </is>
      </c>
      <c r="H1739" t="inlineStr">
        <is>
          <t>No</t>
        </is>
      </c>
      <c r="I1739" t="inlineStr">
        <is>
          <t>No</t>
        </is>
      </c>
      <c r="J1739" t="inlineStr">
        <is>
          <t>0</t>
        </is>
      </c>
      <c r="K1739" t="inlineStr">
        <is>
          <t>Hering, B. B.</t>
        </is>
      </c>
      <c r="L1739" t="inlineStr">
        <is>
          <t>Leiden : KITLV Press, 2002.</t>
        </is>
      </c>
      <c r="M1739" t="inlineStr">
        <is>
          <t>2002</t>
        </is>
      </c>
      <c r="O1739" t="inlineStr">
        <is>
          <t>eng</t>
        </is>
      </c>
      <c r="P1739" t="inlineStr">
        <is>
          <t xml:space="preserve">ne </t>
        </is>
      </c>
      <c r="Q1739" t="inlineStr">
        <is>
          <t>Verhandelingen van het Koninklijk Instituut voor Taal-, Land- en Volkenkunde ; 192</t>
        </is>
      </c>
      <c r="R1739" t="inlineStr">
        <is>
          <t xml:space="preserve">DS </t>
        </is>
      </c>
      <c r="S1739" t="n">
        <v>1</v>
      </c>
      <c r="T1739" t="n">
        <v>1</v>
      </c>
      <c r="U1739" t="inlineStr">
        <is>
          <t>2004-09-08</t>
        </is>
      </c>
      <c r="V1739" t="inlineStr">
        <is>
          <t>2004-09-08</t>
        </is>
      </c>
      <c r="W1739" t="inlineStr">
        <is>
          <t>2004-09-08</t>
        </is>
      </c>
      <c r="X1739" t="inlineStr">
        <is>
          <t>2004-09-08</t>
        </is>
      </c>
      <c r="Y1739" t="n">
        <v>355</v>
      </c>
      <c r="Z1739" t="n">
        <v>277</v>
      </c>
      <c r="AA1739" t="n">
        <v>279</v>
      </c>
      <c r="AB1739" t="n">
        <v>3</v>
      </c>
      <c r="AC1739" t="n">
        <v>3</v>
      </c>
      <c r="AD1739" t="n">
        <v>23</v>
      </c>
      <c r="AE1739" t="n">
        <v>23</v>
      </c>
      <c r="AF1739" t="n">
        <v>10</v>
      </c>
      <c r="AG1739" t="n">
        <v>10</v>
      </c>
      <c r="AH1739" t="n">
        <v>6</v>
      </c>
      <c r="AI1739" t="n">
        <v>6</v>
      </c>
      <c r="AJ1739" t="n">
        <v>12</v>
      </c>
      <c r="AK1739" t="n">
        <v>12</v>
      </c>
      <c r="AL1739" t="n">
        <v>2</v>
      </c>
      <c r="AM1739" t="n">
        <v>2</v>
      </c>
      <c r="AN1739" t="n">
        <v>0</v>
      </c>
      <c r="AO1739" t="n">
        <v>0</v>
      </c>
      <c r="AP1739" t="inlineStr">
        <is>
          <t>No</t>
        </is>
      </c>
      <c r="AQ1739" t="inlineStr">
        <is>
          <t>Yes</t>
        </is>
      </c>
      <c r="AR1739">
        <f>HYPERLINK("http://catalog.hathitrust.org/Record/003840583","HathiTrust Record")</f>
        <v/>
      </c>
      <c r="AS1739">
        <f>HYPERLINK("https://creighton-primo.hosted.exlibrisgroup.com/primo-explore/search?tab=default_tab&amp;search_scope=EVERYTHING&amp;vid=01CRU&amp;lang=en_US&amp;offset=0&amp;query=any,contains,991004359439702656","Catalog Record")</f>
        <v/>
      </c>
      <c r="AT1739">
        <f>HYPERLINK("http://www.worldcat.org/oclc/51245342","WorldCat Record")</f>
        <v/>
      </c>
      <c r="AU1739" t="inlineStr">
        <is>
          <t>4146933:eng</t>
        </is>
      </c>
      <c r="AV1739" t="inlineStr">
        <is>
          <t>51245342</t>
        </is>
      </c>
      <c r="AW1739" t="inlineStr">
        <is>
          <t>991004359439702656</t>
        </is>
      </c>
      <c r="AX1739" t="inlineStr">
        <is>
          <t>991004359439702656</t>
        </is>
      </c>
      <c r="AY1739" t="inlineStr">
        <is>
          <t>2268045570002656</t>
        </is>
      </c>
      <c r="AZ1739" t="inlineStr">
        <is>
          <t>BOOK</t>
        </is>
      </c>
      <c r="BB1739" t="inlineStr">
        <is>
          <t>9789067181914</t>
        </is>
      </c>
      <c r="BC1739" t="inlineStr">
        <is>
          <t>32285004985627</t>
        </is>
      </c>
      <c r="BD1739" t="inlineStr">
        <is>
          <t>893888608</t>
        </is>
      </c>
    </row>
    <row r="1740">
      <c r="A1740" t="inlineStr">
        <is>
          <t>No</t>
        </is>
      </c>
      <c r="B1740" t="inlineStr">
        <is>
          <t>DS644.4 .I55 2001</t>
        </is>
      </c>
      <c r="C1740" t="inlineStr">
        <is>
          <t>0                      DS 0644400I  55          2001</t>
        </is>
      </c>
      <c r="D1740" t="inlineStr">
        <is>
          <t>Indonesia today : challenges of history / edited by Grayson Lloyd, Shannon Smith.</t>
        </is>
      </c>
      <c r="F1740" t="inlineStr">
        <is>
          <t>No</t>
        </is>
      </c>
      <c r="G1740" t="inlineStr">
        <is>
          <t>1</t>
        </is>
      </c>
      <c r="H1740" t="inlineStr">
        <is>
          <t>No</t>
        </is>
      </c>
      <c r="I1740" t="inlineStr">
        <is>
          <t>No</t>
        </is>
      </c>
      <c r="J1740" t="inlineStr">
        <is>
          <t>0</t>
        </is>
      </c>
      <c r="L1740" t="inlineStr">
        <is>
          <t>Singapore : Rowman &amp; Littlefield Publishers, c2001.</t>
        </is>
      </c>
      <c r="M1740" t="inlineStr">
        <is>
          <t>2001</t>
        </is>
      </c>
      <c r="O1740" t="inlineStr">
        <is>
          <t>eng</t>
        </is>
      </c>
      <c r="P1740" t="inlineStr">
        <is>
          <t>mau</t>
        </is>
      </c>
      <c r="Q1740" t="inlineStr">
        <is>
          <t>Indonesia assessment series</t>
        </is>
      </c>
      <c r="R1740" t="inlineStr">
        <is>
          <t xml:space="preserve">DS </t>
        </is>
      </c>
      <c r="S1740" t="n">
        <v>6</v>
      </c>
      <c r="T1740" t="n">
        <v>6</v>
      </c>
      <c r="U1740" t="inlineStr">
        <is>
          <t>2003-04-04</t>
        </is>
      </c>
      <c r="V1740" t="inlineStr">
        <is>
          <t>2003-04-04</t>
        </is>
      </c>
      <c r="W1740" t="inlineStr">
        <is>
          <t>2002-02-14</t>
        </is>
      </c>
      <c r="X1740" t="inlineStr">
        <is>
          <t>2002-02-14</t>
        </is>
      </c>
      <c r="Y1740" t="n">
        <v>109</v>
      </c>
      <c r="Z1740" t="n">
        <v>89</v>
      </c>
      <c r="AA1740" t="n">
        <v>200</v>
      </c>
      <c r="AB1740" t="n">
        <v>2</v>
      </c>
      <c r="AC1740" t="n">
        <v>3</v>
      </c>
      <c r="AD1740" t="n">
        <v>3</v>
      </c>
      <c r="AE1740" t="n">
        <v>7</v>
      </c>
      <c r="AF1740" t="n">
        <v>0</v>
      </c>
      <c r="AG1740" t="n">
        <v>1</v>
      </c>
      <c r="AH1740" t="n">
        <v>1</v>
      </c>
      <c r="AI1740" t="n">
        <v>4</v>
      </c>
      <c r="AJ1740" t="n">
        <v>1</v>
      </c>
      <c r="AK1740" t="n">
        <v>3</v>
      </c>
      <c r="AL1740" t="n">
        <v>1</v>
      </c>
      <c r="AM1740" t="n">
        <v>2</v>
      </c>
      <c r="AN1740" t="n">
        <v>0</v>
      </c>
      <c r="AO1740" t="n">
        <v>0</v>
      </c>
      <c r="AP1740" t="inlineStr">
        <is>
          <t>No</t>
        </is>
      </c>
      <c r="AQ1740" t="inlineStr">
        <is>
          <t>Yes</t>
        </is>
      </c>
      <c r="AR1740">
        <f>HYPERLINK("http://catalog.hathitrust.org/Record/008362236","HathiTrust Record")</f>
        <v/>
      </c>
      <c r="AS1740">
        <f>HYPERLINK("https://creighton-primo.hosted.exlibrisgroup.com/primo-explore/search?tab=default_tab&amp;search_scope=EVERYTHING&amp;vid=01CRU&amp;lang=en_US&amp;offset=0&amp;query=any,contains,991003715909702656","Catalog Record")</f>
        <v/>
      </c>
      <c r="AT1740">
        <f>HYPERLINK("http://www.worldcat.org/oclc/50662498","WorldCat Record")</f>
        <v/>
      </c>
      <c r="AU1740" t="inlineStr">
        <is>
          <t>795437716:eng</t>
        </is>
      </c>
      <c r="AV1740" t="inlineStr">
        <is>
          <t>50662498</t>
        </is>
      </c>
      <c r="AW1740" t="inlineStr">
        <is>
          <t>991003715909702656</t>
        </is>
      </c>
      <c r="AX1740" t="inlineStr">
        <is>
          <t>991003715909702656</t>
        </is>
      </c>
      <c r="AY1740" t="inlineStr">
        <is>
          <t>2259458870002656</t>
        </is>
      </c>
      <c r="AZ1740" t="inlineStr">
        <is>
          <t>BOOK</t>
        </is>
      </c>
      <c r="BB1740" t="inlineStr">
        <is>
          <t>9780742517622</t>
        </is>
      </c>
      <c r="BC1740" t="inlineStr">
        <is>
          <t>32285004454574</t>
        </is>
      </c>
      <c r="BD1740" t="inlineStr">
        <is>
          <t>893416707</t>
        </is>
      </c>
    </row>
    <row r="1741">
      <c r="A1741" t="inlineStr">
        <is>
          <t>No</t>
        </is>
      </c>
      <c r="B1741" t="inlineStr">
        <is>
          <t>DS644.4 .R347 1995</t>
        </is>
      </c>
      <c r="C1741" t="inlineStr">
        <is>
          <t>0                      DS 0644400R  347         1995</t>
        </is>
      </c>
      <c r="D1741" t="inlineStr">
        <is>
          <t>Politics in Indonesia : democracy, Islam, and the ideology of tolerance / Douglas E. Ramage.</t>
        </is>
      </c>
      <c r="F1741" t="inlineStr">
        <is>
          <t>No</t>
        </is>
      </c>
      <c r="G1741" t="inlineStr">
        <is>
          <t>1</t>
        </is>
      </c>
      <c r="H1741" t="inlineStr">
        <is>
          <t>No</t>
        </is>
      </c>
      <c r="I1741" t="inlineStr">
        <is>
          <t>No</t>
        </is>
      </c>
      <c r="J1741" t="inlineStr">
        <is>
          <t>0</t>
        </is>
      </c>
      <c r="K1741" t="inlineStr">
        <is>
          <t>Ramage, Douglas E., 1963-</t>
        </is>
      </c>
      <c r="L1741" t="inlineStr">
        <is>
          <t>New York : Routledge, 1995.</t>
        </is>
      </c>
      <c r="M1741" t="inlineStr">
        <is>
          <t>1995</t>
        </is>
      </c>
      <c r="O1741" t="inlineStr">
        <is>
          <t>eng</t>
        </is>
      </c>
      <c r="P1741" t="inlineStr">
        <is>
          <t>nyu</t>
        </is>
      </c>
      <c r="Q1741" t="inlineStr">
        <is>
          <t>Politics in Asia series</t>
        </is>
      </c>
      <c r="R1741" t="inlineStr">
        <is>
          <t xml:space="preserve">DS </t>
        </is>
      </c>
      <c r="S1741" t="n">
        <v>17</v>
      </c>
      <c r="T1741" t="n">
        <v>17</v>
      </c>
      <c r="U1741" t="inlineStr">
        <is>
          <t>2003-04-04</t>
        </is>
      </c>
      <c r="V1741" t="inlineStr">
        <is>
          <t>2003-04-04</t>
        </is>
      </c>
      <c r="W1741" t="inlineStr">
        <is>
          <t>1997-04-07</t>
        </is>
      </c>
      <c r="X1741" t="inlineStr">
        <is>
          <t>1997-04-07</t>
        </is>
      </c>
      <c r="Y1741" t="n">
        <v>351</v>
      </c>
      <c r="Z1741" t="n">
        <v>228</v>
      </c>
      <c r="AA1741" t="n">
        <v>292</v>
      </c>
      <c r="AB1741" t="n">
        <v>1</v>
      </c>
      <c r="AC1741" t="n">
        <v>1</v>
      </c>
      <c r="AD1741" t="n">
        <v>8</v>
      </c>
      <c r="AE1741" t="n">
        <v>11</v>
      </c>
      <c r="AF1741" t="n">
        <v>4</v>
      </c>
      <c r="AG1741" t="n">
        <v>5</v>
      </c>
      <c r="AH1741" t="n">
        <v>2</v>
      </c>
      <c r="AI1741" t="n">
        <v>2</v>
      </c>
      <c r="AJ1741" t="n">
        <v>5</v>
      </c>
      <c r="AK1741" t="n">
        <v>8</v>
      </c>
      <c r="AL1741" t="n">
        <v>0</v>
      </c>
      <c r="AM1741" t="n">
        <v>0</v>
      </c>
      <c r="AN1741" t="n">
        <v>0</v>
      </c>
      <c r="AO1741" t="n">
        <v>0</v>
      </c>
      <c r="AP1741" t="inlineStr">
        <is>
          <t>No</t>
        </is>
      </c>
      <c r="AQ1741" t="inlineStr">
        <is>
          <t>No</t>
        </is>
      </c>
      <c r="AS1741">
        <f>HYPERLINK("https://creighton-primo.hosted.exlibrisgroup.com/primo-explore/search?tab=default_tab&amp;search_scope=EVERYTHING&amp;vid=01CRU&amp;lang=en_US&amp;offset=0&amp;query=any,contains,991002509049702656","Catalog Record")</f>
        <v/>
      </c>
      <c r="AT1741">
        <f>HYPERLINK("http://www.worldcat.org/oclc/32626197","WorldCat Record")</f>
        <v/>
      </c>
      <c r="AU1741" t="inlineStr">
        <is>
          <t>799703502:eng</t>
        </is>
      </c>
      <c r="AV1741" t="inlineStr">
        <is>
          <t>32626197</t>
        </is>
      </c>
      <c r="AW1741" t="inlineStr">
        <is>
          <t>991002509049702656</t>
        </is>
      </c>
      <c r="AX1741" t="inlineStr">
        <is>
          <t>991002509049702656</t>
        </is>
      </c>
      <c r="AY1741" t="inlineStr">
        <is>
          <t>2267609650002656</t>
        </is>
      </c>
      <c r="AZ1741" t="inlineStr">
        <is>
          <t>BOOK</t>
        </is>
      </c>
      <c r="BB1741" t="inlineStr">
        <is>
          <t>9780415125482</t>
        </is>
      </c>
      <c r="BC1741" t="inlineStr">
        <is>
          <t>32285002479888</t>
        </is>
      </c>
      <c r="BD1741" t="inlineStr">
        <is>
          <t>893716544</t>
        </is>
      </c>
    </row>
    <row r="1742">
      <c r="A1742" t="inlineStr">
        <is>
          <t>No</t>
        </is>
      </c>
      <c r="B1742" t="inlineStr">
        <is>
          <t>DS644.4 .S38 1994</t>
        </is>
      </c>
      <c r="C1742" t="inlineStr">
        <is>
          <t>0                      DS 0644400S  38          1994</t>
        </is>
      </c>
      <c r="D1742" t="inlineStr">
        <is>
          <t>A nation in waiting : Indonesia in the 1990s / Adam Schwarz.</t>
        </is>
      </c>
      <c r="F1742" t="inlineStr">
        <is>
          <t>No</t>
        </is>
      </c>
      <c r="G1742" t="inlineStr">
        <is>
          <t>1</t>
        </is>
      </c>
      <c r="H1742" t="inlineStr">
        <is>
          <t>No</t>
        </is>
      </c>
      <c r="I1742" t="inlineStr">
        <is>
          <t>No</t>
        </is>
      </c>
      <c r="J1742" t="inlineStr">
        <is>
          <t>0</t>
        </is>
      </c>
      <c r="K1742" t="inlineStr">
        <is>
          <t>Schwarz, Adam.</t>
        </is>
      </c>
      <c r="L1742" t="inlineStr">
        <is>
          <t>Boulder : Westview Press, 1994.</t>
        </is>
      </c>
      <c r="M1742" t="inlineStr">
        <is>
          <t>1994</t>
        </is>
      </c>
      <c r="O1742" t="inlineStr">
        <is>
          <t>eng</t>
        </is>
      </c>
      <c r="P1742" t="inlineStr">
        <is>
          <t>cou</t>
        </is>
      </c>
      <c r="R1742" t="inlineStr">
        <is>
          <t xml:space="preserve">DS </t>
        </is>
      </c>
      <c r="S1742" t="n">
        <v>24</v>
      </c>
      <c r="T1742" t="n">
        <v>24</v>
      </c>
      <c r="U1742" t="inlineStr">
        <is>
          <t>2003-04-04</t>
        </is>
      </c>
      <c r="V1742" t="inlineStr">
        <is>
          <t>2003-04-04</t>
        </is>
      </c>
      <c r="W1742" t="inlineStr">
        <is>
          <t>1996-03-18</t>
        </is>
      </c>
      <c r="X1742" t="inlineStr">
        <is>
          <t>1996-03-18</t>
        </is>
      </c>
      <c r="Y1742" t="n">
        <v>425</v>
      </c>
      <c r="Z1742" t="n">
        <v>360</v>
      </c>
      <c r="AA1742" t="n">
        <v>378</v>
      </c>
      <c r="AB1742" t="n">
        <v>4</v>
      </c>
      <c r="AC1742" t="n">
        <v>4</v>
      </c>
      <c r="AD1742" t="n">
        <v>20</v>
      </c>
      <c r="AE1742" t="n">
        <v>20</v>
      </c>
      <c r="AF1742" t="n">
        <v>6</v>
      </c>
      <c r="AG1742" t="n">
        <v>6</v>
      </c>
      <c r="AH1742" t="n">
        <v>5</v>
      </c>
      <c r="AI1742" t="n">
        <v>5</v>
      </c>
      <c r="AJ1742" t="n">
        <v>13</v>
      </c>
      <c r="AK1742" t="n">
        <v>13</v>
      </c>
      <c r="AL1742" t="n">
        <v>3</v>
      </c>
      <c r="AM1742" t="n">
        <v>3</v>
      </c>
      <c r="AN1742" t="n">
        <v>0</v>
      </c>
      <c r="AO1742" t="n">
        <v>0</v>
      </c>
      <c r="AP1742" t="inlineStr">
        <is>
          <t>No</t>
        </is>
      </c>
      <c r="AQ1742" t="inlineStr">
        <is>
          <t>Yes</t>
        </is>
      </c>
      <c r="AR1742">
        <f>HYPERLINK("http://catalog.hathitrust.org/Record/002903856","HathiTrust Record")</f>
        <v/>
      </c>
      <c r="AS1742">
        <f>HYPERLINK("https://creighton-primo.hosted.exlibrisgroup.com/primo-explore/search?tab=default_tab&amp;search_scope=EVERYTHING&amp;vid=01CRU&amp;lang=en_US&amp;offset=0&amp;query=any,contains,991002332499702656","Catalog Record")</f>
        <v/>
      </c>
      <c r="AT1742">
        <f>HYPERLINK("http://www.worldcat.org/oclc/30356852","WorldCat Record")</f>
        <v/>
      </c>
      <c r="AU1742" t="inlineStr">
        <is>
          <t>32039689:eng</t>
        </is>
      </c>
      <c r="AV1742" t="inlineStr">
        <is>
          <t>30356852</t>
        </is>
      </c>
      <c r="AW1742" t="inlineStr">
        <is>
          <t>991002332499702656</t>
        </is>
      </c>
      <c r="AX1742" t="inlineStr">
        <is>
          <t>991002332499702656</t>
        </is>
      </c>
      <c r="AY1742" t="inlineStr">
        <is>
          <t>2254707920002656</t>
        </is>
      </c>
      <c r="AZ1742" t="inlineStr">
        <is>
          <t>BOOK</t>
        </is>
      </c>
      <c r="BB1742" t="inlineStr">
        <is>
          <t>9780813388816</t>
        </is>
      </c>
      <c r="BC1742" t="inlineStr">
        <is>
          <t>32285002143500</t>
        </is>
      </c>
      <c r="BD1742" t="inlineStr">
        <is>
          <t>893804485</t>
        </is>
      </c>
    </row>
    <row r="1743">
      <c r="A1743" t="inlineStr">
        <is>
          <t>No</t>
        </is>
      </c>
      <c r="B1743" t="inlineStr">
        <is>
          <t>DS644.4 .V38 1994</t>
        </is>
      </c>
      <c r="C1743" t="inlineStr">
        <is>
          <t>0                      DS 0644400V  38          1994</t>
        </is>
      </c>
      <c r="D1743" t="inlineStr">
        <is>
          <t>Indonesian politics under Suharto : order, development and pressure for change / Michael R.J. Vatikiotis.</t>
        </is>
      </c>
      <c r="F1743" t="inlineStr">
        <is>
          <t>No</t>
        </is>
      </c>
      <c r="G1743" t="inlineStr">
        <is>
          <t>1</t>
        </is>
      </c>
      <c r="H1743" t="inlineStr">
        <is>
          <t>No</t>
        </is>
      </c>
      <c r="I1743" t="inlineStr">
        <is>
          <t>No</t>
        </is>
      </c>
      <c r="J1743" t="inlineStr">
        <is>
          <t>0</t>
        </is>
      </c>
      <c r="K1743" t="inlineStr">
        <is>
          <t>Vatikiotis, Michael R. J., 1957-</t>
        </is>
      </c>
      <c r="L1743" t="inlineStr">
        <is>
          <t>London ; New York : Routledge, 1994.</t>
        </is>
      </c>
      <c r="M1743" t="inlineStr">
        <is>
          <t>1994</t>
        </is>
      </c>
      <c r="N1743" t="inlineStr">
        <is>
          <t>Rev. ed</t>
        </is>
      </c>
      <c r="O1743" t="inlineStr">
        <is>
          <t>eng</t>
        </is>
      </c>
      <c r="P1743" t="inlineStr">
        <is>
          <t>enk</t>
        </is>
      </c>
      <c r="Q1743" t="inlineStr">
        <is>
          <t>Politics in Asia series</t>
        </is>
      </c>
      <c r="R1743" t="inlineStr">
        <is>
          <t xml:space="preserve">DS </t>
        </is>
      </c>
      <c r="S1743" t="n">
        <v>22</v>
      </c>
      <c r="T1743" t="n">
        <v>22</v>
      </c>
      <c r="U1743" t="inlineStr">
        <is>
          <t>2007-02-24</t>
        </is>
      </c>
      <c r="V1743" t="inlineStr">
        <is>
          <t>2007-02-24</t>
        </is>
      </c>
      <c r="W1743" t="inlineStr">
        <is>
          <t>1995-12-27</t>
        </is>
      </c>
      <c r="X1743" t="inlineStr">
        <is>
          <t>1995-12-27</t>
        </is>
      </c>
      <c r="Y1743" t="n">
        <v>183</v>
      </c>
      <c r="Z1743" t="n">
        <v>83</v>
      </c>
      <c r="AA1743" t="n">
        <v>229</v>
      </c>
      <c r="AB1743" t="n">
        <v>1</v>
      </c>
      <c r="AC1743" t="n">
        <v>1</v>
      </c>
      <c r="AD1743" t="n">
        <v>5</v>
      </c>
      <c r="AE1743" t="n">
        <v>13</v>
      </c>
      <c r="AF1743" t="n">
        <v>3</v>
      </c>
      <c r="AG1743" t="n">
        <v>5</v>
      </c>
      <c r="AH1743" t="n">
        <v>1</v>
      </c>
      <c r="AI1743" t="n">
        <v>4</v>
      </c>
      <c r="AJ1743" t="n">
        <v>3</v>
      </c>
      <c r="AK1743" t="n">
        <v>10</v>
      </c>
      <c r="AL1743" t="n">
        <v>0</v>
      </c>
      <c r="AM1743" t="n">
        <v>0</v>
      </c>
      <c r="AN1743" t="n">
        <v>0</v>
      </c>
      <c r="AO1743" t="n">
        <v>0</v>
      </c>
      <c r="AP1743" t="inlineStr">
        <is>
          <t>No</t>
        </is>
      </c>
      <c r="AQ1743" t="inlineStr">
        <is>
          <t>No</t>
        </is>
      </c>
      <c r="AS1743">
        <f>HYPERLINK("https://creighton-primo.hosted.exlibrisgroup.com/primo-explore/search?tab=default_tab&amp;search_scope=EVERYTHING&amp;vid=01CRU&amp;lang=en_US&amp;offset=0&amp;query=any,contains,991002284879702656","Catalog Record")</f>
        <v/>
      </c>
      <c r="AT1743">
        <f>HYPERLINK("http://www.worldcat.org/oclc/29634275","WorldCat Record")</f>
        <v/>
      </c>
      <c r="AU1743" t="inlineStr">
        <is>
          <t>4924954270:eng</t>
        </is>
      </c>
      <c r="AV1743" t="inlineStr">
        <is>
          <t>29634275</t>
        </is>
      </c>
      <c r="AW1743" t="inlineStr">
        <is>
          <t>991002284879702656</t>
        </is>
      </c>
      <c r="AX1743" t="inlineStr">
        <is>
          <t>991002284879702656</t>
        </is>
      </c>
      <c r="AY1743" t="inlineStr">
        <is>
          <t>2255487450002656</t>
        </is>
      </c>
      <c r="AZ1743" t="inlineStr">
        <is>
          <t>BOOK</t>
        </is>
      </c>
      <c r="BB1743" t="inlineStr">
        <is>
          <t>9780415107075</t>
        </is>
      </c>
      <c r="BC1743" t="inlineStr">
        <is>
          <t>32285002113503</t>
        </is>
      </c>
      <c r="BD1743" t="inlineStr">
        <is>
          <t>893591163</t>
        </is>
      </c>
    </row>
    <row r="1744">
      <c r="A1744" t="inlineStr">
        <is>
          <t>No</t>
        </is>
      </c>
      <c r="B1744" t="inlineStr">
        <is>
          <t>DS646.15.A8 D74 2008</t>
        </is>
      </c>
      <c r="C1744" t="inlineStr">
        <is>
          <t>0                      DS 0646150A  8                  D  74          2008</t>
        </is>
      </c>
      <c r="D1744" t="inlineStr">
        <is>
          <t>Aceh, Indonesia : securing the insecure state / Elizabeth F. Drexler.</t>
        </is>
      </c>
      <c r="F1744" t="inlineStr">
        <is>
          <t>No</t>
        </is>
      </c>
      <c r="G1744" t="inlineStr">
        <is>
          <t>1</t>
        </is>
      </c>
      <c r="H1744" t="inlineStr">
        <is>
          <t>No</t>
        </is>
      </c>
      <c r="I1744" t="inlineStr">
        <is>
          <t>No</t>
        </is>
      </c>
      <c r="J1744" t="inlineStr">
        <is>
          <t>0</t>
        </is>
      </c>
      <c r="K1744" t="inlineStr">
        <is>
          <t>Drexler, Elizabeth F.</t>
        </is>
      </c>
      <c r="L1744" t="inlineStr">
        <is>
          <t>Philadelphia, Pa. : University of Pennsylvania Press, c2008.</t>
        </is>
      </c>
      <c r="M1744" t="inlineStr">
        <is>
          <t>2008</t>
        </is>
      </c>
      <c r="O1744" t="inlineStr">
        <is>
          <t>eng</t>
        </is>
      </c>
      <c r="P1744" t="inlineStr">
        <is>
          <t>pau</t>
        </is>
      </c>
      <c r="Q1744" t="inlineStr">
        <is>
          <t>Ethnography of political violence</t>
        </is>
      </c>
      <c r="R1744" t="inlineStr">
        <is>
          <t xml:space="preserve">DS </t>
        </is>
      </c>
      <c r="S1744" t="n">
        <v>1</v>
      </c>
      <c r="T1744" t="n">
        <v>1</v>
      </c>
      <c r="U1744" t="inlineStr">
        <is>
          <t>2009-03-31</t>
        </is>
      </c>
      <c r="V1744" t="inlineStr">
        <is>
          <t>2009-03-31</t>
        </is>
      </c>
      <c r="W1744" t="inlineStr">
        <is>
          <t>2009-03-31</t>
        </is>
      </c>
      <c r="X1744" t="inlineStr">
        <is>
          <t>2009-03-31</t>
        </is>
      </c>
      <c r="Y1744" t="n">
        <v>257</v>
      </c>
      <c r="Z1744" t="n">
        <v>181</v>
      </c>
      <c r="AA1744" t="n">
        <v>187</v>
      </c>
      <c r="AB1744" t="n">
        <v>1</v>
      </c>
      <c r="AC1744" t="n">
        <v>1</v>
      </c>
      <c r="AD1744" t="n">
        <v>10</v>
      </c>
      <c r="AE1744" t="n">
        <v>10</v>
      </c>
      <c r="AF1744" t="n">
        <v>4</v>
      </c>
      <c r="AG1744" t="n">
        <v>4</v>
      </c>
      <c r="AH1744" t="n">
        <v>2</v>
      </c>
      <c r="AI1744" t="n">
        <v>2</v>
      </c>
      <c r="AJ1744" t="n">
        <v>6</v>
      </c>
      <c r="AK1744" t="n">
        <v>6</v>
      </c>
      <c r="AL1744" t="n">
        <v>0</v>
      </c>
      <c r="AM1744" t="n">
        <v>0</v>
      </c>
      <c r="AN1744" t="n">
        <v>0</v>
      </c>
      <c r="AO1744" t="n">
        <v>0</v>
      </c>
      <c r="AP1744" t="inlineStr">
        <is>
          <t>No</t>
        </is>
      </c>
      <c r="AQ1744" t="inlineStr">
        <is>
          <t>No</t>
        </is>
      </c>
      <c r="AS1744">
        <f>HYPERLINK("https://creighton-primo.hosted.exlibrisgroup.com/primo-explore/search?tab=default_tab&amp;search_scope=EVERYTHING&amp;vid=01CRU&amp;lang=en_US&amp;offset=0&amp;query=any,contains,991005304999702656","Catalog Record")</f>
        <v/>
      </c>
      <c r="AT1744">
        <f>HYPERLINK("http://www.worldcat.org/oclc/213447358","WorldCat Record")</f>
        <v/>
      </c>
      <c r="AU1744" t="inlineStr">
        <is>
          <t>304802223:eng</t>
        </is>
      </c>
      <c r="AV1744" t="inlineStr">
        <is>
          <t>213447358</t>
        </is>
      </c>
      <c r="AW1744" t="inlineStr">
        <is>
          <t>991005304999702656</t>
        </is>
      </c>
      <c r="AX1744" t="inlineStr">
        <is>
          <t>991005304999702656</t>
        </is>
      </c>
      <c r="AY1744" t="inlineStr">
        <is>
          <t>2264998050002656</t>
        </is>
      </c>
      <c r="AZ1744" t="inlineStr">
        <is>
          <t>BOOK</t>
        </is>
      </c>
      <c r="BB1744" t="inlineStr">
        <is>
          <t>9780812240573</t>
        </is>
      </c>
      <c r="BC1744" t="inlineStr">
        <is>
          <t>32285005511794</t>
        </is>
      </c>
      <c r="BD1744" t="inlineStr">
        <is>
          <t>893248698</t>
        </is>
      </c>
    </row>
    <row r="1745">
      <c r="A1745" t="inlineStr">
        <is>
          <t>No</t>
        </is>
      </c>
      <c r="B1745" t="inlineStr">
        <is>
          <t>DS646.2 .W82</t>
        </is>
      </c>
      <c r="C1745" t="inlineStr">
        <is>
          <t>0                      DS 0646200W  82</t>
        </is>
      </c>
      <c r="D1745" t="inlineStr">
        <is>
          <t>Java, facts and fancies, by Augusta de Wit. With 160 illustrations.</t>
        </is>
      </c>
      <c r="F1745" t="inlineStr">
        <is>
          <t>No</t>
        </is>
      </c>
      <c r="G1745" t="inlineStr">
        <is>
          <t>1</t>
        </is>
      </c>
      <c r="H1745" t="inlineStr">
        <is>
          <t>No</t>
        </is>
      </c>
      <c r="I1745" t="inlineStr">
        <is>
          <t>No</t>
        </is>
      </c>
      <c r="J1745" t="inlineStr">
        <is>
          <t>0</t>
        </is>
      </c>
      <c r="K1745" t="inlineStr">
        <is>
          <t>Wit, Augusta de.</t>
        </is>
      </c>
      <c r="L1745" t="inlineStr">
        <is>
          <t>Philadelphia, J.B. Lippincott company; The Hague, W. P. van Stockum &amp; son, 1906.</t>
        </is>
      </c>
      <c r="M1745" t="inlineStr">
        <is>
          <t>1906</t>
        </is>
      </c>
      <c r="O1745" t="inlineStr">
        <is>
          <t>eng</t>
        </is>
      </c>
      <c r="P1745" t="inlineStr">
        <is>
          <t>pau</t>
        </is>
      </c>
      <c r="R1745" t="inlineStr">
        <is>
          <t xml:space="preserve">DS </t>
        </is>
      </c>
      <c r="S1745" t="n">
        <v>1</v>
      </c>
      <c r="T1745" t="n">
        <v>1</v>
      </c>
      <c r="U1745" t="inlineStr">
        <is>
          <t>1997-03-07</t>
        </is>
      </c>
      <c r="V1745" t="inlineStr">
        <is>
          <t>1997-03-07</t>
        </is>
      </c>
      <c r="W1745" t="inlineStr">
        <is>
          <t>1996-08-09</t>
        </is>
      </c>
      <c r="X1745" t="inlineStr">
        <is>
          <t>1996-08-09</t>
        </is>
      </c>
      <c r="Y1745" t="n">
        <v>55</v>
      </c>
      <c r="Z1745" t="n">
        <v>51</v>
      </c>
      <c r="AA1745" t="n">
        <v>210</v>
      </c>
      <c r="AB1745" t="n">
        <v>1</v>
      </c>
      <c r="AC1745" t="n">
        <v>2</v>
      </c>
      <c r="AD1745" t="n">
        <v>0</v>
      </c>
      <c r="AE1745" t="n">
        <v>7</v>
      </c>
      <c r="AF1745" t="n">
        <v>0</v>
      </c>
      <c r="AG1745" t="n">
        <v>1</v>
      </c>
      <c r="AH1745" t="n">
        <v>0</v>
      </c>
      <c r="AI1745" t="n">
        <v>3</v>
      </c>
      <c r="AJ1745" t="n">
        <v>0</v>
      </c>
      <c r="AK1745" t="n">
        <v>3</v>
      </c>
      <c r="AL1745" t="n">
        <v>0</v>
      </c>
      <c r="AM1745" t="n">
        <v>1</v>
      </c>
      <c r="AN1745" t="n">
        <v>0</v>
      </c>
      <c r="AO1745" t="n">
        <v>0</v>
      </c>
      <c r="AP1745" t="inlineStr">
        <is>
          <t>Yes</t>
        </is>
      </c>
      <c r="AQ1745" t="inlineStr">
        <is>
          <t>No</t>
        </is>
      </c>
      <c r="AR1745">
        <f>HYPERLINK("http://catalog.hathitrust.org/Record/008641811","HathiTrust Record")</f>
        <v/>
      </c>
      <c r="AS1745">
        <f>HYPERLINK("https://creighton-primo.hosted.exlibrisgroup.com/primo-explore/search?tab=default_tab&amp;search_scope=EVERYTHING&amp;vid=01CRU&amp;lang=en_US&amp;offset=0&amp;query=any,contains,991004997309702656","Catalog Record")</f>
        <v/>
      </c>
      <c r="AT1745">
        <f>HYPERLINK("http://www.worldcat.org/oclc/6529681","WorldCat Record")</f>
        <v/>
      </c>
      <c r="AU1745" t="inlineStr">
        <is>
          <t>3962794:eng</t>
        </is>
      </c>
      <c r="AV1745" t="inlineStr">
        <is>
          <t>6529681</t>
        </is>
      </c>
      <c r="AW1745" t="inlineStr">
        <is>
          <t>991004997309702656</t>
        </is>
      </c>
      <c r="AX1745" t="inlineStr">
        <is>
          <t>991004997309702656</t>
        </is>
      </c>
      <c r="AY1745" t="inlineStr">
        <is>
          <t>2267822810002656</t>
        </is>
      </c>
      <c r="AZ1745" t="inlineStr">
        <is>
          <t>BOOK</t>
        </is>
      </c>
      <c r="BC1745" t="inlineStr">
        <is>
          <t>32285002273497</t>
        </is>
      </c>
      <c r="BD1745" t="inlineStr">
        <is>
          <t>893905163</t>
        </is>
      </c>
    </row>
    <row r="1746">
      <c r="A1746" t="inlineStr">
        <is>
          <t>No</t>
        </is>
      </c>
      <c r="B1746" t="inlineStr">
        <is>
          <t>DS646.23 .B43 1990</t>
        </is>
      </c>
      <c r="C1746" t="inlineStr">
        <is>
          <t>0                      DS 0646230B  43          1990</t>
        </is>
      </c>
      <c r="D1746" t="inlineStr">
        <is>
          <t>Life in the Javanese kraton / Aart van Beek.</t>
        </is>
      </c>
      <c r="F1746" t="inlineStr">
        <is>
          <t>No</t>
        </is>
      </c>
      <c r="G1746" t="inlineStr">
        <is>
          <t>1</t>
        </is>
      </c>
      <c r="H1746" t="inlineStr">
        <is>
          <t>No</t>
        </is>
      </c>
      <c r="I1746" t="inlineStr">
        <is>
          <t>No</t>
        </is>
      </c>
      <c r="J1746" t="inlineStr">
        <is>
          <t>0</t>
        </is>
      </c>
      <c r="K1746" t="inlineStr">
        <is>
          <t>Van Beek, Aart.</t>
        </is>
      </c>
      <c r="L1746" t="inlineStr">
        <is>
          <t>Singapore ; New York : Oxford University Press, 1990.</t>
        </is>
      </c>
      <c r="M1746" t="inlineStr">
        <is>
          <t>1990</t>
        </is>
      </c>
      <c r="O1746" t="inlineStr">
        <is>
          <t>eng</t>
        </is>
      </c>
      <c r="P1746" t="inlineStr">
        <is>
          <t xml:space="preserve">si </t>
        </is>
      </c>
      <c r="Q1746" t="inlineStr">
        <is>
          <t>Images of Asia</t>
        </is>
      </c>
      <c r="R1746" t="inlineStr">
        <is>
          <t xml:space="preserve">DS </t>
        </is>
      </c>
      <c r="S1746" t="n">
        <v>4</v>
      </c>
      <c r="T1746" t="n">
        <v>4</v>
      </c>
      <c r="U1746" t="inlineStr">
        <is>
          <t>1997-03-07</t>
        </is>
      </c>
      <c r="V1746" t="inlineStr">
        <is>
          <t>1997-03-07</t>
        </is>
      </c>
      <c r="W1746" t="inlineStr">
        <is>
          <t>1996-11-22</t>
        </is>
      </c>
      <c r="X1746" t="inlineStr">
        <is>
          <t>1996-11-22</t>
        </is>
      </c>
      <c r="Y1746" t="n">
        <v>101</v>
      </c>
      <c r="Z1746" t="n">
        <v>36</v>
      </c>
      <c r="AA1746" t="n">
        <v>37</v>
      </c>
      <c r="AB1746" t="n">
        <v>2</v>
      </c>
      <c r="AC1746" t="n">
        <v>2</v>
      </c>
      <c r="AD1746" t="n">
        <v>1</v>
      </c>
      <c r="AE1746" t="n">
        <v>1</v>
      </c>
      <c r="AF1746" t="n">
        <v>0</v>
      </c>
      <c r="AG1746" t="n">
        <v>0</v>
      </c>
      <c r="AH1746" t="n">
        <v>0</v>
      </c>
      <c r="AI1746" t="n">
        <v>0</v>
      </c>
      <c r="AJ1746" t="n">
        <v>0</v>
      </c>
      <c r="AK1746" t="n">
        <v>0</v>
      </c>
      <c r="AL1746" t="n">
        <v>1</v>
      </c>
      <c r="AM1746" t="n">
        <v>1</v>
      </c>
      <c r="AN1746" t="n">
        <v>0</v>
      </c>
      <c r="AO1746" t="n">
        <v>0</v>
      </c>
      <c r="AP1746" t="inlineStr">
        <is>
          <t>No</t>
        </is>
      </c>
      <c r="AQ1746" t="inlineStr">
        <is>
          <t>Yes</t>
        </is>
      </c>
      <c r="AR1746">
        <f>HYPERLINK("http://catalog.hathitrust.org/Record/010128742","HathiTrust Record")</f>
        <v/>
      </c>
      <c r="AS1746">
        <f>HYPERLINK("https://creighton-primo.hosted.exlibrisgroup.com/primo-explore/search?tab=default_tab&amp;search_scope=EVERYTHING&amp;vid=01CRU&amp;lang=en_US&amp;offset=0&amp;query=any,contains,991001730439702656","Catalog Record")</f>
        <v/>
      </c>
      <c r="AT1746">
        <f>HYPERLINK("http://www.worldcat.org/oclc/21910498","WorldCat Record")</f>
        <v/>
      </c>
      <c r="AU1746" t="inlineStr">
        <is>
          <t>23055822:eng</t>
        </is>
      </c>
      <c r="AV1746" t="inlineStr">
        <is>
          <t>21910498</t>
        </is>
      </c>
      <c r="AW1746" t="inlineStr">
        <is>
          <t>991001730439702656</t>
        </is>
      </c>
      <c r="AX1746" t="inlineStr">
        <is>
          <t>991001730439702656</t>
        </is>
      </c>
      <c r="AY1746" t="inlineStr">
        <is>
          <t>2264109870002656</t>
        </is>
      </c>
      <c r="AZ1746" t="inlineStr">
        <is>
          <t>BOOK</t>
        </is>
      </c>
      <c r="BB1746" t="inlineStr">
        <is>
          <t>9780195889253</t>
        </is>
      </c>
      <c r="BC1746" t="inlineStr">
        <is>
          <t>32285002385325</t>
        </is>
      </c>
      <c r="BD1746" t="inlineStr">
        <is>
          <t>893433071</t>
        </is>
      </c>
    </row>
    <row r="1747">
      <c r="A1747" t="inlineStr">
        <is>
          <t>No</t>
        </is>
      </c>
      <c r="B1747" t="inlineStr">
        <is>
          <t>DS646.3 .O44 1985</t>
        </is>
      </c>
      <c r="C1747" t="inlineStr">
        <is>
          <t>0                      DS 0646300O  44          1985</t>
        </is>
      </c>
      <c r="D1747" t="inlineStr">
        <is>
          <t>Into the heart of Borneo / Redmond O'Hanlon.</t>
        </is>
      </c>
      <c r="F1747" t="inlineStr">
        <is>
          <t>No</t>
        </is>
      </c>
      <c r="G1747" t="inlineStr">
        <is>
          <t>1</t>
        </is>
      </c>
      <c r="H1747" t="inlineStr">
        <is>
          <t>No</t>
        </is>
      </c>
      <c r="I1747" t="inlineStr">
        <is>
          <t>No</t>
        </is>
      </c>
      <c r="J1747" t="inlineStr">
        <is>
          <t>0</t>
        </is>
      </c>
      <c r="K1747" t="inlineStr">
        <is>
          <t>O'Hanlon, Redmond, 1947-</t>
        </is>
      </c>
      <c r="L1747" t="inlineStr">
        <is>
          <t>New York : Random House, [c1985], 1984.</t>
        </is>
      </c>
      <c r="M1747" t="inlineStr">
        <is>
          <t>1985</t>
        </is>
      </c>
      <c r="N1747" t="inlineStr">
        <is>
          <t>1st American ed.</t>
        </is>
      </c>
      <c r="O1747" t="inlineStr">
        <is>
          <t>eng</t>
        </is>
      </c>
      <c r="P1747" t="inlineStr">
        <is>
          <t>nyu</t>
        </is>
      </c>
      <c r="R1747" t="inlineStr">
        <is>
          <t xml:space="preserve">DS </t>
        </is>
      </c>
      <c r="S1747" t="n">
        <v>3</v>
      </c>
      <c r="T1747" t="n">
        <v>3</v>
      </c>
      <c r="U1747" t="inlineStr">
        <is>
          <t>2006-05-15</t>
        </is>
      </c>
      <c r="V1747" t="inlineStr">
        <is>
          <t>2006-05-15</t>
        </is>
      </c>
      <c r="W1747" t="inlineStr">
        <is>
          <t>1990-10-11</t>
        </is>
      </c>
      <c r="X1747" t="inlineStr">
        <is>
          <t>1990-10-11</t>
        </is>
      </c>
      <c r="Y1747" t="n">
        <v>479</v>
      </c>
      <c r="Z1747" t="n">
        <v>462</v>
      </c>
      <c r="AA1747" t="n">
        <v>697</v>
      </c>
      <c r="AB1747" t="n">
        <v>2</v>
      </c>
      <c r="AC1747" t="n">
        <v>3</v>
      </c>
      <c r="AD1747" t="n">
        <v>7</v>
      </c>
      <c r="AE1747" t="n">
        <v>11</v>
      </c>
      <c r="AF1747" t="n">
        <v>4</v>
      </c>
      <c r="AG1747" t="n">
        <v>4</v>
      </c>
      <c r="AH1747" t="n">
        <v>2</v>
      </c>
      <c r="AI1747" t="n">
        <v>4</v>
      </c>
      <c r="AJ1747" t="n">
        <v>3</v>
      </c>
      <c r="AK1747" t="n">
        <v>5</v>
      </c>
      <c r="AL1747" t="n">
        <v>0</v>
      </c>
      <c r="AM1747" t="n">
        <v>1</v>
      </c>
      <c r="AN1747" t="n">
        <v>0</v>
      </c>
      <c r="AO1747" t="n">
        <v>0</v>
      </c>
      <c r="AP1747" t="inlineStr">
        <is>
          <t>No</t>
        </is>
      </c>
      <c r="AQ1747" t="inlineStr">
        <is>
          <t>No</t>
        </is>
      </c>
      <c r="AS1747">
        <f>HYPERLINK("https://creighton-primo.hosted.exlibrisgroup.com/primo-explore/search?tab=default_tab&amp;search_scope=EVERYTHING&amp;vid=01CRU&amp;lang=en_US&amp;offset=0&amp;query=any,contains,991000526079702656","Catalog Record")</f>
        <v/>
      </c>
      <c r="AT1747">
        <f>HYPERLINK("http://www.worldcat.org/oclc/11370658","WorldCat Record")</f>
        <v/>
      </c>
      <c r="AU1747" t="inlineStr">
        <is>
          <t>2287555575:eng</t>
        </is>
      </c>
      <c r="AV1747" t="inlineStr">
        <is>
          <t>11370658</t>
        </is>
      </c>
      <c r="AW1747" t="inlineStr">
        <is>
          <t>991000526079702656</t>
        </is>
      </c>
      <c r="AX1747" t="inlineStr">
        <is>
          <t>991000526079702656</t>
        </is>
      </c>
      <c r="AY1747" t="inlineStr">
        <is>
          <t>2259979330002656</t>
        </is>
      </c>
      <c r="AZ1747" t="inlineStr">
        <is>
          <t>BOOK</t>
        </is>
      </c>
      <c r="BB1747" t="inlineStr">
        <is>
          <t>9780394544816</t>
        </is>
      </c>
      <c r="BC1747" t="inlineStr">
        <is>
          <t>32285000337872</t>
        </is>
      </c>
      <c r="BD1747" t="inlineStr">
        <is>
          <t>893607994</t>
        </is>
      </c>
    </row>
    <row r="1748">
      <c r="A1748" t="inlineStr">
        <is>
          <t>No</t>
        </is>
      </c>
      <c r="B1748" t="inlineStr">
        <is>
          <t>DS646.33 .K43</t>
        </is>
      </c>
      <c r="C1748" t="inlineStr">
        <is>
          <t>0                      DS 0646330K  43</t>
        </is>
      </c>
      <c r="D1748" t="inlineStr">
        <is>
          <t>White man returns. Sketches by the author.</t>
        </is>
      </c>
      <c r="F1748" t="inlineStr">
        <is>
          <t>No</t>
        </is>
      </c>
      <c r="G1748" t="inlineStr">
        <is>
          <t>1</t>
        </is>
      </c>
      <c r="H1748" t="inlineStr">
        <is>
          <t>No</t>
        </is>
      </c>
      <c r="I1748" t="inlineStr">
        <is>
          <t>No</t>
        </is>
      </c>
      <c r="J1748" t="inlineStr">
        <is>
          <t>0</t>
        </is>
      </c>
      <c r="K1748" t="inlineStr">
        <is>
          <t>Keith, Agnes Newton.</t>
        </is>
      </c>
      <c r="L1748" t="inlineStr">
        <is>
          <t>Boston, Little, Brown, 1951.</t>
        </is>
      </c>
      <c r="M1748" t="inlineStr">
        <is>
          <t>1951</t>
        </is>
      </c>
      <c r="N1748" t="inlineStr">
        <is>
          <t>[1st ed.]</t>
        </is>
      </c>
      <c r="O1748" t="inlineStr">
        <is>
          <t>eng</t>
        </is>
      </c>
      <c r="P1748" t="inlineStr">
        <is>
          <t>mau</t>
        </is>
      </c>
      <c r="R1748" t="inlineStr">
        <is>
          <t xml:space="preserve">DS </t>
        </is>
      </c>
      <c r="S1748" t="n">
        <v>1</v>
      </c>
      <c r="T1748" t="n">
        <v>1</v>
      </c>
      <c r="U1748" t="inlineStr">
        <is>
          <t>2006-05-15</t>
        </is>
      </c>
      <c r="V1748" t="inlineStr">
        <is>
          <t>2006-05-15</t>
        </is>
      </c>
      <c r="W1748" t="inlineStr">
        <is>
          <t>1997-03-11</t>
        </is>
      </c>
      <c r="X1748" t="inlineStr">
        <is>
          <t>1997-03-11</t>
        </is>
      </c>
      <c r="Y1748" t="n">
        <v>620</v>
      </c>
      <c r="Z1748" t="n">
        <v>585</v>
      </c>
      <c r="AA1748" t="n">
        <v>635</v>
      </c>
      <c r="AB1748" t="n">
        <v>6</v>
      </c>
      <c r="AC1748" t="n">
        <v>7</v>
      </c>
      <c r="AD1748" t="n">
        <v>13</v>
      </c>
      <c r="AE1748" t="n">
        <v>14</v>
      </c>
      <c r="AF1748" t="n">
        <v>4</v>
      </c>
      <c r="AG1748" t="n">
        <v>5</v>
      </c>
      <c r="AH1748" t="n">
        <v>2</v>
      </c>
      <c r="AI1748" t="n">
        <v>2</v>
      </c>
      <c r="AJ1748" t="n">
        <v>4</v>
      </c>
      <c r="AK1748" t="n">
        <v>4</v>
      </c>
      <c r="AL1748" t="n">
        <v>4</v>
      </c>
      <c r="AM1748" t="n">
        <v>4</v>
      </c>
      <c r="AN1748" t="n">
        <v>0</v>
      </c>
      <c r="AO1748" t="n">
        <v>0</v>
      </c>
      <c r="AP1748" t="inlineStr">
        <is>
          <t>No</t>
        </is>
      </c>
      <c r="AQ1748" t="inlineStr">
        <is>
          <t>Yes</t>
        </is>
      </c>
      <c r="AR1748">
        <f>HYPERLINK("http://catalog.hathitrust.org/Record/001256666","HathiTrust Record")</f>
        <v/>
      </c>
      <c r="AS1748">
        <f>HYPERLINK("https://creighton-primo.hosted.exlibrisgroup.com/primo-explore/search?tab=default_tab&amp;search_scope=EVERYTHING&amp;vid=01CRU&amp;lang=en_US&amp;offset=0&amp;query=any,contains,991003344779702656","Catalog Record")</f>
        <v/>
      </c>
      <c r="AT1748">
        <f>HYPERLINK("http://www.worldcat.org/oclc/876502","WorldCat Record")</f>
        <v/>
      </c>
      <c r="AU1748" t="inlineStr">
        <is>
          <t>348178:eng</t>
        </is>
      </c>
      <c r="AV1748" t="inlineStr">
        <is>
          <t>876502</t>
        </is>
      </c>
      <c r="AW1748" t="inlineStr">
        <is>
          <t>991003344779702656</t>
        </is>
      </c>
      <c r="AX1748" t="inlineStr">
        <is>
          <t>991003344779702656</t>
        </is>
      </c>
      <c r="AY1748" t="inlineStr">
        <is>
          <t>2263833320002656</t>
        </is>
      </c>
      <c r="AZ1748" t="inlineStr">
        <is>
          <t>BOOK</t>
        </is>
      </c>
      <c r="BC1748" t="inlineStr">
        <is>
          <t>32285002445541</t>
        </is>
      </c>
      <c r="BD1748" t="inlineStr">
        <is>
          <t>893592436</t>
        </is>
      </c>
    </row>
    <row r="1749">
      <c r="A1749" t="inlineStr">
        <is>
          <t>No</t>
        </is>
      </c>
      <c r="B1749" t="inlineStr">
        <is>
          <t>DS647.B2 B4</t>
        </is>
      </c>
      <c r="C1749" t="inlineStr">
        <is>
          <t>0                      DS 0647000B  2                  B  4</t>
        </is>
      </c>
      <c r="D1749" t="inlineStr">
        <is>
          <t>Traditional Balinese culture : essays.</t>
        </is>
      </c>
      <c r="F1749" t="inlineStr">
        <is>
          <t>No</t>
        </is>
      </c>
      <c r="G1749" t="inlineStr">
        <is>
          <t>1</t>
        </is>
      </c>
      <c r="H1749" t="inlineStr">
        <is>
          <t>No</t>
        </is>
      </c>
      <c r="I1749" t="inlineStr">
        <is>
          <t>No</t>
        </is>
      </c>
      <c r="J1749" t="inlineStr">
        <is>
          <t>0</t>
        </is>
      </c>
      <c r="K1749" t="inlineStr">
        <is>
          <t>Belo, Jane, 1904-1968, compiler.</t>
        </is>
      </c>
      <c r="L1749" t="inlineStr">
        <is>
          <t>New York : Columbia University Press, 1970.</t>
        </is>
      </c>
      <c r="M1749" t="inlineStr">
        <is>
          <t>1970</t>
        </is>
      </c>
      <c r="O1749" t="inlineStr">
        <is>
          <t>eng</t>
        </is>
      </c>
      <c r="P1749" t="inlineStr">
        <is>
          <t>nyu</t>
        </is>
      </c>
      <c r="R1749" t="inlineStr">
        <is>
          <t xml:space="preserve">DS </t>
        </is>
      </c>
      <c r="S1749" t="n">
        <v>14</v>
      </c>
      <c r="T1749" t="n">
        <v>14</v>
      </c>
      <c r="U1749" t="inlineStr">
        <is>
          <t>2006-04-17</t>
        </is>
      </c>
      <c r="V1749" t="inlineStr">
        <is>
          <t>2006-04-17</t>
        </is>
      </c>
      <c r="W1749" t="inlineStr">
        <is>
          <t>1990-05-18</t>
        </is>
      </c>
      <c r="X1749" t="inlineStr">
        <is>
          <t>1990-05-18</t>
        </is>
      </c>
      <c r="Y1749" t="n">
        <v>611</v>
      </c>
      <c r="Z1749" t="n">
        <v>489</v>
      </c>
      <c r="AA1749" t="n">
        <v>492</v>
      </c>
      <c r="AB1749" t="n">
        <v>4</v>
      </c>
      <c r="AC1749" t="n">
        <v>4</v>
      </c>
      <c r="AD1749" t="n">
        <v>20</v>
      </c>
      <c r="AE1749" t="n">
        <v>20</v>
      </c>
      <c r="AF1749" t="n">
        <v>7</v>
      </c>
      <c r="AG1749" t="n">
        <v>7</v>
      </c>
      <c r="AH1749" t="n">
        <v>4</v>
      </c>
      <c r="AI1749" t="n">
        <v>4</v>
      </c>
      <c r="AJ1749" t="n">
        <v>8</v>
      </c>
      <c r="AK1749" t="n">
        <v>8</v>
      </c>
      <c r="AL1749" t="n">
        <v>3</v>
      </c>
      <c r="AM1749" t="n">
        <v>3</v>
      </c>
      <c r="AN1749" t="n">
        <v>0</v>
      </c>
      <c r="AO1749" t="n">
        <v>0</v>
      </c>
      <c r="AP1749" t="inlineStr">
        <is>
          <t>No</t>
        </is>
      </c>
      <c r="AQ1749" t="inlineStr">
        <is>
          <t>No</t>
        </is>
      </c>
      <c r="AS1749">
        <f>HYPERLINK("https://creighton-primo.hosted.exlibrisgroup.com/primo-explore/search?tab=default_tab&amp;search_scope=EVERYTHING&amp;vid=01CRU&amp;lang=en_US&amp;offset=0&amp;query=any,contains,991000545679702656","Catalog Record")</f>
        <v/>
      </c>
      <c r="AT1749">
        <f>HYPERLINK("http://www.worldcat.org/oclc/91322","WorldCat Record")</f>
        <v/>
      </c>
      <c r="AU1749" t="inlineStr">
        <is>
          <t>480938683:eng</t>
        </is>
      </c>
      <c r="AV1749" t="inlineStr">
        <is>
          <t>91322</t>
        </is>
      </c>
      <c r="AW1749" t="inlineStr">
        <is>
          <t>991000545679702656</t>
        </is>
      </c>
      <c r="AX1749" t="inlineStr">
        <is>
          <t>991000545679702656</t>
        </is>
      </c>
      <c r="AY1749" t="inlineStr">
        <is>
          <t>2264513360002656</t>
        </is>
      </c>
      <c r="AZ1749" t="inlineStr">
        <is>
          <t>BOOK</t>
        </is>
      </c>
      <c r="BB1749" t="inlineStr">
        <is>
          <t>9780231030847</t>
        </is>
      </c>
      <c r="BC1749" t="inlineStr">
        <is>
          <t>32285000155050</t>
        </is>
      </c>
      <c r="BD1749" t="inlineStr">
        <is>
          <t>893407294</t>
        </is>
      </c>
    </row>
    <row r="1750">
      <c r="A1750" t="inlineStr">
        <is>
          <t>No</t>
        </is>
      </c>
      <c r="B1750" t="inlineStr">
        <is>
          <t>DS647.B2 C68 1986</t>
        </is>
      </c>
      <c r="C1750" t="inlineStr">
        <is>
          <t>0                      DS 0647000B  2                  C  68          1986</t>
        </is>
      </c>
      <c r="D1750" t="inlineStr">
        <is>
          <t>Island of Bali / by Miguel Covarrubias.</t>
        </is>
      </c>
      <c r="F1750" t="inlineStr">
        <is>
          <t>No</t>
        </is>
      </c>
      <c r="G1750" t="inlineStr">
        <is>
          <t>1</t>
        </is>
      </c>
      <c r="H1750" t="inlineStr">
        <is>
          <t>No</t>
        </is>
      </c>
      <c r="I1750" t="inlineStr">
        <is>
          <t>No</t>
        </is>
      </c>
      <c r="J1750" t="inlineStr">
        <is>
          <t>0</t>
        </is>
      </c>
      <c r="K1750" t="inlineStr">
        <is>
          <t>Covarrubias, Miguel, 1904-1957.</t>
        </is>
      </c>
      <c r="L1750" t="inlineStr">
        <is>
          <t>London : KPI, 1986, c1973</t>
        </is>
      </c>
      <c r="M1750" t="inlineStr">
        <is>
          <t>1986</t>
        </is>
      </c>
      <c r="O1750" t="inlineStr">
        <is>
          <t>eng</t>
        </is>
      </c>
      <c r="P1750" t="inlineStr">
        <is>
          <t>enk</t>
        </is>
      </c>
      <c r="Q1750" t="inlineStr">
        <is>
          <t>Pacific Basin books</t>
        </is>
      </c>
      <c r="R1750" t="inlineStr">
        <is>
          <t xml:space="preserve">DS </t>
        </is>
      </c>
      <c r="S1750" t="n">
        <v>4</v>
      </c>
      <c r="T1750" t="n">
        <v>4</v>
      </c>
      <c r="U1750" t="inlineStr">
        <is>
          <t>2006-04-17</t>
        </is>
      </c>
      <c r="V1750" t="inlineStr">
        <is>
          <t>2006-04-17</t>
        </is>
      </c>
      <c r="W1750" t="inlineStr">
        <is>
          <t>1996-11-12</t>
        </is>
      </c>
      <c r="X1750" t="inlineStr">
        <is>
          <t>1996-11-12</t>
        </is>
      </c>
      <c r="Y1750" t="n">
        <v>120</v>
      </c>
      <c r="Z1750" t="n">
        <v>68</v>
      </c>
      <c r="AA1750" t="n">
        <v>876</v>
      </c>
      <c r="AB1750" t="n">
        <v>1</v>
      </c>
      <c r="AC1750" t="n">
        <v>6</v>
      </c>
      <c r="AD1750" t="n">
        <v>1</v>
      </c>
      <c r="AE1750" t="n">
        <v>24</v>
      </c>
      <c r="AF1750" t="n">
        <v>1</v>
      </c>
      <c r="AG1750" t="n">
        <v>10</v>
      </c>
      <c r="AH1750" t="n">
        <v>1</v>
      </c>
      <c r="AI1750" t="n">
        <v>5</v>
      </c>
      <c r="AJ1750" t="n">
        <v>0</v>
      </c>
      <c r="AK1750" t="n">
        <v>13</v>
      </c>
      <c r="AL1750" t="n">
        <v>0</v>
      </c>
      <c r="AM1750" t="n">
        <v>4</v>
      </c>
      <c r="AN1750" t="n">
        <v>0</v>
      </c>
      <c r="AO1750" t="n">
        <v>0</v>
      </c>
      <c r="AP1750" t="inlineStr">
        <is>
          <t>No</t>
        </is>
      </c>
      <c r="AQ1750" t="inlineStr">
        <is>
          <t>No</t>
        </is>
      </c>
      <c r="AS1750">
        <f>HYPERLINK("https://creighton-primo.hosted.exlibrisgroup.com/primo-explore/search?tab=default_tab&amp;search_scope=EVERYTHING&amp;vid=01CRU&amp;lang=en_US&amp;offset=0&amp;query=any,contains,991001075999702656","Catalog Record")</f>
        <v/>
      </c>
      <c r="AT1750">
        <f>HYPERLINK("http://www.worldcat.org/oclc/16013560","WorldCat Record")</f>
        <v/>
      </c>
      <c r="AU1750" t="inlineStr">
        <is>
          <t>1069335:eng</t>
        </is>
      </c>
      <c r="AV1750" t="inlineStr">
        <is>
          <t>16013560</t>
        </is>
      </c>
      <c r="AW1750" t="inlineStr">
        <is>
          <t>991001075999702656</t>
        </is>
      </c>
      <c r="AX1750" t="inlineStr">
        <is>
          <t>991001075999702656</t>
        </is>
      </c>
      <c r="AY1750" t="inlineStr">
        <is>
          <t>2256014520002656</t>
        </is>
      </c>
      <c r="AZ1750" t="inlineStr">
        <is>
          <t>BOOK</t>
        </is>
      </c>
      <c r="BB1750" t="inlineStr">
        <is>
          <t>9780710301345</t>
        </is>
      </c>
      <c r="BC1750" t="inlineStr">
        <is>
          <t>32285002395266</t>
        </is>
      </c>
      <c r="BD1750" t="inlineStr">
        <is>
          <t>893249943</t>
        </is>
      </c>
    </row>
    <row r="1751">
      <c r="A1751" t="inlineStr">
        <is>
          <t>No</t>
        </is>
      </c>
      <c r="B1751" t="inlineStr">
        <is>
          <t>DS647.B2 E35 1990, v...</t>
        </is>
      </c>
      <c r="C1751" t="inlineStr">
        <is>
          <t>0                      DS 0647000B  2                  E  35          1990                  v...</t>
        </is>
      </c>
      <c r="D1751" t="inlineStr">
        <is>
          <t>Bali, sekala and niskala / Fred B. Eiseman, Jr., with two chapters by Margaret Eiseman.</t>
        </is>
      </c>
      <c r="E1751" t="inlineStr">
        <is>
          <t>V.1</t>
        </is>
      </c>
      <c r="F1751" t="inlineStr">
        <is>
          <t>Yes</t>
        </is>
      </c>
      <c r="G1751" t="inlineStr">
        <is>
          <t>1</t>
        </is>
      </c>
      <c r="H1751" t="inlineStr">
        <is>
          <t>No</t>
        </is>
      </c>
      <c r="I1751" t="inlineStr">
        <is>
          <t>No</t>
        </is>
      </c>
      <c r="J1751" t="inlineStr">
        <is>
          <t>0</t>
        </is>
      </c>
      <c r="K1751" t="inlineStr">
        <is>
          <t>Eiseman, Fred B., Jr., 1926-2013.</t>
        </is>
      </c>
      <c r="L1751" t="inlineStr">
        <is>
          <t>Berkeley, Calif. : Periplus Editions, c1990-</t>
        </is>
      </c>
      <c r="M1751" t="inlineStr">
        <is>
          <t>1990</t>
        </is>
      </c>
      <c r="O1751" t="inlineStr">
        <is>
          <t>eng</t>
        </is>
      </c>
      <c r="P1751" t="inlineStr">
        <is>
          <t>cau</t>
        </is>
      </c>
      <c r="R1751" t="inlineStr">
        <is>
          <t xml:space="preserve">DS </t>
        </is>
      </c>
      <c r="S1751" t="n">
        <v>4</v>
      </c>
      <c r="T1751" t="n">
        <v>5</v>
      </c>
      <c r="U1751" t="inlineStr">
        <is>
          <t>2006-04-17</t>
        </is>
      </c>
      <c r="V1751" t="inlineStr">
        <is>
          <t>2006-04-17</t>
        </is>
      </c>
      <c r="W1751" t="inlineStr">
        <is>
          <t>1996-11-08</t>
        </is>
      </c>
      <c r="X1751" t="inlineStr">
        <is>
          <t>1996-11-08</t>
        </is>
      </c>
      <c r="Y1751" t="n">
        <v>185</v>
      </c>
      <c r="Z1751" t="n">
        <v>111</v>
      </c>
      <c r="AA1751" t="n">
        <v>116</v>
      </c>
      <c r="AB1751" t="n">
        <v>1</v>
      </c>
      <c r="AC1751" t="n">
        <v>1</v>
      </c>
      <c r="AD1751" t="n">
        <v>1</v>
      </c>
      <c r="AE1751" t="n">
        <v>1</v>
      </c>
      <c r="AF1751" t="n">
        <v>0</v>
      </c>
      <c r="AG1751" t="n">
        <v>0</v>
      </c>
      <c r="AH1751" t="n">
        <v>0</v>
      </c>
      <c r="AI1751" t="n">
        <v>0</v>
      </c>
      <c r="AJ1751" t="n">
        <v>1</v>
      </c>
      <c r="AK1751" t="n">
        <v>1</v>
      </c>
      <c r="AL1751" t="n">
        <v>0</v>
      </c>
      <c r="AM1751" t="n">
        <v>0</v>
      </c>
      <c r="AN1751" t="n">
        <v>0</v>
      </c>
      <c r="AO1751" t="n">
        <v>0</v>
      </c>
      <c r="AP1751" t="inlineStr">
        <is>
          <t>No</t>
        </is>
      </c>
      <c r="AQ1751" t="inlineStr">
        <is>
          <t>Yes</t>
        </is>
      </c>
      <c r="AR1751">
        <f>HYPERLINK("http://catalog.hathitrust.org/Record/001841908","HathiTrust Record")</f>
        <v/>
      </c>
      <c r="AS1751">
        <f>HYPERLINK("https://creighton-primo.hosted.exlibrisgroup.com/primo-explore/search?tab=default_tab&amp;search_scope=EVERYTHING&amp;vid=01CRU&amp;lang=en_US&amp;offset=0&amp;query=any,contains,991001619669702656","Catalog Record")</f>
        <v/>
      </c>
      <c r="AT1751">
        <f>HYPERLINK("http://www.worldcat.org/oclc/20801506","WorldCat Record")</f>
        <v/>
      </c>
      <c r="AU1751" t="inlineStr">
        <is>
          <t>2822283128:eng</t>
        </is>
      </c>
      <c r="AV1751" t="inlineStr">
        <is>
          <t>20801506</t>
        </is>
      </c>
      <c r="AW1751" t="inlineStr">
        <is>
          <t>991001619669702656</t>
        </is>
      </c>
      <c r="AX1751" t="inlineStr">
        <is>
          <t>991001619669702656</t>
        </is>
      </c>
      <c r="AY1751" t="inlineStr">
        <is>
          <t>2255922140002656</t>
        </is>
      </c>
      <c r="AZ1751" t="inlineStr">
        <is>
          <t>BOOK</t>
        </is>
      </c>
      <c r="BB1751" t="inlineStr">
        <is>
          <t>9780945971030</t>
        </is>
      </c>
      <c r="BC1751" t="inlineStr">
        <is>
          <t>32285001419281</t>
        </is>
      </c>
      <c r="BD1751" t="inlineStr">
        <is>
          <t>893797673</t>
        </is>
      </c>
    </row>
    <row r="1752">
      <c r="A1752" t="inlineStr">
        <is>
          <t>No</t>
        </is>
      </c>
      <c r="B1752" t="inlineStr">
        <is>
          <t>DS647.B2 E35 1990, v...</t>
        </is>
      </c>
      <c r="C1752" t="inlineStr">
        <is>
          <t>0                      DS 0647000B  2                  E  35          1990                  v...</t>
        </is>
      </c>
      <c r="D1752" t="inlineStr">
        <is>
          <t>Bali, sekala and niskala / Fred B. Eiseman, Jr., with two chapters by Margaret Eiseman.</t>
        </is>
      </c>
      <c r="E1752" t="inlineStr">
        <is>
          <t>V.2</t>
        </is>
      </c>
      <c r="F1752" t="inlineStr">
        <is>
          <t>Yes</t>
        </is>
      </c>
      <c r="G1752" t="inlineStr">
        <is>
          <t>1</t>
        </is>
      </c>
      <c r="H1752" t="inlineStr">
        <is>
          <t>No</t>
        </is>
      </c>
      <c r="I1752" t="inlineStr">
        <is>
          <t>No</t>
        </is>
      </c>
      <c r="J1752" t="inlineStr">
        <is>
          <t>0</t>
        </is>
      </c>
      <c r="K1752" t="inlineStr">
        <is>
          <t>Eiseman, Fred B., Jr., 1926-2013.</t>
        </is>
      </c>
      <c r="L1752" t="inlineStr">
        <is>
          <t>Berkeley, Calif. : Periplus Editions, c1990-</t>
        </is>
      </c>
      <c r="M1752" t="inlineStr">
        <is>
          <t>1990</t>
        </is>
      </c>
      <c r="O1752" t="inlineStr">
        <is>
          <t>eng</t>
        </is>
      </c>
      <c r="P1752" t="inlineStr">
        <is>
          <t>cau</t>
        </is>
      </c>
      <c r="R1752" t="inlineStr">
        <is>
          <t xml:space="preserve">DS </t>
        </is>
      </c>
      <c r="S1752" t="n">
        <v>1</v>
      </c>
      <c r="T1752" t="n">
        <v>5</v>
      </c>
      <c r="U1752" t="inlineStr">
        <is>
          <t>1998-11-16</t>
        </is>
      </c>
      <c r="V1752" t="inlineStr">
        <is>
          <t>2006-04-17</t>
        </is>
      </c>
      <c r="W1752" t="inlineStr">
        <is>
          <t>1996-11-08</t>
        </is>
      </c>
      <c r="X1752" t="inlineStr">
        <is>
          <t>1996-11-08</t>
        </is>
      </c>
      <c r="Y1752" t="n">
        <v>185</v>
      </c>
      <c r="Z1752" t="n">
        <v>111</v>
      </c>
      <c r="AA1752" t="n">
        <v>116</v>
      </c>
      <c r="AB1752" t="n">
        <v>1</v>
      </c>
      <c r="AC1752" t="n">
        <v>1</v>
      </c>
      <c r="AD1752" t="n">
        <v>1</v>
      </c>
      <c r="AE1752" t="n">
        <v>1</v>
      </c>
      <c r="AF1752" t="n">
        <v>0</v>
      </c>
      <c r="AG1752" t="n">
        <v>0</v>
      </c>
      <c r="AH1752" t="n">
        <v>0</v>
      </c>
      <c r="AI1752" t="n">
        <v>0</v>
      </c>
      <c r="AJ1752" t="n">
        <v>1</v>
      </c>
      <c r="AK1752" t="n">
        <v>1</v>
      </c>
      <c r="AL1752" t="n">
        <v>0</v>
      </c>
      <c r="AM1752" t="n">
        <v>0</v>
      </c>
      <c r="AN1752" t="n">
        <v>0</v>
      </c>
      <c r="AO1752" t="n">
        <v>0</v>
      </c>
      <c r="AP1752" t="inlineStr">
        <is>
          <t>No</t>
        </is>
      </c>
      <c r="AQ1752" t="inlineStr">
        <is>
          <t>Yes</t>
        </is>
      </c>
      <c r="AR1752">
        <f>HYPERLINK("http://catalog.hathitrust.org/Record/001841908","HathiTrust Record")</f>
        <v/>
      </c>
      <c r="AS1752">
        <f>HYPERLINK("https://creighton-primo.hosted.exlibrisgroup.com/primo-explore/search?tab=default_tab&amp;search_scope=EVERYTHING&amp;vid=01CRU&amp;lang=en_US&amp;offset=0&amp;query=any,contains,991001619669702656","Catalog Record")</f>
        <v/>
      </c>
      <c r="AT1752">
        <f>HYPERLINK("http://www.worldcat.org/oclc/20801506","WorldCat Record")</f>
        <v/>
      </c>
      <c r="AU1752" t="inlineStr">
        <is>
          <t>2822283128:eng</t>
        </is>
      </c>
      <c r="AV1752" t="inlineStr">
        <is>
          <t>20801506</t>
        </is>
      </c>
      <c r="AW1752" t="inlineStr">
        <is>
          <t>991001619669702656</t>
        </is>
      </c>
      <c r="AX1752" t="inlineStr">
        <is>
          <t>991001619669702656</t>
        </is>
      </c>
      <c r="AY1752" t="inlineStr">
        <is>
          <t>2255922140002656</t>
        </is>
      </c>
      <c r="AZ1752" t="inlineStr">
        <is>
          <t>BOOK</t>
        </is>
      </c>
      <c r="BB1752" t="inlineStr">
        <is>
          <t>9780945971030</t>
        </is>
      </c>
      <c r="BC1752" t="inlineStr">
        <is>
          <t>32285001419299</t>
        </is>
      </c>
      <c r="BD1752" t="inlineStr">
        <is>
          <t>893797672</t>
        </is>
      </c>
    </row>
    <row r="1753">
      <c r="A1753" t="inlineStr">
        <is>
          <t>No</t>
        </is>
      </c>
      <c r="B1753" t="inlineStr">
        <is>
          <t>DS647.B2 H58 1996</t>
        </is>
      </c>
      <c r="C1753" t="inlineStr">
        <is>
          <t>0                      DS 0647000B  2                  H  58          1996</t>
        </is>
      </c>
      <c r="D1753" t="inlineStr">
        <is>
          <t>The peoples of Bali / Angela Hobart, Urs Ramseyer, and Albert Leemann.</t>
        </is>
      </c>
      <c r="F1753" t="inlineStr">
        <is>
          <t>No</t>
        </is>
      </c>
      <c r="G1753" t="inlineStr">
        <is>
          <t>1</t>
        </is>
      </c>
      <c r="H1753" t="inlineStr">
        <is>
          <t>No</t>
        </is>
      </c>
      <c r="I1753" t="inlineStr">
        <is>
          <t>No</t>
        </is>
      </c>
      <c r="J1753" t="inlineStr">
        <is>
          <t>0</t>
        </is>
      </c>
      <c r="K1753" t="inlineStr">
        <is>
          <t>Hobart, Angela.</t>
        </is>
      </c>
      <c r="L1753" t="inlineStr">
        <is>
          <t>Oxford ; Cambridge, Mass., USA : Blackwell, c1996.</t>
        </is>
      </c>
      <c r="M1753" t="inlineStr">
        <is>
          <t>1996</t>
        </is>
      </c>
      <c r="O1753" t="inlineStr">
        <is>
          <t>eng</t>
        </is>
      </c>
      <c r="P1753" t="inlineStr">
        <is>
          <t>enk</t>
        </is>
      </c>
      <c r="Q1753" t="inlineStr">
        <is>
          <t>The peoples of South-East Asia and the Pacific</t>
        </is>
      </c>
      <c r="R1753" t="inlineStr">
        <is>
          <t xml:space="preserve">DS </t>
        </is>
      </c>
      <c r="S1753" t="n">
        <v>3</v>
      </c>
      <c r="T1753" t="n">
        <v>3</v>
      </c>
      <c r="U1753" t="inlineStr">
        <is>
          <t>2006-04-17</t>
        </is>
      </c>
      <c r="V1753" t="inlineStr">
        <is>
          <t>2006-04-17</t>
        </is>
      </c>
      <c r="W1753" t="inlineStr">
        <is>
          <t>1997-12-05</t>
        </is>
      </c>
      <c r="X1753" t="inlineStr">
        <is>
          <t>1997-12-05</t>
        </is>
      </c>
      <c r="Y1753" t="n">
        <v>447</v>
      </c>
      <c r="Z1753" t="n">
        <v>333</v>
      </c>
      <c r="AA1753" t="n">
        <v>362</v>
      </c>
      <c r="AB1753" t="n">
        <v>1</v>
      </c>
      <c r="AC1753" t="n">
        <v>1</v>
      </c>
      <c r="AD1753" t="n">
        <v>12</v>
      </c>
      <c r="AE1753" t="n">
        <v>12</v>
      </c>
      <c r="AF1753" t="n">
        <v>4</v>
      </c>
      <c r="AG1753" t="n">
        <v>4</v>
      </c>
      <c r="AH1753" t="n">
        <v>4</v>
      </c>
      <c r="AI1753" t="n">
        <v>4</v>
      </c>
      <c r="AJ1753" t="n">
        <v>9</v>
      </c>
      <c r="AK1753" t="n">
        <v>9</v>
      </c>
      <c r="AL1753" t="n">
        <v>0</v>
      </c>
      <c r="AM1753" t="n">
        <v>0</v>
      </c>
      <c r="AN1753" t="n">
        <v>0</v>
      </c>
      <c r="AO1753" t="n">
        <v>0</v>
      </c>
      <c r="AP1753" t="inlineStr">
        <is>
          <t>No</t>
        </is>
      </c>
      <c r="AQ1753" t="inlineStr">
        <is>
          <t>No</t>
        </is>
      </c>
      <c r="AS1753">
        <f>HYPERLINK("https://creighton-primo.hosted.exlibrisgroup.com/primo-explore/search?tab=default_tab&amp;search_scope=EVERYTHING&amp;vid=01CRU&amp;lang=en_US&amp;offset=0&amp;query=any,contains,991002585829702656","Catalog Record")</f>
        <v/>
      </c>
      <c r="AT1753">
        <f>HYPERLINK("http://www.worldcat.org/oclc/33897434","WorldCat Record")</f>
        <v/>
      </c>
      <c r="AU1753" t="inlineStr">
        <is>
          <t>39883720:eng</t>
        </is>
      </c>
      <c r="AV1753" t="inlineStr">
        <is>
          <t>33897434</t>
        </is>
      </c>
      <c r="AW1753" t="inlineStr">
        <is>
          <t>991002585829702656</t>
        </is>
      </c>
      <c r="AX1753" t="inlineStr">
        <is>
          <t>991002585829702656</t>
        </is>
      </c>
      <c r="AY1753" t="inlineStr">
        <is>
          <t>2270880840002656</t>
        </is>
      </c>
      <c r="AZ1753" t="inlineStr">
        <is>
          <t>BOOK</t>
        </is>
      </c>
      <c r="BB1753" t="inlineStr">
        <is>
          <t>9780631176879</t>
        </is>
      </c>
      <c r="BC1753" t="inlineStr">
        <is>
          <t>32285003281705</t>
        </is>
      </c>
      <c r="BD1753" t="inlineStr">
        <is>
          <t>893445257</t>
        </is>
      </c>
    </row>
    <row r="1754">
      <c r="A1754" t="inlineStr">
        <is>
          <t>No</t>
        </is>
      </c>
      <c r="B1754" t="inlineStr">
        <is>
          <t>DS65 .H513 1973</t>
        </is>
      </c>
      <c r="C1754" t="inlineStr">
        <is>
          <t>0                      DS 0065000H  513         1973</t>
        </is>
      </c>
      <c r="D1754" t="inlineStr">
        <is>
          <t>The lost world of Elam; re-creation of a vanished civilization. Translated [from the German] by Jennifer Barnes.</t>
        </is>
      </c>
      <c r="F1754" t="inlineStr">
        <is>
          <t>No</t>
        </is>
      </c>
      <c r="G1754" t="inlineStr">
        <is>
          <t>1</t>
        </is>
      </c>
      <c r="H1754" t="inlineStr">
        <is>
          <t>No</t>
        </is>
      </c>
      <c r="I1754" t="inlineStr">
        <is>
          <t>No</t>
        </is>
      </c>
      <c r="J1754" t="inlineStr">
        <is>
          <t>0</t>
        </is>
      </c>
      <c r="K1754" t="inlineStr">
        <is>
          <t>Hinz, Walther, 1906-1992.</t>
        </is>
      </c>
      <c r="L1754" t="inlineStr">
        <is>
          <t>New York, New York University Press, 1973 [c1972]</t>
        </is>
      </c>
      <c r="M1754" t="inlineStr">
        <is>
          <t>1973</t>
        </is>
      </c>
      <c r="O1754" t="inlineStr">
        <is>
          <t>eng</t>
        </is>
      </c>
      <c r="P1754" t="inlineStr">
        <is>
          <t xml:space="preserve">xx </t>
        </is>
      </c>
      <c r="R1754" t="inlineStr">
        <is>
          <t xml:space="preserve">DS </t>
        </is>
      </c>
      <c r="S1754" t="n">
        <v>0</v>
      </c>
      <c r="T1754" t="n">
        <v>0</v>
      </c>
      <c r="U1754" t="inlineStr">
        <is>
          <t>2008-11-18</t>
        </is>
      </c>
      <c r="V1754" t="inlineStr">
        <is>
          <t>2008-11-18</t>
        </is>
      </c>
      <c r="W1754" t="inlineStr">
        <is>
          <t>1997-02-24</t>
        </is>
      </c>
      <c r="X1754" t="inlineStr">
        <is>
          <t>1997-02-24</t>
        </is>
      </c>
      <c r="Y1754" t="n">
        <v>464</v>
      </c>
      <c r="Z1754" t="n">
        <v>435</v>
      </c>
      <c r="AA1754" t="n">
        <v>582</v>
      </c>
      <c r="AB1754" t="n">
        <v>3</v>
      </c>
      <c r="AC1754" t="n">
        <v>3</v>
      </c>
      <c r="AD1754" t="n">
        <v>13</v>
      </c>
      <c r="AE1754" t="n">
        <v>16</v>
      </c>
      <c r="AF1754" t="n">
        <v>4</v>
      </c>
      <c r="AG1754" t="n">
        <v>4</v>
      </c>
      <c r="AH1754" t="n">
        <v>3</v>
      </c>
      <c r="AI1754" t="n">
        <v>4</v>
      </c>
      <c r="AJ1754" t="n">
        <v>7</v>
      </c>
      <c r="AK1754" t="n">
        <v>9</v>
      </c>
      <c r="AL1754" t="n">
        <v>2</v>
      </c>
      <c r="AM1754" t="n">
        <v>2</v>
      </c>
      <c r="AN1754" t="n">
        <v>0</v>
      </c>
      <c r="AO1754" t="n">
        <v>0</v>
      </c>
      <c r="AP1754" t="inlineStr">
        <is>
          <t>No</t>
        </is>
      </c>
      <c r="AQ1754" t="inlineStr">
        <is>
          <t>No</t>
        </is>
      </c>
      <c r="AS1754">
        <f>HYPERLINK("https://creighton-primo.hosted.exlibrisgroup.com/primo-explore/search?tab=default_tab&amp;search_scope=EVERYTHING&amp;vid=01CRU&amp;lang=en_US&amp;offset=0&amp;query=any,contains,991003081839702656","Catalog Record")</f>
        <v/>
      </c>
      <c r="AT1754">
        <f>HYPERLINK("http://www.worldcat.org/oclc/633902","WorldCat Record")</f>
        <v/>
      </c>
      <c r="AU1754" t="inlineStr">
        <is>
          <t>4926263448:eng</t>
        </is>
      </c>
      <c r="AV1754" t="inlineStr">
        <is>
          <t>633902</t>
        </is>
      </c>
      <c r="AW1754" t="inlineStr">
        <is>
          <t>991003081839702656</t>
        </is>
      </c>
      <c r="AX1754" t="inlineStr">
        <is>
          <t>991003081839702656</t>
        </is>
      </c>
      <c r="AY1754" t="inlineStr">
        <is>
          <t>2256774730002656</t>
        </is>
      </c>
      <c r="AZ1754" t="inlineStr">
        <is>
          <t>BOOK</t>
        </is>
      </c>
      <c r="BB1754" t="inlineStr">
        <is>
          <t>9780283978630</t>
        </is>
      </c>
      <c r="BC1754" t="inlineStr">
        <is>
          <t>32285002460227</t>
        </is>
      </c>
      <c r="BD1754" t="inlineStr">
        <is>
          <t>893780593</t>
        </is>
      </c>
    </row>
    <row r="1755">
      <c r="A1755" t="inlineStr">
        <is>
          <t>No</t>
        </is>
      </c>
      <c r="B1755" t="inlineStr">
        <is>
          <t>DS653 .B63</t>
        </is>
      </c>
      <c r="C1755" t="inlineStr">
        <is>
          <t>0                      DS 0653000B  63</t>
        </is>
      </c>
      <c r="D1755" t="inlineStr">
        <is>
          <t>The Philippine islands, 1493-1803.</t>
        </is>
      </c>
      <c r="E1755" t="inlineStr">
        <is>
          <t>V.34</t>
        </is>
      </c>
      <c r="F1755" t="inlineStr">
        <is>
          <t>Yes</t>
        </is>
      </c>
      <c r="G1755" t="inlineStr">
        <is>
          <t>1</t>
        </is>
      </c>
      <c r="H1755" t="inlineStr">
        <is>
          <t>No</t>
        </is>
      </c>
      <c r="I1755" t="inlineStr">
        <is>
          <t>No</t>
        </is>
      </c>
      <c r="J1755" t="inlineStr">
        <is>
          <t>0</t>
        </is>
      </c>
      <c r="K1755" t="inlineStr">
        <is>
          <t>Blair, Emma Helen, 1851-1911, editor.</t>
        </is>
      </c>
      <c r="L1755" t="inlineStr">
        <is>
          <t>Cleveland, Ohio : The A.H. Clark company, 1903-09.</t>
        </is>
      </c>
      <c r="M1755" t="inlineStr">
        <is>
          <t>1903</t>
        </is>
      </c>
      <c r="O1755" t="inlineStr">
        <is>
          <t>eng</t>
        </is>
      </c>
      <c r="P1755" t="inlineStr">
        <is>
          <t xml:space="preserve">xx </t>
        </is>
      </c>
      <c r="R1755" t="inlineStr">
        <is>
          <t xml:space="preserve">DS </t>
        </is>
      </c>
      <c r="S1755" t="n">
        <v>2</v>
      </c>
      <c r="T1755" t="n">
        <v>84</v>
      </c>
      <c r="U1755" t="inlineStr">
        <is>
          <t>2004-10-05</t>
        </is>
      </c>
      <c r="V1755" t="inlineStr">
        <is>
          <t>2004-10-05</t>
        </is>
      </c>
      <c r="W1755" t="inlineStr">
        <is>
          <t>1994-11-14</t>
        </is>
      </c>
      <c r="X1755" t="inlineStr">
        <is>
          <t>1994-11-15</t>
        </is>
      </c>
      <c r="Y1755" t="n">
        <v>198</v>
      </c>
      <c r="Z1755" t="n">
        <v>171</v>
      </c>
      <c r="AA1755" t="n">
        <v>207</v>
      </c>
      <c r="AB1755" t="n">
        <v>2</v>
      </c>
      <c r="AC1755" t="n">
        <v>2</v>
      </c>
      <c r="AD1755" t="n">
        <v>16</v>
      </c>
      <c r="AE1755" t="n">
        <v>16</v>
      </c>
      <c r="AF1755" t="n">
        <v>4</v>
      </c>
      <c r="AG1755" t="n">
        <v>4</v>
      </c>
      <c r="AH1755" t="n">
        <v>4</v>
      </c>
      <c r="AI1755" t="n">
        <v>4</v>
      </c>
      <c r="AJ1755" t="n">
        <v>10</v>
      </c>
      <c r="AK1755" t="n">
        <v>10</v>
      </c>
      <c r="AL1755" t="n">
        <v>1</v>
      </c>
      <c r="AM1755" t="n">
        <v>1</v>
      </c>
      <c r="AN1755" t="n">
        <v>0</v>
      </c>
      <c r="AO1755" t="n">
        <v>0</v>
      </c>
      <c r="AP1755" t="inlineStr">
        <is>
          <t>Yes</t>
        </is>
      </c>
      <c r="AQ1755" t="inlineStr">
        <is>
          <t>No</t>
        </is>
      </c>
      <c r="AR1755">
        <f>HYPERLINK("http://catalog.hathitrust.org/Record/001267282","HathiTrust Record")</f>
        <v/>
      </c>
      <c r="AS1755">
        <f>HYPERLINK("https://creighton-primo.hosted.exlibrisgroup.com/primo-explore/search?tab=default_tab&amp;search_scope=EVERYTHING&amp;vid=01CRU&amp;lang=en_US&amp;offset=0&amp;query=any,contains,991002797719702656","Catalog Record")</f>
        <v/>
      </c>
      <c r="AT1755">
        <f>HYPERLINK("http://www.worldcat.org/oclc/445792","WorldCat Record")</f>
        <v/>
      </c>
      <c r="AU1755" t="inlineStr">
        <is>
          <t>5417037337:eng</t>
        </is>
      </c>
      <c r="AV1755" t="inlineStr">
        <is>
          <t>445792</t>
        </is>
      </c>
      <c r="AW1755" t="inlineStr">
        <is>
          <t>991002797719702656</t>
        </is>
      </c>
      <c r="AX1755" t="inlineStr">
        <is>
          <t>991002797719702656</t>
        </is>
      </c>
      <c r="AY1755" t="inlineStr">
        <is>
          <t>2262962570002656</t>
        </is>
      </c>
      <c r="AZ1755" t="inlineStr">
        <is>
          <t>BOOK</t>
        </is>
      </c>
      <c r="BC1755" t="inlineStr">
        <is>
          <t>32285001966380</t>
        </is>
      </c>
      <c r="BD1755" t="inlineStr">
        <is>
          <t>893445366</t>
        </is>
      </c>
    </row>
    <row r="1756">
      <c r="A1756" t="inlineStr">
        <is>
          <t>No</t>
        </is>
      </c>
      <c r="B1756" t="inlineStr">
        <is>
          <t>DS653 .B63</t>
        </is>
      </c>
      <c r="C1756" t="inlineStr">
        <is>
          <t>0                      DS 0653000B  63</t>
        </is>
      </c>
      <c r="D1756" t="inlineStr">
        <is>
          <t>The Philippine islands, 1493-1803.</t>
        </is>
      </c>
      <c r="E1756" t="inlineStr">
        <is>
          <t>V.28</t>
        </is>
      </c>
      <c r="F1756" t="inlineStr">
        <is>
          <t>Yes</t>
        </is>
      </c>
      <c r="G1756" t="inlineStr">
        <is>
          <t>1</t>
        </is>
      </c>
      <c r="H1756" t="inlineStr">
        <is>
          <t>No</t>
        </is>
      </c>
      <c r="I1756" t="inlineStr">
        <is>
          <t>No</t>
        </is>
      </c>
      <c r="J1756" t="inlineStr">
        <is>
          <t>0</t>
        </is>
      </c>
      <c r="K1756" t="inlineStr">
        <is>
          <t>Blair, Emma Helen, 1851-1911, editor.</t>
        </is>
      </c>
      <c r="L1756" t="inlineStr">
        <is>
          <t>Cleveland, Ohio : The A.H. Clark company, 1903-09.</t>
        </is>
      </c>
      <c r="M1756" t="inlineStr">
        <is>
          <t>1903</t>
        </is>
      </c>
      <c r="O1756" t="inlineStr">
        <is>
          <t>eng</t>
        </is>
      </c>
      <c r="P1756" t="inlineStr">
        <is>
          <t xml:space="preserve">xx </t>
        </is>
      </c>
      <c r="R1756" t="inlineStr">
        <is>
          <t xml:space="preserve">DS </t>
        </is>
      </c>
      <c r="S1756" t="n">
        <v>2</v>
      </c>
      <c r="T1756" t="n">
        <v>84</v>
      </c>
      <c r="U1756" t="inlineStr">
        <is>
          <t>1995-02-06</t>
        </is>
      </c>
      <c r="V1756" t="inlineStr">
        <is>
          <t>2004-10-05</t>
        </is>
      </c>
      <c r="W1756" t="inlineStr">
        <is>
          <t>1994-11-14</t>
        </is>
      </c>
      <c r="X1756" t="inlineStr">
        <is>
          <t>1994-11-15</t>
        </is>
      </c>
      <c r="Y1756" t="n">
        <v>198</v>
      </c>
      <c r="Z1756" t="n">
        <v>171</v>
      </c>
      <c r="AA1756" t="n">
        <v>207</v>
      </c>
      <c r="AB1756" t="n">
        <v>2</v>
      </c>
      <c r="AC1756" t="n">
        <v>2</v>
      </c>
      <c r="AD1756" t="n">
        <v>16</v>
      </c>
      <c r="AE1756" t="n">
        <v>16</v>
      </c>
      <c r="AF1756" t="n">
        <v>4</v>
      </c>
      <c r="AG1756" t="n">
        <v>4</v>
      </c>
      <c r="AH1756" t="n">
        <v>4</v>
      </c>
      <c r="AI1756" t="n">
        <v>4</v>
      </c>
      <c r="AJ1756" t="n">
        <v>10</v>
      </c>
      <c r="AK1756" t="n">
        <v>10</v>
      </c>
      <c r="AL1756" t="n">
        <v>1</v>
      </c>
      <c r="AM1756" t="n">
        <v>1</v>
      </c>
      <c r="AN1756" t="n">
        <v>0</v>
      </c>
      <c r="AO1756" t="n">
        <v>0</v>
      </c>
      <c r="AP1756" t="inlineStr">
        <is>
          <t>Yes</t>
        </is>
      </c>
      <c r="AQ1756" t="inlineStr">
        <is>
          <t>No</t>
        </is>
      </c>
      <c r="AR1756">
        <f>HYPERLINK("http://catalog.hathitrust.org/Record/001267282","HathiTrust Record")</f>
        <v/>
      </c>
      <c r="AS1756">
        <f>HYPERLINK("https://creighton-primo.hosted.exlibrisgroup.com/primo-explore/search?tab=default_tab&amp;search_scope=EVERYTHING&amp;vid=01CRU&amp;lang=en_US&amp;offset=0&amp;query=any,contains,991002797719702656","Catalog Record")</f>
        <v/>
      </c>
      <c r="AT1756">
        <f>HYPERLINK("http://www.worldcat.org/oclc/445792","WorldCat Record")</f>
        <v/>
      </c>
      <c r="AU1756" t="inlineStr">
        <is>
          <t>5417037337:eng</t>
        </is>
      </c>
      <c r="AV1756" t="inlineStr">
        <is>
          <t>445792</t>
        </is>
      </c>
      <c r="AW1756" t="inlineStr">
        <is>
          <t>991002797719702656</t>
        </is>
      </c>
      <c r="AX1756" t="inlineStr">
        <is>
          <t>991002797719702656</t>
        </is>
      </c>
      <c r="AY1756" t="inlineStr">
        <is>
          <t>2262962570002656</t>
        </is>
      </c>
      <c r="AZ1756" t="inlineStr">
        <is>
          <t>BOOK</t>
        </is>
      </c>
      <c r="BC1756" t="inlineStr">
        <is>
          <t>32285001966323</t>
        </is>
      </c>
      <c r="BD1756" t="inlineStr">
        <is>
          <t>893428042</t>
        </is>
      </c>
    </row>
    <row r="1757">
      <c r="A1757" t="inlineStr">
        <is>
          <t>No</t>
        </is>
      </c>
      <c r="B1757" t="inlineStr">
        <is>
          <t>DS653 .B63</t>
        </is>
      </c>
      <c r="C1757" t="inlineStr">
        <is>
          <t>0                      DS 0653000B  63</t>
        </is>
      </c>
      <c r="D1757" t="inlineStr">
        <is>
          <t>The Philippine islands, 1493-1803.</t>
        </is>
      </c>
      <c r="E1757" t="inlineStr">
        <is>
          <t>V.2</t>
        </is>
      </c>
      <c r="F1757" t="inlineStr">
        <is>
          <t>Yes</t>
        </is>
      </c>
      <c r="G1757" t="inlineStr">
        <is>
          <t>1</t>
        </is>
      </c>
      <c r="H1757" t="inlineStr">
        <is>
          <t>No</t>
        </is>
      </c>
      <c r="I1757" t="inlineStr">
        <is>
          <t>No</t>
        </is>
      </c>
      <c r="J1757" t="inlineStr">
        <is>
          <t>0</t>
        </is>
      </c>
      <c r="K1757" t="inlineStr">
        <is>
          <t>Blair, Emma Helen, 1851-1911, editor.</t>
        </is>
      </c>
      <c r="L1757" t="inlineStr">
        <is>
          <t>Cleveland, Ohio : The A.H. Clark company, 1903-09.</t>
        </is>
      </c>
      <c r="M1757" t="inlineStr">
        <is>
          <t>1903</t>
        </is>
      </c>
      <c r="O1757" t="inlineStr">
        <is>
          <t>eng</t>
        </is>
      </c>
      <c r="P1757" t="inlineStr">
        <is>
          <t xml:space="preserve">xx </t>
        </is>
      </c>
      <c r="R1757" t="inlineStr">
        <is>
          <t xml:space="preserve">DS </t>
        </is>
      </c>
      <c r="S1757" t="n">
        <v>0</v>
      </c>
      <c r="T1757" t="n">
        <v>84</v>
      </c>
      <c r="U1757" t="inlineStr">
        <is>
          <t>2001-01-31</t>
        </is>
      </c>
      <c r="V1757" t="inlineStr">
        <is>
          <t>2004-10-05</t>
        </is>
      </c>
      <c r="W1757" t="inlineStr">
        <is>
          <t>1994-11-14</t>
        </is>
      </c>
      <c r="X1757" t="inlineStr">
        <is>
          <t>1994-11-15</t>
        </is>
      </c>
      <c r="Y1757" t="n">
        <v>198</v>
      </c>
      <c r="Z1757" t="n">
        <v>171</v>
      </c>
      <c r="AA1757" t="n">
        <v>207</v>
      </c>
      <c r="AB1757" t="n">
        <v>2</v>
      </c>
      <c r="AC1757" t="n">
        <v>2</v>
      </c>
      <c r="AD1757" t="n">
        <v>16</v>
      </c>
      <c r="AE1757" t="n">
        <v>16</v>
      </c>
      <c r="AF1757" t="n">
        <v>4</v>
      </c>
      <c r="AG1757" t="n">
        <v>4</v>
      </c>
      <c r="AH1757" t="n">
        <v>4</v>
      </c>
      <c r="AI1757" t="n">
        <v>4</v>
      </c>
      <c r="AJ1757" t="n">
        <v>10</v>
      </c>
      <c r="AK1757" t="n">
        <v>10</v>
      </c>
      <c r="AL1757" t="n">
        <v>1</v>
      </c>
      <c r="AM1757" t="n">
        <v>1</v>
      </c>
      <c r="AN1757" t="n">
        <v>0</v>
      </c>
      <c r="AO1757" t="n">
        <v>0</v>
      </c>
      <c r="AP1757" t="inlineStr">
        <is>
          <t>Yes</t>
        </is>
      </c>
      <c r="AQ1757" t="inlineStr">
        <is>
          <t>No</t>
        </is>
      </c>
      <c r="AR1757">
        <f>HYPERLINK("http://catalog.hathitrust.org/Record/001267282","HathiTrust Record")</f>
        <v/>
      </c>
      <c r="AS1757">
        <f>HYPERLINK("https://creighton-primo.hosted.exlibrisgroup.com/primo-explore/search?tab=default_tab&amp;search_scope=EVERYTHING&amp;vid=01CRU&amp;lang=en_US&amp;offset=0&amp;query=any,contains,991002797719702656","Catalog Record")</f>
        <v/>
      </c>
      <c r="AT1757">
        <f>HYPERLINK("http://www.worldcat.org/oclc/445792","WorldCat Record")</f>
        <v/>
      </c>
      <c r="AU1757" t="inlineStr">
        <is>
          <t>5417037337:eng</t>
        </is>
      </c>
      <c r="AV1757" t="inlineStr">
        <is>
          <t>445792</t>
        </is>
      </c>
      <c r="AW1757" t="inlineStr">
        <is>
          <t>991002797719702656</t>
        </is>
      </c>
      <c r="AX1757" t="inlineStr">
        <is>
          <t>991002797719702656</t>
        </is>
      </c>
      <c r="AY1757" t="inlineStr">
        <is>
          <t>2262962570002656</t>
        </is>
      </c>
      <c r="AZ1757" t="inlineStr">
        <is>
          <t>BOOK</t>
        </is>
      </c>
      <c r="BC1757" t="inlineStr">
        <is>
          <t>32285001966083</t>
        </is>
      </c>
      <c r="BD1757" t="inlineStr">
        <is>
          <t>893428037</t>
        </is>
      </c>
    </row>
    <row r="1758">
      <c r="A1758" t="inlineStr">
        <is>
          <t>No</t>
        </is>
      </c>
      <c r="B1758" t="inlineStr">
        <is>
          <t>DS653 .B63</t>
        </is>
      </c>
      <c r="C1758" t="inlineStr">
        <is>
          <t>0                      DS 0653000B  63</t>
        </is>
      </c>
      <c r="D1758" t="inlineStr">
        <is>
          <t>The Philippine islands, 1493-1803.</t>
        </is>
      </c>
      <c r="E1758" t="inlineStr">
        <is>
          <t>V.49</t>
        </is>
      </c>
      <c r="F1758" t="inlineStr">
        <is>
          <t>Yes</t>
        </is>
      </c>
      <c r="G1758" t="inlineStr">
        <is>
          <t>1</t>
        </is>
      </c>
      <c r="H1758" t="inlineStr">
        <is>
          <t>No</t>
        </is>
      </c>
      <c r="I1758" t="inlineStr">
        <is>
          <t>No</t>
        </is>
      </c>
      <c r="J1758" t="inlineStr">
        <is>
          <t>0</t>
        </is>
      </c>
      <c r="K1758" t="inlineStr">
        <is>
          <t>Blair, Emma Helen, 1851-1911, editor.</t>
        </is>
      </c>
      <c r="L1758" t="inlineStr">
        <is>
          <t>Cleveland, Ohio : The A.H. Clark company, 1903-09.</t>
        </is>
      </c>
      <c r="M1758" t="inlineStr">
        <is>
          <t>1903</t>
        </is>
      </c>
      <c r="O1758" t="inlineStr">
        <is>
          <t>eng</t>
        </is>
      </c>
      <c r="P1758" t="inlineStr">
        <is>
          <t xml:space="preserve">xx </t>
        </is>
      </c>
      <c r="R1758" t="inlineStr">
        <is>
          <t xml:space="preserve">DS </t>
        </is>
      </c>
      <c r="S1758" t="n">
        <v>2</v>
      </c>
      <c r="T1758" t="n">
        <v>84</v>
      </c>
      <c r="U1758" t="inlineStr">
        <is>
          <t>1995-04-10</t>
        </is>
      </c>
      <c r="V1758" t="inlineStr">
        <is>
          <t>2004-10-05</t>
        </is>
      </c>
      <c r="W1758" t="inlineStr">
        <is>
          <t>1994-11-14</t>
        </is>
      </c>
      <c r="X1758" t="inlineStr">
        <is>
          <t>1994-11-15</t>
        </is>
      </c>
      <c r="Y1758" t="n">
        <v>198</v>
      </c>
      <c r="Z1758" t="n">
        <v>171</v>
      </c>
      <c r="AA1758" t="n">
        <v>207</v>
      </c>
      <c r="AB1758" t="n">
        <v>2</v>
      </c>
      <c r="AC1758" t="n">
        <v>2</v>
      </c>
      <c r="AD1758" t="n">
        <v>16</v>
      </c>
      <c r="AE1758" t="n">
        <v>16</v>
      </c>
      <c r="AF1758" t="n">
        <v>4</v>
      </c>
      <c r="AG1758" t="n">
        <v>4</v>
      </c>
      <c r="AH1758" t="n">
        <v>4</v>
      </c>
      <c r="AI1758" t="n">
        <v>4</v>
      </c>
      <c r="AJ1758" t="n">
        <v>10</v>
      </c>
      <c r="AK1758" t="n">
        <v>10</v>
      </c>
      <c r="AL1758" t="n">
        <v>1</v>
      </c>
      <c r="AM1758" t="n">
        <v>1</v>
      </c>
      <c r="AN1758" t="n">
        <v>0</v>
      </c>
      <c r="AO1758" t="n">
        <v>0</v>
      </c>
      <c r="AP1758" t="inlineStr">
        <is>
          <t>Yes</t>
        </is>
      </c>
      <c r="AQ1758" t="inlineStr">
        <is>
          <t>No</t>
        </is>
      </c>
      <c r="AR1758">
        <f>HYPERLINK("http://catalog.hathitrust.org/Record/001267282","HathiTrust Record")</f>
        <v/>
      </c>
      <c r="AS1758">
        <f>HYPERLINK("https://creighton-primo.hosted.exlibrisgroup.com/primo-explore/search?tab=default_tab&amp;search_scope=EVERYTHING&amp;vid=01CRU&amp;lang=en_US&amp;offset=0&amp;query=any,contains,991002797719702656","Catalog Record")</f>
        <v/>
      </c>
      <c r="AT1758">
        <f>HYPERLINK("http://www.worldcat.org/oclc/445792","WorldCat Record")</f>
        <v/>
      </c>
      <c r="AU1758" t="inlineStr">
        <is>
          <t>5417037337:eng</t>
        </is>
      </c>
      <c r="AV1758" t="inlineStr">
        <is>
          <t>445792</t>
        </is>
      </c>
      <c r="AW1758" t="inlineStr">
        <is>
          <t>991002797719702656</t>
        </is>
      </c>
      <c r="AX1758" t="inlineStr">
        <is>
          <t>991002797719702656</t>
        </is>
      </c>
      <c r="AY1758" t="inlineStr">
        <is>
          <t>2262962570002656</t>
        </is>
      </c>
      <c r="AZ1758" t="inlineStr">
        <is>
          <t>BOOK</t>
        </is>
      </c>
      <c r="BC1758" t="inlineStr">
        <is>
          <t>32285001966539</t>
        </is>
      </c>
      <c r="BD1758" t="inlineStr">
        <is>
          <t>893428041</t>
        </is>
      </c>
    </row>
    <row r="1759">
      <c r="A1759" t="inlineStr">
        <is>
          <t>No</t>
        </is>
      </c>
      <c r="B1759" t="inlineStr">
        <is>
          <t>DS653 .B63</t>
        </is>
      </c>
      <c r="C1759" t="inlineStr">
        <is>
          <t>0                      DS 0653000B  63</t>
        </is>
      </c>
      <c r="D1759" t="inlineStr">
        <is>
          <t>The Philippine islands, 1493-1803.</t>
        </is>
      </c>
      <c r="E1759" t="inlineStr">
        <is>
          <t>V.31</t>
        </is>
      </c>
      <c r="F1759" t="inlineStr">
        <is>
          <t>Yes</t>
        </is>
      </c>
      <c r="G1759" t="inlineStr">
        <is>
          <t>1</t>
        </is>
      </c>
      <c r="H1759" t="inlineStr">
        <is>
          <t>No</t>
        </is>
      </c>
      <c r="I1759" t="inlineStr">
        <is>
          <t>No</t>
        </is>
      </c>
      <c r="J1759" t="inlineStr">
        <is>
          <t>0</t>
        </is>
      </c>
      <c r="K1759" t="inlineStr">
        <is>
          <t>Blair, Emma Helen, 1851-1911, editor.</t>
        </is>
      </c>
      <c r="L1759" t="inlineStr">
        <is>
          <t>Cleveland, Ohio : The A.H. Clark company, 1903-09.</t>
        </is>
      </c>
      <c r="M1759" t="inlineStr">
        <is>
          <t>1903</t>
        </is>
      </c>
      <c r="O1759" t="inlineStr">
        <is>
          <t>eng</t>
        </is>
      </c>
      <c r="P1759" t="inlineStr">
        <is>
          <t xml:space="preserve">xx </t>
        </is>
      </c>
      <c r="R1759" t="inlineStr">
        <is>
          <t xml:space="preserve">DS </t>
        </is>
      </c>
      <c r="S1759" t="n">
        <v>2</v>
      </c>
      <c r="T1759" t="n">
        <v>84</v>
      </c>
      <c r="U1759" t="inlineStr">
        <is>
          <t>1995-02-13</t>
        </is>
      </c>
      <c r="V1759" t="inlineStr">
        <is>
          <t>2004-10-05</t>
        </is>
      </c>
      <c r="W1759" t="inlineStr">
        <is>
          <t>1994-11-14</t>
        </is>
      </c>
      <c r="X1759" t="inlineStr">
        <is>
          <t>1994-11-15</t>
        </is>
      </c>
      <c r="Y1759" t="n">
        <v>198</v>
      </c>
      <c r="Z1759" t="n">
        <v>171</v>
      </c>
      <c r="AA1759" t="n">
        <v>207</v>
      </c>
      <c r="AB1759" t="n">
        <v>2</v>
      </c>
      <c r="AC1759" t="n">
        <v>2</v>
      </c>
      <c r="AD1759" t="n">
        <v>16</v>
      </c>
      <c r="AE1759" t="n">
        <v>16</v>
      </c>
      <c r="AF1759" t="n">
        <v>4</v>
      </c>
      <c r="AG1759" t="n">
        <v>4</v>
      </c>
      <c r="AH1759" t="n">
        <v>4</v>
      </c>
      <c r="AI1759" t="n">
        <v>4</v>
      </c>
      <c r="AJ1759" t="n">
        <v>10</v>
      </c>
      <c r="AK1759" t="n">
        <v>10</v>
      </c>
      <c r="AL1759" t="n">
        <v>1</v>
      </c>
      <c r="AM1759" t="n">
        <v>1</v>
      </c>
      <c r="AN1759" t="n">
        <v>0</v>
      </c>
      <c r="AO1759" t="n">
        <v>0</v>
      </c>
      <c r="AP1759" t="inlineStr">
        <is>
          <t>Yes</t>
        </is>
      </c>
      <c r="AQ1759" t="inlineStr">
        <is>
          <t>No</t>
        </is>
      </c>
      <c r="AR1759">
        <f>HYPERLINK("http://catalog.hathitrust.org/Record/001267282","HathiTrust Record")</f>
        <v/>
      </c>
      <c r="AS1759">
        <f>HYPERLINK("https://creighton-primo.hosted.exlibrisgroup.com/primo-explore/search?tab=default_tab&amp;search_scope=EVERYTHING&amp;vid=01CRU&amp;lang=en_US&amp;offset=0&amp;query=any,contains,991002797719702656","Catalog Record")</f>
        <v/>
      </c>
      <c r="AT1759">
        <f>HYPERLINK("http://www.worldcat.org/oclc/445792","WorldCat Record")</f>
        <v/>
      </c>
      <c r="AU1759" t="inlineStr">
        <is>
          <t>5417037337:eng</t>
        </is>
      </c>
      <c r="AV1759" t="inlineStr">
        <is>
          <t>445792</t>
        </is>
      </c>
      <c r="AW1759" t="inlineStr">
        <is>
          <t>991002797719702656</t>
        </is>
      </c>
      <c r="AX1759" t="inlineStr">
        <is>
          <t>991002797719702656</t>
        </is>
      </c>
      <c r="AY1759" t="inlineStr">
        <is>
          <t>2262962570002656</t>
        </is>
      </c>
      <c r="AZ1759" t="inlineStr">
        <is>
          <t>BOOK</t>
        </is>
      </c>
      <c r="BC1759" t="inlineStr">
        <is>
          <t>32285001966356</t>
        </is>
      </c>
      <c r="BD1759" t="inlineStr">
        <is>
          <t>893428035</t>
        </is>
      </c>
    </row>
    <row r="1760">
      <c r="A1760" t="inlineStr">
        <is>
          <t>No</t>
        </is>
      </c>
      <c r="B1760" t="inlineStr">
        <is>
          <t>DS653 .B63</t>
        </is>
      </c>
      <c r="C1760" t="inlineStr">
        <is>
          <t>0                      DS 0653000B  63</t>
        </is>
      </c>
      <c r="D1760" t="inlineStr">
        <is>
          <t>The Philippine islands, 1493-1803.</t>
        </is>
      </c>
      <c r="E1760" t="inlineStr">
        <is>
          <t>V.4</t>
        </is>
      </c>
      <c r="F1760" t="inlineStr">
        <is>
          <t>Yes</t>
        </is>
      </c>
      <c r="G1760" t="inlineStr">
        <is>
          <t>1</t>
        </is>
      </c>
      <c r="H1760" t="inlineStr">
        <is>
          <t>No</t>
        </is>
      </c>
      <c r="I1760" t="inlineStr">
        <is>
          <t>No</t>
        </is>
      </c>
      <c r="J1760" t="inlineStr">
        <is>
          <t>0</t>
        </is>
      </c>
      <c r="K1760" t="inlineStr">
        <is>
          <t>Blair, Emma Helen, 1851-1911, editor.</t>
        </is>
      </c>
      <c r="L1760" t="inlineStr">
        <is>
          <t>Cleveland, Ohio : The A.H. Clark company, 1903-09.</t>
        </is>
      </c>
      <c r="M1760" t="inlineStr">
        <is>
          <t>1903</t>
        </is>
      </c>
      <c r="O1760" t="inlineStr">
        <is>
          <t>eng</t>
        </is>
      </c>
      <c r="P1760" t="inlineStr">
        <is>
          <t xml:space="preserve">xx </t>
        </is>
      </c>
      <c r="R1760" t="inlineStr">
        <is>
          <t xml:space="preserve">DS </t>
        </is>
      </c>
      <c r="S1760" t="n">
        <v>0</v>
      </c>
      <c r="T1760" t="n">
        <v>84</v>
      </c>
      <c r="U1760" t="inlineStr">
        <is>
          <t>2001-03-15</t>
        </is>
      </c>
      <c r="V1760" t="inlineStr">
        <is>
          <t>2004-10-05</t>
        </is>
      </c>
      <c r="W1760" t="inlineStr">
        <is>
          <t>1994-11-14</t>
        </is>
      </c>
      <c r="X1760" t="inlineStr">
        <is>
          <t>1994-11-15</t>
        </is>
      </c>
      <c r="Y1760" t="n">
        <v>198</v>
      </c>
      <c r="Z1760" t="n">
        <v>171</v>
      </c>
      <c r="AA1760" t="n">
        <v>207</v>
      </c>
      <c r="AB1760" t="n">
        <v>2</v>
      </c>
      <c r="AC1760" t="n">
        <v>2</v>
      </c>
      <c r="AD1760" t="n">
        <v>16</v>
      </c>
      <c r="AE1760" t="n">
        <v>16</v>
      </c>
      <c r="AF1760" t="n">
        <v>4</v>
      </c>
      <c r="AG1760" t="n">
        <v>4</v>
      </c>
      <c r="AH1760" t="n">
        <v>4</v>
      </c>
      <c r="AI1760" t="n">
        <v>4</v>
      </c>
      <c r="AJ1760" t="n">
        <v>10</v>
      </c>
      <c r="AK1760" t="n">
        <v>10</v>
      </c>
      <c r="AL1760" t="n">
        <v>1</v>
      </c>
      <c r="AM1760" t="n">
        <v>1</v>
      </c>
      <c r="AN1760" t="n">
        <v>0</v>
      </c>
      <c r="AO1760" t="n">
        <v>0</v>
      </c>
      <c r="AP1760" t="inlineStr">
        <is>
          <t>Yes</t>
        </is>
      </c>
      <c r="AQ1760" t="inlineStr">
        <is>
          <t>No</t>
        </is>
      </c>
      <c r="AR1760">
        <f>HYPERLINK("http://catalog.hathitrust.org/Record/001267282","HathiTrust Record")</f>
        <v/>
      </c>
      <c r="AS1760">
        <f>HYPERLINK("https://creighton-primo.hosted.exlibrisgroup.com/primo-explore/search?tab=default_tab&amp;search_scope=EVERYTHING&amp;vid=01CRU&amp;lang=en_US&amp;offset=0&amp;query=any,contains,991002797719702656","Catalog Record")</f>
        <v/>
      </c>
      <c r="AT1760">
        <f>HYPERLINK("http://www.worldcat.org/oclc/445792","WorldCat Record")</f>
        <v/>
      </c>
      <c r="AU1760" t="inlineStr">
        <is>
          <t>5417037337:eng</t>
        </is>
      </c>
      <c r="AV1760" t="inlineStr">
        <is>
          <t>445792</t>
        </is>
      </c>
      <c r="AW1760" t="inlineStr">
        <is>
          <t>991002797719702656</t>
        </is>
      </c>
      <c r="AX1760" t="inlineStr">
        <is>
          <t>991002797719702656</t>
        </is>
      </c>
      <c r="AY1760" t="inlineStr">
        <is>
          <t>2262962570002656</t>
        </is>
      </c>
      <c r="AZ1760" t="inlineStr">
        <is>
          <t>BOOK</t>
        </is>
      </c>
      <c r="BC1760" t="inlineStr">
        <is>
          <t>32285001966109</t>
        </is>
      </c>
      <c r="BD1760" t="inlineStr">
        <is>
          <t>893409545</t>
        </is>
      </c>
    </row>
    <row r="1761">
      <c r="A1761" t="inlineStr">
        <is>
          <t>No</t>
        </is>
      </c>
      <c r="B1761" t="inlineStr">
        <is>
          <t>DS653 .B63</t>
        </is>
      </c>
      <c r="C1761" t="inlineStr">
        <is>
          <t>0                      DS 0653000B  63</t>
        </is>
      </c>
      <c r="D1761" t="inlineStr">
        <is>
          <t>The Philippine islands, 1493-1803.</t>
        </is>
      </c>
      <c r="E1761" t="inlineStr">
        <is>
          <t>V.11</t>
        </is>
      </c>
      <c r="F1761" t="inlineStr">
        <is>
          <t>Yes</t>
        </is>
      </c>
      <c r="G1761" t="inlineStr">
        <is>
          <t>1</t>
        </is>
      </c>
      <c r="H1761" t="inlineStr">
        <is>
          <t>No</t>
        </is>
      </c>
      <c r="I1761" t="inlineStr">
        <is>
          <t>No</t>
        </is>
      </c>
      <c r="J1761" t="inlineStr">
        <is>
          <t>0</t>
        </is>
      </c>
      <c r="K1761" t="inlineStr">
        <is>
          <t>Blair, Emma Helen, 1851-1911, editor.</t>
        </is>
      </c>
      <c r="L1761" t="inlineStr">
        <is>
          <t>Cleveland, Ohio : The A.H. Clark company, 1903-09.</t>
        </is>
      </c>
      <c r="M1761" t="inlineStr">
        <is>
          <t>1903</t>
        </is>
      </c>
      <c r="O1761" t="inlineStr">
        <is>
          <t>eng</t>
        </is>
      </c>
      <c r="P1761" t="inlineStr">
        <is>
          <t xml:space="preserve">xx </t>
        </is>
      </c>
      <c r="R1761" t="inlineStr">
        <is>
          <t xml:space="preserve">DS </t>
        </is>
      </c>
      <c r="S1761" t="n">
        <v>1</v>
      </c>
      <c r="T1761" t="n">
        <v>84</v>
      </c>
      <c r="U1761" t="inlineStr">
        <is>
          <t>1994-11-28</t>
        </is>
      </c>
      <c r="V1761" t="inlineStr">
        <is>
          <t>2004-10-05</t>
        </is>
      </c>
      <c r="W1761" t="inlineStr">
        <is>
          <t>1994-11-14</t>
        </is>
      </c>
      <c r="X1761" t="inlineStr">
        <is>
          <t>1994-11-15</t>
        </is>
      </c>
      <c r="Y1761" t="n">
        <v>198</v>
      </c>
      <c r="Z1761" t="n">
        <v>171</v>
      </c>
      <c r="AA1761" t="n">
        <v>207</v>
      </c>
      <c r="AB1761" t="n">
        <v>2</v>
      </c>
      <c r="AC1761" t="n">
        <v>2</v>
      </c>
      <c r="AD1761" t="n">
        <v>16</v>
      </c>
      <c r="AE1761" t="n">
        <v>16</v>
      </c>
      <c r="AF1761" t="n">
        <v>4</v>
      </c>
      <c r="AG1761" t="n">
        <v>4</v>
      </c>
      <c r="AH1761" t="n">
        <v>4</v>
      </c>
      <c r="AI1761" t="n">
        <v>4</v>
      </c>
      <c r="AJ1761" t="n">
        <v>10</v>
      </c>
      <c r="AK1761" t="n">
        <v>10</v>
      </c>
      <c r="AL1761" t="n">
        <v>1</v>
      </c>
      <c r="AM1761" t="n">
        <v>1</v>
      </c>
      <c r="AN1761" t="n">
        <v>0</v>
      </c>
      <c r="AO1761" t="n">
        <v>0</v>
      </c>
      <c r="AP1761" t="inlineStr">
        <is>
          <t>Yes</t>
        </is>
      </c>
      <c r="AQ1761" t="inlineStr">
        <is>
          <t>No</t>
        </is>
      </c>
      <c r="AR1761">
        <f>HYPERLINK("http://catalog.hathitrust.org/Record/001267282","HathiTrust Record")</f>
        <v/>
      </c>
      <c r="AS1761">
        <f>HYPERLINK("https://creighton-primo.hosted.exlibrisgroup.com/primo-explore/search?tab=default_tab&amp;search_scope=EVERYTHING&amp;vid=01CRU&amp;lang=en_US&amp;offset=0&amp;query=any,contains,991002797719702656","Catalog Record")</f>
        <v/>
      </c>
      <c r="AT1761">
        <f>HYPERLINK("http://www.worldcat.org/oclc/445792","WorldCat Record")</f>
        <v/>
      </c>
      <c r="AU1761" t="inlineStr">
        <is>
          <t>5417037337:eng</t>
        </is>
      </c>
      <c r="AV1761" t="inlineStr">
        <is>
          <t>445792</t>
        </is>
      </c>
      <c r="AW1761" t="inlineStr">
        <is>
          <t>991002797719702656</t>
        </is>
      </c>
      <c r="AX1761" t="inlineStr">
        <is>
          <t>991002797719702656</t>
        </is>
      </c>
      <c r="AY1761" t="inlineStr">
        <is>
          <t>2262962570002656</t>
        </is>
      </c>
      <c r="AZ1761" t="inlineStr">
        <is>
          <t>BOOK</t>
        </is>
      </c>
      <c r="BC1761" t="inlineStr">
        <is>
          <t>32285001966158</t>
        </is>
      </c>
      <c r="BD1761" t="inlineStr">
        <is>
          <t>893445370</t>
        </is>
      </c>
    </row>
    <row r="1762">
      <c r="A1762" t="inlineStr">
        <is>
          <t>No</t>
        </is>
      </c>
      <c r="B1762" t="inlineStr">
        <is>
          <t>DS653 .B63</t>
        </is>
      </c>
      <c r="C1762" t="inlineStr">
        <is>
          <t>0                      DS 0653000B  63</t>
        </is>
      </c>
      <c r="D1762" t="inlineStr">
        <is>
          <t>The Philippine islands, 1493-1803.</t>
        </is>
      </c>
      <c r="E1762" t="inlineStr">
        <is>
          <t>V.44</t>
        </is>
      </c>
      <c r="F1762" t="inlineStr">
        <is>
          <t>Yes</t>
        </is>
      </c>
      <c r="G1762" t="inlineStr">
        <is>
          <t>1</t>
        </is>
      </c>
      <c r="H1762" t="inlineStr">
        <is>
          <t>No</t>
        </is>
      </c>
      <c r="I1762" t="inlineStr">
        <is>
          <t>No</t>
        </is>
      </c>
      <c r="J1762" t="inlineStr">
        <is>
          <t>0</t>
        </is>
      </c>
      <c r="K1762" t="inlineStr">
        <is>
          <t>Blair, Emma Helen, 1851-1911, editor.</t>
        </is>
      </c>
      <c r="L1762" t="inlineStr">
        <is>
          <t>Cleveland, Ohio : The A.H. Clark company, 1903-09.</t>
        </is>
      </c>
      <c r="M1762" t="inlineStr">
        <is>
          <t>1903</t>
        </is>
      </c>
      <c r="O1762" t="inlineStr">
        <is>
          <t>eng</t>
        </is>
      </c>
      <c r="P1762" t="inlineStr">
        <is>
          <t xml:space="preserve">xx </t>
        </is>
      </c>
      <c r="R1762" t="inlineStr">
        <is>
          <t xml:space="preserve">DS </t>
        </is>
      </c>
      <c r="S1762" t="n">
        <v>3</v>
      </c>
      <c r="T1762" t="n">
        <v>84</v>
      </c>
      <c r="U1762" t="inlineStr">
        <is>
          <t>2003-02-10</t>
        </is>
      </c>
      <c r="V1762" t="inlineStr">
        <is>
          <t>2004-10-05</t>
        </is>
      </c>
      <c r="W1762" t="inlineStr">
        <is>
          <t>1994-11-14</t>
        </is>
      </c>
      <c r="X1762" t="inlineStr">
        <is>
          <t>1994-11-15</t>
        </is>
      </c>
      <c r="Y1762" t="n">
        <v>198</v>
      </c>
      <c r="Z1762" t="n">
        <v>171</v>
      </c>
      <c r="AA1762" t="n">
        <v>207</v>
      </c>
      <c r="AB1762" t="n">
        <v>2</v>
      </c>
      <c r="AC1762" t="n">
        <v>2</v>
      </c>
      <c r="AD1762" t="n">
        <v>16</v>
      </c>
      <c r="AE1762" t="n">
        <v>16</v>
      </c>
      <c r="AF1762" t="n">
        <v>4</v>
      </c>
      <c r="AG1762" t="n">
        <v>4</v>
      </c>
      <c r="AH1762" t="n">
        <v>4</v>
      </c>
      <c r="AI1762" t="n">
        <v>4</v>
      </c>
      <c r="AJ1762" t="n">
        <v>10</v>
      </c>
      <c r="AK1762" t="n">
        <v>10</v>
      </c>
      <c r="AL1762" t="n">
        <v>1</v>
      </c>
      <c r="AM1762" t="n">
        <v>1</v>
      </c>
      <c r="AN1762" t="n">
        <v>0</v>
      </c>
      <c r="AO1762" t="n">
        <v>0</v>
      </c>
      <c r="AP1762" t="inlineStr">
        <is>
          <t>Yes</t>
        </is>
      </c>
      <c r="AQ1762" t="inlineStr">
        <is>
          <t>No</t>
        </is>
      </c>
      <c r="AR1762">
        <f>HYPERLINK("http://catalog.hathitrust.org/Record/001267282","HathiTrust Record")</f>
        <v/>
      </c>
      <c r="AS1762">
        <f>HYPERLINK("https://creighton-primo.hosted.exlibrisgroup.com/primo-explore/search?tab=default_tab&amp;search_scope=EVERYTHING&amp;vid=01CRU&amp;lang=en_US&amp;offset=0&amp;query=any,contains,991002797719702656","Catalog Record")</f>
        <v/>
      </c>
      <c r="AT1762">
        <f>HYPERLINK("http://www.worldcat.org/oclc/445792","WorldCat Record")</f>
        <v/>
      </c>
      <c r="AU1762" t="inlineStr">
        <is>
          <t>5417037337:eng</t>
        </is>
      </c>
      <c r="AV1762" t="inlineStr">
        <is>
          <t>445792</t>
        </is>
      </c>
      <c r="AW1762" t="inlineStr">
        <is>
          <t>991002797719702656</t>
        </is>
      </c>
      <c r="AX1762" t="inlineStr">
        <is>
          <t>991002797719702656</t>
        </is>
      </c>
      <c r="AY1762" t="inlineStr">
        <is>
          <t>2262962570002656</t>
        </is>
      </c>
      <c r="AZ1762" t="inlineStr">
        <is>
          <t>BOOK</t>
        </is>
      </c>
      <c r="BC1762" t="inlineStr">
        <is>
          <t>32285001966489</t>
        </is>
      </c>
      <c r="BD1762" t="inlineStr">
        <is>
          <t>893445365</t>
        </is>
      </c>
    </row>
    <row r="1763">
      <c r="A1763" t="inlineStr">
        <is>
          <t>No</t>
        </is>
      </c>
      <c r="B1763" t="inlineStr">
        <is>
          <t>DS653 .B63</t>
        </is>
      </c>
      <c r="C1763" t="inlineStr">
        <is>
          <t>0                      DS 0653000B  63</t>
        </is>
      </c>
      <c r="D1763" t="inlineStr">
        <is>
          <t>The Philippine islands, 1493-1803.</t>
        </is>
      </c>
      <c r="E1763" t="inlineStr">
        <is>
          <t>V.55</t>
        </is>
      </c>
      <c r="F1763" t="inlineStr">
        <is>
          <t>Yes</t>
        </is>
      </c>
      <c r="G1763" t="inlineStr">
        <is>
          <t>1</t>
        </is>
      </c>
      <c r="H1763" t="inlineStr">
        <is>
          <t>No</t>
        </is>
      </c>
      <c r="I1763" t="inlineStr">
        <is>
          <t>No</t>
        </is>
      </c>
      <c r="J1763" t="inlineStr">
        <is>
          <t>0</t>
        </is>
      </c>
      <c r="K1763" t="inlineStr">
        <is>
          <t>Blair, Emma Helen, 1851-1911, editor.</t>
        </is>
      </c>
      <c r="L1763" t="inlineStr">
        <is>
          <t>Cleveland, Ohio : The A.H. Clark company, 1903-09.</t>
        </is>
      </c>
      <c r="M1763" t="inlineStr">
        <is>
          <t>1903</t>
        </is>
      </c>
      <c r="O1763" t="inlineStr">
        <is>
          <t>eng</t>
        </is>
      </c>
      <c r="P1763" t="inlineStr">
        <is>
          <t xml:space="preserve">xx </t>
        </is>
      </c>
      <c r="R1763" t="inlineStr">
        <is>
          <t xml:space="preserve">DS </t>
        </is>
      </c>
      <c r="S1763" t="n">
        <v>1</v>
      </c>
      <c r="T1763" t="n">
        <v>84</v>
      </c>
      <c r="U1763" t="inlineStr">
        <is>
          <t>1995-04-14</t>
        </is>
      </c>
      <c r="V1763" t="inlineStr">
        <is>
          <t>2004-10-05</t>
        </is>
      </c>
      <c r="W1763" t="inlineStr">
        <is>
          <t>1994-11-14</t>
        </is>
      </c>
      <c r="X1763" t="inlineStr">
        <is>
          <t>1994-11-15</t>
        </is>
      </c>
      <c r="Y1763" t="n">
        <v>198</v>
      </c>
      <c r="Z1763" t="n">
        <v>171</v>
      </c>
      <c r="AA1763" t="n">
        <v>207</v>
      </c>
      <c r="AB1763" t="n">
        <v>2</v>
      </c>
      <c r="AC1763" t="n">
        <v>2</v>
      </c>
      <c r="AD1763" t="n">
        <v>16</v>
      </c>
      <c r="AE1763" t="n">
        <v>16</v>
      </c>
      <c r="AF1763" t="n">
        <v>4</v>
      </c>
      <c r="AG1763" t="n">
        <v>4</v>
      </c>
      <c r="AH1763" t="n">
        <v>4</v>
      </c>
      <c r="AI1763" t="n">
        <v>4</v>
      </c>
      <c r="AJ1763" t="n">
        <v>10</v>
      </c>
      <c r="AK1763" t="n">
        <v>10</v>
      </c>
      <c r="AL1763" t="n">
        <v>1</v>
      </c>
      <c r="AM1763" t="n">
        <v>1</v>
      </c>
      <c r="AN1763" t="n">
        <v>0</v>
      </c>
      <c r="AO1763" t="n">
        <v>0</v>
      </c>
      <c r="AP1763" t="inlineStr">
        <is>
          <t>Yes</t>
        </is>
      </c>
      <c r="AQ1763" t="inlineStr">
        <is>
          <t>No</t>
        </is>
      </c>
      <c r="AR1763">
        <f>HYPERLINK("http://catalog.hathitrust.org/Record/001267282","HathiTrust Record")</f>
        <v/>
      </c>
      <c r="AS1763">
        <f>HYPERLINK("https://creighton-primo.hosted.exlibrisgroup.com/primo-explore/search?tab=default_tab&amp;search_scope=EVERYTHING&amp;vid=01CRU&amp;lang=en_US&amp;offset=0&amp;query=any,contains,991002797719702656","Catalog Record")</f>
        <v/>
      </c>
      <c r="AT1763">
        <f>HYPERLINK("http://www.worldcat.org/oclc/445792","WorldCat Record")</f>
        <v/>
      </c>
      <c r="AU1763" t="inlineStr">
        <is>
          <t>5417037337:eng</t>
        </is>
      </c>
      <c r="AV1763" t="inlineStr">
        <is>
          <t>445792</t>
        </is>
      </c>
      <c r="AW1763" t="inlineStr">
        <is>
          <t>991002797719702656</t>
        </is>
      </c>
      <c r="AX1763" t="inlineStr">
        <is>
          <t>991002797719702656</t>
        </is>
      </c>
      <c r="AY1763" t="inlineStr">
        <is>
          <t>2262962570002656</t>
        </is>
      </c>
      <c r="AZ1763" t="inlineStr">
        <is>
          <t>BOOK</t>
        </is>
      </c>
      <c r="BC1763" t="inlineStr">
        <is>
          <t>32285001966596</t>
        </is>
      </c>
      <c r="BD1763" t="inlineStr">
        <is>
          <t>893434296</t>
        </is>
      </c>
    </row>
    <row r="1764">
      <c r="A1764" t="inlineStr">
        <is>
          <t>No</t>
        </is>
      </c>
      <c r="B1764" t="inlineStr">
        <is>
          <t>DS653 .B63</t>
        </is>
      </c>
      <c r="C1764" t="inlineStr">
        <is>
          <t>0                      DS 0653000B  63</t>
        </is>
      </c>
      <c r="D1764" t="inlineStr">
        <is>
          <t>The Philippine islands, 1493-1803.</t>
        </is>
      </c>
      <c r="E1764" t="inlineStr">
        <is>
          <t>V.51</t>
        </is>
      </c>
      <c r="F1764" t="inlineStr">
        <is>
          <t>Yes</t>
        </is>
      </c>
      <c r="G1764" t="inlineStr">
        <is>
          <t>1</t>
        </is>
      </c>
      <c r="H1764" t="inlineStr">
        <is>
          <t>No</t>
        </is>
      </c>
      <c r="I1764" t="inlineStr">
        <is>
          <t>No</t>
        </is>
      </c>
      <c r="J1764" t="inlineStr">
        <is>
          <t>0</t>
        </is>
      </c>
      <c r="K1764" t="inlineStr">
        <is>
          <t>Blair, Emma Helen, 1851-1911, editor.</t>
        </is>
      </c>
      <c r="L1764" t="inlineStr">
        <is>
          <t>Cleveland, Ohio : The A.H. Clark company, 1903-09.</t>
        </is>
      </c>
      <c r="M1764" t="inlineStr">
        <is>
          <t>1903</t>
        </is>
      </c>
      <c r="O1764" t="inlineStr">
        <is>
          <t>eng</t>
        </is>
      </c>
      <c r="P1764" t="inlineStr">
        <is>
          <t xml:space="preserve">xx </t>
        </is>
      </c>
      <c r="R1764" t="inlineStr">
        <is>
          <t xml:space="preserve">DS </t>
        </is>
      </c>
      <c r="S1764" t="n">
        <v>1</v>
      </c>
      <c r="T1764" t="n">
        <v>84</v>
      </c>
      <c r="U1764" t="inlineStr">
        <is>
          <t>1995-04-12</t>
        </is>
      </c>
      <c r="V1764" t="inlineStr">
        <is>
          <t>2004-10-05</t>
        </is>
      </c>
      <c r="W1764" t="inlineStr">
        <is>
          <t>1994-11-14</t>
        </is>
      </c>
      <c r="X1764" t="inlineStr">
        <is>
          <t>1994-11-15</t>
        </is>
      </c>
      <c r="Y1764" t="n">
        <v>198</v>
      </c>
      <c r="Z1764" t="n">
        <v>171</v>
      </c>
      <c r="AA1764" t="n">
        <v>207</v>
      </c>
      <c r="AB1764" t="n">
        <v>2</v>
      </c>
      <c r="AC1764" t="n">
        <v>2</v>
      </c>
      <c r="AD1764" t="n">
        <v>16</v>
      </c>
      <c r="AE1764" t="n">
        <v>16</v>
      </c>
      <c r="AF1764" t="n">
        <v>4</v>
      </c>
      <c r="AG1764" t="n">
        <v>4</v>
      </c>
      <c r="AH1764" t="n">
        <v>4</v>
      </c>
      <c r="AI1764" t="n">
        <v>4</v>
      </c>
      <c r="AJ1764" t="n">
        <v>10</v>
      </c>
      <c r="AK1764" t="n">
        <v>10</v>
      </c>
      <c r="AL1764" t="n">
        <v>1</v>
      </c>
      <c r="AM1764" t="n">
        <v>1</v>
      </c>
      <c r="AN1764" t="n">
        <v>0</v>
      </c>
      <c r="AO1764" t="n">
        <v>0</v>
      </c>
      <c r="AP1764" t="inlineStr">
        <is>
          <t>Yes</t>
        </is>
      </c>
      <c r="AQ1764" t="inlineStr">
        <is>
          <t>No</t>
        </is>
      </c>
      <c r="AR1764">
        <f>HYPERLINK("http://catalog.hathitrust.org/Record/001267282","HathiTrust Record")</f>
        <v/>
      </c>
      <c r="AS1764">
        <f>HYPERLINK("https://creighton-primo.hosted.exlibrisgroup.com/primo-explore/search?tab=default_tab&amp;search_scope=EVERYTHING&amp;vid=01CRU&amp;lang=en_US&amp;offset=0&amp;query=any,contains,991002797719702656","Catalog Record")</f>
        <v/>
      </c>
      <c r="AT1764">
        <f>HYPERLINK("http://www.worldcat.org/oclc/445792","WorldCat Record")</f>
        <v/>
      </c>
      <c r="AU1764" t="inlineStr">
        <is>
          <t>5417037337:eng</t>
        </is>
      </c>
      <c r="AV1764" t="inlineStr">
        <is>
          <t>445792</t>
        </is>
      </c>
      <c r="AW1764" t="inlineStr">
        <is>
          <t>991002797719702656</t>
        </is>
      </c>
      <c r="AX1764" t="inlineStr">
        <is>
          <t>991002797719702656</t>
        </is>
      </c>
      <c r="AY1764" t="inlineStr">
        <is>
          <t>2262962570002656</t>
        </is>
      </c>
      <c r="AZ1764" t="inlineStr">
        <is>
          <t>BOOK</t>
        </is>
      </c>
      <c r="BC1764" t="inlineStr">
        <is>
          <t>32285001966554</t>
        </is>
      </c>
      <c r="BD1764" t="inlineStr">
        <is>
          <t>893421811</t>
        </is>
      </c>
    </row>
    <row r="1765">
      <c r="A1765" t="inlineStr">
        <is>
          <t>No</t>
        </is>
      </c>
      <c r="B1765" t="inlineStr">
        <is>
          <t>DS653 .B63</t>
        </is>
      </c>
      <c r="C1765" t="inlineStr">
        <is>
          <t>0                      DS 0653000B  63</t>
        </is>
      </c>
      <c r="D1765" t="inlineStr">
        <is>
          <t>The Philippine islands, 1493-1803.</t>
        </is>
      </c>
      <c r="E1765" t="inlineStr">
        <is>
          <t>V.43</t>
        </is>
      </c>
      <c r="F1765" t="inlineStr">
        <is>
          <t>Yes</t>
        </is>
      </c>
      <c r="G1765" t="inlineStr">
        <is>
          <t>1</t>
        </is>
      </c>
      <c r="H1765" t="inlineStr">
        <is>
          <t>No</t>
        </is>
      </c>
      <c r="I1765" t="inlineStr">
        <is>
          <t>No</t>
        </is>
      </c>
      <c r="J1765" t="inlineStr">
        <is>
          <t>0</t>
        </is>
      </c>
      <c r="K1765" t="inlineStr">
        <is>
          <t>Blair, Emma Helen, 1851-1911, editor.</t>
        </is>
      </c>
      <c r="L1765" t="inlineStr">
        <is>
          <t>Cleveland, Ohio : The A.H. Clark company, 1903-09.</t>
        </is>
      </c>
      <c r="M1765" t="inlineStr">
        <is>
          <t>1903</t>
        </is>
      </c>
      <c r="O1765" t="inlineStr">
        <is>
          <t>eng</t>
        </is>
      </c>
      <c r="P1765" t="inlineStr">
        <is>
          <t xml:space="preserve">xx </t>
        </is>
      </c>
      <c r="R1765" t="inlineStr">
        <is>
          <t xml:space="preserve">DS </t>
        </is>
      </c>
      <c r="S1765" t="n">
        <v>3</v>
      </c>
      <c r="T1765" t="n">
        <v>84</v>
      </c>
      <c r="U1765" t="inlineStr">
        <is>
          <t>1995-04-01</t>
        </is>
      </c>
      <c r="V1765" t="inlineStr">
        <is>
          <t>2004-10-05</t>
        </is>
      </c>
      <c r="W1765" t="inlineStr">
        <is>
          <t>1994-11-14</t>
        </is>
      </c>
      <c r="X1765" t="inlineStr">
        <is>
          <t>1994-11-15</t>
        </is>
      </c>
      <c r="Y1765" t="n">
        <v>198</v>
      </c>
      <c r="Z1765" t="n">
        <v>171</v>
      </c>
      <c r="AA1765" t="n">
        <v>207</v>
      </c>
      <c r="AB1765" t="n">
        <v>2</v>
      </c>
      <c r="AC1765" t="n">
        <v>2</v>
      </c>
      <c r="AD1765" t="n">
        <v>16</v>
      </c>
      <c r="AE1765" t="n">
        <v>16</v>
      </c>
      <c r="AF1765" t="n">
        <v>4</v>
      </c>
      <c r="AG1765" t="n">
        <v>4</v>
      </c>
      <c r="AH1765" t="n">
        <v>4</v>
      </c>
      <c r="AI1765" t="n">
        <v>4</v>
      </c>
      <c r="AJ1765" t="n">
        <v>10</v>
      </c>
      <c r="AK1765" t="n">
        <v>10</v>
      </c>
      <c r="AL1765" t="n">
        <v>1</v>
      </c>
      <c r="AM1765" t="n">
        <v>1</v>
      </c>
      <c r="AN1765" t="n">
        <v>0</v>
      </c>
      <c r="AO1765" t="n">
        <v>0</v>
      </c>
      <c r="AP1765" t="inlineStr">
        <is>
          <t>Yes</t>
        </is>
      </c>
      <c r="AQ1765" t="inlineStr">
        <is>
          <t>No</t>
        </is>
      </c>
      <c r="AR1765">
        <f>HYPERLINK("http://catalog.hathitrust.org/Record/001267282","HathiTrust Record")</f>
        <v/>
      </c>
      <c r="AS1765">
        <f>HYPERLINK("https://creighton-primo.hosted.exlibrisgroup.com/primo-explore/search?tab=default_tab&amp;search_scope=EVERYTHING&amp;vid=01CRU&amp;lang=en_US&amp;offset=0&amp;query=any,contains,991002797719702656","Catalog Record")</f>
        <v/>
      </c>
      <c r="AT1765">
        <f>HYPERLINK("http://www.worldcat.org/oclc/445792","WorldCat Record")</f>
        <v/>
      </c>
      <c r="AU1765" t="inlineStr">
        <is>
          <t>5417037337:eng</t>
        </is>
      </c>
      <c r="AV1765" t="inlineStr">
        <is>
          <t>445792</t>
        </is>
      </c>
      <c r="AW1765" t="inlineStr">
        <is>
          <t>991002797719702656</t>
        </is>
      </c>
      <c r="AX1765" t="inlineStr">
        <is>
          <t>991002797719702656</t>
        </is>
      </c>
      <c r="AY1765" t="inlineStr">
        <is>
          <t>2262962570002656</t>
        </is>
      </c>
      <c r="AZ1765" t="inlineStr">
        <is>
          <t>BOOK</t>
        </is>
      </c>
      <c r="BC1765" t="inlineStr">
        <is>
          <t>32285001966471</t>
        </is>
      </c>
      <c r="BD1765" t="inlineStr">
        <is>
          <t>893409543</t>
        </is>
      </c>
    </row>
    <row r="1766">
      <c r="A1766" t="inlineStr">
        <is>
          <t>No</t>
        </is>
      </c>
      <c r="B1766" t="inlineStr">
        <is>
          <t>DS653 .B63</t>
        </is>
      </c>
      <c r="C1766" t="inlineStr">
        <is>
          <t>0                      DS 0653000B  63</t>
        </is>
      </c>
      <c r="D1766" t="inlineStr">
        <is>
          <t>The Philippine islands, 1493-1803.</t>
        </is>
      </c>
      <c r="E1766" t="inlineStr">
        <is>
          <t>V.3</t>
        </is>
      </c>
      <c r="F1766" t="inlineStr">
        <is>
          <t>Yes</t>
        </is>
      </c>
      <c r="G1766" t="inlineStr">
        <is>
          <t>1</t>
        </is>
      </c>
      <c r="H1766" t="inlineStr">
        <is>
          <t>No</t>
        </is>
      </c>
      <c r="I1766" t="inlineStr">
        <is>
          <t>No</t>
        </is>
      </c>
      <c r="J1766" t="inlineStr">
        <is>
          <t>0</t>
        </is>
      </c>
      <c r="K1766" t="inlineStr">
        <is>
          <t>Blair, Emma Helen, 1851-1911, editor.</t>
        </is>
      </c>
      <c r="L1766" t="inlineStr">
        <is>
          <t>Cleveland, Ohio : The A.H. Clark company, 1903-09.</t>
        </is>
      </c>
      <c r="M1766" t="inlineStr">
        <is>
          <t>1903</t>
        </is>
      </c>
      <c r="O1766" t="inlineStr">
        <is>
          <t>eng</t>
        </is>
      </c>
      <c r="P1766" t="inlineStr">
        <is>
          <t xml:space="preserve">xx </t>
        </is>
      </c>
      <c r="R1766" t="inlineStr">
        <is>
          <t xml:space="preserve">DS </t>
        </is>
      </c>
      <c r="S1766" t="n">
        <v>0</v>
      </c>
      <c r="T1766" t="n">
        <v>84</v>
      </c>
      <c r="U1766" t="inlineStr">
        <is>
          <t>2001-03-15</t>
        </is>
      </c>
      <c r="V1766" t="inlineStr">
        <is>
          <t>2004-10-05</t>
        </is>
      </c>
      <c r="W1766" t="inlineStr">
        <is>
          <t>1994-11-14</t>
        </is>
      </c>
      <c r="X1766" t="inlineStr">
        <is>
          <t>1994-11-15</t>
        </is>
      </c>
      <c r="Y1766" t="n">
        <v>198</v>
      </c>
      <c r="Z1766" t="n">
        <v>171</v>
      </c>
      <c r="AA1766" t="n">
        <v>207</v>
      </c>
      <c r="AB1766" t="n">
        <v>2</v>
      </c>
      <c r="AC1766" t="n">
        <v>2</v>
      </c>
      <c r="AD1766" t="n">
        <v>16</v>
      </c>
      <c r="AE1766" t="n">
        <v>16</v>
      </c>
      <c r="AF1766" t="n">
        <v>4</v>
      </c>
      <c r="AG1766" t="n">
        <v>4</v>
      </c>
      <c r="AH1766" t="n">
        <v>4</v>
      </c>
      <c r="AI1766" t="n">
        <v>4</v>
      </c>
      <c r="AJ1766" t="n">
        <v>10</v>
      </c>
      <c r="AK1766" t="n">
        <v>10</v>
      </c>
      <c r="AL1766" t="n">
        <v>1</v>
      </c>
      <c r="AM1766" t="n">
        <v>1</v>
      </c>
      <c r="AN1766" t="n">
        <v>0</v>
      </c>
      <c r="AO1766" t="n">
        <v>0</v>
      </c>
      <c r="AP1766" t="inlineStr">
        <is>
          <t>Yes</t>
        </is>
      </c>
      <c r="AQ1766" t="inlineStr">
        <is>
          <t>No</t>
        </is>
      </c>
      <c r="AR1766">
        <f>HYPERLINK("http://catalog.hathitrust.org/Record/001267282","HathiTrust Record")</f>
        <v/>
      </c>
      <c r="AS1766">
        <f>HYPERLINK("https://creighton-primo.hosted.exlibrisgroup.com/primo-explore/search?tab=default_tab&amp;search_scope=EVERYTHING&amp;vid=01CRU&amp;lang=en_US&amp;offset=0&amp;query=any,contains,991002797719702656","Catalog Record")</f>
        <v/>
      </c>
      <c r="AT1766">
        <f>HYPERLINK("http://www.worldcat.org/oclc/445792","WorldCat Record")</f>
        <v/>
      </c>
      <c r="AU1766" t="inlineStr">
        <is>
          <t>5417037337:eng</t>
        </is>
      </c>
      <c r="AV1766" t="inlineStr">
        <is>
          <t>445792</t>
        </is>
      </c>
      <c r="AW1766" t="inlineStr">
        <is>
          <t>991002797719702656</t>
        </is>
      </c>
      <c r="AX1766" t="inlineStr">
        <is>
          <t>991002797719702656</t>
        </is>
      </c>
      <c r="AY1766" t="inlineStr">
        <is>
          <t>2262962570002656</t>
        </is>
      </c>
      <c r="AZ1766" t="inlineStr">
        <is>
          <t>BOOK</t>
        </is>
      </c>
      <c r="BC1766" t="inlineStr">
        <is>
          <t>32285001966091</t>
        </is>
      </c>
      <c r="BD1766" t="inlineStr">
        <is>
          <t>893445368</t>
        </is>
      </c>
    </row>
    <row r="1767">
      <c r="A1767" t="inlineStr">
        <is>
          <t>No</t>
        </is>
      </c>
      <c r="B1767" t="inlineStr">
        <is>
          <t>DS653 .B63</t>
        </is>
      </c>
      <c r="C1767" t="inlineStr">
        <is>
          <t>0                      DS 0653000B  63</t>
        </is>
      </c>
      <c r="D1767" t="inlineStr">
        <is>
          <t>The Philippine islands, 1493-1803.</t>
        </is>
      </c>
      <c r="E1767" t="inlineStr">
        <is>
          <t>V.22</t>
        </is>
      </c>
      <c r="F1767" t="inlineStr">
        <is>
          <t>Yes</t>
        </is>
      </c>
      <c r="G1767" t="inlineStr">
        <is>
          <t>1</t>
        </is>
      </c>
      <c r="H1767" t="inlineStr">
        <is>
          <t>No</t>
        </is>
      </c>
      <c r="I1767" t="inlineStr">
        <is>
          <t>No</t>
        </is>
      </c>
      <c r="J1767" t="inlineStr">
        <is>
          <t>0</t>
        </is>
      </c>
      <c r="K1767" t="inlineStr">
        <is>
          <t>Blair, Emma Helen, 1851-1911, editor.</t>
        </is>
      </c>
      <c r="L1767" t="inlineStr">
        <is>
          <t>Cleveland, Ohio : The A.H. Clark company, 1903-09.</t>
        </is>
      </c>
      <c r="M1767" t="inlineStr">
        <is>
          <t>1903</t>
        </is>
      </c>
      <c r="O1767" t="inlineStr">
        <is>
          <t>eng</t>
        </is>
      </c>
      <c r="P1767" t="inlineStr">
        <is>
          <t xml:space="preserve">xx </t>
        </is>
      </c>
      <c r="R1767" t="inlineStr">
        <is>
          <t xml:space="preserve">DS </t>
        </is>
      </c>
      <c r="S1767" t="n">
        <v>2</v>
      </c>
      <c r="T1767" t="n">
        <v>84</v>
      </c>
      <c r="U1767" t="inlineStr">
        <is>
          <t>1995-01-05</t>
        </is>
      </c>
      <c r="V1767" t="inlineStr">
        <is>
          <t>2004-10-05</t>
        </is>
      </c>
      <c r="W1767" t="inlineStr">
        <is>
          <t>1994-11-14</t>
        </is>
      </c>
      <c r="X1767" t="inlineStr">
        <is>
          <t>1994-11-15</t>
        </is>
      </c>
      <c r="Y1767" t="n">
        <v>198</v>
      </c>
      <c r="Z1767" t="n">
        <v>171</v>
      </c>
      <c r="AA1767" t="n">
        <v>207</v>
      </c>
      <c r="AB1767" t="n">
        <v>2</v>
      </c>
      <c r="AC1767" t="n">
        <v>2</v>
      </c>
      <c r="AD1767" t="n">
        <v>16</v>
      </c>
      <c r="AE1767" t="n">
        <v>16</v>
      </c>
      <c r="AF1767" t="n">
        <v>4</v>
      </c>
      <c r="AG1767" t="n">
        <v>4</v>
      </c>
      <c r="AH1767" t="n">
        <v>4</v>
      </c>
      <c r="AI1767" t="n">
        <v>4</v>
      </c>
      <c r="AJ1767" t="n">
        <v>10</v>
      </c>
      <c r="AK1767" t="n">
        <v>10</v>
      </c>
      <c r="AL1767" t="n">
        <v>1</v>
      </c>
      <c r="AM1767" t="n">
        <v>1</v>
      </c>
      <c r="AN1767" t="n">
        <v>0</v>
      </c>
      <c r="AO1767" t="n">
        <v>0</v>
      </c>
      <c r="AP1767" t="inlineStr">
        <is>
          <t>Yes</t>
        </is>
      </c>
      <c r="AQ1767" t="inlineStr">
        <is>
          <t>No</t>
        </is>
      </c>
      <c r="AR1767">
        <f>HYPERLINK("http://catalog.hathitrust.org/Record/001267282","HathiTrust Record")</f>
        <v/>
      </c>
      <c r="AS1767">
        <f>HYPERLINK("https://creighton-primo.hosted.exlibrisgroup.com/primo-explore/search?tab=default_tab&amp;search_scope=EVERYTHING&amp;vid=01CRU&amp;lang=en_US&amp;offset=0&amp;query=any,contains,991002797719702656","Catalog Record")</f>
        <v/>
      </c>
      <c r="AT1767">
        <f>HYPERLINK("http://www.worldcat.org/oclc/445792","WorldCat Record")</f>
        <v/>
      </c>
      <c r="AU1767" t="inlineStr">
        <is>
          <t>5417037337:eng</t>
        </is>
      </c>
      <c r="AV1767" t="inlineStr">
        <is>
          <t>445792</t>
        </is>
      </c>
      <c r="AW1767" t="inlineStr">
        <is>
          <t>991002797719702656</t>
        </is>
      </c>
      <c r="AX1767" t="inlineStr">
        <is>
          <t>991002797719702656</t>
        </is>
      </c>
      <c r="AY1767" t="inlineStr">
        <is>
          <t>2262962570002656</t>
        </is>
      </c>
      <c r="AZ1767" t="inlineStr">
        <is>
          <t>BOOK</t>
        </is>
      </c>
      <c r="BC1767" t="inlineStr">
        <is>
          <t>32285001966265</t>
        </is>
      </c>
      <c r="BD1767" t="inlineStr">
        <is>
          <t>893421813</t>
        </is>
      </c>
    </row>
    <row r="1768">
      <c r="A1768" t="inlineStr">
        <is>
          <t>No</t>
        </is>
      </c>
      <c r="B1768" t="inlineStr">
        <is>
          <t>DS653 .B63</t>
        </is>
      </c>
      <c r="C1768" t="inlineStr">
        <is>
          <t>0                      DS 0653000B  63</t>
        </is>
      </c>
      <c r="D1768" t="inlineStr">
        <is>
          <t>The Philippine islands, 1493-1803.</t>
        </is>
      </c>
      <c r="E1768" t="inlineStr">
        <is>
          <t>V.38</t>
        </is>
      </c>
      <c r="F1768" t="inlineStr">
        <is>
          <t>Yes</t>
        </is>
      </c>
      <c r="G1768" t="inlineStr">
        <is>
          <t>1</t>
        </is>
      </c>
      <c r="H1768" t="inlineStr">
        <is>
          <t>No</t>
        </is>
      </c>
      <c r="I1768" t="inlineStr">
        <is>
          <t>No</t>
        </is>
      </c>
      <c r="J1768" t="inlineStr">
        <is>
          <t>0</t>
        </is>
      </c>
      <c r="K1768" t="inlineStr">
        <is>
          <t>Blair, Emma Helen, 1851-1911, editor.</t>
        </is>
      </c>
      <c r="L1768" t="inlineStr">
        <is>
          <t>Cleveland, Ohio : The A.H. Clark company, 1903-09.</t>
        </is>
      </c>
      <c r="M1768" t="inlineStr">
        <is>
          <t>1903</t>
        </is>
      </c>
      <c r="O1768" t="inlineStr">
        <is>
          <t>eng</t>
        </is>
      </c>
      <c r="P1768" t="inlineStr">
        <is>
          <t xml:space="preserve">xx </t>
        </is>
      </c>
      <c r="R1768" t="inlineStr">
        <is>
          <t xml:space="preserve">DS </t>
        </is>
      </c>
      <c r="S1768" t="n">
        <v>2</v>
      </c>
      <c r="T1768" t="n">
        <v>84</v>
      </c>
      <c r="U1768" t="inlineStr">
        <is>
          <t>1995-03-17</t>
        </is>
      </c>
      <c r="V1768" t="inlineStr">
        <is>
          <t>2004-10-05</t>
        </is>
      </c>
      <c r="W1768" t="inlineStr">
        <is>
          <t>1994-11-14</t>
        </is>
      </c>
      <c r="X1768" t="inlineStr">
        <is>
          <t>1994-11-15</t>
        </is>
      </c>
      <c r="Y1768" t="n">
        <v>198</v>
      </c>
      <c r="Z1768" t="n">
        <v>171</v>
      </c>
      <c r="AA1768" t="n">
        <v>207</v>
      </c>
      <c r="AB1768" t="n">
        <v>2</v>
      </c>
      <c r="AC1768" t="n">
        <v>2</v>
      </c>
      <c r="AD1768" t="n">
        <v>16</v>
      </c>
      <c r="AE1768" t="n">
        <v>16</v>
      </c>
      <c r="AF1768" t="n">
        <v>4</v>
      </c>
      <c r="AG1768" t="n">
        <v>4</v>
      </c>
      <c r="AH1768" t="n">
        <v>4</v>
      </c>
      <c r="AI1768" t="n">
        <v>4</v>
      </c>
      <c r="AJ1768" t="n">
        <v>10</v>
      </c>
      <c r="AK1768" t="n">
        <v>10</v>
      </c>
      <c r="AL1768" t="n">
        <v>1</v>
      </c>
      <c r="AM1768" t="n">
        <v>1</v>
      </c>
      <c r="AN1768" t="n">
        <v>0</v>
      </c>
      <c r="AO1768" t="n">
        <v>0</v>
      </c>
      <c r="AP1768" t="inlineStr">
        <is>
          <t>Yes</t>
        </is>
      </c>
      <c r="AQ1768" t="inlineStr">
        <is>
          <t>No</t>
        </is>
      </c>
      <c r="AR1768">
        <f>HYPERLINK("http://catalog.hathitrust.org/Record/001267282","HathiTrust Record")</f>
        <v/>
      </c>
      <c r="AS1768">
        <f>HYPERLINK("https://creighton-primo.hosted.exlibrisgroup.com/primo-explore/search?tab=default_tab&amp;search_scope=EVERYTHING&amp;vid=01CRU&amp;lang=en_US&amp;offset=0&amp;query=any,contains,991002797719702656","Catalog Record")</f>
        <v/>
      </c>
      <c r="AT1768">
        <f>HYPERLINK("http://www.worldcat.org/oclc/445792","WorldCat Record")</f>
        <v/>
      </c>
      <c r="AU1768" t="inlineStr">
        <is>
          <t>5417037337:eng</t>
        </is>
      </c>
      <c r="AV1768" t="inlineStr">
        <is>
          <t>445792</t>
        </is>
      </c>
      <c r="AW1768" t="inlineStr">
        <is>
          <t>991002797719702656</t>
        </is>
      </c>
      <c r="AX1768" t="inlineStr">
        <is>
          <t>991002797719702656</t>
        </is>
      </c>
      <c r="AY1768" t="inlineStr">
        <is>
          <t>2262962570002656</t>
        </is>
      </c>
      <c r="AZ1768" t="inlineStr">
        <is>
          <t>BOOK</t>
        </is>
      </c>
      <c r="BC1768" t="inlineStr">
        <is>
          <t>32285001966422</t>
        </is>
      </c>
      <c r="BD1768" t="inlineStr">
        <is>
          <t>893409555</t>
        </is>
      </c>
    </row>
    <row r="1769">
      <c r="A1769" t="inlineStr">
        <is>
          <t>No</t>
        </is>
      </c>
      <c r="B1769" t="inlineStr">
        <is>
          <t>DS653 .B63</t>
        </is>
      </c>
      <c r="C1769" t="inlineStr">
        <is>
          <t>0                      DS 0653000B  63</t>
        </is>
      </c>
      <c r="D1769" t="inlineStr">
        <is>
          <t>The Philippine islands, 1493-1803.</t>
        </is>
      </c>
      <c r="E1769" t="inlineStr">
        <is>
          <t>V.20</t>
        </is>
      </c>
      <c r="F1769" t="inlineStr">
        <is>
          <t>Yes</t>
        </is>
      </c>
      <c r="G1769" t="inlineStr">
        <is>
          <t>1</t>
        </is>
      </c>
      <c r="H1769" t="inlineStr">
        <is>
          <t>No</t>
        </is>
      </c>
      <c r="I1769" t="inlineStr">
        <is>
          <t>No</t>
        </is>
      </c>
      <c r="J1769" t="inlineStr">
        <is>
          <t>0</t>
        </is>
      </c>
      <c r="K1769" t="inlineStr">
        <is>
          <t>Blair, Emma Helen, 1851-1911, editor.</t>
        </is>
      </c>
      <c r="L1769" t="inlineStr">
        <is>
          <t>Cleveland, Ohio : The A.H. Clark company, 1903-09.</t>
        </is>
      </c>
      <c r="M1769" t="inlineStr">
        <is>
          <t>1903</t>
        </is>
      </c>
      <c r="O1769" t="inlineStr">
        <is>
          <t>eng</t>
        </is>
      </c>
      <c r="P1769" t="inlineStr">
        <is>
          <t xml:space="preserve">xx </t>
        </is>
      </c>
      <c r="R1769" t="inlineStr">
        <is>
          <t xml:space="preserve">DS </t>
        </is>
      </c>
      <c r="S1769" t="n">
        <v>1</v>
      </c>
      <c r="T1769" t="n">
        <v>84</v>
      </c>
      <c r="U1769" t="inlineStr">
        <is>
          <t>1994-12-19</t>
        </is>
      </c>
      <c r="V1769" t="inlineStr">
        <is>
          <t>2004-10-05</t>
        </is>
      </c>
      <c r="W1769" t="inlineStr">
        <is>
          <t>1994-11-14</t>
        </is>
      </c>
      <c r="X1769" t="inlineStr">
        <is>
          <t>1994-11-15</t>
        </is>
      </c>
      <c r="Y1769" t="n">
        <v>198</v>
      </c>
      <c r="Z1769" t="n">
        <v>171</v>
      </c>
      <c r="AA1769" t="n">
        <v>207</v>
      </c>
      <c r="AB1769" t="n">
        <v>2</v>
      </c>
      <c r="AC1769" t="n">
        <v>2</v>
      </c>
      <c r="AD1769" t="n">
        <v>16</v>
      </c>
      <c r="AE1769" t="n">
        <v>16</v>
      </c>
      <c r="AF1769" t="n">
        <v>4</v>
      </c>
      <c r="AG1769" t="n">
        <v>4</v>
      </c>
      <c r="AH1769" t="n">
        <v>4</v>
      </c>
      <c r="AI1769" t="n">
        <v>4</v>
      </c>
      <c r="AJ1769" t="n">
        <v>10</v>
      </c>
      <c r="AK1769" t="n">
        <v>10</v>
      </c>
      <c r="AL1769" t="n">
        <v>1</v>
      </c>
      <c r="AM1769" t="n">
        <v>1</v>
      </c>
      <c r="AN1769" t="n">
        <v>0</v>
      </c>
      <c r="AO1769" t="n">
        <v>0</v>
      </c>
      <c r="AP1769" t="inlineStr">
        <is>
          <t>Yes</t>
        </is>
      </c>
      <c r="AQ1769" t="inlineStr">
        <is>
          <t>No</t>
        </is>
      </c>
      <c r="AR1769">
        <f>HYPERLINK("http://catalog.hathitrust.org/Record/001267282","HathiTrust Record")</f>
        <v/>
      </c>
      <c r="AS1769">
        <f>HYPERLINK("https://creighton-primo.hosted.exlibrisgroup.com/primo-explore/search?tab=default_tab&amp;search_scope=EVERYTHING&amp;vid=01CRU&amp;lang=en_US&amp;offset=0&amp;query=any,contains,991002797719702656","Catalog Record")</f>
        <v/>
      </c>
      <c r="AT1769">
        <f>HYPERLINK("http://www.worldcat.org/oclc/445792","WorldCat Record")</f>
        <v/>
      </c>
      <c r="AU1769" t="inlineStr">
        <is>
          <t>5417037337:eng</t>
        </is>
      </c>
      <c r="AV1769" t="inlineStr">
        <is>
          <t>445792</t>
        </is>
      </c>
      <c r="AW1769" t="inlineStr">
        <is>
          <t>991002797719702656</t>
        </is>
      </c>
      <c r="AX1769" t="inlineStr">
        <is>
          <t>991002797719702656</t>
        </is>
      </c>
      <c r="AY1769" t="inlineStr">
        <is>
          <t>2262962570002656</t>
        </is>
      </c>
      <c r="AZ1769" t="inlineStr">
        <is>
          <t>BOOK</t>
        </is>
      </c>
      <c r="BC1769" t="inlineStr">
        <is>
          <t>32285001966240</t>
        </is>
      </c>
      <c r="BD1769" t="inlineStr">
        <is>
          <t>893409549</t>
        </is>
      </c>
    </row>
    <row r="1770">
      <c r="A1770" t="inlineStr">
        <is>
          <t>No</t>
        </is>
      </c>
      <c r="B1770" t="inlineStr">
        <is>
          <t>DS653 .B63</t>
        </is>
      </c>
      <c r="C1770" t="inlineStr">
        <is>
          <t>0                      DS 0653000B  63</t>
        </is>
      </c>
      <c r="D1770" t="inlineStr">
        <is>
          <t>The Philippine islands, 1493-1803.</t>
        </is>
      </c>
      <c r="E1770" t="inlineStr">
        <is>
          <t>V.40</t>
        </is>
      </c>
      <c r="F1770" t="inlineStr">
        <is>
          <t>Yes</t>
        </is>
      </c>
      <c r="G1770" t="inlineStr">
        <is>
          <t>1</t>
        </is>
      </c>
      <c r="H1770" t="inlineStr">
        <is>
          <t>No</t>
        </is>
      </c>
      <c r="I1770" t="inlineStr">
        <is>
          <t>No</t>
        </is>
      </c>
      <c r="J1770" t="inlineStr">
        <is>
          <t>0</t>
        </is>
      </c>
      <c r="K1770" t="inlineStr">
        <is>
          <t>Blair, Emma Helen, 1851-1911, editor.</t>
        </is>
      </c>
      <c r="L1770" t="inlineStr">
        <is>
          <t>Cleveland, Ohio : The A.H. Clark company, 1903-09.</t>
        </is>
      </c>
      <c r="M1770" t="inlineStr">
        <is>
          <t>1903</t>
        </is>
      </c>
      <c r="O1770" t="inlineStr">
        <is>
          <t>eng</t>
        </is>
      </c>
      <c r="P1770" t="inlineStr">
        <is>
          <t xml:space="preserve">xx </t>
        </is>
      </c>
      <c r="R1770" t="inlineStr">
        <is>
          <t xml:space="preserve">DS </t>
        </is>
      </c>
      <c r="S1770" t="n">
        <v>2</v>
      </c>
      <c r="T1770" t="n">
        <v>84</v>
      </c>
      <c r="U1770" t="inlineStr">
        <is>
          <t>1995-03-27</t>
        </is>
      </c>
      <c r="V1770" t="inlineStr">
        <is>
          <t>2004-10-05</t>
        </is>
      </c>
      <c r="W1770" t="inlineStr">
        <is>
          <t>1994-11-14</t>
        </is>
      </c>
      <c r="X1770" t="inlineStr">
        <is>
          <t>1994-11-15</t>
        </is>
      </c>
      <c r="Y1770" t="n">
        <v>198</v>
      </c>
      <c r="Z1770" t="n">
        <v>171</v>
      </c>
      <c r="AA1770" t="n">
        <v>207</v>
      </c>
      <c r="AB1770" t="n">
        <v>2</v>
      </c>
      <c r="AC1770" t="n">
        <v>2</v>
      </c>
      <c r="AD1770" t="n">
        <v>16</v>
      </c>
      <c r="AE1770" t="n">
        <v>16</v>
      </c>
      <c r="AF1770" t="n">
        <v>4</v>
      </c>
      <c r="AG1770" t="n">
        <v>4</v>
      </c>
      <c r="AH1770" t="n">
        <v>4</v>
      </c>
      <c r="AI1770" t="n">
        <v>4</v>
      </c>
      <c r="AJ1770" t="n">
        <v>10</v>
      </c>
      <c r="AK1770" t="n">
        <v>10</v>
      </c>
      <c r="AL1770" t="n">
        <v>1</v>
      </c>
      <c r="AM1770" t="n">
        <v>1</v>
      </c>
      <c r="AN1770" t="n">
        <v>0</v>
      </c>
      <c r="AO1770" t="n">
        <v>0</v>
      </c>
      <c r="AP1770" t="inlineStr">
        <is>
          <t>Yes</t>
        </is>
      </c>
      <c r="AQ1770" t="inlineStr">
        <is>
          <t>No</t>
        </is>
      </c>
      <c r="AR1770">
        <f>HYPERLINK("http://catalog.hathitrust.org/Record/001267282","HathiTrust Record")</f>
        <v/>
      </c>
      <c r="AS1770">
        <f>HYPERLINK("https://creighton-primo.hosted.exlibrisgroup.com/primo-explore/search?tab=default_tab&amp;search_scope=EVERYTHING&amp;vid=01CRU&amp;lang=en_US&amp;offset=0&amp;query=any,contains,991002797719702656","Catalog Record")</f>
        <v/>
      </c>
      <c r="AT1770">
        <f>HYPERLINK("http://www.worldcat.org/oclc/445792","WorldCat Record")</f>
        <v/>
      </c>
      <c r="AU1770" t="inlineStr">
        <is>
          <t>5417037337:eng</t>
        </is>
      </c>
      <c r="AV1770" t="inlineStr">
        <is>
          <t>445792</t>
        </is>
      </c>
      <c r="AW1770" t="inlineStr">
        <is>
          <t>991002797719702656</t>
        </is>
      </c>
      <c r="AX1770" t="inlineStr">
        <is>
          <t>991002797719702656</t>
        </is>
      </c>
      <c r="AY1770" t="inlineStr">
        <is>
          <t>2262962570002656</t>
        </is>
      </c>
      <c r="AZ1770" t="inlineStr">
        <is>
          <t>BOOK</t>
        </is>
      </c>
      <c r="BC1770" t="inlineStr">
        <is>
          <t>32285001966448</t>
        </is>
      </c>
      <c r="BD1770" t="inlineStr">
        <is>
          <t>893428045</t>
        </is>
      </c>
    </row>
    <row r="1771">
      <c r="A1771" t="inlineStr">
        <is>
          <t>No</t>
        </is>
      </c>
      <c r="B1771" t="inlineStr">
        <is>
          <t>DS653 .B63</t>
        </is>
      </c>
      <c r="C1771" t="inlineStr">
        <is>
          <t>0                      DS 0653000B  63</t>
        </is>
      </c>
      <c r="D1771" t="inlineStr">
        <is>
          <t>The Philippine islands, 1493-1803.</t>
        </is>
      </c>
      <c r="E1771" t="inlineStr">
        <is>
          <t>V.21</t>
        </is>
      </c>
      <c r="F1771" t="inlineStr">
        <is>
          <t>Yes</t>
        </is>
      </c>
      <c r="G1771" t="inlineStr">
        <is>
          <t>1</t>
        </is>
      </c>
      <c r="H1771" t="inlineStr">
        <is>
          <t>No</t>
        </is>
      </c>
      <c r="I1771" t="inlineStr">
        <is>
          <t>No</t>
        </is>
      </c>
      <c r="J1771" t="inlineStr">
        <is>
          <t>0</t>
        </is>
      </c>
      <c r="K1771" t="inlineStr">
        <is>
          <t>Blair, Emma Helen, 1851-1911, editor.</t>
        </is>
      </c>
      <c r="L1771" t="inlineStr">
        <is>
          <t>Cleveland, Ohio : The A.H. Clark company, 1903-09.</t>
        </is>
      </c>
      <c r="M1771" t="inlineStr">
        <is>
          <t>1903</t>
        </is>
      </c>
      <c r="O1771" t="inlineStr">
        <is>
          <t>eng</t>
        </is>
      </c>
      <c r="P1771" t="inlineStr">
        <is>
          <t xml:space="preserve">xx </t>
        </is>
      </c>
      <c r="R1771" t="inlineStr">
        <is>
          <t xml:space="preserve">DS </t>
        </is>
      </c>
      <c r="S1771" t="n">
        <v>2</v>
      </c>
      <c r="T1771" t="n">
        <v>84</v>
      </c>
      <c r="U1771" t="inlineStr">
        <is>
          <t>1995-01-05</t>
        </is>
      </c>
      <c r="V1771" t="inlineStr">
        <is>
          <t>2004-10-05</t>
        </is>
      </c>
      <c r="W1771" t="inlineStr">
        <is>
          <t>1994-11-14</t>
        </is>
      </c>
      <c r="X1771" t="inlineStr">
        <is>
          <t>1994-11-15</t>
        </is>
      </c>
      <c r="Y1771" t="n">
        <v>198</v>
      </c>
      <c r="Z1771" t="n">
        <v>171</v>
      </c>
      <c r="AA1771" t="n">
        <v>207</v>
      </c>
      <c r="AB1771" t="n">
        <v>2</v>
      </c>
      <c r="AC1771" t="n">
        <v>2</v>
      </c>
      <c r="AD1771" t="n">
        <v>16</v>
      </c>
      <c r="AE1771" t="n">
        <v>16</v>
      </c>
      <c r="AF1771" t="n">
        <v>4</v>
      </c>
      <c r="AG1771" t="n">
        <v>4</v>
      </c>
      <c r="AH1771" t="n">
        <v>4</v>
      </c>
      <c r="AI1771" t="n">
        <v>4</v>
      </c>
      <c r="AJ1771" t="n">
        <v>10</v>
      </c>
      <c r="AK1771" t="n">
        <v>10</v>
      </c>
      <c r="AL1771" t="n">
        <v>1</v>
      </c>
      <c r="AM1771" t="n">
        <v>1</v>
      </c>
      <c r="AN1771" t="n">
        <v>0</v>
      </c>
      <c r="AO1771" t="n">
        <v>0</v>
      </c>
      <c r="AP1771" t="inlineStr">
        <is>
          <t>Yes</t>
        </is>
      </c>
      <c r="AQ1771" t="inlineStr">
        <is>
          <t>No</t>
        </is>
      </c>
      <c r="AR1771">
        <f>HYPERLINK("http://catalog.hathitrust.org/Record/001267282","HathiTrust Record")</f>
        <v/>
      </c>
      <c r="AS1771">
        <f>HYPERLINK("https://creighton-primo.hosted.exlibrisgroup.com/primo-explore/search?tab=default_tab&amp;search_scope=EVERYTHING&amp;vid=01CRU&amp;lang=en_US&amp;offset=0&amp;query=any,contains,991002797719702656","Catalog Record")</f>
        <v/>
      </c>
      <c r="AT1771">
        <f>HYPERLINK("http://www.worldcat.org/oclc/445792","WorldCat Record")</f>
        <v/>
      </c>
      <c r="AU1771" t="inlineStr">
        <is>
          <t>5417037337:eng</t>
        </is>
      </c>
      <c r="AV1771" t="inlineStr">
        <is>
          <t>445792</t>
        </is>
      </c>
      <c r="AW1771" t="inlineStr">
        <is>
          <t>991002797719702656</t>
        </is>
      </c>
      <c r="AX1771" t="inlineStr">
        <is>
          <t>991002797719702656</t>
        </is>
      </c>
      <c r="AY1771" t="inlineStr">
        <is>
          <t>2262962570002656</t>
        </is>
      </c>
      <c r="AZ1771" t="inlineStr">
        <is>
          <t>BOOK</t>
        </is>
      </c>
      <c r="BC1771" t="inlineStr">
        <is>
          <t>32285001966257</t>
        </is>
      </c>
      <c r="BD1771" t="inlineStr">
        <is>
          <t>893409560</t>
        </is>
      </c>
    </row>
    <row r="1772">
      <c r="A1772" t="inlineStr">
        <is>
          <t>No</t>
        </is>
      </c>
      <c r="B1772" t="inlineStr">
        <is>
          <t>DS653 .B63</t>
        </is>
      </c>
      <c r="C1772" t="inlineStr">
        <is>
          <t>0                      DS 0653000B  63</t>
        </is>
      </c>
      <c r="D1772" t="inlineStr">
        <is>
          <t>The Philippine islands, 1493-1803.</t>
        </is>
      </c>
      <c r="E1772" t="inlineStr">
        <is>
          <t>V.8</t>
        </is>
      </c>
      <c r="F1772" t="inlineStr">
        <is>
          <t>Yes</t>
        </is>
      </c>
      <c r="G1772" t="inlineStr">
        <is>
          <t>1</t>
        </is>
      </c>
      <c r="H1772" t="inlineStr">
        <is>
          <t>No</t>
        </is>
      </c>
      <c r="I1772" t="inlineStr">
        <is>
          <t>No</t>
        </is>
      </c>
      <c r="J1772" t="inlineStr">
        <is>
          <t>0</t>
        </is>
      </c>
      <c r="K1772" t="inlineStr">
        <is>
          <t>Blair, Emma Helen, 1851-1911, editor.</t>
        </is>
      </c>
      <c r="L1772" t="inlineStr">
        <is>
          <t>Cleveland, Ohio : The A.H. Clark company, 1903-09.</t>
        </is>
      </c>
      <c r="M1772" t="inlineStr">
        <is>
          <t>1903</t>
        </is>
      </c>
      <c r="O1772" t="inlineStr">
        <is>
          <t>eng</t>
        </is>
      </c>
      <c r="P1772" t="inlineStr">
        <is>
          <t xml:space="preserve">xx </t>
        </is>
      </c>
      <c r="R1772" t="inlineStr">
        <is>
          <t xml:space="preserve">DS </t>
        </is>
      </c>
      <c r="S1772" t="n">
        <v>2</v>
      </c>
      <c r="T1772" t="n">
        <v>84</v>
      </c>
      <c r="U1772" t="inlineStr">
        <is>
          <t>1994-11-14</t>
        </is>
      </c>
      <c r="V1772" t="inlineStr">
        <is>
          <t>2004-10-05</t>
        </is>
      </c>
      <c r="W1772" t="inlineStr">
        <is>
          <t>1994-11-14</t>
        </is>
      </c>
      <c r="X1772" t="inlineStr">
        <is>
          <t>1994-11-15</t>
        </is>
      </c>
      <c r="Y1772" t="n">
        <v>198</v>
      </c>
      <c r="Z1772" t="n">
        <v>171</v>
      </c>
      <c r="AA1772" t="n">
        <v>207</v>
      </c>
      <c r="AB1772" t="n">
        <v>2</v>
      </c>
      <c r="AC1772" t="n">
        <v>2</v>
      </c>
      <c r="AD1772" t="n">
        <v>16</v>
      </c>
      <c r="AE1772" t="n">
        <v>16</v>
      </c>
      <c r="AF1772" t="n">
        <v>4</v>
      </c>
      <c r="AG1772" t="n">
        <v>4</v>
      </c>
      <c r="AH1772" t="n">
        <v>4</v>
      </c>
      <c r="AI1772" t="n">
        <v>4</v>
      </c>
      <c r="AJ1772" t="n">
        <v>10</v>
      </c>
      <c r="AK1772" t="n">
        <v>10</v>
      </c>
      <c r="AL1772" t="n">
        <v>1</v>
      </c>
      <c r="AM1772" t="n">
        <v>1</v>
      </c>
      <c r="AN1772" t="n">
        <v>0</v>
      </c>
      <c r="AO1772" t="n">
        <v>0</v>
      </c>
      <c r="AP1772" t="inlineStr">
        <is>
          <t>Yes</t>
        </is>
      </c>
      <c r="AQ1772" t="inlineStr">
        <is>
          <t>No</t>
        </is>
      </c>
      <c r="AR1772">
        <f>HYPERLINK("http://catalog.hathitrust.org/Record/001267282","HathiTrust Record")</f>
        <v/>
      </c>
      <c r="AS1772">
        <f>HYPERLINK("https://creighton-primo.hosted.exlibrisgroup.com/primo-explore/search?tab=default_tab&amp;search_scope=EVERYTHING&amp;vid=01CRU&amp;lang=en_US&amp;offset=0&amp;query=any,contains,991002797719702656","Catalog Record")</f>
        <v/>
      </c>
      <c r="AT1772">
        <f>HYPERLINK("http://www.worldcat.org/oclc/445792","WorldCat Record")</f>
        <v/>
      </c>
      <c r="AU1772" t="inlineStr">
        <is>
          <t>5417037337:eng</t>
        </is>
      </c>
      <c r="AV1772" t="inlineStr">
        <is>
          <t>445792</t>
        </is>
      </c>
      <c r="AW1772" t="inlineStr">
        <is>
          <t>991002797719702656</t>
        </is>
      </c>
      <c r="AX1772" t="inlineStr">
        <is>
          <t>991002797719702656</t>
        </is>
      </c>
      <c r="AY1772" t="inlineStr">
        <is>
          <t>2262962570002656</t>
        </is>
      </c>
      <c r="AZ1772" t="inlineStr">
        <is>
          <t>BOOK</t>
        </is>
      </c>
      <c r="BC1772" t="inlineStr">
        <is>
          <t>32285001966125</t>
        </is>
      </c>
      <c r="BD1772" t="inlineStr">
        <is>
          <t>893428029</t>
        </is>
      </c>
    </row>
    <row r="1773">
      <c r="A1773" t="inlineStr">
        <is>
          <t>No</t>
        </is>
      </c>
      <c r="B1773" t="inlineStr">
        <is>
          <t>DS653 .B63</t>
        </is>
      </c>
      <c r="C1773" t="inlineStr">
        <is>
          <t>0                      DS 0653000B  63</t>
        </is>
      </c>
      <c r="D1773" t="inlineStr">
        <is>
          <t>The Philippine islands, 1493-1803.</t>
        </is>
      </c>
      <c r="E1773" t="inlineStr">
        <is>
          <t>V.53</t>
        </is>
      </c>
      <c r="F1773" t="inlineStr">
        <is>
          <t>Yes</t>
        </is>
      </c>
      <c r="G1773" t="inlineStr">
        <is>
          <t>1</t>
        </is>
      </c>
      <c r="H1773" t="inlineStr">
        <is>
          <t>No</t>
        </is>
      </c>
      <c r="I1773" t="inlineStr">
        <is>
          <t>No</t>
        </is>
      </c>
      <c r="J1773" t="inlineStr">
        <is>
          <t>0</t>
        </is>
      </c>
      <c r="K1773" t="inlineStr">
        <is>
          <t>Blair, Emma Helen, 1851-1911, editor.</t>
        </is>
      </c>
      <c r="L1773" t="inlineStr">
        <is>
          <t>Cleveland, Ohio : The A.H. Clark company, 1903-09.</t>
        </is>
      </c>
      <c r="M1773" t="inlineStr">
        <is>
          <t>1903</t>
        </is>
      </c>
      <c r="O1773" t="inlineStr">
        <is>
          <t>eng</t>
        </is>
      </c>
      <c r="P1773" t="inlineStr">
        <is>
          <t xml:space="preserve">xx </t>
        </is>
      </c>
      <c r="R1773" t="inlineStr">
        <is>
          <t xml:space="preserve">DS </t>
        </is>
      </c>
      <c r="S1773" t="n">
        <v>1</v>
      </c>
      <c r="T1773" t="n">
        <v>84</v>
      </c>
      <c r="U1773" t="inlineStr">
        <is>
          <t>1995-04-14</t>
        </is>
      </c>
      <c r="V1773" t="inlineStr">
        <is>
          <t>2004-10-05</t>
        </is>
      </c>
      <c r="W1773" t="inlineStr">
        <is>
          <t>1994-11-14</t>
        </is>
      </c>
      <c r="X1773" t="inlineStr">
        <is>
          <t>1994-11-15</t>
        </is>
      </c>
      <c r="Y1773" t="n">
        <v>198</v>
      </c>
      <c r="Z1773" t="n">
        <v>171</v>
      </c>
      <c r="AA1773" t="n">
        <v>207</v>
      </c>
      <c r="AB1773" t="n">
        <v>2</v>
      </c>
      <c r="AC1773" t="n">
        <v>2</v>
      </c>
      <c r="AD1773" t="n">
        <v>16</v>
      </c>
      <c r="AE1773" t="n">
        <v>16</v>
      </c>
      <c r="AF1773" t="n">
        <v>4</v>
      </c>
      <c r="AG1773" t="n">
        <v>4</v>
      </c>
      <c r="AH1773" t="n">
        <v>4</v>
      </c>
      <c r="AI1773" t="n">
        <v>4</v>
      </c>
      <c r="AJ1773" t="n">
        <v>10</v>
      </c>
      <c r="AK1773" t="n">
        <v>10</v>
      </c>
      <c r="AL1773" t="n">
        <v>1</v>
      </c>
      <c r="AM1773" t="n">
        <v>1</v>
      </c>
      <c r="AN1773" t="n">
        <v>0</v>
      </c>
      <c r="AO1773" t="n">
        <v>0</v>
      </c>
      <c r="AP1773" t="inlineStr">
        <is>
          <t>Yes</t>
        </is>
      </c>
      <c r="AQ1773" t="inlineStr">
        <is>
          <t>No</t>
        </is>
      </c>
      <c r="AR1773">
        <f>HYPERLINK("http://catalog.hathitrust.org/Record/001267282","HathiTrust Record")</f>
        <v/>
      </c>
      <c r="AS1773">
        <f>HYPERLINK("https://creighton-primo.hosted.exlibrisgroup.com/primo-explore/search?tab=default_tab&amp;search_scope=EVERYTHING&amp;vid=01CRU&amp;lang=en_US&amp;offset=0&amp;query=any,contains,991002797719702656","Catalog Record")</f>
        <v/>
      </c>
      <c r="AT1773">
        <f>HYPERLINK("http://www.worldcat.org/oclc/445792","WorldCat Record")</f>
        <v/>
      </c>
      <c r="AU1773" t="inlineStr">
        <is>
          <t>5417037337:eng</t>
        </is>
      </c>
      <c r="AV1773" t="inlineStr">
        <is>
          <t>445792</t>
        </is>
      </c>
      <c r="AW1773" t="inlineStr">
        <is>
          <t>991002797719702656</t>
        </is>
      </c>
      <c r="AX1773" t="inlineStr">
        <is>
          <t>991002797719702656</t>
        </is>
      </c>
      <c r="AY1773" t="inlineStr">
        <is>
          <t>2262962570002656</t>
        </is>
      </c>
      <c r="AZ1773" t="inlineStr">
        <is>
          <t>BOOK</t>
        </is>
      </c>
      <c r="BC1773" t="inlineStr">
        <is>
          <t>32285001966570</t>
        </is>
      </c>
      <c r="BD1773" t="inlineStr">
        <is>
          <t>893421810</t>
        </is>
      </c>
    </row>
    <row r="1774">
      <c r="A1774" t="inlineStr">
        <is>
          <t>No</t>
        </is>
      </c>
      <c r="B1774" t="inlineStr">
        <is>
          <t>DS653 .B63</t>
        </is>
      </c>
      <c r="C1774" t="inlineStr">
        <is>
          <t>0                      DS 0653000B  63</t>
        </is>
      </c>
      <c r="D1774" t="inlineStr">
        <is>
          <t>The Philippine islands, 1493-1803.</t>
        </is>
      </c>
      <c r="E1774" t="inlineStr">
        <is>
          <t>V.33</t>
        </is>
      </c>
      <c r="F1774" t="inlineStr">
        <is>
          <t>Yes</t>
        </is>
      </c>
      <c r="G1774" t="inlineStr">
        <is>
          <t>1</t>
        </is>
      </c>
      <c r="H1774" t="inlineStr">
        <is>
          <t>No</t>
        </is>
      </c>
      <c r="I1774" t="inlineStr">
        <is>
          <t>No</t>
        </is>
      </c>
      <c r="J1774" t="inlineStr">
        <is>
          <t>0</t>
        </is>
      </c>
      <c r="K1774" t="inlineStr">
        <is>
          <t>Blair, Emma Helen, 1851-1911, editor.</t>
        </is>
      </c>
      <c r="L1774" t="inlineStr">
        <is>
          <t>Cleveland, Ohio : The A.H. Clark company, 1903-09.</t>
        </is>
      </c>
      <c r="M1774" t="inlineStr">
        <is>
          <t>1903</t>
        </is>
      </c>
      <c r="O1774" t="inlineStr">
        <is>
          <t>eng</t>
        </is>
      </c>
      <c r="P1774" t="inlineStr">
        <is>
          <t xml:space="preserve">xx </t>
        </is>
      </c>
      <c r="R1774" t="inlineStr">
        <is>
          <t xml:space="preserve">DS </t>
        </is>
      </c>
      <c r="S1774" t="n">
        <v>2</v>
      </c>
      <c r="T1774" t="n">
        <v>84</v>
      </c>
      <c r="U1774" t="inlineStr">
        <is>
          <t>2004-10-05</t>
        </is>
      </c>
      <c r="V1774" t="inlineStr">
        <is>
          <t>2004-10-05</t>
        </is>
      </c>
      <c r="W1774" t="inlineStr">
        <is>
          <t>1994-11-14</t>
        </is>
      </c>
      <c r="X1774" t="inlineStr">
        <is>
          <t>1994-11-15</t>
        </is>
      </c>
      <c r="Y1774" t="n">
        <v>198</v>
      </c>
      <c r="Z1774" t="n">
        <v>171</v>
      </c>
      <c r="AA1774" t="n">
        <v>207</v>
      </c>
      <c r="AB1774" t="n">
        <v>2</v>
      </c>
      <c r="AC1774" t="n">
        <v>2</v>
      </c>
      <c r="AD1774" t="n">
        <v>16</v>
      </c>
      <c r="AE1774" t="n">
        <v>16</v>
      </c>
      <c r="AF1774" t="n">
        <v>4</v>
      </c>
      <c r="AG1774" t="n">
        <v>4</v>
      </c>
      <c r="AH1774" t="n">
        <v>4</v>
      </c>
      <c r="AI1774" t="n">
        <v>4</v>
      </c>
      <c r="AJ1774" t="n">
        <v>10</v>
      </c>
      <c r="AK1774" t="n">
        <v>10</v>
      </c>
      <c r="AL1774" t="n">
        <v>1</v>
      </c>
      <c r="AM1774" t="n">
        <v>1</v>
      </c>
      <c r="AN1774" t="n">
        <v>0</v>
      </c>
      <c r="AO1774" t="n">
        <v>0</v>
      </c>
      <c r="AP1774" t="inlineStr">
        <is>
          <t>Yes</t>
        </is>
      </c>
      <c r="AQ1774" t="inlineStr">
        <is>
          <t>No</t>
        </is>
      </c>
      <c r="AR1774">
        <f>HYPERLINK("http://catalog.hathitrust.org/Record/001267282","HathiTrust Record")</f>
        <v/>
      </c>
      <c r="AS1774">
        <f>HYPERLINK("https://creighton-primo.hosted.exlibrisgroup.com/primo-explore/search?tab=default_tab&amp;search_scope=EVERYTHING&amp;vid=01CRU&amp;lang=en_US&amp;offset=0&amp;query=any,contains,991002797719702656","Catalog Record")</f>
        <v/>
      </c>
      <c r="AT1774">
        <f>HYPERLINK("http://www.worldcat.org/oclc/445792","WorldCat Record")</f>
        <v/>
      </c>
      <c r="AU1774" t="inlineStr">
        <is>
          <t>5417037337:eng</t>
        </is>
      </c>
      <c r="AV1774" t="inlineStr">
        <is>
          <t>445792</t>
        </is>
      </c>
      <c r="AW1774" t="inlineStr">
        <is>
          <t>991002797719702656</t>
        </is>
      </c>
      <c r="AX1774" t="inlineStr">
        <is>
          <t>991002797719702656</t>
        </is>
      </c>
      <c r="AY1774" t="inlineStr">
        <is>
          <t>2262962570002656</t>
        </is>
      </c>
      <c r="AZ1774" t="inlineStr">
        <is>
          <t>BOOK</t>
        </is>
      </c>
      <c r="BC1774" t="inlineStr">
        <is>
          <t>32285001966372</t>
        </is>
      </c>
      <c r="BD1774" t="inlineStr">
        <is>
          <t>893409559</t>
        </is>
      </c>
    </row>
    <row r="1775">
      <c r="A1775" t="inlineStr">
        <is>
          <t>No</t>
        </is>
      </c>
      <c r="B1775" t="inlineStr">
        <is>
          <t>DS653 .B63</t>
        </is>
      </c>
      <c r="C1775" t="inlineStr">
        <is>
          <t>0                      DS 0653000B  63</t>
        </is>
      </c>
      <c r="D1775" t="inlineStr">
        <is>
          <t>The Philippine islands, 1493-1803.</t>
        </is>
      </c>
      <c r="E1775" t="inlineStr">
        <is>
          <t>V.54</t>
        </is>
      </c>
      <c r="F1775" t="inlineStr">
        <is>
          <t>Yes</t>
        </is>
      </c>
      <c r="G1775" t="inlineStr">
        <is>
          <t>1</t>
        </is>
      </c>
      <c r="H1775" t="inlineStr">
        <is>
          <t>No</t>
        </is>
      </c>
      <c r="I1775" t="inlineStr">
        <is>
          <t>No</t>
        </is>
      </c>
      <c r="J1775" t="inlineStr">
        <is>
          <t>0</t>
        </is>
      </c>
      <c r="K1775" t="inlineStr">
        <is>
          <t>Blair, Emma Helen, 1851-1911, editor.</t>
        </is>
      </c>
      <c r="L1775" t="inlineStr">
        <is>
          <t>Cleveland, Ohio : The A.H. Clark company, 1903-09.</t>
        </is>
      </c>
      <c r="M1775" t="inlineStr">
        <is>
          <t>1903</t>
        </is>
      </c>
      <c r="O1775" t="inlineStr">
        <is>
          <t>eng</t>
        </is>
      </c>
      <c r="P1775" t="inlineStr">
        <is>
          <t xml:space="preserve">xx </t>
        </is>
      </c>
      <c r="R1775" t="inlineStr">
        <is>
          <t xml:space="preserve">DS </t>
        </is>
      </c>
      <c r="S1775" t="n">
        <v>1</v>
      </c>
      <c r="T1775" t="n">
        <v>84</v>
      </c>
      <c r="U1775" t="inlineStr">
        <is>
          <t>1995-04-14</t>
        </is>
      </c>
      <c r="V1775" t="inlineStr">
        <is>
          <t>2004-10-05</t>
        </is>
      </c>
      <c r="W1775" t="inlineStr">
        <is>
          <t>1994-11-14</t>
        </is>
      </c>
      <c r="X1775" t="inlineStr">
        <is>
          <t>1994-11-15</t>
        </is>
      </c>
      <c r="Y1775" t="n">
        <v>198</v>
      </c>
      <c r="Z1775" t="n">
        <v>171</v>
      </c>
      <c r="AA1775" t="n">
        <v>207</v>
      </c>
      <c r="AB1775" t="n">
        <v>2</v>
      </c>
      <c r="AC1775" t="n">
        <v>2</v>
      </c>
      <c r="AD1775" t="n">
        <v>16</v>
      </c>
      <c r="AE1775" t="n">
        <v>16</v>
      </c>
      <c r="AF1775" t="n">
        <v>4</v>
      </c>
      <c r="AG1775" t="n">
        <v>4</v>
      </c>
      <c r="AH1775" t="n">
        <v>4</v>
      </c>
      <c r="AI1775" t="n">
        <v>4</v>
      </c>
      <c r="AJ1775" t="n">
        <v>10</v>
      </c>
      <c r="AK1775" t="n">
        <v>10</v>
      </c>
      <c r="AL1775" t="n">
        <v>1</v>
      </c>
      <c r="AM1775" t="n">
        <v>1</v>
      </c>
      <c r="AN1775" t="n">
        <v>0</v>
      </c>
      <c r="AO1775" t="n">
        <v>0</v>
      </c>
      <c r="AP1775" t="inlineStr">
        <is>
          <t>Yes</t>
        </is>
      </c>
      <c r="AQ1775" t="inlineStr">
        <is>
          <t>No</t>
        </is>
      </c>
      <c r="AR1775">
        <f>HYPERLINK("http://catalog.hathitrust.org/Record/001267282","HathiTrust Record")</f>
        <v/>
      </c>
      <c r="AS1775">
        <f>HYPERLINK("https://creighton-primo.hosted.exlibrisgroup.com/primo-explore/search?tab=default_tab&amp;search_scope=EVERYTHING&amp;vid=01CRU&amp;lang=en_US&amp;offset=0&amp;query=any,contains,991002797719702656","Catalog Record")</f>
        <v/>
      </c>
      <c r="AT1775">
        <f>HYPERLINK("http://www.worldcat.org/oclc/445792","WorldCat Record")</f>
        <v/>
      </c>
      <c r="AU1775" t="inlineStr">
        <is>
          <t>5417037337:eng</t>
        </is>
      </c>
      <c r="AV1775" t="inlineStr">
        <is>
          <t>445792</t>
        </is>
      </c>
      <c r="AW1775" t="inlineStr">
        <is>
          <t>991002797719702656</t>
        </is>
      </c>
      <c r="AX1775" t="inlineStr">
        <is>
          <t>991002797719702656</t>
        </is>
      </c>
      <c r="AY1775" t="inlineStr">
        <is>
          <t>2262962570002656</t>
        </is>
      </c>
      <c r="AZ1775" t="inlineStr">
        <is>
          <t>BOOK</t>
        </is>
      </c>
      <c r="BC1775" t="inlineStr">
        <is>
          <t>32285001966588</t>
        </is>
      </c>
      <c r="BD1775" t="inlineStr">
        <is>
          <t>893428044</t>
        </is>
      </c>
    </row>
    <row r="1776">
      <c r="A1776" t="inlineStr">
        <is>
          <t>No</t>
        </is>
      </c>
      <c r="B1776" t="inlineStr">
        <is>
          <t>DS653 .B63</t>
        </is>
      </c>
      <c r="C1776" t="inlineStr">
        <is>
          <t>0                      DS 0653000B  63</t>
        </is>
      </c>
      <c r="D1776" t="inlineStr">
        <is>
          <t>The Philippine islands, 1493-1803.</t>
        </is>
      </c>
      <c r="E1776" t="inlineStr">
        <is>
          <t>V.13</t>
        </is>
      </c>
      <c r="F1776" t="inlineStr">
        <is>
          <t>Yes</t>
        </is>
      </c>
      <c r="G1776" t="inlineStr">
        <is>
          <t>1</t>
        </is>
      </c>
      <c r="H1776" t="inlineStr">
        <is>
          <t>No</t>
        </is>
      </c>
      <c r="I1776" t="inlineStr">
        <is>
          <t>No</t>
        </is>
      </c>
      <c r="J1776" t="inlineStr">
        <is>
          <t>0</t>
        </is>
      </c>
      <c r="K1776" t="inlineStr">
        <is>
          <t>Blair, Emma Helen, 1851-1911, editor.</t>
        </is>
      </c>
      <c r="L1776" t="inlineStr">
        <is>
          <t>Cleveland, Ohio : The A.H. Clark company, 1903-09.</t>
        </is>
      </c>
      <c r="M1776" t="inlineStr">
        <is>
          <t>1903</t>
        </is>
      </c>
      <c r="O1776" t="inlineStr">
        <is>
          <t>eng</t>
        </is>
      </c>
      <c r="P1776" t="inlineStr">
        <is>
          <t xml:space="preserve">xx </t>
        </is>
      </c>
      <c r="R1776" t="inlineStr">
        <is>
          <t xml:space="preserve">DS </t>
        </is>
      </c>
      <c r="S1776" t="n">
        <v>1</v>
      </c>
      <c r="T1776" t="n">
        <v>84</v>
      </c>
      <c r="U1776" t="inlineStr">
        <is>
          <t>1994-12-05</t>
        </is>
      </c>
      <c r="V1776" t="inlineStr">
        <is>
          <t>2004-10-05</t>
        </is>
      </c>
      <c r="W1776" t="inlineStr">
        <is>
          <t>1994-11-14</t>
        </is>
      </c>
      <c r="X1776" t="inlineStr">
        <is>
          <t>1994-11-15</t>
        </is>
      </c>
      <c r="Y1776" t="n">
        <v>198</v>
      </c>
      <c r="Z1776" t="n">
        <v>171</v>
      </c>
      <c r="AA1776" t="n">
        <v>207</v>
      </c>
      <c r="AB1776" t="n">
        <v>2</v>
      </c>
      <c r="AC1776" t="n">
        <v>2</v>
      </c>
      <c r="AD1776" t="n">
        <v>16</v>
      </c>
      <c r="AE1776" t="n">
        <v>16</v>
      </c>
      <c r="AF1776" t="n">
        <v>4</v>
      </c>
      <c r="AG1776" t="n">
        <v>4</v>
      </c>
      <c r="AH1776" t="n">
        <v>4</v>
      </c>
      <c r="AI1776" t="n">
        <v>4</v>
      </c>
      <c r="AJ1776" t="n">
        <v>10</v>
      </c>
      <c r="AK1776" t="n">
        <v>10</v>
      </c>
      <c r="AL1776" t="n">
        <v>1</v>
      </c>
      <c r="AM1776" t="n">
        <v>1</v>
      </c>
      <c r="AN1776" t="n">
        <v>0</v>
      </c>
      <c r="AO1776" t="n">
        <v>0</v>
      </c>
      <c r="AP1776" t="inlineStr">
        <is>
          <t>Yes</t>
        </is>
      </c>
      <c r="AQ1776" t="inlineStr">
        <is>
          <t>No</t>
        </is>
      </c>
      <c r="AR1776">
        <f>HYPERLINK("http://catalog.hathitrust.org/Record/001267282","HathiTrust Record")</f>
        <v/>
      </c>
      <c r="AS1776">
        <f>HYPERLINK("https://creighton-primo.hosted.exlibrisgroup.com/primo-explore/search?tab=default_tab&amp;search_scope=EVERYTHING&amp;vid=01CRU&amp;lang=en_US&amp;offset=0&amp;query=any,contains,991002797719702656","Catalog Record")</f>
        <v/>
      </c>
      <c r="AT1776">
        <f>HYPERLINK("http://www.worldcat.org/oclc/445792","WorldCat Record")</f>
        <v/>
      </c>
      <c r="AU1776" t="inlineStr">
        <is>
          <t>5417037337:eng</t>
        </is>
      </c>
      <c r="AV1776" t="inlineStr">
        <is>
          <t>445792</t>
        </is>
      </c>
      <c r="AW1776" t="inlineStr">
        <is>
          <t>991002797719702656</t>
        </is>
      </c>
      <c r="AX1776" t="inlineStr">
        <is>
          <t>991002797719702656</t>
        </is>
      </c>
      <c r="AY1776" t="inlineStr">
        <is>
          <t>2262962570002656</t>
        </is>
      </c>
      <c r="AZ1776" t="inlineStr">
        <is>
          <t>BOOK</t>
        </is>
      </c>
      <c r="BC1776" t="inlineStr">
        <is>
          <t>32285001966174</t>
        </is>
      </c>
      <c r="BD1776" t="inlineStr">
        <is>
          <t>893428043</t>
        </is>
      </c>
    </row>
    <row r="1777">
      <c r="A1777" t="inlineStr">
        <is>
          <t>No</t>
        </is>
      </c>
      <c r="B1777" t="inlineStr">
        <is>
          <t>DS653 .B63</t>
        </is>
      </c>
      <c r="C1777" t="inlineStr">
        <is>
          <t>0                      DS 0653000B  63</t>
        </is>
      </c>
      <c r="D1777" t="inlineStr">
        <is>
          <t>The Philippine islands, 1493-1803.</t>
        </is>
      </c>
      <c r="E1777" t="inlineStr">
        <is>
          <t>V.39</t>
        </is>
      </c>
      <c r="F1777" t="inlineStr">
        <is>
          <t>Yes</t>
        </is>
      </c>
      <c r="G1777" t="inlineStr">
        <is>
          <t>1</t>
        </is>
      </c>
      <c r="H1777" t="inlineStr">
        <is>
          <t>No</t>
        </is>
      </c>
      <c r="I1777" t="inlineStr">
        <is>
          <t>No</t>
        </is>
      </c>
      <c r="J1777" t="inlineStr">
        <is>
          <t>0</t>
        </is>
      </c>
      <c r="K1777" t="inlineStr">
        <is>
          <t>Blair, Emma Helen, 1851-1911, editor.</t>
        </is>
      </c>
      <c r="L1777" t="inlineStr">
        <is>
          <t>Cleveland, Ohio : The A.H. Clark company, 1903-09.</t>
        </is>
      </c>
      <c r="M1777" t="inlineStr">
        <is>
          <t>1903</t>
        </is>
      </c>
      <c r="O1777" t="inlineStr">
        <is>
          <t>eng</t>
        </is>
      </c>
      <c r="P1777" t="inlineStr">
        <is>
          <t xml:space="preserve">xx </t>
        </is>
      </c>
      <c r="R1777" t="inlineStr">
        <is>
          <t xml:space="preserve">DS </t>
        </is>
      </c>
      <c r="S1777" t="n">
        <v>2</v>
      </c>
      <c r="T1777" t="n">
        <v>84</v>
      </c>
      <c r="U1777" t="inlineStr">
        <is>
          <t>1995-03-20</t>
        </is>
      </c>
      <c r="V1777" t="inlineStr">
        <is>
          <t>2004-10-05</t>
        </is>
      </c>
      <c r="W1777" t="inlineStr">
        <is>
          <t>1994-11-14</t>
        </is>
      </c>
      <c r="X1777" t="inlineStr">
        <is>
          <t>1994-11-15</t>
        </is>
      </c>
      <c r="Y1777" t="n">
        <v>198</v>
      </c>
      <c r="Z1777" t="n">
        <v>171</v>
      </c>
      <c r="AA1777" t="n">
        <v>207</v>
      </c>
      <c r="AB1777" t="n">
        <v>2</v>
      </c>
      <c r="AC1777" t="n">
        <v>2</v>
      </c>
      <c r="AD1777" t="n">
        <v>16</v>
      </c>
      <c r="AE1777" t="n">
        <v>16</v>
      </c>
      <c r="AF1777" t="n">
        <v>4</v>
      </c>
      <c r="AG1777" t="n">
        <v>4</v>
      </c>
      <c r="AH1777" t="n">
        <v>4</v>
      </c>
      <c r="AI1777" t="n">
        <v>4</v>
      </c>
      <c r="AJ1777" t="n">
        <v>10</v>
      </c>
      <c r="AK1777" t="n">
        <v>10</v>
      </c>
      <c r="AL1777" t="n">
        <v>1</v>
      </c>
      <c r="AM1777" t="n">
        <v>1</v>
      </c>
      <c r="AN1777" t="n">
        <v>0</v>
      </c>
      <c r="AO1777" t="n">
        <v>0</v>
      </c>
      <c r="AP1777" t="inlineStr">
        <is>
          <t>Yes</t>
        </is>
      </c>
      <c r="AQ1777" t="inlineStr">
        <is>
          <t>No</t>
        </is>
      </c>
      <c r="AR1777">
        <f>HYPERLINK("http://catalog.hathitrust.org/Record/001267282","HathiTrust Record")</f>
        <v/>
      </c>
      <c r="AS1777">
        <f>HYPERLINK("https://creighton-primo.hosted.exlibrisgroup.com/primo-explore/search?tab=default_tab&amp;search_scope=EVERYTHING&amp;vid=01CRU&amp;lang=en_US&amp;offset=0&amp;query=any,contains,991002797719702656","Catalog Record")</f>
        <v/>
      </c>
      <c r="AT1777">
        <f>HYPERLINK("http://www.worldcat.org/oclc/445792","WorldCat Record")</f>
        <v/>
      </c>
      <c r="AU1777" t="inlineStr">
        <is>
          <t>5417037337:eng</t>
        </is>
      </c>
      <c r="AV1777" t="inlineStr">
        <is>
          <t>445792</t>
        </is>
      </c>
      <c r="AW1777" t="inlineStr">
        <is>
          <t>991002797719702656</t>
        </is>
      </c>
      <c r="AX1777" t="inlineStr">
        <is>
          <t>991002797719702656</t>
        </is>
      </c>
      <c r="AY1777" t="inlineStr">
        <is>
          <t>2262962570002656</t>
        </is>
      </c>
      <c r="AZ1777" t="inlineStr">
        <is>
          <t>BOOK</t>
        </is>
      </c>
      <c r="BC1777" t="inlineStr">
        <is>
          <t>32285001966430</t>
        </is>
      </c>
      <c r="BD1777" t="inlineStr">
        <is>
          <t>893428034</t>
        </is>
      </c>
    </row>
    <row r="1778">
      <c r="A1778" t="inlineStr">
        <is>
          <t>No</t>
        </is>
      </c>
      <c r="B1778" t="inlineStr">
        <is>
          <t>DS653 .B63</t>
        </is>
      </c>
      <c r="C1778" t="inlineStr">
        <is>
          <t>0                      DS 0653000B  63</t>
        </is>
      </c>
      <c r="D1778" t="inlineStr">
        <is>
          <t>The Philippine islands, 1493-1803.</t>
        </is>
      </c>
      <c r="E1778" t="inlineStr">
        <is>
          <t>V.16</t>
        </is>
      </c>
      <c r="F1778" t="inlineStr">
        <is>
          <t>Yes</t>
        </is>
      </c>
      <c r="G1778" t="inlineStr">
        <is>
          <t>1</t>
        </is>
      </c>
      <c r="H1778" t="inlineStr">
        <is>
          <t>No</t>
        </is>
      </c>
      <c r="I1778" t="inlineStr">
        <is>
          <t>No</t>
        </is>
      </c>
      <c r="J1778" t="inlineStr">
        <is>
          <t>0</t>
        </is>
      </c>
      <c r="K1778" t="inlineStr">
        <is>
          <t>Blair, Emma Helen, 1851-1911, editor.</t>
        </is>
      </c>
      <c r="L1778" t="inlineStr">
        <is>
          <t>Cleveland, Ohio : The A.H. Clark company, 1903-09.</t>
        </is>
      </c>
      <c r="M1778" t="inlineStr">
        <is>
          <t>1903</t>
        </is>
      </c>
      <c r="O1778" t="inlineStr">
        <is>
          <t>eng</t>
        </is>
      </c>
      <c r="P1778" t="inlineStr">
        <is>
          <t xml:space="preserve">xx </t>
        </is>
      </c>
      <c r="R1778" t="inlineStr">
        <is>
          <t xml:space="preserve">DS </t>
        </is>
      </c>
      <c r="S1778" t="n">
        <v>1</v>
      </c>
      <c r="T1778" t="n">
        <v>84</v>
      </c>
      <c r="U1778" t="inlineStr">
        <is>
          <t>1994-12-16</t>
        </is>
      </c>
      <c r="V1778" t="inlineStr">
        <is>
          <t>2004-10-05</t>
        </is>
      </c>
      <c r="W1778" t="inlineStr">
        <is>
          <t>1994-11-14</t>
        </is>
      </c>
      <c r="X1778" t="inlineStr">
        <is>
          <t>1994-11-15</t>
        </is>
      </c>
      <c r="Y1778" t="n">
        <v>198</v>
      </c>
      <c r="Z1778" t="n">
        <v>171</v>
      </c>
      <c r="AA1778" t="n">
        <v>207</v>
      </c>
      <c r="AB1778" t="n">
        <v>2</v>
      </c>
      <c r="AC1778" t="n">
        <v>2</v>
      </c>
      <c r="AD1778" t="n">
        <v>16</v>
      </c>
      <c r="AE1778" t="n">
        <v>16</v>
      </c>
      <c r="AF1778" t="n">
        <v>4</v>
      </c>
      <c r="AG1778" t="n">
        <v>4</v>
      </c>
      <c r="AH1778" t="n">
        <v>4</v>
      </c>
      <c r="AI1778" t="n">
        <v>4</v>
      </c>
      <c r="AJ1778" t="n">
        <v>10</v>
      </c>
      <c r="AK1778" t="n">
        <v>10</v>
      </c>
      <c r="AL1778" t="n">
        <v>1</v>
      </c>
      <c r="AM1778" t="n">
        <v>1</v>
      </c>
      <c r="AN1778" t="n">
        <v>0</v>
      </c>
      <c r="AO1778" t="n">
        <v>0</v>
      </c>
      <c r="AP1778" t="inlineStr">
        <is>
          <t>Yes</t>
        </is>
      </c>
      <c r="AQ1778" t="inlineStr">
        <is>
          <t>No</t>
        </is>
      </c>
      <c r="AR1778">
        <f>HYPERLINK("http://catalog.hathitrust.org/Record/001267282","HathiTrust Record")</f>
        <v/>
      </c>
      <c r="AS1778">
        <f>HYPERLINK("https://creighton-primo.hosted.exlibrisgroup.com/primo-explore/search?tab=default_tab&amp;search_scope=EVERYTHING&amp;vid=01CRU&amp;lang=en_US&amp;offset=0&amp;query=any,contains,991002797719702656","Catalog Record")</f>
        <v/>
      </c>
      <c r="AT1778">
        <f>HYPERLINK("http://www.worldcat.org/oclc/445792","WorldCat Record")</f>
        <v/>
      </c>
      <c r="AU1778" t="inlineStr">
        <is>
          <t>5417037337:eng</t>
        </is>
      </c>
      <c r="AV1778" t="inlineStr">
        <is>
          <t>445792</t>
        </is>
      </c>
      <c r="AW1778" t="inlineStr">
        <is>
          <t>991002797719702656</t>
        </is>
      </c>
      <c r="AX1778" t="inlineStr">
        <is>
          <t>991002797719702656</t>
        </is>
      </c>
      <c r="AY1778" t="inlineStr">
        <is>
          <t>2262962570002656</t>
        </is>
      </c>
      <c r="AZ1778" t="inlineStr">
        <is>
          <t>BOOK</t>
        </is>
      </c>
      <c r="BC1778" t="inlineStr">
        <is>
          <t>32285001966208</t>
        </is>
      </c>
      <c r="BD1778" t="inlineStr">
        <is>
          <t>893409551</t>
        </is>
      </c>
    </row>
    <row r="1779">
      <c r="A1779" t="inlineStr">
        <is>
          <t>No</t>
        </is>
      </c>
      <c r="B1779" t="inlineStr">
        <is>
          <t>DS653 .B63</t>
        </is>
      </c>
      <c r="C1779" t="inlineStr">
        <is>
          <t>0                      DS 0653000B  63</t>
        </is>
      </c>
      <c r="D1779" t="inlineStr">
        <is>
          <t>The Philippine islands, 1493-1803.</t>
        </is>
      </c>
      <c r="E1779" t="inlineStr">
        <is>
          <t>V.29</t>
        </is>
      </c>
      <c r="F1779" t="inlineStr">
        <is>
          <t>Yes</t>
        </is>
      </c>
      <c r="G1779" t="inlineStr">
        <is>
          <t>1</t>
        </is>
      </c>
      <c r="H1779" t="inlineStr">
        <is>
          <t>No</t>
        </is>
      </c>
      <c r="I1779" t="inlineStr">
        <is>
          <t>No</t>
        </is>
      </c>
      <c r="J1779" t="inlineStr">
        <is>
          <t>0</t>
        </is>
      </c>
      <c r="K1779" t="inlineStr">
        <is>
          <t>Blair, Emma Helen, 1851-1911, editor.</t>
        </is>
      </c>
      <c r="L1779" t="inlineStr">
        <is>
          <t>Cleveland, Ohio : The A.H. Clark company, 1903-09.</t>
        </is>
      </c>
      <c r="M1779" t="inlineStr">
        <is>
          <t>1903</t>
        </is>
      </c>
      <c r="O1779" t="inlineStr">
        <is>
          <t>eng</t>
        </is>
      </c>
      <c r="P1779" t="inlineStr">
        <is>
          <t xml:space="preserve">xx </t>
        </is>
      </c>
      <c r="R1779" t="inlineStr">
        <is>
          <t xml:space="preserve">DS </t>
        </is>
      </c>
      <c r="S1779" t="n">
        <v>2</v>
      </c>
      <c r="T1779" t="n">
        <v>84</v>
      </c>
      <c r="U1779" t="inlineStr">
        <is>
          <t>1995-02-06</t>
        </is>
      </c>
      <c r="V1779" t="inlineStr">
        <is>
          <t>2004-10-05</t>
        </is>
      </c>
      <c r="W1779" t="inlineStr">
        <is>
          <t>1994-11-14</t>
        </is>
      </c>
      <c r="X1779" t="inlineStr">
        <is>
          <t>1994-11-15</t>
        </is>
      </c>
      <c r="Y1779" t="n">
        <v>198</v>
      </c>
      <c r="Z1779" t="n">
        <v>171</v>
      </c>
      <c r="AA1779" t="n">
        <v>207</v>
      </c>
      <c r="AB1779" t="n">
        <v>2</v>
      </c>
      <c r="AC1779" t="n">
        <v>2</v>
      </c>
      <c r="AD1779" t="n">
        <v>16</v>
      </c>
      <c r="AE1779" t="n">
        <v>16</v>
      </c>
      <c r="AF1779" t="n">
        <v>4</v>
      </c>
      <c r="AG1779" t="n">
        <v>4</v>
      </c>
      <c r="AH1779" t="n">
        <v>4</v>
      </c>
      <c r="AI1779" t="n">
        <v>4</v>
      </c>
      <c r="AJ1779" t="n">
        <v>10</v>
      </c>
      <c r="AK1779" t="n">
        <v>10</v>
      </c>
      <c r="AL1779" t="n">
        <v>1</v>
      </c>
      <c r="AM1779" t="n">
        <v>1</v>
      </c>
      <c r="AN1779" t="n">
        <v>0</v>
      </c>
      <c r="AO1779" t="n">
        <v>0</v>
      </c>
      <c r="AP1779" t="inlineStr">
        <is>
          <t>Yes</t>
        </is>
      </c>
      <c r="AQ1779" t="inlineStr">
        <is>
          <t>No</t>
        </is>
      </c>
      <c r="AR1779">
        <f>HYPERLINK("http://catalog.hathitrust.org/Record/001267282","HathiTrust Record")</f>
        <v/>
      </c>
      <c r="AS1779">
        <f>HYPERLINK("https://creighton-primo.hosted.exlibrisgroup.com/primo-explore/search?tab=default_tab&amp;search_scope=EVERYTHING&amp;vid=01CRU&amp;lang=en_US&amp;offset=0&amp;query=any,contains,991002797719702656","Catalog Record")</f>
        <v/>
      </c>
      <c r="AT1779">
        <f>HYPERLINK("http://www.worldcat.org/oclc/445792","WorldCat Record")</f>
        <v/>
      </c>
      <c r="AU1779" t="inlineStr">
        <is>
          <t>5417037337:eng</t>
        </is>
      </c>
      <c r="AV1779" t="inlineStr">
        <is>
          <t>445792</t>
        </is>
      </c>
      <c r="AW1779" t="inlineStr">
        <is>
          <t>991002797719702656</t>
        </is>
      </c>
      <c r="AX1779" t="inlineStr">
        <is>
          <t>991002797719702656</t>
        </is>
      </c>
      <c r="AY1779" t="inlineStr">
        <is>
          <t>2262962570002656</t>
        </is>
      </c>
      <c r="AZ1779" t="inlineStr">
        <is>
          <t>BOOK</t>
        </is>
      </c>
      <c r="BC1779" t="inlineStr">
        <is>
          <t>32285001966331</t>
        </is>
      </c>
      <c r="BD1779" t="inlineStr">
        <is>
          <t>893409546</t>
        </is>
      </c>
    </row>
    <row r="1780">
      <c r="A1780" t="inlineStr">
        <is>
          <t>No</t>
        </is>
      </c>
      <c r="B1780" t="inlineStr">
        <is>
          <t>DS653 .B63</t>
        </is>
      </c>
      <c r="C1780" t="inlineStr">
        <is>
          <t>0                      DS 0653000B  63</t>
        </is>
      </c>
      <c r="D1780" t="inlineStr">
        <is>
          <t>The Philippine islands, 1493-1803.</t>
        </is>
      </c>
      <c r="E1780" t="inlineStr">
        <is>
          <t>V.9</t>
        </is>
      </c>
      <c r="F1780" t="inlineStr">
        <is>
          <t>Yes</t>
        </is>
      </c>
      <c r="G1780" t="inlineStr">
        <is>
          <t>1</t>
        </is>
      </c>
      <c r="H1780" t="inlineStr">
        <is>
          <t>No</t>
        </is>
      </c>
      <c r="I1780" t="inlineStr">
        <is>
          <t>No</t>
        </is>
      </c>
      <c r="J1780" t="inlineStr">
        <is>
          <t>0</t>
        </is>
      </c>
      <c r="K1780" t="inlineStr">
        <is>
          <t>Blair, Emma Helen, 1851-1911, editor.</t>
        </is>
      </c>
      <c r="L1780" t="inlineStr">
        <is>
          <t>Cleveland, Ohio : The A.H. Clark company, 1903-09.</t>
        </is>
      </c>
      <c r="M1780" t="inlineStr">
        <is>
          <t>1903</t>
        </is>
      </c>
      <c r="O1780" t="inlineStr">
        <is>
          <t>eng</t>
        </is>
      </c>
      <c r="P1780" t="inlineStr">
        <is>
          <t xml:space="preserve">xx </t>
        </is>
      </c>
      <c r="R1780" t="inlineStr">
        <is>
          <t xml:space="preserve">DS </t>
        </is>
      </c>
      <c r="S1780" t="n">
        <v>2</v>
      </c>
      <c r="T1780" t="n">
        <v>84</v>
      </c>
      <c r="U1780" t="inlineStr">
        <is>
          <t>1994-11-14</t>
        </is>
      </c>
      <c r="V1780" t="inlineStr">
        <is>
          <t>2004-10-05</t>
        </is>
      </c>
      <c r="W1780" t="inlineStr">
        <is>
          <t>1994-11-14</t>
        </is>
      </c>
      <c r="X1780" t="inlineStr">
        <is>
          <t>1994-11-15</t>
        </is>
      </c>
      <c r="Y1780" t="n">
        <v>198</v>
      </c>
      <c r="Z1780" t="n">
        <v>171</v>
      </c>
      <c r="AA1780" t="n">
        <v>207</v>
      </c>
      <c r="AB1780" t="n">
        <v>2</v>
      </c>
      <c r="AC1780" t="n">
        <v>2</v>
      </c>
      <c r="AD1780" t="n">
        <v>16</v>
      </c>
      <c r="AE1780" t="n">
        <v>16</v>
      </c>
      <c r="AF1780" t="n">
        <v>4</v>
      </c>
      <c r="AG1780" t="n">
        <v>4</v>
      </c>
      <c r="AH1780" t="n">
        <v>4</v>
      </c>
      <c r="AI1780" t="n">
        <v>4</v>
      </c>
      <c r="AJ1780" t="n">
        <v>10</v>
      </c>
      <c r="AK1780" t="n">
        <v>10</v>
      </c>
      <c r="AL1780" t="n">
        <v>1</v>
      </c>
      <c r="AM1780" t="n">
        <v>1</v>
      </c>
      <c r="AN1780" t="n">
        <v>0</v>
      </c>
      <c r="AO1780" t="n">
        <v>0</v>
      </c>
      <c r="AP1780" t="inlineStr">
        <is>
          <t>Yes</t>
        </is>
      </c>
      <c r="AQ1780" t="inlineStr">
        <is>
          <t>No</t>
        </is>
      </c>
      <c r="AR1780">
        <f>HYPERLINK("http://catalog.hathitrust.org/Record/001267282","HathiTrust Record")</f>
        <v/>
      </c>
      <c r="AS1780">
        <f>HYPERLINK("https://creighton-primo.hosted.exlibrisgroup.com/primo-explore/search?tab=default_tab&amp;search_scope=EVERYTHING&amp;vid=01CRU&amp;lang=en_US&amp;offset=0&amp;query=any,contains,991002797719702656","Catalog Record")</f>
        <v/>
      </c>
      <c r="AT1780">
        <f>HYPERLINK("http://www.worldcat.org/oclc/445792","WorldCat Record")</f>
        <v/>
      </c>
      <c r="AU1780" t="inlineStr">
        <is>
          <t>5417037337:eng</t>
        </is>
      </c>
      <c r="AV1780" t="inlineStr">
        <is>
          <t>445792</t>
        </is>
      </c>
      <c r="AW1780" t="inlineStr">
        <is>
          <t>991002797719702656</t>
        </is>
      </c>
      <c r="AX1780" t="inlineStr">
        <is>
          <t>991002797719702656</t>
        </is>
      </c>
      <c r="AY1780" t="inlineStr">
        <is>
          <t>2262962570002656</t>
        </is>
      </c>
      <c r="AZ1780" t="inlineStr">
        <is>
          <t>BOOK</t>
        </is>
      </c>
      <c r="BC1780" t="inlineStr">
        <is>
          <t>32285001966133</t>
        </is>
      </c>
      <c r="BD1780" t="inlineStr">
        <is>
          <t>893434295</t>
        </is>
      </c>
    </row>
    <row r="1781">
      <c r="A1781" t="inlineStr">
        <is>
          <t>No</t>
        </is>
      </c>
      <c r="B1781" t="inlineStr">
        <is>
          <t>DS653 .B63</t>
        </is>
      </c>
      <c r="C1781" t="inlineStr">
        <is>
          <t>0                      DS 0653000B  63</t>
        </is>
      </c>
      <c r="D1781" t="inlineStr">
        <is>
          <t>The Philippine islands, 1493-1803.</t>
        </is>
      </c>
      <c r="E1781" t="inlineStr">
        <is>
          <t>V.26</t>
        </is>
      </c>
      <c r="F1781" t="inlineStr">
        <is>
          <t>Yes</t>
        </is>
      </c>
      <c r="G1781" t="inlineStr">
        <is>
          <t>1</t>
        </is>
      </c>
      <c r="H1781" t="inlineStr">
        <is>
          <t>No</t>
        </is>
      </c>
      <c r="I1781" t="inlineStr">
        <is>
          <t>No</t>
        </is>
      </c>
      <c r="J1781" t="inlineStr">
        <is>
          <t>0</t>
        </is>
      </c>
      <c r="K1781" t="inlineStr">
        <is>
          <t>Blair, Emma Helen, 1851-1911, editor.</t>
        </is>
      </c>
      <c r="L1781" t="inlineStr">
        <is>
          <t>Cleveland, Ohio : The A.H. Clark company, 1903-09.</t>
        </is>
      </c>
      <c r="M1781" t="inlineStr">
        <is>
          <t>1903</t>
        </is>
      </c>
      <c r="O1781" t="inlineStr">
        <is>
          <t>eng</t>
        </is>
      </c>
      <c r="P1781" t="inlineStr">
        <is>
          <t xml:space="preserve">xx </t>
        </is>
      </c>
      <c r="R1781" t="inlineStr">
        <is>
          <t xml:space="preserve">DS </t>
        </is>
      </c>
      <c r="S1781" t="n">
        <v>2</v>
      </c>
      <c r="T1781" t="n">
        <v>84</v>
      </c>
      <c r="U1781" t="inlineStr">
        <is>
          <t>1995-01-27</t>
        </is>
      </c>
      <c r="V1781" t="inlineStr">
        <is>
          <t>2004-10-05</t>
        </is>
      </c>
      <c r="W1781" t="inlineStr">
        <is>
          <t>1994-11-14</t>
        </is>
      </c>
      <c r="X1781" t="inlineStr">
        <is>
          <t>1994-11-15</t>
        </is>
      </c>
      <c r="Y1781" t="n">
        <v>198</v>
      </c>
      <c r="Z1781" t="n">
        <v>171</v>
      </c>
      <c r="AA1781" t="n">
        <v>207</v>
      </c>
      <c r="AB1781" t="n">
        <v>2</v>
      </c>
      <c r="AC1781" t="n">
        <v>2</v>
      </c>
      <c r="AD1781" t="n">
        <v>16</v>
      </c>
      <c r="AE1781" t="n">
        <v>16</v>
      </c>
      <c r="AF1781" t="n">
        <v>4</v>
      </c>
      <c r="AG1781" t="n">
        <v>4</v>
      </c>
      <c r="AH1781" t="n">
        <v>4</v>
      </c>
      <c r="AI1781" t="n">
        <v>4</v>
      </c>
      <c r="AJ1781" t="n">
        <v>10</v>
      </c>
      <c r="AK1781" t="n">
        <v>10</v>
      </c>
      <c r="AL1781" t="n">
        <v>1</v>
      </c>
      <c r="AM1781" t="n">
        <v>1</v>
      </c>
      <c r="AN1781" t="n">
        <v>0</v>
      </c>
      <c r="AO1781" t="n">
        <v>0</v>
      </c>
      <c r="AP1781" t="inlineStr">
        <is>
          <t>Yes</t>
        </is>
      </c>
      <c r="AQ1781" t="inlineStr">
        <is>
          <t>No</t>
        </is>
      </c>
      <c r="AR1781">
        <f>HYPERLINK("http://catalog.hathitrust.org/Record/001267282","HathiTrust Record")</f>
        <v/>
      </c>
      <c r="AS1781">
        <f>HYPERLINK("https://creighton-primo.hosted.exlibrisgroup.com/primo-explore/search?tab=default_tab&amp;search_scope=EVERYTHING&amp;vid=01CRU&amp;lang=en_US&amp;offset=0&amp;query=any,contains,991002797719702656","Catalog Record")</f>
        <v/>
      </c>
      <c r="AT1781">
        <f>HYPERLINK("http://www.worldcat.org/oclc/445792","WorldCat Record")</f>
        <v/>
      </c>
      <c r="AU1781" t="inlineStr">
        <is>
          <t>5417037337:eng</t>
        </is>
      </c>
      <c r="AV1781" t="inlineStr">
        <is>
          <t>445792</t>
        </is>
      </c>
      <c r="AW1781" t="inlineStr">
        <is>
          <t>991002797719702656</t>
        </is>
      </c>
      <c r="AX1781" t="inlineStr">
        <is>
          <t>991002797719702656</t>
        </is>
      </c>
      <c r="AY1781" t="inlineStr">
        <is>
          <t>2262962570002656</t>
        </is>
      </c>
      <c r="AZ1781" t="inlineStr">
        <is>
          <t>BOOK</t>
        </is>
      </c>
      <c r="BC1781" t="inlineStr">
        <is>
          <t>32285001966307</t>
        </is>
      </c>
      <c r="BD1781" t="inlineStr">
        <is>
          <t>893434297</t>
        </is>
      </c>
    </row>
    <row r="1782">
      <c r="A1782" t="inlineStr">
        <is>
          <t>No</t>
        </is>
      </c>
      <c r="B1782" t="inlineStr">
        <is>
          <t>DS653 .B63</t>
        </is>
      </c>
      <c r="C1782" t="inlineStr">
        <is>
          <t>0                      DS 0653000B  63</t>
        </is>
      </c>
      <c r="D1782" t="inlineStr">
        <is>
          <t>The Philippine islands, 1493-1803.</t>
        </is>
      </c>
      <c r="E1782" t="inlineStr">
        <is>
          <t>V.25</t>
        </is>
      </c>
      <c r="F1782" t="inlineStr">
        <is>
          <t>Yes</t>
        </is>
      </c>
      <c r="G1782" t="inlineStr">
        <is>
          <t>1</t>
        </is>
      </c>
      <c r="H1782" t="inlineStr">
        <is>
          <t>No</t>
        </is>
      </c>
      <c r="I1782" t="inlineStr">
        <is>
          <t>No</t>
        </is>
      </c>
      <c r="J1782" t="inlineStr">
        <is>
          <t>0</t>
        </is>
      </c>
      <c r="K1782" t="inlineStr">
        <is>
          <t>Blair, Emma Helen, 1851-1911, editor.</t>
        </is>
      </c>
      <c r="L1782" t="inlineStr">
        <is>
          <t>Cleveland, Ohio : The A.H. Clark company, 1903-09.</t>
        </is>
      </c>
      <c r="M1782" t="inlineStr">
        <is>
          <t>1903</t>
        </is>
      </c>
      <c r="O1782" t="inlineStr">
        <is>
          <t>eng</t>
        </is>
      </c>
      <c r="P1782" t="inlineStr">
        <is>
          <t xml:space="preserve">xx </t>
        </is>
      </c>
      <c r="R1782" t="inlineStr">
        <is>
          <t xml:space="preserve">DS </t>
        </is>
      </c>
      <c r="S1782" t="n">
        <v>2</v>
      </c>
      <c r="T1782" t="n">
        <v>84</v>
      </c>
      <c r="U1782" t="inlineStr">
        <is>
          <t>1995-01-23</t>
        </is>
      </c>
      <c r="V1782" t="inlineStr">
        <is>
          <t>2004-10-05</t>
        </is>
      </c>
      <c r="W1782" t="inlineStr">
        <is>
          <t>1994-11-14</t>
        </is>
      </c>
      <c r="X1782" t="inlineStr">
        <is>
          <t>1994-11-15</t>
        </is>
      </c>
      <c r="Y1782" t="n">
        <v>198</v>
      </c>
      <c r="Z1782" t="n">
        <v>171</v>
      </c>
      <c r="AA1782" t="n">
        <v>207</v>
      </c>
      <c r="AB1782" t="n">
        <v>2</v>
      </c>
      <c r="AC1782" t="n">
        <v>2</v>
      </c>
      <c r="AD1782" t="n">
        <v>16</v>
      </c>
      <c r="AE1782" t="n">
        <v>16</v>
      </c>
      <c r="AF1782" t="n">
        <v>4</v>
      </c>
      <c r="AG1782" t="n">
        <v>4</v>
      </c>
      <c r="AH1782" t="n">
        <v>4</v>
      </c>
      <c r="AI1782" t="n">
        <v>4</v>
      </c>
      <c r="AJ1782" t="n">
        <v>10</v>
      </c>
      <c r="AK1782" t="n">
        <v>10</v>
      </c>
      <c r="AL1782" t="n">
        <v>1</v>
      </c>
      <c r="AM1782" t="n">
        <v>1</v>
      </c>
      <c r="AN1782" t="n">
        <v>0</v>
      </c>
      <c r="AO1782" t="n">
        <v>0</v>
      </c>
      <c r="AP1782" t="inlineStr">
        <is>
          <t>Yes</t>
        </is>
      </c>
      <c r="AQ1782" t="inlineStr">
        <is>
          <t>No</t>
        </is>
      </c>
      <c r="AR1782">
        <f>HYPERLINK("http://catalog.hathitrust.org/Record/001267282","HathiTrust Record")</f>
        <v/>
      </c>
      <c r="AS1782">
        <f>HYPERLINK("https://creighton-primo.hosted.exlibrisgroup.com/primo-explore/search?tab=default_tab&amp;search_scope=EVERYTHING&amp;vid=01CRU&amp;lang=en_US&amp;offset=0&amp;query=any,contains,991002797719702656","Catalog Record")</f>
        <v/>
      </c>
      <c r="AT1782">
        <f>HYPERLINK("http://www.worldcat.org/oclc/445792","WorldCat Record")</f>
        <v/>
      </c>
      <c r="AU1782" t="inlineStr">
        <is>
          <t>5417037337:eng</t>
        </is>
      </c>
      <c r="AV1782" t="inlineStr">
        <is>
          <t>445792</t>
        </is>
      </c>
      <c r="AW1782" t="inlineStr">
        <is>
          <t>991002797719702656</t>
        </is>
      </c>
      <c r="AX1782" t="inlineStr">
        <is>
          <t>991002797719702656</t>
        </is>
      </c>
      <c r="AY1782" t="inlineStr">
        <is>
          <t>2262962570002656</t>
        </is>
      </c>
      <c r="AZ1782" t="inlineStr">
        <is>
          <t>BOOK</t>
        </is>
      </c>
      <c r="BC1782" t="inlineStr">
        <is>
          <t>32285001966299</t>
        </is>
      </c>
      <c r="BD1782" t="inlineStr">
        <is>
          <t>893409547</t>
        </is>
      </c>
    </row>
    <row r="1783">
      <c r="A1783" t="inlineStr">
        <is>
          <t>No</t>
        </is>
      </c>
      <c r="B1783" t="inlineStr">
        <is>
          <t>DS653 .B63</t>
        </is>
      </c>
      <c r="C1783" t="inlineStr">
        <is>
          <t>0                      DS 0653000B  63</t>
        </is>
      </c>
      <c r="D1783" t="inlineStr">
        <is>
          <t>The Philippine islands, 1493-1803.</t>
        </is>
      </c>
      <c r="E1783" t="inlineStr">
        <is>
          <t>V.46</t>
        </is>
      </c>
      <c r="F1783" t="inlineStr">
        <is>
          <t>Yes</t>
        </is>
      </c>
      <c r="G1783" t="inlineStr">
        <is>
          <t>1</t>
        </is>
      </c>
      <c r="H1783" t="inlineStr">
        <is>
          <t>No</t>
        </is>
      </c>
      <c r="I1783" t="inlineStr">
        <is>
          <t>No</t>
        </is>
      </c>
      <c r="J1783" t="inlineStr">
        <is>
          <t>0</t>
        </is>
      </c>
      <c r="K1783" t="inlineStr">
        <is>
          <t>Blair, Emma Helen, 1851-1911, editor.</t>
        </is>
      </c>
      <c r="L1783" t="inlineStr">
        <is>
          <t>Cleveland, Ohio : The A.H. Clark company, 1903-09.</t>
        </is>
      </c>
      <c r="M1783" t="inlineStr">
        <is>
          <t>1903</t>
        </is>
      </c>
      <c r="O1783" t="inlineStr">
        <is>
          <t>eng</t>
        </is>
      </c>
      <c r="P1783" t="inlineStr">
        <is>
          <t xml:space="preserve">xx </t>
        </is>
      </c>
      <c r="R1783" t="inlineStr">
        <is>
          <t xml:space="preserve">DS </t>
        </is>
      </c>
      <c r="S1783" t="n">
        <v>2</v>
      </c>
      <c r="T1783" t="n">
        <v>84</v>
      </c>
      <c r="U1783" t="inlineStr">
        <is>
          <t>2003-02-10</t>
        </is>
      </c>
      <c r="V1783" t="inlineStr">
        <is>
          <t>2004-10-05</t>
        </is>
      </c>
      <c r="W1783" t="inlineStr">
        <is>
          <t>1994-11-14</t>
        </is>
      </c>
      <c r="X1783" t="inlineStr">
        <is>
          <t>1994-11-15</t>
        </is>
      </c>
      <c r="Y1783" t="n">
        <v>198</v>
      </c>
      <c r="Z1783" t="n">
        <v>171</v>
      </c>
      <c r="AA1783" t="n">
        <v>207</v>
      </c>
      <c r="AB1783" t="n">
        <v>2</v>
      </c>
      <c r="AC1783" t="n">
        <v>2</v>
      </c>
      <c r="AD1783" t="n">
        <v>16</v>
      </c>
      <c r="AE1783" t="n">
        <v>16</v>
      </c>
      <c r="AF1783" t="n">
        <v>4</v>
      </c>
      <c r="AG1783" t="n">
        <v>4</v>
      </c>
      <c r="AH1783" t="n">
        <v>4</v>
      </c>
      <c r="AI1783" t="n">
        <v>4</v>
      </c>
      <c r="AJ1783" t="n">
        <v>10</v>
      </c>
      <c r="AK1783" t="n">
        <v>10</v>
      </c>
      <c r="AL1783" t="n">
        <v>1</v>
      </c>
      <c r="AM1783" t="n">
        <v>1</v>
      </c>
      <c r="AN1783" t="n">
        <v>0</v>
      </c>
      <c r="AO1783" t="n">
        <v>0</v>
      </c>
      <c r="AP1783" t="inlineStr">
        <is>
          <t>Yes</t>
        </is>
      </c>
      <c r="AQ1783" t="inlineStr">
        <is>
          <t>No</t>
        </is>
      </c>
      <c r="AR1783">
        <f>HYPERLINK("http://catalog.hathitrust.org/Record/001267282","HathiTrust Record")</f>
        <v/>
      </c>
      <c r="AS1783">
        <f>HYPERLINK("https://creighton-primo.hosted.exlibrisgroup.com/primo-explore/search?tab=default_tab&amp;search_scope=EVERYTHING&amp;vid=01CRU&amp;lang=en_US&amp;offset=0&amp;query=any,contains,991002797719702656","Catalog Record")</f>
        <v/>
      </c>
      <c r="AT1783">
        <f>HYPERLINK("http://www.worldcat.org/oclc/445792","WorldCat Record")</f>
        <v/>
      </c>
      <c r="AU1783" t="inlineStr">
        <is>
          <t>5417037337:eng</t>
        </is>
      </c>
      <c r="AV1783" t="inlineStr">
        <is>
          <t>445792</t>
        </is>
      </c>
      <c r="AW1783" t="inlineStr">
        <is>
          <t>991002797719702656</t>
        </is>
      </c>
      <c r="AX1783" t="inlineStr">
        <is>
          <t>991002797719702656</t>
        </is>
      </c>
      <c r="AY1783" t="inlineStr">
        <is>
          <t>2262962570002656</t>
        </is>
      </c>
      <c r="AZ1783" t="inlineStr">
        <is>
          <t>BOOK</t>
        </is>
      </c>
      <c r="BC1783" t="inlineStr">
        <is>
          <t>32285001966505</t>
        </is>
      </c>
      <c r="BD1783" t="inlineStr">
        <is>
          <t>893428032</t>
        </is>
      </c>
    </row>
    <row r="1784">
      <c r="A1784" t="inlineStr">
        <is>
          <t>No</t>
        </is>
      </c>
      <c r="B1784" t="inlineStr">
        <is>
          <t>DS653 .B63</t>
        </is>
      </c>
      <c r="C1784" t="inlineStr">
        <is>
          <t>0                      DS 0653000B  63</t>
        </is>
      </c>
      <c r="D1784" t="inlineStr">
        <is>
          <t>The Philippine islands, 1493-1803.</t>
        </is>
      </c>
      <c r="E1784" t="inlineStr">
        <is>
          <t>V.35</t>
        </is>
      </c>
      <c r="F1784" t="inlineStr">
        <is>
          <t>Yes</t>
        </is>
      </c>
      <c r="G1784" t="inlineStr">
        <is>
          <t>1</t>
        </is>
      </c>
      <c r="H1784" t="inlineStr">
        <is>
          <t>No</t>
        </is>
      </c>
      <c r="I1784" t="inlineStr">
        <is>
          <t>No</t>
        </is>
      </c>
      <c r="J1784" t="inlineStr">
        <is>
          <t>0</t>
        </is>
      </c>
      <c r="K1784" t="inlineStr">
        <is>
          <t>Blair, Emma Helen, 1851-1911, editor.</t>
        </is>
      </c>
      <c r="L1784" t="inlineStr">
        <is>
          <t>Cleveland, Ohio : The A.H. Clark company, 1903-09.</t>
        </is>
      </c>
      <c r="M1784" t="inlineStr">
        <is>
          <t>1903</t>
        </is>
      </c>
      <c r="O1784" t="inlineStr">
        <is>
          <t>eng</t>
        </is>
      </c>
      <c r="P1784" t="inlineStr">
        <is>
          <t xml:space="preserve">xx </t>
        </is>
      </c>
      <c r="R1784" t="inlineStr">
        <is>
          <t xml:space="preserve">DS </t>
        </is>
      </c>
      <c r="S1784" t="n">
        <v>2</v>
      </c>
      <c r="T1784" t="n">
        <v>84</v>
      </c>
      <c r="U1784" t="inlineStr">
        <is>
          <t>1995-03-07</t>
        </is>
      </c>
      <c r="V1784" t="inlineStr">
        <is>
          <t>2004-10-05</t>
        </is>
      </c>
      <c r="W1784" t="inlineStr">
        <is>
          <t>1994-11-14</t>
        </is>
      </c>
      <c r="X1784" t="inlineStr">
        <is>
          <t>1994-11-15</t>
        </is>
      </c>
      <c r="Y1784" t="n">
        <v>198</v>
      </c>
      <c r="Z1784" t="n">
        <v>171</v>
      </c>
      <c r="AA1784" t="n">
        <v>207</v>
      </c>
      <c r="AB1784" t="n">
        <v>2</v>
      </c>
      <c r="AC1784" t="n">
        <v>2</v>
      </c>
      <c r="AD1784" t="n">
        <v>16</v>
      </c>
      <c r="AE1784" t="n">
        <v>16</v>
      </c>
      <c r="AF1784" t="n">
        <v>4</v>
      </c>
      <c r="AG1784" t="n">
        <v>4</v>
      </c>
      <c r="AH1784" t="n">
        <v>4</v>
      </c>
      <c r="AI1784" t="n">
        <v>4</v>
      </c>
      <c r="AJ1784" t="n">
        <v>10</v>
      </c>
      <c r="AK1784" t="n">
        <v>10</v>
      </c>
      <c r="AL1784" t="n">
        <v>1</v>
      </c>
      <c r="AM1784" t="n">
        <v>1</v>
      </c>
      <c r="AN1784" t="n">
        <v>0</v>
      </c>
      <c r="AO1784" t="n">
        <v>0</v>
      </c>
      <c r="AP1784" t="inlineStr">
        <is>
          <t>Yes</t>
        </is>
      </c>
      <c r="AQ1784" t="inlineStr">
        <is>
          <t>No</t>
        </is>
      </c>
      <c r="AR1784">
        <f>HYPERLINK("http://catalog.hathitrust.org/Record/001267282","HathiTrust Record")</f>
        <v/>
      </c>
      <c r="AS1784">
        <f>HYPERLINK("https://creighton-primo.hosted.exlibrisgroup.com/primo-explore/search?tab=default_tab&amp;search_scope=EVERYTHING&amp;vid=01CRU&amp;lang=en_US&amp;offset=0&amp;query=any,contains,991002797719702656","Catalog Record")</f>
        <v/>
      </c>
      <c r="AT1784">
        <f>HYPERLINK("http://www.worldcat.org/oclc/445792","WorldCat Record")</f>
        <v/>
      </c>
      <c r="AU1784" t="inlineStr">
        <is>
          <t>5417037337:eng</t>
        </is>
      </c>
      <c r="AV1784" t="inlineStr">
        <is>
          <t>445792</t>
        </is>
      </c>
      <c r="AW1784" t="inlineStr">
        <is>
          <t>991002797719702656</t>
        </is>
      </c>
      <c r="AX1784" t="inlineStr">
        <is>
          <t>991002797719702656</t>
        </is>
      </c>
      <c r="AY1784" t="inlineStr">
        <is>
          <t>2262962570002656</t>
        </is>
      </c>
      <c r="AZ1784" t="inlineStr">
        <is>
          <t>BOOK</t>
        </is>
      </c>
      <c r="BC1784" t="inlineStr">
        <is>
          <t>32285001966398</t>
        </is>
      </c>
      <c r="BD1784" t="inlineStr">
        <is>
          <t>893409558</t>
        </is>
      </c>
    </row>
    <row r="1785">
      <c r="A1785" t="inlineStr">
        <is>
          <t>No</t>
        </is>
      </c>
      <c r="B1785" t="inlineStr">
        <is>
          <t>DS653 .B63</t>
        </is>
      </c>
      <c r="C1785" t="inlineStr">
        <is>
          <t>0                      DS 0653000B  63</t>
        </is>
      </c>
      <c r="D1785" t="inlineStr">
        <is>
          <t>The Philippine islands, 1493-1803.</t>
        </is>
      </c>
      <c r="E1785" t="inlineStr">
        <is>
          <t>V.15</t>
        </is>
      </c>
      <c r="F1785" t="inlineStr">
        <is>
          <t>Yes</t>
        </is>
      </c>
      <c r="G1785" t="inlineStr">
        <is>
          <t>1</t>
        </is>
      </c>
      <c r="H1785" t="inlineStr">
        <is>
          <t>No</t>
        </is>
      </c>
      <c r="I1785" t="inlineStr">
        <is>
          <t>No</t>
        </is>
      </c>
      <c r="J1785" t="inlineStr">
        <is>
          <t>0</t>
        </is>
      </c>
      <c r="K1785" t="inlineStr">
        <is>
          <t>Blair, Emma Helen, 1851-1911, editor.</t>
        </is>
      </c>
      <c r="L1785" t="inlineStr">
        <is>
          <t>Cleveland, Ohio : The A.H. Clark company, 1903-09.</t>
        </is>
      </c>
      <c r="M1785" t="inlineStr">
        <is>
          <t>1903</t>
        </is>
      </c>
      <c r="O1785" t="inlineStr">
        <is>
          <t>eng</t>
        </is>
      </c>
      <c r="P1785" t="inlineStr">
        <is>
          <t xml:space="preserve">xx </t>
        </is>
      </c>
      <c r="R1785" t="inlineStr">
        <is>
          <t xml:space="preserve">DS </t>
        </is>
      </c>
      <c r="S1785" t="n">
        <v>1</v>
      </c>
      <c r="T1785" t="n">
        <v>84</v>
      </c>
      <c r="U1785" t="inlineStr">
        <is>
          <t>1994-12-05</t>
        </is>
      </c>
      <c r="V1785" t="inlineStr">
        <is>
          <t>2004-10-05</t>
        </is>
      </c>
      <c r="W1785" t="inlineStr">
        <is>
          <t>1994-11-14</t>
        </is>
      </c>
      <c r="X1785" t="inlineStr">
        <is>
          <t>1994-11-15</t>
        </is>
      </c>
      <c r="Y1785" t="n">
        <v>198</v>
      </c>
      <c r="Z1785" t="n">
        <v>171</v>
      </c>
      <c r="AA1785" t="n">
        <v>207</v>
      </c>
      <c r="AB1785" t="n">
        <v>2</v>
      </c>
      <c r="AC1785" t="n">
        <v>2</v>
      </c>
      <c r="AD1785" t="n">
        <v>16</v>
      </c>
      <c r="AE1785" t="n">
        <v>16</v>
      </c>
      <c r="AF1785" t="n">
        <v>4</v>
      </c>
      <c r="AG1785" t="n">
        <v>4</v>
      </c>
      <c r="AH1785" t="n">
        <v>4</v>
      </c>
      <c r="AI1785" t="n">
        <v>4</v>
      </c>
      <c r="AJ1785" t="n">
        <v>10</v>
      </c>
      <c r="AK1785" t="n">
        <v>10</v>
      </c>
      <c r="AL1785" t="n">
        <v>1</v>
      </c>
      <c r="AM1785" t="n">
        <v>1</v>
      </c>
      <c r="AN1785" t="n">
        <v>0</v>
      </c>
      <c r="AO1785" t="n">
        <v>0</v>
      </c>
      <c r="AP1785" t="inlineStr">
        <is>
          <t>Yes</t>
        </is>
      </c>
      <c r="AQ1785" t="inlineStr">
        <is>
          <t>No</t>
        </is>
      </c>
      <c r="AR1785">
        <f>HYPERLINK("http://catalog.hathitrust.org/Record/001267282","HathiTrust Record")</f>
        <v/>
      </c>
      <c r="AS1785">
        <f>HYPERLINK("https://creighton-primo.hosted.exlibrisgroup.com/primo-explore/search?tab=default_tab&amp;search_scope=EVERYTHING&amp;vid=01CRU&amp;lang=en_US&amp;offset=0&amp;query=any,contains,991002797719702656","Catalog Record")</f>
        <v/>
      </c>
      <c r="AT1785">
        <f>HYPERLINK("http://www.worldcat.org/oclc/445792","WorldCat Record")</f>
        <v/>
      </c>
      <c r="AU1785" t="inlineStr">
        <is>
          <t>5417037337:eng</t>
        </is>
      </c>
      <c r="AV1785" t="inlineStr">
        <is>
          <t>445792</t>
        </is>
      </c>
      <c r="AW1785" t="inlineStr">
        <is>
          <t>991002797719702656</t>
        </is>
      </c>
      <c r="AX1785" t="inlineStr">
        <is>
          <t>991002797719702656</t>
        </is>
      </c>
      <c r="AY1785" t="inlineStr">
        <is>
          <t>2262962570002656</t>
        </is>
      </c>
      <c r="AZ1785" t="inlineStr">
        <is>
          <t>BOOK</t>
        </is>
      </c>
      <c r="BC1785" t="inlineStr">
        <is>
          <t>32285001966190</t>
        </is>
      </c>
      <c r="BD1785" t="inlineStr">
        <is>
          <t>893409552</t>
        </is>
      </c>
    </row>
    <row r="1786">
      <c r="A1786" t="inlineStr">
        <is>
          <t>No</t>
        </is>
      </c>
      <c r="B1786" t="inlineStr">
        <is>
          <t>DS653 .B63</t>
        </is>
      </c>
      <c r="C1786" t="inlineStr">
        <is>
          <t>0                      DS 0653000B  63</t>
        </is>
      </c>
      <c r="D1786" t="inlineStr">
        <is>
          <t>The Philippine islands, 1493-1803.</t>
        </is>
      </c>
      <c r="E1786" t="inlineStr">
        <is>
          <t>V.14</t>
        </is>
      </c>
      <c r="F1786" t="inlineStr">
        <is>
          <t>Yes</t>
        </is>
      </c>
      <c r="G1786" t="inlineStr">
        <is>
          <t>1</t>
        </is>
      </c>
      <c r="H1786" t="inlineStr">
        <is>
          <t>No</t>
        </is>
      </c>
      <c r="I1786" t="inlineStr">
        <is>
          <t>No</t>
        </is>
      </c>
      <c r="J1786" t="inlineStr">
        <is>
          <t>0</t>
        </is>
      </c>
      <c r="K1786" t="inlineStr">
        <is>
          <t>Blair, Emma Helen, 1851-1911, editor.</t>
        </is>
      </c>
      <c r="L1786" t="inlineStr">
        <is>
          <t>Cleveland, Ohio : The A.H. Clark company, 1903-09.</t>
        </is>
      </c>
      <c r="M1786" t="inlineStr">
        <is>
          <t>1903</t>
        </is>
      </c>
      <c r="O1786" t="inlineStr">
        <is>
          <t>eng</t>
        </is>
      </c>
      <c r="P1786" t="inlineStr">
        <is>
          <t xml:space="preserve">xx </t>
        </is>
      </c>
      <c r="R1786" t="inlineStr">
        <is>
          <t xml:space="preserve">DS </t>
        </is>
      </c>
      <c r="S1786" t="n">
        <v>1</v>
      </c>
      <c r="T1786" t="n">
        <v>84</v>
      </c>
      <c r="U1786" t="inlineStr">
        <is>
          <t>1994-12-05</t>
        </is>
      </c>
      <c r="V1786" t="inlineStr">
        <is>
          <t>2004-10-05</t>
        </is>
      </c>
      <c r="W1786" t="inlineStr">
        <is>
          <t>1994-11-14</t>
        </is>
      </c>
      <c r="X1786" t="inlineStr">
        <is>
          <t>1994-11-15</t>
        </is>
      </c>
      <c r="Y1786" t="n">
        <v>198</v>
      </c>
      <c r="Z1786" t="n">
        <v>171</v>
      </c>
      <c r="AA1786" t="n">
        <v>207</v>
      </c>
      <c r="AB1786" t="n">
        <v>2</v>
      </c>
      <c r="AC1786" t="n">
        <v>2</v>
      </c>
      <c r="AD1786" t="n">
        <v>16</v>
      </c>
      <c r="AE1786" t="n">
        <v>16</v>
      </c>
      <c r="AF1786" t="n">
        <v>4</v>
      </c>
      <c r="AG1786" t="n">
        <v>4</v>
      </c>
      <c r="AH1786" t="n">
        <v>4</v>
      </c>
      <c r="AI1786" t="n">
        <v>4</v>
      </c>
      <c r="AJ1786" t="n">
        <v>10</v>
      </c>
      <c r="AK1786" t="n">
        <v>10</v>
      </c>
      <c r="AL1786" t="n">
        <v>1</v>
      </c>
      <c r="AM1786" t="n">
        <v>1</v>
      </c>
      <c r="AN1786" t="n">
        <v>0</v>
      </c>
      <c r="AO1786" t="n">
        <v>0</v>
      </c>
      <c r="AP1786" t="inlineStr">
        <is>
          <t>Yes</t>
        </is>
      </c>
      <c r="AQ1786" t="inlineStr">
        <is>
          <t>No</t>
        </is>
      </c>
      <c r="AR1786">
        <f>HYPERLINK("http://catalog.hathitrust.org/Record/001267282","HathiTrust Record")</f>
        <v/>
      </c>
      <c r="AS1786">
        <f>HYPERLINK("https://creighton-primo.hosted.exlibrisgroup.com/primo-explore/search?tab=default_tab&amp;search_scope=EVERYTHING&amp;vid=01CRU&amp;lang=en_US&amp;offset=0&amp;query=any,contains,991002797719702656","Catalog Record")</f>
        <v/>
      </c>
      <c r="AT1786">
        <f>HYPERLINK("http://www.worldcat.org/oclc/445792","WorldCat Record")</f>
        <v/>
      </c>
      <c r="AU1786" t="inlineStr">
        <is>
          <t>5417037337:eng</t>
        </is>
      </c>
      <c r="AV1786" t="inlineStr">
        <is>
          <t>445792</t>
        </is>
      </c>
      <c r="AW1786" t="inlineStr">
        <is>
          <t>991002797719702656</t>
        </is>
      </c>
      <c r="AX1786" t="inlineStr">
        <is>
          <t>991002797719702656</t>
        </is>
      </c>
      <c r="AY1786" t="inlineStr">
        <is>
          <t>2262962570002656</t>
        </is>
      </c>
      <c r="AZ1786" t="inlineStr">
        <is>
          <t>BOOK</t>
        </is>
      </c>
      <c r="BC1786" t="inlineStr">
        <is>
          <t>32285001966182</t>
        </is>
      </c>
      <c r="BD1786" t="inlineStr">
        <is>
          <t>893428047</t>
        </is>
      </c>
    </row>
    <row r="1787">
      <c r="A1787" t="inlineStr">
        <is>
          <t>No</t>
        </is>
      </c>
      <c r="B1787" t="inlineStr">
        <is>
          <t>DS653 .B63</t>
        </is>
      </c>
      <c r="C1787" t="inlineStr">
        <is>
          <t>0                      DS 0653000B  63</t>
        </is>
      </c>
      <c r="D1787" t="inlineStr">
        <is>
          <t>The Philippine islands, 1493-1803.</t>
        </is>
      </c>
      <c r="E1787" t="inlineStr">
        <is>
          <t>V.52</t>
        </is>
      </c>
      <c r="F1787" t="inlineStr">
        <is>
          <t>Yes</t>
        </is>
      </c>
      <c r="G1787" t="inlineStr">
        <is>
          <t>1</t>
        </is>
      </c>
      <c r="H1787" t="inlineStr">
        <is>
          <t>No</t>
        </is>
      </c>
      <c r="I1787" t="inlineStr">
        <is>
          <t>No</t>
        </is>
      </c>
      <c r="J1787" t="inlineStr">
        <is>
          <t>0</t>
        </is>
      </c>
      <c r="K1787" t="inlineStr">
        <is>
          <t>Blair, Emma Helen, 1851-1911, editor.</t>
        </is>
      </c>
      <c r="L1787" t="inlineStr">
        <is>
          <t>Cleveland, Ohio : The A.H. Clark company, 1903-09.</t>
        </is>
      </c>
      <c r="M1787" t="inlineStr">
        <is>
          <t>1903</t>
        </is>
      </c>
      <c r="O1787" t="inlineStr">
        <is>
          <t>eng</t>
        </is>
      </c>
      <c r="P1787" t="inlineStr">
        <is>
          <t xml:space="preserve">xx </t>
        </is>
      </c>
      <c r="R1787" t="inlineStr">
        <is>
          <t xml:space="preserve">DS </t>
        </is>
      </c>
      <c r="S1787" t="n">
        <v>1</v>
      </c>
      <c r="T1787" t="n">
        <v>84</v>
      </c>
      <c r="U1787" t="inlineStr">
        <is>
          <t>1995-04-14</t>
        </is>
      </c>
      <c r="V1787" t="inlineStr">
        <is>
          <t>2004-10-05</t>
        </is>
      </c>
      <c r="W1787" t="inlineStr">
        <is>
          <t>1994-11-14</t>
        </is>
      </c>
      <c r="X1787" t="inlineStr">
        <is>
          <t>1994-11-15</t>
        </is>
      </c>
      <c r="Y1787" t="n">
        <v>198</v>
      </c>
      <c r="Z1787" t="n">
        <v>171</v>
      </c>
      <c r="AA1787" t="n">
        <v>207</v>
      </c>
      <c r="AB1787" t="n">
        <v>2</v>
      </c>
      <c r="AC1787" t="n">
        <v>2</v>
      </c>
      <c r="AD1787" t="n">
        <v>16</v>
      </c>
      <c r="AE1787" t="n">
        <v>16</v>
      </c>
      <c r="AF1787" t="n">
        <v>4</v>
      </c>
      <c r="AG1787" t="n">
        <v>4</v>
      </c>
      <c r="AH1787" t="n">
        <v>4</v>
      </c>
      <c r="AI1787" t="n">
        <v>4</v>
      </c>
      <c r="AJ1787" t="n">
        <v>10</v>
      </c>
      <c r="AK1787" t="n">
        <v>10</v>
      </c>
      <c r="AL1787" t="n">
        <v>1</v>
      </c>
      <c r="AM1787" t="n">
        <v>1</v>
      </c>
      <c r="AN1787" t="n">
        <v>0</v>
      </c>
      <c r="AO1787" t="n">
        <v>0</v>
      </c>
      <c r="AP1787" t="inlineStr">
        <is>
          <t>Yes</t>
        </is>
      </c>
      <c r="AQ1787" t="inlineStr">
        <is>
          <t>No</t>
        </is>
      </c>
      <c r="AR1787">
        <f>HYPERLINK("http://catalog.hathitrust.org/Record/001267282","HathiTrust Record")</f>
        <v/>
      </c>
      <c r="AS1787">
        <f>HYPERLINK("https://creighton-primo.hosted.exlibrisgroup.com/primo-explore/search?tab=default_tab&amp;search_scope=EVERYTHING&amp;vid=01CRU&amp;lang=en_US&amp;offset=0&amp;query=any,contains,991002797719702656","Catalog Record")</f>
        <v/>
      </c>
      <c r="AT1787">
        <f>HYPERLINK("http://www.worldcat.org/oclc/445792","WorldCat Record")</f>
        <v/>
      </c>
      <c r="AU1787" t="inlineStr">
        <is>
          <t>5417037337:eng</t>
        </is>
      </c>
      <c r="AV1787" t="inlineStr">
        <is>
          <t>445792</t>
        </is>
      </c>
      <c r="AW1787" t="inlineStr">
        <is>
          <t>991002797719702656</t>
        </is>
      </c>
      <c r="AX1787" t="inlineStr">
        <is>
          <t>991002797719702656</t>
        </is>
      </c>
      <c r="AY1787" t="inlineStr">
        <is>
          <t>2262962570002656</t>
        </is>
      </c>
      <c r="AZ1787" t="inlineStr">
        <is>
          <t>BOOK</t>
        </is>
      </c>
      <c r="BC1787" t="inlineStr">
        <is>
          <t>32285001966562</t>
        </is>
      </c>
      <c r="BD1787" t="inlineStr">
        <is>
          <t>893428030</t>
        </is>
      </c>
    </row>
    <row r="1788">
      <c r="A1788" t="inlineStr">
        <is>
          <t>No</t>
        </is>
      </c>
      <c r="B1788" t="inlineStr">
        <is>
          <t>DS653 .B63</t>
        </is>
      </c>
      <c r="C1788" t="inlineStr">
        <is>
          <t>0                      DS 0653000B  63</t>
        </is>
      </c>
      <c r="D1788" t="inlineStr">
        <is>
          <t>The Philippine islands, 1493-1803.</t>
        </is>
      </c>
      <c r="E1788" t="inlineStr">
        <is>
          <t>V.48</t>
        </is>
      </c>
      <c r="F1788" t="inlineStr">
        <is>
          <t>Yes</t>
        </is>
      </c>
      <c r="G1788" t="inlineStr">
        <is>
          <t>1</t>
        </is>
      </c>
      <c r="H1788" t="inlineStr">
        <is>
          <t>No</t>
        </is>
      </c>
      <c r="I1788" t="inlineStr">
        <is>
          <t>No</t>
        </is>
      </c>
      <c r="J1788" t="inlineStr">
        <is>
          <t>0</t>
        </is>
      </c>
      <c r="K1788" t="inlineStr">
        <is>
          <t>Blair, Emma Helen, 1851-1911, editor.</t>
        </is>
      </c>
      <c r="L1788" t="inlineStr">
        <is>
          <t>Cleveland, Ohio : The A.H. Clark company, 1903-09.</t>
        </is>
      </c>
      <c r="M1788" t="inlineStr">
        <is>
          <t>1903</t>
        </is>
      </c>
      <c r="O1788" t="inlineStr">
        <is>
          <t>eng</t>
        </is>
      </c>
      <c r="P1788" t="inlineStr">
        <is>
          <t xml:space="preserve">xx </t>
        </is>
      </c>
      <c r="R1788" t="inlineStr">
        <is>
          <t xml:space="preserve">DS </t>
        </is>
      </c>
      <c r="S1788" t="n">
        <v>4</v>
      </c>
      <c r="T1788" t="n">
        <v>84</v>
      </c>
      <c r="U1788" t="inlineStr">
        <is>
          <t>1995-04-10</t>
        </is>
      </c>
      <c r="V1788" t="inlineStr">
        <is>
          <t>2004-10-05</t>
        </is>
      </c>
      <c r="W1788" t="inlineStr">
        <is>
          <t>1994-11-14</t>
        </is>
      </c>
      <c r="X1788" t="inlineStr">
        <is>
          <t>1994-11-15</t>
        </is>
      </c>
      <c r="Y1788" t="n">
        <v>198</v>
      </c>
      <c r="Z1788" t="n">
        <v>171</v>
      </c>
      <c r="AA1788" t="n">
        <v>207</v>
      </c>
      <c r="AB1788" t="n">
        <v>2</v>
      </c>
      <c r="AC1788" t="n">
        <v>2</v>
      </c>
      <c r="AD1788" t="n">
        <v>16</v>
      </c>
      <c r="AE1788" t="n">
        <v>16</v>
      </c>
      <c r="AF1788" t="n">
        <v>4</v>
      </c>
      <c r="AG1788" t="n">
        <v>4</v>
      </c>
      <c r="AH1788" t="n">
        <v>4</v>
      </c>
      <c r="AI1788" t="n">
        <v>4</v>
      </c>
      <c r="AJ1788" t="n">
        <v>10</v>
      </c>
      <c r="AK1788" t="n">
        <v>10</v>
      </c>
      <c r="AL1788" t="n">
        <v>1</v>
      </c>
      <c r="AM1788" t="n">
        <v>1</v>
      </c>
      <c r="AN1788" t="n">
        <v>0</v>
      </c>
      <c r="AO1788" t="n">
        <v>0</v>
      </c>
      <c r="AP1788" t="inlineStr">
        <is>
          <t>Yes</t>
        </is>
      </c>
      <c r="AQ1788" t="inlineStr">
        <is>
          <t>No</t>
        </is>
      </c>
      <c r="AR1788">
        <f>HYPERLINK("http://catalog.hathitrust.org/Record/001267282","HathiTrust Record")</f>
        <v/>
      </c>
      <c r="AS1788">
        <f>HYPERLINK("https://creighton-primo.hosted.exlibrisgroup.com/primo-explore/search?tab=default_tab&amp;search_scope=EVERYTHING&amp;vid=01CRU&amp;lang=en_US&amp;offset=0&amp;query=any,contains,991002797719702656","Catalog Record")</f>
        <v/>
      </c>
      <c r="AT1788">
        <f>HYPERLINK("http://www.worldcat.org/oclc/445792","WorldCat Record")</f>
        <v/>
      </c>
      <c r="AU1788" t="inlineStr">
        <is>
          <t>5417037337:eng</t>
        </is>
      </c>
      <c r="AV1788" t="inlineStr">
        <is>
          <t>445792</t>
        </is>
      </c>
      <c r="AW1788" t="inlineStr">
        <is>
          <t>991002797719702656</t>
        </is>
      </c>
      <c r="AX1788" t="inlineStr">
        <is>
          <t>991002797719702656</t>
        </is>
      </c>
      <c r="AY1788" t="inlineStr">
        <is>
          <t>2262962570002656</t>
        </is>
      </c>
      <c r="AZ1788" t="inlineStr">
        <is>
          <t>BOOK</t>
        </is>
      </c>
      <c r="BC1788" t="inlineStr">
        <is>
          <t>32285001966521</t>
        </is>
      </c>
      <c r="BD1788" t="inlineStr">
        <is>
          <t>893409554</t>
        </is>
      </c>
    </row>
    <row r="1789">
      <c r="A1789" t="inlineStr">
        <is>
          <t>No</t>
        </is>
      </c>
      <c r="B1789" t="inlineStr">
        <is>
          <t>DS653 .B63</t>
        </is>
      </c>
      <c r="C1789" t="inlineStr">
        <is>
          <t>0                      DS 0653000B  63</t>
        </is>
      </c>
      <c r="D1789" t="inlineStr">
        <is>
          <t>The Philippine islands, 1493-1803.</t>
        </is>
      </c>
      <c r="E1789" t="inlineStr">
        <is>
          <t>V.42</t>
        </is>
      </c>
      <c r="F1789" t="inlineStr">
        <is>
          <t>Yes</t>
        </is>
      </c>
      <c r="G1789" t="inlineStr">
        <is>
          <t>1</t>
        </is>
      </c>
      <c r="H1789" t="inlineStr">
        <is>
          <t>No</t>
        </is>
      </c>
      <c r="I1789" t="inlineStr">
        <is>
          <t>No</t>
        </is>
      </c>
      <c r="J1789" t="inlineStr">
        <is>
          <t>0</t>
        </is>
      </c>
      <c r="K1789" t="inlineStr">
        <is>
          <t>Blair, Emma Helen, 1851-1911, editor.</t>
        </is>
      </c>
      <c r="L1789" t="inlineStr">
        <is>
          <t>Cleveland, Ohio : The A.H. Clark company, 1903-09.</t>
        </is>
      </c>
      <c r="M1789" t="inlineStr">
        <is>
          <t>1903</t>
        </is>
      </c>
      <c r="O1789" t="inlineStr">
        <is>
          <t>eng</t>
        </is>
      </c>
      <c r="P1789" t="inlineStr">
        <is>
          <t xml:space="preserve">xx </t>
        </is>
      </c>
      <c r="R1789" t="inlineStr">
        <is>
          <t xml:space="preserve">DS </t>
        </is>
      </c>
      <c r="S1789" t="n">
        <v>2</v>
      </c>
      <c r="T1789" t="n">
        <v>84</v>
      </c>
      <c r="U1789" t="inlineStr">
        <is>
          <t>1995-04-01</t>
        </is>
      </c>
      <c r="V1789" t="inlineStr">
        <is>
          <t>2004-10-05</t>
        </is>
      </c>
      <c r="W1789" t="inlineStr">
        <is>
          <t>1994-11-14</t>
        </is>
      </c>
      <c r="X1789" t="inlineStr">
        <is>
          <t>1994-11-15</t>
        </is>
      </c>
      <c r="Y1789" t="n">
        <v>198</v>
      </c>
      <c r="Z1789" t="n">
        <v>171</v>
      </c>
      <c r="AA1789" t="n">
        <v>207</v>
      </c>
      <c r="AB1789" t="n">
        <v>2</v>
      </c>
      <c r="AC1789" t="n">
        <v>2</v>
      </c>
      <c r="AD1789" t="n">
        <v>16</v>
      </c>
      <c r="AE1789" t="n">
        <v>16</v>
      </c>
      <c r="AF1789" t="n">
        <v>4</v>
      </c>
      <c r="AG1789" t="n">
        <v>4</v>
      </c>
      <c r="AH1789" t="n">
        <v>4</v>
      </c>
      <c r="AI1789" t="n">
        <v>4</v>
      </c>
      <c r="AJ1789" t="n">
        <v>10</v>
      </c>
      <c r="AK1789" t="n">
        <v>10</v>
      </c>
      <c r="AL1789" t="n">
        <v>1</v>
      </c>
      <c r="AM1789" t="n">
        <v>1</v>
      </c>
      <c r="AN1789" t="n">
        <v>0</v>
      </c>
      <c r="AO1789" t="n">
        <v>0</v>
      </c>
      <c r="AP1789" t="inlineStr">
        <is>
          <t>Yes</t>
        </is>
      </c>
      <c r="AQ1789" t="inlineStr">
        <is>
          <t>No</t>
        </is>
      </c>
      <c r="AR1789">
        <f>HYPERLINK("http://catalog.hathitrust.org/Record/001267282","HathiTrust Record")</f>
        <v/>
      </c>
      <c r="AS1789">
        <f>HYPERLINK("https://creighton-primo.hosted.exlibrisgroup.com/primo-explore/search?tab=default_tab&amp;search_scope=EVERYTHING&amp;vid=01CRU&amp;lang=en_US&amp;offset=0&amp;query=any,contains,991002797719702656","Catalog Record")</f>
        <v/>
      </c>
      <c r="AT1789">
        <f>HYPERLINK("http://www.worldcat.org/oclc/445792","WorldCat Record")</f>
        <v/>
      </c>
      <c r="AU1789" t="inlineStr">
        <is>
          <t>5417037337:eng</t>
        </is>
      </c>
      <c r="AV1789" t="inlineStr">
        <is>
          <t>445792</t>
        </is>
      </c>
      <c r="AW1789" t="inlineStr">
        <is>
          <t>991002797719702656</t>
        </is>
      </c>
      <c r="AX1789" t="inlineStr">
        <is>
          <t>991002797719702656</t>
        </is>
      </c>
      <c r="AY1789" t="inlineStr">
        <is>
          <t>2262962570002656</t>
        </is>
      </c>
      <c r="AZ1789" t="inlineStr">
        <is>
          <t>BOOK</t>
        </is>
      </c>
      <c r="BC1789" t="inlineStr">
        <is>
          <t>32285001966463</t>
        </is>
      </c>
      <c r="BD1789" t="inlineStr">
        <is>
          <t>893409544</t>
        </is>
      </c>
    </row>
    <row r="1790">
      <c r="A1790" t="inlineStr">
        <is>
          <t>No</t>
        </is>
      </c>
      <c r="B1790" t="inlineStr">
        <is>
          <t>DS653 .B63</t>
        </is>
      </c>
      <c r="C1790" t="inlineStr">
        <is>
          <t>0                      DS 0653000B  63</t>
        </is>
      </c>
      <c r="D1790" t="inlineStr">
        <is>
          <t>The Philippine islands, 1493-1803.</t>
        </is>
      </c>
      <c r="E1790" t="inlineStr">
        <is>
          <t>V.1</t>
        </is>
      </c>
      <c r="F1790" t="inlineStr">
        <is>
          <t>Yes</t>
        </is>
      </c>
      <c r="G1790" t="inlineStr">
        <is>
          <t>1</t>
        </is>
      </c>
      <c r="H1790" t="inlineStr">
        <is>
          <t>No</t>
        </is>
      </c>
      <c r="I1790" t="inlineStr">
        <is>
          <t>No</t>
        </is>
      </c>
      <c r="J1790" t="inlineStr">
        <is>
          <t>0</t>
        </is>
      </c>
      <c r="K1790" t="inlineStr">
        <is>
          <t>Blair, Emma Helen, 1851-1911, editor.</t>
        </is>
      </c>
      <c r="L1790" t="inlineStr">
        <is>
          <t>Cleveland, Ohio : The A.H. Clark company, 1903-09.</t>
        </is>
      </c>
      <c r="M1790" t="inlineStr">
        <is>
          <t>1903</t>
        </is>
      </c>
      <c r="O1790" t="inlineStr">
        <is>
          <t>eng</t>
        </is>
      </c>
      <c r="P1790" t="inlineStr">
        <is>
          <t xml:space="preserve">xx </t>
        </is>
      </c>
      <c r="R1790" t="inlineStr">
        <is>
          <t xml:space="preserve">DS </t>
        </is>
      </c>
      <c r="S1790" t="n">
        <v>0</v>
      </c>
      <c r="T1790" t="n">
        <v>84</v>
      </c>
      <c r="V1790" t="inlineStr">
        <is>
          <t>2004-10-05</t>
        </is>
      </c>
      <c r="W1790" t="inlineStr">
        <is>
          <t>1994-11-14</t>
        </is>
      </c>
      <c r="X1790" t="inlineStr">
        <is>
          <t>1994-11-15</t>
        </is>
      </c>
      <c r="Y1790" t="n">
        <v>198</v>
      </c>
      <c r="Z1790" t="n">
        <v>171</v>
      </c>
      <c r="AA1790" t="n">
        <v>207</v>
      </c>
      <c r="AB1790" t="n">
        <v>2</v>
      </c>
      <c r="AC1790" t="n">
        <v>2</v>
      </c>
      <c r="AD1790" t="n">
        <v>16</v>
      </c>
      <c r="AE1790" t="n">
        <v>16</v>
      </c>
      <c r="AF1790" t="n">
        <v>4</v>
      </c>
      <c r="AG1790" t="n">
        <v>4</v>
      </c>
      <c r="AH1790" t="n">
        <v>4</v>
      </c>
      <c r="AI1790" t="n">
        <v>4</v>
      </c>
      <c r="AJ1790" t="n">
        <v>10</v>
      </c>
      <c r="AK1790" t="n">
        <v>10</v>
      </c>
      <c r="AL1790" t="n">
        <v>1</v>
      </c>
      <c r="AM1790" t="n">
        <v>1</v>
      </c>
      <c r="AN1790" t="n">
        <v>0</v>
      </c>
      <c r="AO1790" t="n">
        <v>0</v>
      </c>
      <c r="AP1790" t="inlineStr">
        <is>
          <t>Yes</t>
        </is>
      </c>
      <c r="AQ1790" t="inlineStr">
        <is>
          <t>No</t>
        </is>
      </c>
      <c r="AR1790">
        <f>HYPERLINK("http://catalog.hathitrust.org/Record/001267282","HathiTrust Record")</f>
        <v/>
      </c>
      <c r="AS1790">
        <f>HYPERLINK("https://creighton-primo.hosted.exlibrisgroup.com/primo-explore/search?tab=default_tab&amp;search_scope=EVERYTHING&amp;vid=01CRU&amp;lang=en_US&amp;offset=0&amp;query=any,contains,991002797719702656","Catalog Record")</f>
        <v/>
      </c>
      <c r="AT1790">
        <f>HYPERLINK("http://www.worldcat.org/oclc/445792","WorldCat Record")</f>
        <v/>
      </c>
      <c r="AU1790" t="inlineStr">
        <is>
          <t>5417037337:eng</t>
        </is>
      </c>
      <c r="AV1790" t="inlineStr">
        <is>
          <t>445792</t>
        </is>
      </c>
      <c r="AW1790" t="inlineStr">
        <is>
          <t>991002797719702656</t>
        </is>
      </c>
      <c r="AX1790" t="inlineStr">
        <is>
          <t>991002797719702656</t>
        </is>
      </c>
      <c r="AY1790" t="inlineStr">
        <is>
          <t>2262962570002656</t>
        </is>
      </c>
      <c r="AZ1790" t="inlineStr">
        <is>
          <t>BOOK</t>
        </is>
      </c>
      <c r="BC1790" t="inlineStr">
        <is>
          <t>32285001966075</t>
        </is>
      </c>
      <c r="BD1790" t="inlineStr">
        <is>
          <t>893434298</t>
        </is>
      </c>
    </row>
    <row r="1791">
      <c r="A1791" t="inlineStr">
        <is>
          <t>No</t>
        </is>
      </c>
      <c r="B1791" t="inlineStr">
        <is>
          <t>DS653 .B63</t>
        </is>
      </c>
      <c r="C1791" t="inlineStr">
        <is>
          <t>0                      DS 0653000B  63</t>
        </is>
      </c>
      <c r="D1791" t="inlineStr">
        <is>
          <t>The Philippine islands, 1493-1803.</t>
        </is>
      </c>
      <c r="E1791" t="inlineStr">
        <is>
          <t>V.7</t>
        </is>
      </c>
      <c r="F1791" t="inlineStr">
        <is>
          <t>Yes</t>
        </is>
      </c>
      <c r="G1791" t="inlineStr">
        <is>
          <t>1</t>
        </is>
      </c>
      <c r="H1791" t="inlineStr">
        <is>
          <t>No</t>
        </is>
      </c>
      <c r="I1791" t="inlineStr">
        <is>
          <t>No</t>
        </is>
      </c>
      <c r="J1791" t="inlineStr">
        <is>
          <t>0</t>
        </is>
      </c>
      <c r="K1791" t="inlineStr">
        <is>
          <t>Blair, Emma Helen, 1851-1911, editor.</t>
        </is>
      </c>
      <c r="L1791" t="inlineStr">
        <is>
          <t>Cleveland, Ohio : The A.H. Clark company, 1903-09.</t>
        </is>
      </c>
      <c r="M1791" t="inlineStr">
        <is>
          <t>1903</t>
        </is>
      </c>
      <c r="O1791" t="inlineStr">
        <is>
          <t>eng</t>
        </is>
      </c>
      <c r="P1791" t="inlineStr">
        <is>
          <t xml:space="preserve">xx </t>
        </is>
      </c>
      <c r="R1791" t="inlineStr">
        <is>
          <t xml:space="preserve">DS </t>
        </is>
      </c>
      <c r="S1791" t="n">
        <v>0</v>
      </c>
      <c r="T1791" t="n">
        <v>84</v>
      </c>
      <c r="V1791" t="inlineStr">
        <is>
          <t>2004-10-05</t>
        </is>
      </c>
      <c r="W1791" t="inlineStr">
        <is>
          <t>1994-11-15</t>
        </is>
      </c>
      <c r="X1791" t="inlineStr">
        <is>
          <t>1994-11-15</t>
        </is>
      </c>
      <c r="Y1791" t="n">
        <v>198</v>
      </c>
      <c r="Z1791" t="n">
        <v>171</v>
      </c>
      <c r="AA1791" t="n">
        <v>207</v>
      </c>
      <c r="AB1791" t="n">
        <v>2</v>
      </c>
      <c r="AC1791" t="n">
        <v>2</v>
      </c>
      <c r="AD1791" t="n">
        <v>16</v>
      </c>
      <c r="AE1791" t="n">
        <v>16</v>
      </c>
      <c r="AF1791" t="n">
        <v>4</v>
      </c>
      <c r="AG1791" t="n">
        <v>4</v>
      </c>
      <c r="AH1791" t="n">
        <v>4</v>
      </c>
      <c r="AI1791" t="n">
        <v>4</v>
      </c>
      <c r="AJ1791" t="n">
        <v>10</v>
      </c>
      <c r="AK1791" t="n">
        <v>10</v>
      </c>
      <c r="AL1791" t="n">
        <v>1</v>
      </c>
      <c r="AM1791" t="n">
        <v>1</v>
      </c>
      <c r="AN1791" t="n">
        <v>0</v>
      </c>
      <c r="AO1791" t="n">
        <v>0</v>
      </c>
      <c r="AP1791" t="inlineStr">
        <is>
          <t>Yes</t>
        </is>
      </c>
      <c r="AQ1791" t="inlineStr">
        <is>
          <t>No</t>
        </is>
      </c>
      <c r="AR1791">
        <f>HYPERLINK("http://catalog.hathitrust.org/Record/001267282","HathiTrust Record")</f>
        <v/>
      </c>
      <c r="AS1791">
        <f>HYPERLINK("https://creighton-primo.hosted.exlibrisgroup.com/primo-explore/search?tab=default_tab&amp;search_scope=EVERYTHING&amp;vid=01CRU&amp;lang=en_US&amp;offset=0&amp;query=any,contains,991002797719702656","Catalog Record")</f>
        <v/>
      </c>
      <c r="AT1791">
        <f>HYPERLINK("http://www.worldcat.org/oclc/445792","WorldCat Record")</f>
        <v/>
      </c>
      <c r="AU1791" t="inlineStr">
        <is>
          <t>5417037337:eng</t>
        </is>
      </c>
      <c r="AV1791" t="inlineStr">
        <is>
          <t>445792</t>
        </is>
      </c>
      <c r="AW1791" t="inlineStr">
        <is>
          <t>991002797719702656</t>
        </is>
      </c>
      <c r="AX1791" t="inlineStr">
        <is>
          <t>991002797719702656</t>
        </is>
      </c>
      <c r="AY1791" t="inlineStr">
        <is>
          <t>2262962570002656</t>
        </is>
      </c>
      <c r="AZ1791" t="inlineStr">
        <is>
          <t>BOOK</t>
        </is>
      </c>
      <c r="BC1791" t="inlineStr">
        <is>
          <t>32285001966612</t>
        </is>
      </c>
      <c r="BD1791" t="inlineStr">
        <is>
          <t>893409553</t>
        </is>
      </c>
    </row>
    <row r="1792">
      <c r="A1792" t="inlineStr">
        <is>
          <t>No</t>
        </is>
      </c>
      <c r="B1792" t="inlineStr">
        <is>
          <t>DS653 .B63</t>
        </is>
      </c>
      <c r="C1792" t="inlineStr">
        <is>
          <t>0                      DS 0653000B  63</t>
        </is>
      </c>
      <c r="D1792" t="inlineStr">
        <is>
          <t>The Philippine islands, 1493-1803.</t>
        </is>
      </c>
      <c r="E1792" t="inlineStr">
        <is>
          <t>V.41</t>
        </is>
      </c>
      <c r="F1792" t="inlineStr">
        <is>
          <t>Yes</t>
        </is>
      </c>
      <c r="G1792" t="inlineStr">
        <is>
          <t>1</t>
        </is>
      </c>
      <c r="H1792" t="inlineStr">
        <is>
          <t>No</t>
        </is>
      </c>
      <c r="I1792" t="inlineStr">
        <is>
          <t>No</t>
        </is>
      </c>
      <c r="J1792" t="inlineStr">
        <is>
          <t>0</t>
        </is>
      </c>
      <c r="K1792" t="inlineStr">
        <is>
          <t>Blair, Emma Helen, 1851-1911, editor.</t>
        </is>
      </c>
      <c r="L1792" t="inlineStr">
        <is>
          <t>Cleveland, Ohio : The A.H. Clark company, 1903-09.</t>
        </is>
      </c>
      <c r="M1792" t="inlineStr">
        <is>
          <t>1903</t>
        </is>
      </c>
      <c r="O1792" t="inlineStr">
        <is>
          <t>eng</t>
        </is>
      </c>
      <c r="P1792" t="inlineStr">
        <is>
          <t xml:space="preserve">xx </t>
        </is>
      </c>
      <c r="R1792" t="inlineStr">
        <is>
          <t xml:space="preserve">DS </t>
        </is>
      </c>
      <c r="S1792" t="n">
        <v>1</v>
      </c>
      <c r="T1792" t="n">
        <v>84</v>
      </c>
      <c r="U1792" t="inlineStr">
        <is>
          <t>1995-03-31</t>
        </is>
      </c>
      <c r="V1792" t="inlineStr">
        <is>
          <t>2004-10-05</t>
        </is>
      </c>
      <c r="W1792" t="inlineStr">
        <is>
          <t>1994-11-14</t>
        </is>
      </c>
      <c r="X1792" t="inlineStr">
        <is>
          <t>1994-11-15</t>
        </is>
      </c>
      <c r="Y1792" t="n">
        <v>198</v>
      </c>
      <c r="Z1792" t="n">
        <v>171</v>
      </c>
      <c r="AA1792" t="n">
        <v>207</v>
      </c>
      <c r="AB1792" t="n">
        <v>2</v>
      </c>
      <c r="AC1792" t="n">
        <v>2</v>
      </c>
      <c r="AD1792" t="n">
        <v>16</v>
      </c>
      <c r="AE1792" t="n">
        <v>16</v>
      </c>
      <c r="AF1792" t="n">
        <v>4</v>
      </c>
      <c r="AG1792" t="n">
        <v>4</v>
      </c>
      <c r="AH1792" t="n">
        <v>4</v>
      </c>
      <c r="AI1792" t="n">
        <v>4</v>
      </c>
      <c r="AJ1792" t="n">
        <v>10</v>
      </c>
      <c r="AK1792" t="n">
        <v>10</v>
      </c>
      <c r="AL1792" t="n">
        <v>1</v>
      </c>
      <c r="AM1792" t="n">
        <v>1</v>
      </c>
      <c r="AN1792" t="n">
        <v>0</v>
      </c>
      <c r="AO1792" t="n">
        <v>0</v>
      </c>
      <c r="AP1792" t="inlineStr">
        <is>
          <t>Yes</t>
        </is>
      </c>
      <c r="AQ1792" t="inlineStr">
        <is>
          <t>No</t>
        </is>
      </c>
      <c r="AR1792">
        <f>HYPERLINK("http://catalog.hathitrust.org/Record/001267282","HathiTrust Record")</f>
        <v/>
      </c>
      <c r="AS1792">
        <f>HYPERLINK("https://creighton-primo.hosted.exlibrisgroup.com/primo-explore/search?tab=default_tab&amp;search_scope=EVERYTHING&amp;vid=01CRU&amp;lang=en_US&amp;offset=0&amp;query=any,contains,991002797719702656","Catalog Record")</f>
        <v/>
      </c>
      <c r="AT1792">
        <f>HYPERLINK("http://www.worldcat.org/oclc/445792","WorldCat Record")</f>
        <v/>
      </c>
      <c r="AU1792" t="inlineStr">
        <is>
          <t>5417037337:eng</t>
        </is>
      </c>
      <c r="AV1792" t="inlineStr">
        <is>
          <t>445792</t>
        </is>
      </c>
      <c r="AW1792" t="inlineStr">
        <is>
          <t>991002797719702656</t>
        </is>
      </c>
      <c r="AX1792" t="inlineStr">
        <is>
          <t>991002797719702656</t>
        </is>
      </c>
      <c r="AY1792" t="inlineStr">
        <is>
          <t>2262962570002656</t>
        </is>
      </c>
      <c r="AZ1792" t="inlineStr">
        <is>
          <t>BOOK</t>
        </is>
      </c>
      <c r="BC1792" t="inlineStr">
        <is>
          <t>32285001966455</t>
        </is>
      </c>
      <c r="BD1792" t="inlineStr">
        <is>
          <t>893428033</t>
        </is>
      </c>
    </row>
    <row r="1793">
      <c r="A1793" t="inlineStr">
        <is>
          <t>No</t>
        </is>
      </c>
      <c r="B1793" t="inlineStr">
        <is>
          <t>DS653 .B63</t>
        </is>
      </c>
      <c r="C1793" t="inlineStr">
        <is>
          <t>0                      DS 0653000B  63</t>
        </is>
      </c>
      <c r="D1793" t="inlineStr">
        <is>
          <t>The Philippine islands, 1493-1803.</t>
        </is>
      </c>
      <c r="E1793" t="inlineStr">
        <is>
          <t>V.47</t>
        </is>
      </c>
      <c r="F1793" t="inlineStr">
        <is>
          <t>Yes</t>
        </is>
      </c>
      <c r="G1793" t="inlineStr">
        <is>
          <t>1</t>
        </is>
      </c>
      <c r="H1793" t="inlineStr">
        <is>
          <t>No</t>
        </is>
      </c>
      <c r="I1793" t="inlineStr">
        <is>
          <t>No</t>
        </is>
      </c>
      <c r="J1793" t="inlineStr">
        <is>
          <t>0</t>
        </is>
      </c>
      <c r="K1793" t="inlineStr">
        <is>
          <t>Blair, Emma Helen, 1851-1911, editor.</t>
        </is>
      </c>
      <c r="L1793" t="inlineStr">
        <is>
          <t>Cleveland, Ohio : The A.H. Clark company, 1903-09.</t>
        </is>
      </c>
      <c r="M1793" t="inlineStr">
        <is>
          <t>1903</t>
        </is>
      </c>
      <c r="O1793" t="inlineStr">
        <is>
          <t>eng</t>
        </is>
      </c>
      <c r="P1793" t="inlineStr">
        <is>
          <t xml:space="preserve">xx </t>
        </is>
      </c>
      <c r="R1793" t="inlineStr">
        <is>
          <t xml:space="preserve">DS </t>
        </is>
      </c>
      <c r="S1793" t="n">
        <v>2</v>
      </c>
      <c r="T1793" t="n">
        <v>84</v>
      </c>
      <c r="U1793" t="inlineStr">
        <is>
          <t>1995-04-08</t>
        </is>
      </c>
      <c r="V1793" t="inlineStr">
        <is>
          <t>2004-10-05</t>
        </is>
      </c>
      <c r="W1793" t="inlineStr">
        <is>
          <t>1994-11-14</t>
        </is>
      </c>
      <c r="X1793" t="inlineStr">
        <is>
          <t>1994-11-15</t>
        </is>
      </c>
      <c r="Y1793" t="n">
        <v>198</v>
      </c>
      <c r="Z1793" t="n">
        <v>171</v>
      </c>
      <c r="AA1793" t="n">
        <v>207</v>
      </c>
      <c r="AB1793" t="n">
        <v>2</v>
      </c>
      <c r="AC1793" t="n">
        <v>2</v>
      </c>
      <c r="AD1793" t="n">
        <v>16</v>
      </c>
      <c r="AE1793" t="n">
        <v>16</v>
      </c>
      <c r="AF1793" t="n">
        <v>4</v>
      </c>
      <c r="AG1793" t="n">
        <v>4</v>
      </c>
      <c r="AH1793" t="n">
        <v>4</v>
      </c>
      <c r="AI1793" t="n">
        <v>4</v>
      </c>
      <c r="AJ1793" t="n">
        <v>10</v>
      </c>
      <c r="AK1793" t="n">
        <v>10</v>
      </c>
      <c r="AL1793" t="n">
        <v>1</v>
      </c>
      <c r="AM1793" t="n">
        <v>1</v>
      </c>
      <c r="AN1793" t="n">
        <v>0</v>
      </c>
      <c r="AO1793" t="n">
        <v>0</v>
      </c>
      <c r="AP1793" t="inlineStr">
        <is>
          <t>Yes</t>
        </is>
      </c>
      <c r="AQ1793" t="inlineStr">
        <is>
          <t>No</t>
        </is>
      </c>
      <c r="AR1793">
        <f>HYPERLINK("http://catalog.hathitrust.org/Record/001267282","HathiTrust Record")</f>
        <v/>
      </c>
      <c r="AS1793">
        <f>HYPERLINK("https://creighton-primo.hosted.exlibrisgroup.com/primo-explore/search?tab=default_tab&amp;search_scope=EVERYTHING&amp;vid=01CRU&amp;lang=en_US&amp;offset=0&amp;query=any,contains,991002797719702656","Catalog Record")</f>
        <v/>
      </c>
      <c r="AT1793">
        <f>HYPERLINK("http://www.worldcat.org/oclc/445792","WorldCat Record")</f>
        <v/>
      </c>
      <c r="AU1793" t="inlineStr">
        <is>
          <t>5417037337:eng</t>
        </is>
      </c>
      <c r="AV1793" t="inlineStr">
        <is>
          <t>445792</t>
        </is>
      </c>
      <c r="AW1793" t="inlineStr">
        <is>
          <t>991002797719702656</t>
        </is>
      </c>
      <c r="AX1793" t="inlineStr">
        <is>
          <t>991002797719702656</t>
        </is>
      </c>
      <c r="AY1793" t="inlineStr">
        <is>
          <t>2262962570002656</t>
        </is>
      </c>
      <c r="AZ1793" t="inlineStr">
        <is>
          <t>BOOK</t>
        </is>
      </c>
      <c r="BC1793" t="inlineStr">
        <is>
          <t>32285001966513</t>
        </is>
      </c>
      <c r="BD1793" t="inlineStr">
        <is>
          <t>893428031</t>
        </is>
      </c>
    </row>
    <row r="1794">
      <c r="A1794" t="inlineStr">
        <is>
          <t>No</t>
        </is>
      </c>
      <c r="B1794" t="inlineStr">
        <is>
          <t>DS653 .B63</t>
        </is>
      </c>
      <c r="C1794" t="inlineStr">
        <is>
          <t>0                      DS 0653000B  63</t>
        </is>
      </c>
      <c r="D1794" t="inlineStr">
        <is>
          <t>The Philippine islands, 1493-1803.</t>
        </is>
      </c>
      <c r="E1794" t="inlineStr">
        <is>
          <t>V.36</t>
        </is>
      </c>
      <c r="F1794" t="inlineStr">
        <is>
          <t>Yes</t>
        </is>
      </c>
      <c r="G1794" t="inlineStr">
        <is>
          <t>1</t>
        </is>
      </c>
      <c r="H1794" t="inlineStr">
        <is>
          <t>No</t>
        </is>
      </c>
      <c r="I1794" t="inlineStr">
        <is>
          <t>No</t>
        </is>
      </c>
      <c r="J1794" t="inlineStr">
        <is>
          <t>0</t>
        </is>
      </c>
      <c r="K1794" t="inlineStr">
        <is>
          <t>Blair, Emma Helen, 1851-1911, editor.</t>
        </is>
      </c>
      <c r="L1794" t="inlineStr">
        <is>
          <t>Cleveland, Ohio : The A.H. Clark company, 1903-09.</t>
        </is>
      </c>
      <c r="M1794" t="inlineStr">
        <is>
          <t>1903</t>
        </is>
      </c>
      <c r="O1794" t="inlineStr">
        <is>
          <t>eng</t>
        </is>
      </c>
      <c r="P1794" t="inlineStr">
        <is>
          <t xml:space="preserve">xx </t>
        </is>
      </c>
      <c r="R1794" t="inlineStr">
        <is>
          <t xml:space="preserve">DS </t>
        </is>
      </c>
      <c r="S1794" t="n">
        <v>2</v>
      </c>
      <c r="T1794" t="n">
        <v>84</v>
      </c>
      <c r="U1794" t="inlineStr">
        <is>
          <t>1995-03-13</t>
        </is>
      </c>
      <c r="V1794" t="inlineStr">
        <is>
          <t>2004-10-05</t>
        </is>
      </c>
      <c r="W1794" t="inlineStr">
        <is>
          <t>1994-11-14</t>
        </is>
      </c>
      <c r="X1794" t="inlineStr">
        <is>
          <t>1994-11-15</t>
        </is>
      </c>
      <c r="Y1794" t="n">
        <v>198</v>
      </c>
      <c r="Z1794" t="n">
        <v>171</v>
      </c>
      <c r="AA1794" t="n">
        <v>207</v>
      </c>
      <c r="AB1794" t="n">
        <v>2</v>
      </c>
      <c r="AC1794" t="n">
        <v>2</v>
      </c>
      <c r="AD1794" t="n">
        <v>16</v>
      </c>
      <c r="AE1794" t="n">
        <v>16</v>
      </c>
      <c r="AF1794" t="n">
        <v>4</v>
      </c>
      <c r="AG1794" t="n">
        <v>4</v>
      </c>
      <c r="AH1794" t="n">
        <v>4</v>
      </c>
      <c r="AI1794" t="n">
        <v>4</v>
      </c>
      <c r="AJ1794" t="n">
        <v>10</v>
      </c>
      <c r="AK1794" t="n">
        <v>10</v>
      </c>
      <c r="AL1794" t="n">
        <v>1</v>
      </c>
      <c r="AM1794" t="n">
        <v>1</v>
      </c>
      <c r="AN1794" t="n">
        <v>0</v>
      </c>
      <c r="AO1794" t="n">
        <v>0</v>
      </c>
      <c r="AP1794" t="inlineStr">
        <is>
          <t>Yes</t>
        </is>
      </c>
      <c r="AQ1794" t="inlineStr">
        <is>
          <t>No</t>
        </is>
      </c>
      <c r="AR1794">
        <f>HYPERLINK("http://catalog.hathitrust.org/Record/001267282","HathiTrust Record")</f>
        <v/>
      </c>
      <c r="AS1794">
        <f>HYPERLINK("https://creighton-primo.hosted.exlibrisgroup.com/primo-explore/search?tab=default_tab&amp;search_scope=EVERYTHING&amp;vid=01CRU&amp;lang=en_US&amp;offset=0&amp;query=any,contains,991002797719702656","Catalog Record")</f>
        <v/>
      </c>
      <c r="AT1794">
        <f>HYPERLINK("http://www.worldcat.org/oclc/445792","WorldCat Record")</f>
        <v/>
      </c>
      <c r="AU1794" t="inlineStr">
        <is>
          <t>5417037337:eng</t>
        </is>
      </c>
      <c r="AV1794" t="inlineStr">
        <is>
          <t>445792</t>
        </is>
      </c>
      <c r="AW1794" t="inlineStr">
        <is>
          <t>991002797719702656</t>
        </is>
      </c>
      <c r="AX1794" t="inlineStr">
        <is>
          <t>991002797719702656</t>
        </is>
      </c>
      <c r="AY1794" t="inlineStr">
        <is>
          <t>2262962570002656</t>
        </is>
      </c>
      <c r="AZ1794" t="inlineStr">
        <is>
          <t>BOOK</t>
        </is>
      </c>
      <c r="BC1794" t="inlineStr">
        <is>
          <t>32285001966406</t>
        </is>
      </c>
      <c r="BD1794" t="inlineStr">
        <is>
          <t>893409557</t>
        </is>
      </c>
    </row>
    <row r="1795">
      <c r="A1795" t="inlineStr">
        <is>
          <t>No</t>
        </is>
      </c>
      <c r="B1795" t="inlineStr">
        <is>
          <t>DS653 .B63</t>
        </is>
      </c>
      <c r="C1795" t="inlineStr">
        <is>
          <t>0                      DS 0653000B  63</t>
        </is>
      </c>
      <c r="D1795" t="inlineStr">
        <is>
          <t>The Philippine islands, 1493-1803.</t>
        </is>
      </c>
      <c r="E1795" t="inlineStr">
        <is>
          <t>V.12</t>
        </is>
      </c>
      <c r="F1795" t="inlineStr">
        <is>
          <t>Yes</t>
        </is>
      </c>
      <c r="G1795" t="inlineStr">
        <is>
          <t>1</t>
        </is>
      </c>
      <c r="H1795" t="inlineStr">
        <is>
          <t>No</t>
        </is>
      </c>
      <c r="I1795" t="inlineStr">
        <is>
          <t>No</t>
        </is>
      </c>
      <c r="J1795" t="inlineStr">
        <is>
          <t>0</t>
        </is>
      </c>
      <c r="K1795" t="inlineStr">
        <is>
          <t>Blair, Emma Helen, 1851-1911, editor.</t>
        </is>
      </c>
      <c r="L1795" t="inlineStr">
        <is>
          <t>Cleveland, Ohio : The A.H. Clark company, 1903-09.</t>
        </is>
      </c>
      <c r="M1795" t="inlineStr">
        <is>
          <t>1903</t>
        </is>
      </c>
      <c r="O1795" t="inlineStr">
        <is>
          <t>eng</t>
        </is>
      </c>
      <c r="P1795" t="inlineStr">
        <is>
          <t xml:space="preserve">xx </t>
        </is>
      </c>
      <c r="R1795" t="inlineStr">
        <is>
          <t xml:space="preserve">DS </t>
        </is>
      </c>
      <c r="S1795" t="n">
        <v>1</v>
      </c>
      <c r="T1795" t="n">
        <v>84</v>
      </c>
      <c r="U1795" t="inlineStr">
        <is>
          <t>1994-11-28</t>
        </is>
      </c>
      <c r="V1795" t="inlineStr">
        <is>
          <t>2004-10-05</t>
        </is>
      </c>
      <c r="W1795" t="inlineStr">
        <is>
          <t>1994-11-14</t>
        </is>
      </c>
      <c r="X1795" t="inlineStr">
        <is>
          <t>1994-11-15</t>
        </is>
      </c>
      <c r="Y1795" t="n">
        <v>198</v>
      </c>
      <c r="Z1795" t="n">
        <v>171</v>
      </c>
      <c r="AA1795" t="n">
        <v>207</v>
      </c>
      <c r="AB1795" t="n">
        <v>2</v>
      </c>
      <c r="AC1795" t="n">
        <v>2</v>
      </c>
      <c r="AD1795" t="n">
        <v>16</v>
      </c>
      <c r="AE1795" t="n">
        <v>16</v>
      </c>
      <c r="AF1795" t="n">
        <v>4</v>
      </c>
      <c r="AG1795" t="n">
        <v>4</v>
      </c>
      <c r="AH1795" t="n">
        <v>4</v>
      </c>
      <c r="AI1795" t="n">
        <v>4</v>
      </c>
      <c r="AJ1795" t="n">
        <v>10</v>
      </c>
      <c r="AK1795" t="n">
        <v>10</v>
      </c>
      <c r="AL1795" t="n">
        <v>1</v>
      </c>
      <c r="AM1795" t="n">
        <v>1</v>
      </c>
      <c r="AN1795" t="n">
        <v>0</v>
      </c>
      <c r="AO1795" t="n">
        <v>0</v>
      </c>
      <c r="AP1795" t="inlineStr">
        <is>
          <t>Yes</t>
        </is>
      </c>
      <c r="AQ1795" t="inlineStr">
        <is>
          <t>No</t>
        </is>
      </c>
      <c r="AR1795">
        <f>HYPERLINK("http://catalog.hathitrust.org/Record/001267282","HathiTrust Record")</f>
        <v/>
      </c>
      <c r="AS1795">
        <f>HYPERLINK("https://creighton-primo.hosted.exlibrisgroup.com/primo-explore/search?tab=default_tab&amp;search_scope=EVERYTHING&amp;vid=01CRU&amp;lang=en_US&amp;offset=0&amp;query=any,contains,991002797719702656","Catalog Record")</f>
        <v/>
      </c>
      <c r="AT1795">
        <f>HYPERLINK("http://www.worldcat.org/oclc/445792","WorldCat Record")</f>
        <v/>
      </c>
      <c r="AU1795" t="inlineStr">
        <is>
          <t>5417037337:eng</t>
        </is>
      </c>
      <c r="AV1795" t="inlineStr">
        <is>
          <t>445792</t>
        </is>
      </c>
      <c r="AW1795" t="inlineStr">
        <is>
          <t>991002797719702656</t>
        </is>
      </c>
      <c r="AX1795" t="inlineStr">
        <is>
          <t>991002797719702656</t>
        </is>
      </c>
      <c r="AY1795" t="inlineStr">
        <is>
          <t>2262962570002656</t>
        </is>
      </c>
      <c r="AZ1795" t="inlineStr">
        <is>
          <t>BOOK</t>
        </is>
      </c>
      <c r="BC1795" t="inlineStr">
        <is>
          <t>32285001966166</t>
        </is>
      </c>
      <c r="BD1795" t="inlineStr">
        <is>
          <t>893428039</t>
        </is>
      </c>
    </row>
    <row r="1796">
      <c r="A1796" t="inlineStr">
        <is>
          <t>No</t>
        </is>
      </c>
      <c r="B1796" t="inlineStr">
        <is>
          <t>DS653 .B63</t>
        </is>
      </c>
      <c r="C1796" t="inlineStr">
        <is>
          <t>0                      DS 0653000B  63</t>
        </is>
      </c>
      <c r="D1796" t="inlineStr">
        <is>
          <t>The Philippine islands, 1493-1803.</t>
        </is>
      </c>
      <c r="E1796" t="inlineStr">
        <is>
          <t>V.37</t>
        </is>
      </c>
      <c r="F1796" t="inlineStr">
        <is>
          <t>Yes</t>
        </is>
      </c>
      <c r="G1796" t="inlineStr">
        <is>
          <t>1</t>
        </is>
      </c>
      <c r="H1796" t="inlineStr">
        <is>
          <t>No</t>
        </is>
      </c>
      <c r="I1796" t="inlineStr">
        <is>
          <t>No</t>
        </is>
      </c>
      <c r="J1796" t="inlineStr">
        <is>
          <t>0</t>
        </is>
      </c>
      <c r="K1796" t="inlineStr">
        <is>
          <t>Blair, Emma Helen, 1851-1911, editor.</t>
        </is>
      </c>
      <c r="L1796" t="inlineStr">
        <is>
          <t>Cleveland, Ohio : The A.H. Clark company, 1903-09.</t>
        </is>
      </c>
      <c r="M1796" t="inlineStr">
        <is>
          <t>1903</t>
        </is>
      </c>
      <c r="O1796" t="inlineStr">
        <is>
          <t>eng</t>
        </is>
      </c>
      <c r="P1796" t="inlineStr">
        <is>
          <t xml:space="preserve">xx </t>
        </is>
      </c>
      <c r="R1796" t="inlineStr">
        <is>
          <t xml:space="preserve">DS </t>
        </is>
      </c>
      <c r="S1796" t="n">
        <v>2</v>
      </c>
      <c r="T1796" t="n">
        <v>84</v>
      </c>
      <c r="U1796" t="inlineStr">
        <is>
          <t>1995-03-15</t>
        </is>
      </c>
      <c r="V1796" t="inlineStr">
        <is>
          <t>2004-10-05</t>
        </is>
      </c>
      <c r="W1796" t="inlineStr">
        <is>
          <t>1994-11-14</t>
        </is>
      </c>
      <c r="X1796" t="inlineStr">
        <is>
          <t>1994-11-15</t>
        </is>
      </c>
      <c r="Y1796" t="n">
        <v>198</v>
      </c>
      <c r="Z1796" t="n">
        <v>171</v>
      </c>
      <c r="AA1796" t="n">
        <v>207</v>
      </c>
      <c r="AB1796" t="n">
        <v>2</v>
      </c>
      <c r="AC1796" t="n">
        <v>2</v>
      </c>
      <c r="AD1796" t="n">
        <v>16</v>
      </c>
      <c r="AE1796" t="n">
        <v>16</v>
      </c>
      <c r="AF1796" t="n">
        <v>4</v>
      </c>
      <c r="AG1796" t="n">
        <v>4</v>
      </c>
      <c r="AH1796" t="n">
        <v>4</v>
      </c>
      <c r="AI1796" t="n">
        <v>4</v>
      </c>
      <c r="AJ1796" t="n">
        <v>10</v>
      </c>
      <c r="AK1796" t="n">
        <v>10</v>
      </c>
      <c r="AL1796" t="n">
        <v>1</v>
      </c>
      <c r="AM1796" t="n">
        <v>1</v>
      </c>
      <c r="AN1796" t="n">
        <v>0</v>
      </c>
      <c r="AO1796" t="n">
        <v>0</v>
      </c>
      <c r="AP1796" t="inlineStr">
        <is>
          <t>Yes</t>
        </is>
      </c>
      <c r="AQ1796" t="inlineStr">
        <is>
          <t>No</t>
        </is>
      </c>
      <c r="AR1796">
        <f>HYPERLINK("http://catalog.hathitrust.org/Record/001267282","HathiTrust Record")</f>
        <v/>
      </c>
      <c r="AS1796">
        <f>HYPERLINK("https://creighton-primo.hosted.exlibrisgroup.com/primo-explore/search?tab=default_tab&amp;search_scope=EVERYTHING&amp;vid=01CRU&amp;lang=en_US&amp;offset=0&amp;query=any,contains,991002797719702656","Catalog Record")</f>
        <v/>
      </c>
      <c r="AT1796">
        <f>HYPERLINK("http://www.worldcat.org/oclc/445792","WorldCat Record")</f>
        <v/>
      </c>
      <c r="AU1796" t="inlineStr">
        <is>
          <t>5417037337:eng</t>
        </is>
      </c>
      <c r="AV1796" t="inlineStr">
        <is>
          <t>445792</t>
        </is>
      </c>
      <c r="AW1796" t="inlineStr">
        <is>
          <t>991002797719702656</t>
        </is>
      </c>
      <c r="AX1796" t="inlineStr">
        <is>
          <t>991002797719702656</t>
        </is>
      </c>
      <c r="AY1796" t="inlineStr">
        <is>
          <t>2262962570002656</t>
        </is>
      </c>
      <c r="AZ1796" t="inlineStr">
        <is>
          <t>BOOK</t>
        </is>
      </c>
      <c r="BC1796" t="inlineStr">
        <is>
          <t>32285001966414</t>
        </is>
      </c>
      <c r="BD1796" t="inlineStr">
        <is>
          <t>893409556</t>
        </is>
      </c>
    </row>
    <row r="1797">
      <c r="A1797" t="inlineStr">
        <is>
          <t>No</t>
        </is>
      </c>
      <c r="B1797" t="inlineStr">
        <is>
          <t>DS653 .B63</t>
        </is>
      </c>
      <c r="C1797" t="inlineStr">
        <is>
          <t>0                      DS 0653000B  63</t>
        </is>
      </c>
      <c r="D1797" t="inlineStr">
        <is>
          <t>The Philippine islands, 1493-1803.</t>
        </is>
      </c>
      <c r="E1797" t="inlineStr">
        <is>
          <t>V.5</t>
        </is>
      </c>
      <c r="F1797" t="inlineStr">
        <is>
          <t>Yes</t>
        </is>
      </c>
      <c r="G1797" t="inlineStr">
        <is>
          <t>1</t>
        </is>
      </c>
      <c r="H1797" t="inlineStr">
        <is>
          <t>No</t>
        </is>
      </c>
      <c r="I1797" t="inlineStr">
        <is>
          <t>No</t>
        </is>
      </c>
      <c r="J1797" t="inlineStr">
        <is>
          <t>0</t>
        </is>
      </c>
      <c r="K1797" t="inlineStr">
        <is>
          <t>Blair, Emma Helen, 1851-1911, editor.</t>
        </is>
      </c>
      <c r="L1797" t="inlineStr">
        <is>
          <t>Cleveland, Ohio : The A.H. Clark company, 1903-09.</t>
        </is>
      </c>
      <c r="M1797" t="inlineStr">
        <is>
          <t>1903</t>
        </is>
      </c>
      <c r="O1797" t="inlineStr">
        <is>
          <t>eng</t>
        </is>
      </c>
      <c r="P1797" t="inlineStr">
        <is>
          <t xml:space="preserve">xx </t>
        </is>
      </c>
      <c r="R1797" t="inlineStr">
        <is>
          <t xml:space="preserve">DS </t>
        </is>
      </c>
      <c r="S1797" t="n">
        <v>0</v>
      </c>
      <c r="T1797" t="n">
        <v>84</v>
      </c>
      <c r="V1797" t="inlineStr">
        <is>
          <t>2004-10-05</t>
        </is>
      </c>
      <c r="W1797" t="inlineStr">
        <is>
          <t>1994-11-14</t>
        </is>
      </c>
      <c r="X1797" t="inlineStr">
        <is>
          <t>1994-11-15</t>
        </is>
      </c>
      <c r="Y1797" t="n">
        <v>198</v>
      </c>
      <c r="Z1797" t="n">
        <v>171</v>
      </c>
      <c r="AA1797" t="n">
        <v>207</v>
      </c>
      <c r="AB1797" t="n">
        <v>2</v>
      </c>
      <c r="AC1797" t="n">
        <v>2</v>
      </c>
      <c r="AD1797" t="n">
        <v>16</v>
      </c>
      <c r="AE1797" t="n">
        <v>16</v>
      </c>
      <c r="AF1797" t="n">
        <v>4</v>
      </c>
      <c r="AG1797" t="n">
        <v>4</v>
      </c>
      <c r="AH1797" t="n">
        <v>4</v>
      </c>
      <c r="AI1797" t="n">
        <v>4</v>
      </c>
      <c r="AJ1797" t="n">
        <v>10</v>
      </c>
      <c r="AK1797" t="n">
        <v>10</v>
      </c>
      <c r="AL1797" t="n">
        <v>1</v>
      </c>
      <c r="AM1797" t="n">
        <v>1</v>
      </c>
      <c r="AN1797" t="n">
        <v>0</v>
      </c>
      <c r="AO1797" t="n">
        <v>0</v>
      </c>
      <c r="AP1797" t="inlineStr">
        <is>
          <t>Yes</t>
        </is>
      </c>
      <c r="AQ1797" t="inlineStr">
        <is>
          <t>No</t>
        </is>
      </c>
      <c r="AR1797">
        <f>HYPERLINK("http://catalog.hathitrust.org/Record/001267282","HathiTrust Record")</f>
        <v/>
      </c>
      <c r="AS1797">
        <f>HYPERLINK("https://creighton-primo.hosted.exlibrisgroup.com/primo-explore/search?tab=default_tab&amp;search_scope=EVERYTHING&amp;vid=01CRU&amp;lang=en_US&amp;offset=0&amp;query=any,contains,991002797719702656","Catalog Record")</f>
        <v/>
      </c>
      <c r="AT1797">
        <f>HYPERLINK("http://www.worldcat.org/oclc/445792","WorldCat Record")</f>
        <v/>
      </c>
      <c r="AU1797" t="inlineStr">
        <is>
          <t>5417037337:eng</t>
        </is>
      </c>
      <c r="AV1797" t="inlineStr">
        <is>
          <t>445792</t>
        </is>
      </c>
      <c r="AW1797" t="inlineStr">
        <is>
          <t>991002797719702656</t>
        </is>
      </c>
      <c r="AX1797" t="inlineStr">
        <is>
          <t>991002797719702656</t>
        </is>
      </c>
      <c r="AY1797" t="inlineStr">
        <is>
          <t>2262962570002656</t>
        </is>
      </c>
      <c r="AZ1797" t="inlineStr">
        <is>
          <t>BOOK</t>
        </is>
      </c>
      <c r="BC1797" t="inlineStr">
        <is>
          <t>32285001966117</t>
        </is>
      </c>
      <c r="BD1797" t="inlineStr">
        <is>
          <t>893445363</t>
        </is>
      </c>
    </row>
    <row r="1798">
      <c r="A1798" t="inlineStr">
        <is>
          <t>No</t>
        </is>
      </c>
      <c r="B1798" t="inlineStr">
        <is>
          <t>DS653 .B63</t>
        </is>
      </c>
      <c r="C1798" t="inlineStr">
        <is>
          <t>0                      DS 0653000B  63</t>
        </is>
      </c>
      <c r="D1798" t="inlineStr">
        <is>
          <t>The Philippine islands, 1493-1803.</t>
        </is>
      </c>
      <c r="E1798" t="inlineStr">
        <is>
          <t>V.6</t>
        </is>
      </c>
      <c r="F1798" t="inlineStr">
        <is>
          <t>Yes</t>
        </is>
      </c>
      <c r="G1798" t="inlineStr">
        <is>
          <t>1</t>
        </is>
      </c>
      <c r="H1798" t="inlineStr">
        <is>
          <t>No</t>
        </is>
      </c>
      <c r="I1798" t="inlineStr">
        <is>
          <t>No</t>
        </is>
      </c>
      <c r="J1798" t="inlineStr">
        <is>
          <t>0</t>
        </is>
      </c>
      <c r="K1798" t="inlineStr">
        <is>
          <t>Blair, Emma Helen, 1851-1911, editor.</t>
        </is>
      </c>
      <c r="L1798" t="inlineStr">
        <is>
          <t>Cleveland, Ohio : The A.H. Clark company, 1903-09.</t>
        </is>
      </c>
      <c r="M1798" t="inlineStr">
        <is>
          <t>1903</t>
        </is>
      </c>
      <c r="O1798" t="inlineStr">
        <is>
          <t>eng</t>
        </is>
      </c>
      <c r="P1798" t="inlineStr">
        <is>
          <t xml:space="preserve">xx </t>
        </is>
      </c>
      <c r="R1798" t="inlineStr">
        <is>
          <t xml:space="preserve">DS </t>
        </is>
      </c>
      <c r="S1798" t="n">
        <v>0</v>
      </c>
      <c r="T1798" t="n">
        <v>84</v>
      </c>
      <c r="V1798" t="inlineStr">
        <is>
          <t>2004-10-05</t>
        </is>
      </c>
      <c r="W1798" t="inlineStr">
        <is>
          <t>1994-11-15</t>
        </is>
      </c>
      <c r="X1798" t="inlineStr">
        <is>
          <t>1994-11-15</t>
        </is>
      </c>
      <c r="Y1798" t="n">
        <v>198</v>
      </c>
      <c r="Z1798" t="n">
        <v>171</v>
      </c>
      <c r="AA1798" t="n">
        <v>207</v>
      </c>
      <c r="AB1798" t="n">
        <v>2</v>
      </c>
      <c r="AC1798" t="n">
        <v>2</v>
      </c>
      <c r="AD1798" t="n">
        <v>16</v>
      </c>
      <c r="AE1798" t="n">
        <v>16</v>
      </c>
      <c r="AF1798" t="n">
        <v>4</v>
      </c>
      <c r="AG1798" t="n">
        <v>4</v>
      </c>
      <c r="AH1798" t="n">
        <v>4</v>
      </c>
      <c r="AI1798" t="n">
        <v>4</v>
      </c>
      <c r="AJ1798" t="n">
        <v>10</v>
      </c>
      <c r="AK1798" t="n">
        <v>10</v>
      </c>
      <c r="AL1798" t="n">
        <v>1</v>
      </c>
      <c r="AM1798" t="n">
        <v>1</v>
      </c>
      <c r="AN1798" t="n">
        <v>0</v>
      </c>
      <c r="AO1798" t="n">
        <v>0</v>
      </c>
      <c r="AP1798" t="inlineStr">
        <is>
          <t>Yes</t>
        </is>
      </c>
      <c r="AQ1798" t="inlineStr">
        <is>
          <t>No</t>
        </is>
      </c>
      <c r="AR1798">
        <f>HYPERLINK("http://catalog.hathitrust.org/Record/001267282","HathiTrust Record")</f>
        <v/>
      </c>
      <c r="AS1798">
        <f>HYPERLINK("https://creighton-primo.hosted.exlibrisgroup.com/primo-explore/search?tab=default_tab&amp;search_scope=EVERYTHING&amp;vid=01CRU&amp;lang=en_US&amp;offset=0&amp;query=any,contains,991002797719702656","Catalog Record")</f>
        <v/>
      </c>
      <c r="AT1798">
        <f>HYPERLINK("http://www.worldcat.org/oclc/445792","WorldCat Record")</f>
        <v/>
      </c>
      <c r="AU1798" t="inlineStr">
        <is>
          <t>5417037337:eng</t>
        </is>
      </c>
      <c r="AV1798" t="inlineStr">
        <is>
          <t>445792</t>
        </is>
      </c>
      <c r="AW1798" t="inlineStr">
        <is>
          <t>991002797719702656</t>
        </is>
      </c>
      <c r="AX1798" t="inlineStr">
        <is>
          <t>991002797719702656</t>
        </is>
      </c>
      <c r="AY1798" t="inlineStr">
        <is>
          <t>2262962570002656</t>
        </is>
      </c>
      <c r="AZ1798" t="inlineStr">
        <is>
          <t>BOOK</t>
        </is>
      </c>
      <c r="BC1798" t="inlineStr">
        <is>
          <t>32285001966604</t>
        </is>
      </c>
      <c r="BD1798" t="inlineStr">
        <is>
          <t>893409541</t>
        </is>
      </c>
    </row>
    <row r="1799">
      <c r="A1799" t="inlineStr">
        <is>
          <t>No</t>
        </is>
      </c>
      <c r="B1799" t="inlineStr">
        <is>
          <t>DS653 .B63</t>
        </is>
      </c>
      <c r="C1799" t="inlineStr">
        <is>
          <t>0                      DS 0653000B  63</t>
        </is>
      </c>
      <c r="D1799" t="inlineStr">
        <is>
          <t>The Philippine islands, 1493-1803.</t>
        </is>
      </c>
      <c r="E1799" t="inlineStr">
        <is>
          <t>V.45</t>
        </is>
      </c>
      <c r="F1799" t="inlineStr">
        <is>
          <t>Yes</t>
        </is>
      </c>
      <c r="G1799" t="inlineStr">
        <is>
          <t>1</t>
        </is>
      </c>
      <c r="H1799" t="inlineStr">
        <is>
          <t>No</t>
        </is>
      </c>
      <c r="I1799" t="inlineStr">
        <is>
          <t>No</t>
        </is>
      </c>
      <c r="J1799" t="inlineStr">
        <is>
          <t>0</t>
        </is>
      </c>
      <c r="K1799" t="inlineStr">
        <is>
          <t>Blair, Emma Helen, 1851-1911, editor.</t>
        </is>
      </c>
      <c r="L1799" t="inlineStr">
        <is>
          <t>Cleveland, Ohio : The A.H. Clark company, 1903-09.</t>
        </is>
      </c>
      <c r="M1799" t="inlineStr">
        <is>
          <t>1903</t>
        </is>
      </c>
      <c r="O1799" t="inlineStr">
        <is>
          <t>eng</t>
        </is>
      </c>
      <c r="P1799" t="inlineStr">
        <is>
          <t xml:space="preserve">xx </t>
        </is>
      </c>
      <c r="R1799" t="inlineStr">
        <is>
          <t xml:space="preserve">DS </t>
        </is>
      </c>
      <c r="S1799" t="n">
        <v>3</v>
      </c>
      <c r="T1799" t="n">
        <v>84</v>
      </c>
      <c r="U1799" t="inlineStr">
        <is>
          <t>2003-02-10</t>
        </is>
      </c>
      <c r="V1799" t="inlineStr">
        <is>
          <t>2004-10-05</t>
        </is>
      </c>
      <c r="W1799" t="inlineStr">
        <is>
          <t>1994-11-14</t>
        </is>
      </c>
      <c r="X1799" t="inlineStr">
        <is>
          <t>1994-11-15</t>
        </is>
      </c>
      <c r="Y1799" t="n">
        <v>198</v>
      </c>
      <c r="Z1799" t="n">
        <v>171</v>
      </c>
      <c r="AA1799" t="n">
        <v>207</v>
      </c>
      <c r="AB1799" t="n">
        <v>2</v>
      </c>
      <c r="AC1799" t="n">
        <v>2</v>
      </c>
      <c r="AD1799" t="n">
        <v>16</v>
      </c>
      <c r="AE1799" t="n">
        <v>16</v>
      </c>
      <c r="AF1799" t="n">
        <v>4</v>
      </c>
      <c r="AG1799" t="n">
        <v>4</v>
      </c>
      <c r="AH1799" t="n">
        <v>4</v>
      </c>
      <c r="AI1799" t="n">
        <v>4</v>
      </c>
      <c r="AJ1799" t="n">
        <v>10</v>
      </c>
      <c r="AK1799" t="n">
        <v>10</v>
      </c>
      <c r="AL1799" t="n">
        <v>1</v>
      </c>
      <c r="AM1799" t="n">
        <v>1</v>
      </c>
      <c r="AN1799" t="n">
        <v>0</v>
      </c>
      <c r="AO1799" t="n">
        <v>0</v>
      </c>
      <c r="AP1799" t="inlineStr">
        <is>
          <t>Yes</t>
        </is>
      </c>
      <c r="AQ1799" t="inlineStr">
        <is>
          <t>No</t>
        </is>
      </c>
      <c r="AR1799">
        <f>HYPERLINK("http://catalog.hathitrust.org/Record/001267282","HathiTrust Record")</f>
        <v/>
      </c>
      <c r="AS1799">
        <f>HYPERLINK("https://creighton-primo.hosted.exlibrisgroup.com/primo-explore/search?tab=default_tab&amp;search_scope=EVERYTHING&amp;vid=01CRU&amp;lang=en_US&amp;offset=0&amp;query=any,contains,991002797719702656","Catalog Record")</f>
        <v/>
      </c>
      <c r="AT1799">
        <f>HYPERLINK("http://www.worldcat.org/oclc/445792","WorldCat Record")</f>
        <v/>
      </c>
      <c r="AU1799" t="inlineStr">
        <is>
          <t>5417037337:eng</t>
        </is>
      </c>
      <c r="AV1799" t="inlineStr">
        <is>
          <t>445792</t>
        </is>
      </c>
      <c r="AW1799" t="inlineStr">
        <is>
          <t>991002797719702656</t>
        </is>
      </c>
      <c r="AX1799" t="inlineStr">
        <is>
          <t>991002797719702656</t>
        </is>
      </c>
      <c r="AY1799" t="inlineStr">
        <is>
          <t>2262962570002656</t>
        </is>
      </c>
      <c r="AZ1799" t="inlineStr">
        <is>
          <t>BOOK</t>
        </is>
      </c>
      <c r="BC1799" t="inlineStr">
        <is>
          <t>32285001966497</t>
        </is>
      </c>
      <c r="BD1799" t="inlineStr">
        <is>
          <t>893445364</t>
        </is>
      </c>
    </row>
    <row r="1800">
      <c r="A1800" t="inlineStr">
        <is>
          <t>No</t>
        </is>
      </c>
      <c r="B1800" t="inlineStr">
        <is>
          <t>DS653 .B63</t>
        </is>
      </c>
      <c r="C1800" t="inlineStr">
        <is>
          <t>0                      DS 0653000B  63</t>
        </is>
      </c>
      <c r="D1800" t="inlineStr">
        <is>
          <t>The Philippine islands, 1493-1803.</t>
        </is>
      </c>
      <c r="E1800" t="inlineStr">
        <is>
          <t>V.18</t>
        </is>
      </c>
      <c r="F1800" t="inlineStr">
        <is>
          <t>Yes</t>
        </is>
      </c>
      <c r="G1800" t="inlineStr">
        <is>
          <t>1</t>
        </is>
      </c>
      <c r="H1800" t="inlineStr">
        <is>
          <t>No</t>
        </is>
      </c>
      <c r="I1800" t="inlineStr">
        <is>
          <t>No</t>
        </is>
      </c>
      <c r="J1800" t="inlineStr">
        <is>
          <t>0</t>
        </is>
      </c>
      <c r="K1800" t="inlineStr">
        <is>
          <t>Blair, Emma Helen, 1851-1911, editor.</t>
        </is>
      </c>
      <c r="L1800" t="inlineStr">
        <is>
          <t>Cleveland, Ohio : The A.H. Clark company, 1903-09.</t>
        </is>
      </c>
      <c r="M1800" t="inlineStr">
        <is>
          <t>1903</t>
        </is>
      </c>
      <c r="O1800" t="inlineStr">
        <is>
          <t>eng</t>
        </is>
      </c>
      <c r="P1800" t="inlineStr">
        <is>
          <t xml:space="preserve">xx </t>
        </is>
      </c>
      <c r="R1800" t="inlineStr">
        <is>
          <t xml:space="preserve">DS </t>
        </is>
      </c>
      <c r="S1800" t="n">
        <v>2</v>
      </c>
      <c r="T1800" t="n">
        <v>84</v>
      </c>
      <c r="U1800" t="inlineStr">
        <is>
          <t>1994-12-16</t>
        </is>
      </c>
      <c r="V1800" t="inlineStr">
        <is>
          <t>2004-10-05</t>
        </is>
      </c>
      <c r="W1800" t="inlineStr">
        <is>
          <t>1994-11-14</t>
        </is>
      </c>
      <c r="X1800" t="inlineStr">
        <is>
          <t>1994-11-15</t>
        </is>
      </c>
      <c r="Y1800" t="n">
        <v>198</v>
      </c>
      <c r="Z1800" t="n">
        <v>171</v>
      </c>
      <c r="AA1800" t="n">
        <v>207</v>
      </c>
      <c r="AB1800" t="n">
        <v>2</v>
      </c>
      <c r="AC1800" t="n">
        <v>2</v>
      </c>
      <c r="AD1800" t="n">
        <v>16</v>
      </c>
      <c r="AE1800" t="n">
        <v>16</v>
      </c>
      <c r="AF1800" t="n">
        <v>4</v>
      </c>
      <c r="AG1800" t="n">
        <v>4</v>
      </c>
      <c r="AH1800" t="n">
        <v>4</v>
      </c>
      <c r="AI1800" t="n">
        <v>4</v>
      </c>
      <c r="AJ1800" t="n">
        <v>10</v>
      </c>
      <c r="AK1800" t="n">
        <v>10</v>
      </c>
      <c r="AL1800" t="n">
        <v>1</v>
      </c>
      <c r="AM1800" t="n">
        <v>1</v>
      </c>
      <c r="AN1800" t="n">
        <v>0</v>
      </c>
      <c r="AO1800" t="n">
        <v>0</v>
      </c>
      <c r="AP1800" t="inlineStr">
        <is>
          <t>Yes</t>
        </is>
      </c>
      <c r="AQ1800" t="inlineStr">
        <is>
          <t>No</t>
        </is>
      </c>
      <c r="AR1800">
        <f>HYPERLINK("http://catalog.hathitrust.org/Record/001267282","HathiTrust Record")</f>
        <v/>
      </c>
      <c r="AS1800">
        <f>HYPERLINK("https://creighton-primo.hosted.exlibrisgroup.com/primo-explore/search?tab=default_tab&amp;search_scope=EVERYTHING&amp;vid=01CRU&amp;lang=en_US&amp;offset=0&amp;query=any,contains,991002797719702656","Catalog Record")</f>
        <v/>
      </c>
      <c r="AT1800">
        <f>HYPERLINK("http://www.worldcat.org/oclc/445792","WorldCat Record")</f>
        <v/>
      </c>
      <c r="AU1800" t="inlineStr">
        <is>
          <t>5417037337:eng</t>
        </is>
      </c>
      <c r="AV1800" t="inlineStr">
        <is>
          <t>445792</t>
        </is>
      </c>
      <c r="AW1800" t="inlineStr">
        <is>
          <t>991002797719702656</t>
        </is>
      </c>
      <c r="AX1800" t="inlineStr">
        <is>
          <t>991002797719702656</t>
        </is>
      </c>
      <c r="AY1800" t="inlineStr">
        <is>
          <t>2262962570002656</t>
        </is>
      </c>
      <c r="AZ1800" t="inlineStr">
        <is>
          <t>BOOK</t>
        </is>
      </c>
      <c r="BC1800" t="inlineStr">
        <is>
          <t>32285001966224</t>
        </is>
      </c>
      <c r="BD1800" t="inlineStr">
        <is>
          <t>893409550</t>
        </is>
      </c>
    </row>
    <row r="1801">
      <c r="A1801" t="inlineStr">
        <is>
          <t>No</t>
        </is>
      </c>
      <c r="B1801" t="inlineStr">
        <is>
          <t>DS653 .B63</t>
        </is>
      </c>
      <c r="C1801" t="inlineStr">
        <is>
          <t>0                      DS 0653000B  63</t>
        </is>
      </c>
      <c r="D1801" t="inlineStr">
        <is>
          <t>The Philippine islands, 1493-1803.</t>
        </is>
      </c>
      <c r="E1801" t="inlineStr">
        <is>
          <t>V.24</t>
        </is>
      </c>
      <c r="F1801" t="inlineStr">
        <is>
          <t>Yes</t>
        </is>
      </c>
      <c r="G1801" t="inlineStr">
        <is>
          <t>1</t>
        </is>
      </c>
      <c r="H1801" t="inlineStr">
        <is>
          <t>No</t>
        </is>
      </c>
      <c r="I1801" t="inlineStr">
        <is>
          <t>No</t>
        </is>
      </c>
      <c r="J1801" t="inlineStr">
        <is>
          <t>0</t>
        </is>
      </c>
      <c r="K1801" t="inlineStr">
        <is>
          <t>Blair, Emma Helen, 1851-1911, editor.</t>
        </is>
      </c>
      <c r="L1801" t="inlineStr">
        <is>
          <t>Cleveland, Ohio : The A.H. Clark company, 1903-09.</t>
        </is>
      </c>
      <c r="M1801" t="inlineStr">
        <is>
          <t>1903</t>
        </is>
      </c>
      <c r="O1801" t="inlineStr">
        <is>
          <t>eng</t>
        </is>
      </c>
      <c r="P1801" t="inlineStr">
        <is>
          <t xml:space="preserve">xx </t>
        </is>
      </c>
      <c r="R1801" t="inlineStr">
        <is>
          <t xml:space="preserve">DS </t>
        </is>
      </c>
      <c r="S1801" t="n">
        <v>2</v>
      </c>
      <c r="T1801" t="n">
        <v>84</v>
      </c>
      <c r="U1801" t="inlineStr">
        <is>
          <t>1995-01-23</t>
        </is>
      </c>
      <c r="V1801" t="inlineStr">
        <is>
          <t>2004-10-05</t>
        </is>
      </c>
      <c r="W1801" t="inlineStr">
        <is>
          <t>1994-11-14</t>
        </is>
      </c>
      <c r="X1801" t="inlineStr">
        <is>
          <t>1994-11-15</t>
        </is>
      </c>
      <c r="Y1801" t="n">
        <v>198</v>
      </c>
      <c r="Z1801" t="n">
        <v>171</v>
      </c>
      <c r="AA1801" t="n">
        <v>207</v>
      </c>
      <c r="AB1801" t="n">
        <v>2</v>
      </c>
      <c r="AC1801" t="n">
        <v>2</v>
      </c>
      <c r="AD1801" t="n">
        <v>16</v>
      </c>
      <c r="AE1801" t="n">
        <v>16</v>
      </c>
      <c r="AF1801" t="n">
        <v>4</v>
      </c>
      <c r="AG1801" t="n">
        <v>4</v>
      </c>
      <c r="AH1801" t="n">
        <v>4</v>
      </c>
      <c r="AI1801" t="n">
        <v>4</v>
      </c>
      <c r="AJ1801" t="n">
        <v>10</v>
      </c>
      <c r="AK1801" t="n">
        <v>10</v>
      </c>
      <c r="AL1801" t="n">
        <v>1</v>
      </c>
      <c r="AM1801" t="n">
        <v>1</v>
      </c>
      <c r="AN1801" t="n">
        <v>0</v>
      </c>
      <c r="AO1801" t="n">
        <v>0</v>
      </c>
      <c r="AP1801" t="inlineStr">
        <is>
          <t>Yes</t>
        </is>
      </c>
      <c r="AQ1801" t="inlineStr">
        <is>
          <t>No</t>
        </is>
      </c>
      <c r="AR1801">
        <f>HYPERLINK("http://catalog.hathitrust.org/Record/001267282","HathiTrust Record")</f>
        <v/>
      </c>
      <c r="AS1801">
        <f>HYPERLINK("https://creighton-primo.hosted.exlibrisgroup.com/primo-explore/search?tab=default_tab&amp;search_scope=EVERYTHING&amp;vid=01CRU&amp;lang=en_US&amp;offset=0&amp;query=any,contains,991002797719702656","Catalog Record")</f>
        <v/>
      </c>
      <c r="AT1801">
        <f>HYPERLINK("http://www.worldcat.org/oclc/445792","WorldCat Record")</f>
        <v/>
      </c>
      <c r="AU1801" t="inlineStr">
        <is>
          <t>5417037337:eng</t>
        </is>
      </c>
      <c r="AV1801" t="inlineStr">
        <is>
          <t>445792</t>
        </is>
      </c>
      <c r="AW1801" t="inlineStr">
        <is>
          <t>991002797719702656</t>
        </is>
      </c>
      <c r="AX1801" t="inlineStr">
        <is>
          <t>991002797719702656</t>
        </is>
      </c>
      <c r="AY1801" t="inlineStr">
        <is>
          <t>2262962570002656</t>
        </is>
      </c>
      <c r="AZ1801" t="inlineStr">
        <is>
          <t>BOOK</t>
        </is>
      </c>
      <c r="BC1801" t="inlineStr">
        <is>
          <t>32285001966281</t>
        </is>
      </c>
      <c r="BD1801" t="inlineStr">
        <is>
          <t>893428046</t>
        </is>
      </c>
    </row>
    <row r="1802">
      <c r="A1802" t="inlineStr">
        <is>
          <t>No</t>
        </is>
      </c>
      <c r="B1802" t="inlineStr">
        <is>
          <t>DS653 .B63</t>
        </is>
      </c>
      <c r="C1802" t="inlineStr">
        <is>
          <t>0                      DS 0653000B  63</t>
        </is>
      </c>
      <c r="D1802" t="inlineStr">
        <is>
          <t>The Philippine islands, 1493-1803.</t>
        </is>
      </c>
      <c r="E1802" t="inlineStr">
        <is>
          <t>V.30</t>
        </is>
      </c>
      <c r="F1802" t="inlineStr">
        <is>
          <t>Yes</t>
        </is>
      </c>
      <c r="G1802" t="inlineStr">
        <is>
          <t>1</t>
        </is>
      </c>
      <c r="H1802" t="inlineStr">
        <is>
          <t>No</t>
        </is>
      </c>
      <c r="I1802" t="inlineStr">
        <is>
          <t>No</t>
        </is>
      </c>
      <c r="J1802" t="inlineStr">
        <is>
          <t>0</t>
        </is>
      </c>
      <c r="K1802" t="inlineStr">
        <is>
          <t>Blair, Emma Helen, 1851-1911, editor.</t>
        </is>
      </c>
      <c r="L1802" t="inlineStr">
        <is>
          <t>Cleveland, Ohio : The A.H. Clark company, 1903-09.</t>
        </is>
      </c>
      <c r="M1802" t="inlineStr">
        <is>
          <t>1903</t>
        </is>
      </c>
      <c r="O1802" t="inlineStr">
        <is>
          <t>eng</t>
        </is>
      </c>
      <c r="P1802" t="inlineStr">
        <is>
          <t xml:space="preserve">xx </t>
        </is>
      </c>
      <c r="R1802" t="inlineStr">
        <is>
          <t xml:space="preserve">DS </t>
        </is>
      </c>
      <c r="S1802" t="n">
        <v>2</v>
      </c>
      <c r="T1802" t="n">
        <v>84</v>
      </c>
      <c r="U1802" t="inlineStr">
        <is>
          <t>1995-02-13</t>
        </is>
      </c>
      <c r="V1802" t="inlineStr">
        <is>
          <t>2004-10-05</t>
        </is>
      </c>
      <c r="W1802" t="inlineStr">
        <is>
          <t>1994-11-14</t>
        </is>
      </c>
      <c r="X1802" t="inlineStr">
        <is>
          <t>1994-11-15</t>
        </is>
      </c>
      <c r="Y1802" t="n">
        <v>198</v>
      </c>
      <c r="Z1802" t="n">
        <v>171</v>
      </c>
      <c r="AA1802" t="n">
        <v>207</v>
      </c>
      <c r="AB1802" t="n">
        <v>2</v>
      </c>
      <c r="AC1802" t="n">
        <v>2</v>
      </c>
      <c r="AD1802" t="n">
        <v>16</v>
      </c>
      <c r="AE1802" t="n">
        <v>16</v>
      </c>
      <c r="AF1802" t="n">
        <v>4</v>
      </c>
      <c r="AG1802" t="n">
        <v>4</v>
      </c>
      <c r="AH1802" t="n">
        <v>4</v>
      </c>
      <c r="AI1802" t="n">
        <v>4</v>
      </c>
      <c r="AJ1802" t="n">
        <v>10</v>
      </c>
      <c r="AK1802" t="n">
        <v>10</v>
      </c>
      <c r="AL1802" t="n">
        <v>1</v>
      </c>
      <c r="AM1802" t="n">
        <v>1</v>
      </c>
      <c r="AN1802" t="n">
        <v>0</v>
      </c>
      <c r="AO1802" t="n">
        <v>0</v>
      </c>
      <c r="AP1802" t="inlineStr">
        <is>
          <t>Yes</t>
        </is>
      </c>
      <c r="AQ1802" t="inlineStr">
        <is>
          <t>No</t>
        </is>
      </c>
      <c r="AR1802">
        <f>HYPERLINK("http://catalog.hathitrust.org/Record/001267282","HathiTrust Record")</f>
        <v/>
      </c>
      <c r="AS1802">
        <f>HYPERLINK("https://creighton-primo.hosted.exlibrisgroup.com/primo-explore/search?tab=default_tab&amp;search_scope=EVERYTHING&amp;vid=01CRU&amp;lang=en_US&amp;offset=0&amp;query=any,contains,991002797719702656","Catalog Record")</f>
        <v/>
      </c>
      <c r="AT1802">
        <f>HYPERLINK("http://www.worldcat.org/oclc/445792","WorldCat Record")</f>
        <v/>
      </c>
      <c r="AU1802" t="inlineStr">
        <is>
          <t>5417037337:eng</t>
        </is>
      </c>
      <c r="AV1802" t="inlineStr">
        <is>
          <t>445792</t>
        </is>
      </c>
      <c r="AW1802" t="inlineStr">
        <is>
          <t>991002797719702656</t>
        </is>
      </c>
      <c r="AX1802" t="inlineStr">
        <is>
          <t>991002797719702656</t>
        </is>
      </c>
      <c r="AY1802" t="inlineStr">
        <is>
          <t>2262962570002656</t>
        </is>
      </c>
      <c r="AZ1802" t="inlineStr">
        <is>
          <t>BOOK</t>
        </is>
      </c>
      <c r="BC1802" t="inlineStr">
        <is>
          <t>32285001966349</t>
        </is>
      </c>
      <c r="BD1802" t="inlineStr">
        <is>
          <t>893428036</t>
        </is>
      </c>
    </row>
    <row r="1803">
      <c r="A1803" t="inlineStr">
        <is>
          <t>No</t>
        </is>
      </c>
      <c r="B1803" t="inlineStr">
        <is>
          <t>DS653 .B63</t>
        </is>
      </c>
      <c r="C1803" t="inlineStr">
        <is>
          <t>0                      DS 0653000B  63</t>
        </is>
      </c>
      <c r="D1803" t="inlineStr">
        <is>
          <t>The Philippine islands, 1493-1803.</t>
        </is>
      </c>
      <c r="E1803" t="inlineStr">
        <is>
          <t>V.27</t>
        </is>
      </c>
      <c r="F1803" t="inlineStr">
        <is>
          <t>Yes</t>
        </is>
      </c>
      <c r="G1803" t="inlineStr">
        <is>
          <t>1</t>
        </is>
      </c>
      <c r="H1803" t="inlineStr">
        <is>
          <t>No</t>
        </is>
      </c>
      <c r="I1803" t="inlineStr">
        <is>
          <t>No</t>
        </is>
      </c>
      <c r="J1803" t="inlineStr">
        <is>
          <t>0</t>
        </is>
      </c>
      <c r="K1803" t="inlineStr">
        <is>
          <t>Blair, Emma Helen, 1851-1911, editor.</t>
        </is>
      </c>
      <c r="L1803" t="inlineStr">
        <is>
          <t>Cleveland, Ohio : The A.H. Clark company, 1903-09.</t>
        </is>
      </c>
      <c r="M1803" t="inlineStr">
        <is>
          <t>1903</t>
        </is>
      </c>
      <c r="O1803" t="inlineStr">
        <is>
          <t>eng</t>
        </is>
      </c>
      <c r="P1803" t="inlineStr">
        <is>
          <t xml:space="preserve">xx </t>
        </is>
      </c>
      <c r="R1803" t="inlineStr">
        <is>
          <t xml:space="preserve">DS </t>
        </is>
      </c>
      <c r="S1803" t="n">
        <v>2</v>
      </c>
      <c r="T1803" t="n">
        <v>84</v>
      </c>
      <c r="U1803" t="inlineStr">
        <is>
          <t>1995-02-01</t>
        </is>
      </c>
      <c r="V1803" t="inlineStr">
        <is>
          <t>2004-10-05</t>
        </is>
      </c>
      <c r="W1803" t="inlineStr">
        <is>
          <t>1994-11-14</t>
        </is>
      </c>
      <c r="X1803" t="inlineStr">
        <is>
          <t>1994-11-15</t>
        </is>
      </c>
      <c r="Y1803" t="n">
        <v>198</v>
      </c>
      <c r="Z1803" t="n">
        <v>171</v>
      </c>
      <c r="AA1803" t="n">
        <v>207</v>
      </c>
      <c r="AB1803" t="n">
        <v>2</v>
      </c>
      <c r="AC1803" t="n">
        <v>2</v>
      </c>
      <c r="AD1803" t="n">
        <v>16</v>
      </c>
      <c r="AE1803" t="n">
        <v>16</v>
      </c>
      <c r="AF1803" t="n">
        <v>4</v>
      </c>
      <c r="AG1803" t="n">
        <v>4</v>
      </c>
      <c r="AH1803" t="n">
        <v>4</v>
      </c>
      <c r="AI1803" t="n">
        <v>4</v>
      </c>
      <c r="AJ1803" t="n">
        <v>10</v>
      </c>
      <c r="AK1803" t="n">
        <v>10</v>
      </c>
      <c r="AL1803" t="n">
        <v>1</v>
      </c>
      <c r="AM1803" t="n">
        <v>1</v>
      </c>
      <c r="AN1803" t="n">
        <v>0</v>
      </c>
      <c r="AO1803" t="n">
        <v>0</v>
      </c>
      <c r="AP1803" t="inlineStr">
        <is>
          <t>Yes</t>
        </is>
      </c>
      <c r="AQ1803" t="inlineStr">
        <is>
          <t>No</t>
        </is>
      </c>
      <c r="AR1803">
        <f>HYPERLINK("http://catalog.hathitrust.org/Record/001267282","HathiTrust Record")</f>
        <v/>
      </c>
      <c r="AS1803">
        <f>HYPERLINK("https://creighton-primo.hosted.exlibrisgroup.com/primo-explore/search?tab=default_tab&amp;search_scope=EVERYTHING&amp;vid=01CRU&amp;lang=en_US&amp;offset=0&amp;query=any,contains,991002797719702656","Catalog Record")</f>
        <v/>
      </c>
      <c r="AT1803">
        <f>HYPERLINK("http://www.worldcat.org/oclc/445792","WorldCat Record")</f>
        <v/>
      </c>
      <c r="AU1803" t="inlineStr">
        <is>
          <t>5417037337:eng</t>
        </is>
      </c>
      <c r="AV1803" t="inlineStr">
        <is>
          <t>445792</t>
        </is>
      </c>
      <c r="AW1803" t="inlineStr">
        <is>
          <t>991002797719702656</t>
        </is>
      </c>
      <c r="AX1803" t="inlineStr">
        <is>
          <t>991002797719702656</t>
        </is>
      </c>
      <c r="AY1803" t="inlineStr">
        <is>
          <t>2262962570002656</t>
        </is>
      </c>
      <c r="AZ1803" t="inlineStr">
        <is>
          <t>BOOK</t>
        </is>
      </c>
      <c r="BC1803" t="inlineStr">
        <is>
          <t>32285001966315</t>
        </is>
      </c>
      <c r="BD1803" t="inlineStr">
        <is>
          <t>893421812</t>
        </is>
      </c>
    </row>
    <row r="1804">
      <c r="A1804" t="inlineStr">
        <is>
          <t>No</t>
        </is>
      </c>
      <c r="B1804" t="inlineStr">
        <is>
          <t>DS653 .B63</t>
        </is>
      </c>
      <c r="C1804" t="inlineStr">
        <is>
          <t>0                      DS 0653000B  63</t>
        </is>
      </c>
      <c r="D1804" t="inlineStr">
        <is>
          <t>The Philippine islands, 1493-1803.</t>
        </is>
      </c>
      <c r="E1804" t="inlineStr">
        <is>
          <t>V.19</t>
        </is>
      </c>
      <c r="F1804" t="inlineStr">
        <is>
          <t>Yes</t>
        </is>
      </c>
      <c r="G1804" t="inlineStr">
        <is>
          <t>1</t>
        </is>
      </c>
      <c r="H1804" t="inlineStr">
        <is>
          <t>No</t>
        </is>
      </c>
      <c r="I1804" t="inlineStr">
        <is>
          <t>No</t>
        </is>
      </c>
      <c r="J1804" t="inlineStr">
        <is>
          <t>0</t>
        </is>
      </c>
      <c r="K1804" t="inlineStr">
        <is>
          <t>Blair, Emma Helen, 1851-1911, editor.</t>
        </is>
      </c>
      <c r="L1804" t="inlineStr">
        <is>
          <t>Cleveland, Ohio : The A.H. Clark company, 1903-09.</t>
        </is>
      </c>
      <c r="M1804" t="inlineStr">
        <is>
          <t>1903</t>
        </is>
      </c>
      <c r="O1804" t="inlineStr">
        <is>
          <t>eng</t>
        </is>
      </c>
      <c r="P1804" t="inlineStr">
        <is>
          <t xml:space="preserve">xx </t>
        </is>
      </c>
      <c r="R1804" t="inlineStr">
        <is>
          <t xml:space="preserve">DS </t>
        </is>
      </c>
      <c r="S1804" t="n">
        <v>1</v>
      </c>
      <c r="T1804" t="n">
        <v>84</v>
      </c>
      <c r="U1804" t="inlineStr">
        <is>
          <t>1994-12-19</t>
        </is>
      </c>
      <c r="V1804" t="inlineStr">
        <is>
          <t>2004-10-05</t>
        </is>
      </c>
      <c r="W1804" t="inlineStr">
        <is>
          <t>1994-11-14</t>
        </is>
      </c>
      <c r="X1804" t="inlineStr">
        <is>
          <t>1994-11-15</t>
        </is>
      </c>
      <c r="Y1804" t="n">
        <v>198</v>
      </c>
      <c r="Z1804" t="n">
        <v>171</v>
      </c>
      <c r="AA1804" t="n">
        <v>207</v>
      </c>
      <c r="AB1804" t="n">
        <v>2</v>
      </c>
      <c r="AC1804" t="n">
        <v>2</v>
      </c>
      <c r="AD1804" t="n">
        <v>16</v>
      </c>
      <c r="AE1804" t="n">
        <v>16</v>
      </c>
      <c r="AF1804" t="n">
        <v>4</v>
      </c>
      <c r="AG1804" t="n">
        <v>4</v>
      </c>
      <c r="AH1804" t="n">
        <v>4</v>
      </c>
      <c r="AI1804" t="n">
        <v>4</v>
      </c>
      <c r="AJ1804" t="n">
        <v>10</v>
      </c>
      <c r="AK1804" t="n">
        <v>10</v>
      </c>
      <c r="AL1804" t="n">
        <v>1</v>
      </c>
      <c r="AM1804" t="n">
        <v>1</v>
      </c>
      <c r="AN1804" t="n">
        <v>0</v>
      </c>
      <c r="AO1804" t="n">
        <v>0</v>
      </c>
      <c r="AP1804" t="inlineStr">
        <is>
          <t>Yes</t>
        </is>
      </c>
      <c r="AQ1804" t="inlineStr">
        <is>
          <t>No</t>
        </is>
      </c>
      <c r="AR1804">
        <f>HYPERLINK("http://catalog.hathitrust.org/Record/001267282","HathiTrust Record")</f>
        <v/>
      </c>
      <c r="AS1804">
        <f>HYPERLINK("https://creighton-primo.hosted.exlibrisgroup.com/primo-explore/search?tab=default_tab&amp;search_scope=EVERYTHING&amp;vid=01CRU&amp;lang=en_US&amp;offset=0&amp;query=any,contains,991002797719702656","Catalog Record")</f>
        <v/>
      </c>
      <c r="AT1804">
        <f>HYPERLINK("http://www.worldcat.org/oclc/445792","WorldCat Record")</f>
        <v/>
      </c>
      <c r="AU1804" t="inlineStr">
        <is>
          <t>5417037337:eng</t>
        </is>
      </c>
      <c r="AV1804" t="inlineStr">
        <is>
          <t>445792</t>
        </is>
      </c>
      <c r="AW1804" t="inlineStr">
        <is>
          <t>991002797719702656</t>
        </is>
      </c>
      <c r="AX1804" t="inlineStr">
        <is>
          <t>991002797719702656</t>
        </is>
      </c>
      <c r="AY1804" t="inlineStr">
        <is>
          <t>2262962570002656</t>
        </is>
      </c>
      <c r="AZ1804" t="inlineStr">
        <is>
          <t>BOOK</t>
        </is>
      </c>
      <c r="BC1804" t="inlineStr">
        <is>
          <t>32285001966232</t>
        </is>
      </c>
      <c r="BD1804" t="inlineStr">
        <is>
          <t>893445369</t>
        </is>
      </c>
    </row>
    <row r="1805">
      <c r="A1805" t="inlineStr">
        <is>
          <t>No</t>
        </is>
      </c>
      <c r="B1805" t="inlineStr">
        <is>
          <t>DS653 .B63</t>
        </is>
      </c>
      <c r="C1805" t="inlineStr">
        <is>
          <t>0                      DS 0653000B  63</t>
        </is>
      </c>
      <c r="D1805" t="inlineStr">
        <is>
          <t>The Philippine islands, 1493-1803.</t>
        </is>
      </c>
      <c r="E1805" t="inlineStr">
        <is>
          <t>V.32</t>
        </is>
      </c>
      <c r="F1805" t="inlineStr">
        <is>
          <t>Yes</t>
        </is>
      </c>
      <c r="G1805" t="inlineStr">
        <is>
          <t>1</t>
        </is>
      </c>
      <c r="H1805" t="inlineStr">
        <is>
          <t>No</t>
        </is>
      </c>
      <c r="I1805" t="inlineStr">
        <is>
          <t>No</t>
        </is>
      </c>
      <c r="J1805" t="inlineStr">
        <is>
          <t>0</t>
        </is>
      </c>
      <c r="K1805" t="inlineStr">
        <is>
          <t>Blair, Emma Helen, 1851-1911, editor.</t>
        </is>
      </c>
      <c r="L1805" t="inlineStr">
        <is>
          <t>Cleveland, Ohio : The A.H. Clark company, 1903-09.</t>
        </is>
      </c>
      <c r="M1805" t="inlineStr">
        <is>
          <t>1903</t>
        </is>
      </c>
      <c r="O1805" t="inlineStr">
        <is>
          <t>eng</t>
        </is>
      </c>
      <c r="P1805" t="inlineStr">
        <is>
          <t xml:space="preserve">xx </t>
        </is>
      </c>
      <c r="R1805" t="inlineStr">
        <is>
          <t xml:space="preserve">DS </t>
        </is>
      </c>
      <c r="S1805" t="n">
        <v>2</v>
      </c>
      <c r="T1805" t="n">
        <v>84</v>
      </c>
      <c r="U1805" t="inlineStr">
        <is>
          <t>1995-02-17</t>
        </is>
      </c>
      <c r="V1805" t="inlineStr">
        <is>
          <t>2004-10-05</t>
        </is>
      </c>
      <c r="W1805" t="inlineStr">
        <is>
          <t>1994-11-14</t>
        </is>
      </c>
      <c r="X1805" t="inlineStr">
        <is>
          <t>1994-11-15</t>
        </is>
      </c>
      <c r="Y1805" t="n">
        <v>198</v>
      </c>
      <c r="Z1805" t="n">
        <v>171</v>
      </c>
      <c r="AA1805" t="n">
        <v>207</v>
      </c>
      <c r="AB1805" t="n">
        <v>2</v>
      </c>
      <c r="AC1805" t="n">
        <v>2</v>
      </c>
      <c r="AD1805" t="n">
        <v>16</v>
      </c>
      <c r="AE1805" t="n">
        <v>16</v>
      </c>
      <c r="AF1805" t="n">
        <v>4</v>
      </c>
      <c r="AG1805" t="n">
        <v>4</v>
      </c>
      <c r="AH1805" t="n">
        <v>4</v>
      </c>
      <c r="AI1805" t="n">
        <v>4</v>
      </c>
      <c r="AJ1805" t="n">
        <v>10</v>
      </c>
      <c r="AK1805" t="n">
        <v>10</v>
      </c>
      <c r="AL1805" t="n">
        <v>1</v>
      </c>
      <c r="AM1805" t="n">
        <v>1</v>
      </c>
      <c r="AN1805" t="n">
        <v>0</v>
      </c>
      <c r="AO1805" t="n">
        <v>0</v>
      </c>
      <c r="AP1805" t="inlineStr">
        <is>
          <t>Yes</t>
        </is>
      </c>
      <c r="AQ1805" t="inlineStr">
        <is>
          <t>No</t>
        </is>
      </c>
      <c r="AR1805">
        <f>HYPERLINK("http://catalog.hathitrust.org/Record/001267282","HathiTrust Record")</f>
        <v/>
      </c>
      <c r="AS1805">
        <f>HYPERLINK("https://creighton-primo.hosted.exlibrisgroup.com/primo-explore/search?tab=default_tab&amp;search_scope=EVERYTHING&amp;vid=01CRU&amp;lang=en_US&amp;offset=0&amp;query=any,contains,991002797719702656","Catalog Record")</f>
        <v/>
      </c>
      <c r="AT1805">
        <f>HYPERLINK("http://www.worldcat.org/oclc/445792","WorldCat Record")</f>
        <v/>
      </c>
      <c r="AU1805" t="inlineStr">
        <is>
          <t>5417037337:eng</t>
        </is>
      </c>
      <c r="AV1805" t="inlineStr">
        <is>
          <t>445792</t>
        </is>
      </c>
      <c r="AW1805" t="inlineStr">
        <is>
          <t>991002797719702656</t>
        </is>
      </c>
      <c r="AX1805" t="inlineStr">
        <is>
          <t>991002797719702656</t>
        </is>
      </c>
      <c r="AY1805" t="inlineStr">
        <is>
          <t>2262962570002656</t>
        </is>
      </c>
      <c r="AZ1805" t="inlineStr">
        <is>
          <t>BOOK</t>
        </is>
      </c>
      <c r="BC1805" t="inlineStr">
        <is>
          <t>32285001966364</t>
        </is>
      </c>
      <c r="BD1805" t="inlineStr">
        <is>
          <t>893445367</t>
        </is>
      </c>
    </row>
    <row r="1806">
      <c r="A1806" t="inlineStr">
        <is>
          <t>No</t>
        </is>
      </c>
      <c r="B1806" t="inlineStr">
        <is>
          <t>DS653 .B63</t>
        </is>
      </c>
      <c r="C1806" t="inlineStr">
        <is>
          <t>0                      DS 0653000B  63</t>
        </is>
      </c>
      <c r="D1806" t="inlineStr">
        <is>
          <t>The Philippine islands, 1493-1803.</t>
        </is>
      </c>
      <c r="E1806" t="inlineStr">
        <is>
          <t>V.10</t>
        </is>
      </c>
      <c r="F1806" t="inlineStr">
        <is>
          <t>Yes</t>
        </is>
      </c>
      <c r="G1806" t="inlineStr">
        <is>
          <t>1</t>
        </is>
      </c>
      <c r="H1806" t="inlineStr">
        <is>
          <t>No</t>
        </is>
      </c>
      <c r="I1806" t="inlineStr">
        <is>
          <t>No</t>
        </is>
      </c>
      <c r="J1806" t="inlineStr">
        <is>
          <t>0</t>
        </is>
      </c>
      <c r="K1806" t="inlineStr">
        <is>
          <t>Blair, Emma Helen, 1851-1911, editor.</t>
        </is>
      </c>
      <c r="L1806" t="inlineStr">
        <is>
          <t>Cleveland, Ohio : The A.H. Clark company, 1903-09.</t>
        </is>
      </c>
      <c r="M1806" t="inlineStr">
        <is>
          <t>1903</t>
        </is>
      </c>
      <c r="O1806" t="inlineStr">
        <is>
          <t>eng</t>
        </is>
      </c>
      <c r="P1806" t="inlineStr">
        <is>
          <t xml:space="preserve">xx </t>
        </is>
      </c>
      <c r="R1806" t="inlineStr">
        <is>
          <t xml:space="preserve">DS </t>
        </is>
      </c>
      <c r="S1806" t="n">
        <v>1</v>
      </c>
      <c r="T1806" t="n">
        <v>84</v>
      </c>
      <c r="U1806" t="inlineStr">
        <is>
          <t>1994-11-28</t>
        </is>
      </c>
      <c r="V1806" t="inlineStr">
        <is>
          <t>2004-10-05</t>
        </is>
      </c>
      <c r="W1806" t="inlineStr">
        <is>
          <t>1994-11-14</t>
        </is>
      </c>
      <c r="X1806" t="inlineStr">
        <is>
          <t>1994-11-15</t>
        </is>
      </c>
      <c r="Y1806" t="n">
        <v>198</v>
      </c>
      <c r="Z1806" t="n">
        <v>171</v>
      </c>
      <c r="AA1806" t="n">
        <v>207</v>
      </c>
      <c r="AB1806" t="n">
        <v>2</v>
      </c>
      <c r="AC1806" t="n">
        <v>2</v>
      </c>
      <c r="AD1806" t="n">
        <v>16</v>
      </c>
      <c r="AE1806" t="n">
        <v>16</v>
      </c>
      <c r="AF1806" t="n">
        <v>4</v>
      </c>
      <c r="AG1806" t="n">
        <v>4</v>
      </c>
      <c r="AH1806" t="n">
        <v>4</v>
      </c>
      <c r="AI1806" t="n">
        <v>4</v>
      </c>
      <c r="AJ1806" t="n">
        <v>10</v>
      </c>
      <c r="AK1806" t="n">
        <v>10</v>
      </c>
      <c r="AL1806" t="n">
        <v>1</v>
      </c>
      <c r="AM1806" t="n">
        <v>1</v>
      </c>
      <c r="AN1806" t="n">
        <v>0</v>
      </c>
      <c r="AO1806" t="n">
        <v>0</v>
      </c>
      <c r="AP1806" t="inlineStr">
        <is>
          <t>Yes</t>
        </is>
      </c>
      <c r="AQ1806" t="inlineStr">
        <is>
          <t>No</t>
        </is>
      </c>
      <c r="AR1806">
        <f>HYPERLINK("http://catalog.hathitrust.org/Record/001267282","HathiTrust Record")</f>
        <v/>
      </c>
      <c r="AS1806">
        <f>HYPERLINK("https://creighton-primo.hosted.exlibrisgroup.com/primo-explore/search?tab=default_tab&amp;search_scope=EVERYTHING&amp;vid=01CRU&amp;lang=en_US&amp;offset=0&amp;query=any,contains,991002797719702656","Catalog Record")</f>
        <v/>
      </c>
      <c r="AT1806">
        <f>HYPERLINK("http://www.worldcat.org/oclc/445792","WorldCat Record")</f>
        <v/>
      </c>
      <c r="AU1806" t="inlineStr">
        <is>
          <t>5417037337:eng</t>
        </is>
      </c>
      <c r="AV1806" t="inlineStr">
        <is>
          <t>445792</t>
        </is>
      </c>
      <c r="AW1806" t="inlineStr">
        <is>
          <t>991002797719702656</t>
        </is>
      </c>
      <c r="AX1806" t="inlineStr">
        <is>
          <t>991002797719702656</t>
        </is>
      </c>
      <c r="AY1806" t="inlineStr">
        <is>
          <t>2262962570002656</t>
        </is>
      </c>
      <c r="AZ1806" t="inlineStr">
        <is>
          <t>BOOK</t>
        </is>
      </c>
      <c r="BC1806" t="inlineStr">
        <is>
          <t>32285001966141</t>
        </is>
      </c>
      <c r="BD1806" t="inlineStr">
        <is>
          <t>893428040</t>
        </is>
      </c>
    </row>
    <row r="1807">
      <c r="A1807" t="inlineStr">
        <is>
          <t>No</t>
        </is>
      </c>
      <c r="B1807" t="inlineStr">
        <is>
          <t>DS653 .B63</t>
        </is>
      </c>
      <c r="C1807" t="inlineStr">
        <is>
          <t>0                      DS 0653000B  63</t>
        </is>
      </c>
      <c r="D1807" t="inlineStr">
        <is>
          <t>The Philippine islands, 1493-1803.</t>
        </is>
      </c>
      <c r="E1807" t="inlineStr">
        <is>
          <t>V.17</t>
        </is>
      </c>
      <c r="F1807" t="inlineStr">
        <is>
          <t>Yes</t>
        </is>
      </c>
      <c r="G1807" t="inlineStr">
        <is>
          <t>1</t>
        </is>
      </c>
      <c r="H1807" t="inlineStr">
        <is>
          <t>No</t>
        </is>
      </c>
      <c r="I1807" t="inlineStr">
        <is>
          <t>No</t>
        </is>
      </c>
      <c r="J1807" t="inlineStr">
        <is>
          <t>0</t>
        </is>
      </c>
      <c r="K1807" t="inlineStr">
        <is>
          <t>Blair, Emma Helen, 1851-1911, editor.</t>
        </is>
      </c>
      <c r="L1807" t="inlineStr">
        <is>
          <t>Cleveland, Ohio : The A.H. Clark company, 1903-09.</t>
        </is>
      </c>
      <c r="M1807" t="inlineStr">
        <is>
          <t>1903</t>
        </is>
      </c>
      <c r="O1807" t="inlineStr">
        <is>
          <t>eng</t>
        </is>
      </c>
      <c r="P1807" t="inlineStr">
        <is>
          <t xml:space="preserve">xx </t>
        </is>
      </c>
      <c r="R1807" t="inlineStr">
        <is>
          <t xml:space="preserve">DS </t>
        </is>
      </c>
      <c r="S1807" t="n">
        <v>1</v>
      </c>
      <c r="T1807" t="n">
        <v>84</v>
      </c>
      <c r="U1807" t="inlineStr">
        <is>
          <t>1994-12-16</t>
        </is>
      </c>
      <c r="V1807" t="inlineStr">
        <is>
          <t>2004-10-05</t>
        </is>
      </c>
      <c r="W1807" t="inlineStr">
        <is>
          <t>1994-11-14</t>
        </is>
      </c>
      <c r="X1807" t="inlineStr">
        <is>
          <t>1994-11-15</t>
        </is>
      </c>
      <c r="Y1807" t="n">
        <v>198</v>
      </c>
      <c r="Z1807" t="n">
        <v>171</v>
      </c>
      <c r="AA1807" t="n">
        <v>207</v>
      </c>
      <c r="AB1807" t="n">
        <v>2</v>
      </c>
      <c r="AC1807" t="n">
        <v>2</v>
      </c>
      <c r="AD1807" t="n">
        <v>16</v>
      </c>
      <c r="AE1807" t="n">
        <v>16</v>
      </c>
      <c r="AF1807" t="n">
        <v>4</v>
      </c>
      <c r="AG1807" t="n">
        <v>4</v>
      </c>
      <c r="AH1807" t="n">
        <v>4</v>
      </c>
      <c r="AI1807" t="n">
        <v>4</v>
      </c>
      <c r="AJ1807" t="n">
        <v>10</v>
      </c>
      <c r="AK1807" t="n">
        <v>10</v>
      </c>
      <c r="AL1807" t="n">
        <v>1</v>
      </c>
      <c r="AM1807" t="n">
        <v>1</v>
      </c>
      <c r="AN1807" t="n">
        <v>0</v>
      </c>
      <c r="AO1807" t="n">
        <v>0</v>
      </c>
      <c r="AP1807" t="inlineStr">
        <is>
          <t>Yes</t>
        </is>
      </c>
      <c r="AQ1807" t="inlineStr">
        <is>
          <t>No</t>
        </is>
      </c>
      <c r="AR1807">
        <f>HYPERLINK("http://catalog.hathitrust.org/Record/001267282","HathiTrust Record")</f>
        <v/>
      </c>
      <c r="AS1807">
        <f>HYPERLINK("https://creighton-primo.hosted.exlibrisgroup.com/primo-explore/search?tab=default_tab&amp;search_scope=EVERYTHING&amp;vid=01CRU&amp;lang=en_US&amp;offset=0&amp;query=any,contains,991002797719702656","Catalog Record")</f>
        <v/>
      </c>
      <c r="AT1807">
        <f>HYPERLINK("http://www.worldcat.org/oclc/445792","WorldCat Record")</f>
        <v/>
      </c>
      <c r="AU1807" t="inlineStr">
        <is>
          <t>5417037337:eng</t>
        </is>
      </c>
      <c r="AV1807" t="inlineStr">
        <is>
          <t>445792</t>
        </is>
      </c>
      <c r="AW1807" t="inlineStr">
        <is>
          <t>991002797719702656</t>
        </is>
      </c>
      <c r="AX1807" t="inlineStr">
        <is>
          <t>991002797719702656</t>
        </is>
      </c>
      <c r="AY1807" t="inlineStr">
        <is>
          <t>2262962570002656</t>
        </is>
      </c>
      <c r="AZ1807" t="inlineStr">
        <is>
          <t>BOOK</t>
        </is>
      </c>
      <c r="BC1807" t="inlineStr">
        <is>
          <t>32285001966216</t>
        </is>
      </c>
      <c r="BD1807" t="inlineStr">
        <is>
          <t>893428038</t>
        </is>
      </c>
    </row>
    <row r="1808">
      <c r="A1808" t="inlineStr">
        <is>
          <t>No</t>
        </is>
      </c>
      <c r="B1808" t="inlineStr">
        <is>
          <t>DS653 .B63</t>
        </is>
      </c>
      <c r="C1808" t="inlineStr">
        <is>
          <t>0                      DS 0653000B  63</t>
        </is>
      </c>
      <c r="D1808" t="inlineStr">
        <is>
          <t>The Philippine islands, 1493-1803.</t>
        </is>
      </c>
      <c r="E1808" t="inlineStr">
        <is>
          <t>V.23</t>
        </is>
      </c>
      <c r="F1808" t="inlineStr">
        <is>
          <t>Yes</t>
        </is>
      </c>
      <c r="G1808" t="inlineStr">
        <is>
          <t>1</t>
        </is>
      </c>
      <c r="H1808" t="inlineStr">
        <is>
          <t>No</t>
        </is>
      </c>
      <c r="I1808" t="inlineStr">
        <is>
          <t>No</t>
        </is>
      </c>
      <c r="J1808" t="inlineStr">
        <is>
          <t>0</t>
        </is>
      </c>
      <c r="K1808" t="inlineStr">
        <is>
          <t>Blair, Emma Helen, 1851-1911, editor.</t>
        </is>
      </c>
      <c r="L1808" t="inlineStr">
        <is>
          <t>Cleveland, Ohio : The A.H. Clark company, 1903-09.</t>
        </is>
      </c>
      <c r="M1808" t="inlineStr">
        <is>
          <t>1903</t>
        </is>
      </c>
      <c r="O1808" t="inlineStr">
        <is>
          <t>eng</t>
        </is>
      </c>
      <c r="P1808" t="inlineStr">
        <is>
          <t xml:space="preserve">xx </t>
        </is>
      </c>
      <c r="R1808" t="inlineStr">
        <is>
          <t xml:space="preserve">DS </t>
        </is>
      </c>
      <c r="S1808" t="n">
        <v>2</v>
      </c>
      <c r="T1808" t="n">
        <v>84</v>
      </c>
      <c r="U1808" t="inlineStr">
        <is>
          <t>1995-01-05</t>
        </is>
      </c>
      <c r="V1808" t="inlineStr">
        <is>
          <t>2004-10-05</t>
        </is>
      </c>
      <c r="W1808" t="inlineStr">
        <is>
          <t>1994-11-14</t>
        </is>
      </c>
      <c r="X1808" t="inlineStr">
        <is>
          <t>1994-11-15</t>
        </is>
      </c>
      <c r="Y1808" t="n">
        <v>198</v>
      </c>
      <c r="Z1808" t="n">
        <v>171</v>
      </c>
      <c r="AA1808" t="n">
        <v>207</v>
      </c>
      <c r="AB1808" t="n">
        <v>2</v>
      </c>
      <c r="AC1808" t="n">
        <v>2</v>
      </c>
      <c r="AD1808" t="n">
        <v>16</v>
      </c>
      <c r="AE1808" t="n">
        <v>16</v>
      </c>
      <c r="AF1808" t="n">
        <v>4</v>
      </c>
      <c r="AG1808" t="n">
        <v>4</v>
      </c>
      <c r="AH1808" t="n">
        <v>4</v>
      </c>
      <c r="AI1808" t="n">
        <v>4</v>
      </c>
      <c r="AJ1808" t="n">
        <v>10</v>
      </c>
      <c r="AK1808" t="n">
        <v>10</v>
      </c>
      <c r="AL1808" t="n">
        <v>1</v>
      </c>
      <c r="AM1808" t="n">
        <v>1</v>
      </c>
      <c r="AN1808" t="n">
        <v>0</v>
      </c>
      <c r="AO1808" t="n">
        <v>0</v>
      </c>
      <c r="AP1808" t="inlineStr">
        <is>
          <t>Yes</t>
        </is>
      </c>
      <c r="AQ1808" t="inlineStr">
        <is>
          <t>No</t>
        </is>
      </c>
      <c r="AR1808">
        <f>HYPERLINK("http://catalog.hathitrust.org/Record/001267282","HathiTrust Record")</f>
        <v/>
      </c>
      <c r="AS1808">
        <f>HYPERLINK("https://creighton-primo.hosted.exlibrisgroup.com/primo-explore/search?tab=default_tab&amp;search_scope=EVERYTHING&amp;vid=01CRU&amp;lang=en_US&amp;offset=0&amp;query=any,contains,991002797719702656","Catalog Record")</f>
        <v/>
      </c>
      <c r="AT1808">
        <f>HYPERLINK("http://www.worldcat.org/oclc/445792","WorldCat Record")</f>
        <v/>
      </c>
      <c r="AU1808" t="inlineStr">
        <is>
          <t>5417037337:eng</t>
        </is>
      </c>
      <c r="AV1808" t="inlineStr">
        <is>
          <t>445792</t>
        </is>
      </c>
      <c r="AW1808" t="inlineStr">
        <is>
          <t>991002797719702656</t>
        </is>
      </c>
      <c r="AX1808" t="inlineStr">
        <is>
          <t>991002797719702656</t>
        </is>
      </c>
      <c r="AY1808" t="inlineStr">
        <is>
          <t>2262962570002656</t>
        </is>
      </c>
      <c r="AZ1808" t="inlineStr">
        <is>
          <t>BOOK</t>
        </is>
      </c>
      <c r="BC1808" t="inlineStr">
        <is>
          <t>32285001966273</t>
        </is>
      </c>
      <c r="BD1808" t="inlineStr">
        <is>
          <t>893409548</t>
        </is>
      </c>
    </row>
    <row r="1809">
      <c r="A1809" t="inlineStr">
        <is>
          <t>No</t>
        </is>
      </c>
      <c r="B1809" t="inlineStr">
        <is>
          <t>DS653 .B63</t>
        </is>
      </c>
      <c r="C1809" t="inlineStr">
        <is>
          <t>0                      DS 0653000B  63</t>
        </is>
      </c>
      <c r="D1809" t="inlineStr">
        <is>
          <t>The Philippine islands, 1493-1803.</t>
        </is>
      </c>
      <c r="E1809" t="inlineStr">
        <is>
          <t>V.50</t>
        </is>
      </c>
      <c r="F1809" t="inlineStr">
        <is>
          <t>Yes</t>
        </is>
      </c>
      <c r="G1809" t="inlineStr">
        <is>
          <t>1</t>
        </is>
      </c>
      <c r="H1809" t="inlineStr">
        <is>
          <t>No</t>
        </is>
      </c>
      <c r="I1809" t="inlineStr">
        <is>
          <t>No</t>
        </is>
      </c>
      <c r="J1809" t="inlineStr">
        <is>
          <t>0</t>
        </is>
      </c>
      <c r="K1809" t="inlineStr">
        <is>
          <t>Blair, Emma Helen, 1851-1911, editor.</t>
        </is>
      </c>
      <c r="L1809" t="inlineStr">
        <is>
          <t>Cleveland, Ohio : The A.H. Clark company, 1903-09.</t>
        </is>
      </c>
      <c r="M1809" t="inlineStr">
        <is>
          <t>1903</t>
        </is>
      </c>
      <c r="O1809" t="inlineStr">
        <is>
          <t>eng</t>
        </is>
      </c>
      <c r="P1809" t="inlineStr">
        <is>
          <t xml:space="preserve">xx </t>
        </is>
      </c>
      <c r="R1809" t="inlineStr">
        <is>
          <t xml:space="preserve">DS </t>
        </is>
      </c>
      <c r="S1809" t="n">
        <v>1</v>
      </c>
      <c r="T1809" t="n">
        <v>84</v>
      </c>
      <c r="U1809" t="inlineStr">
        <is>
          <t>1995-04-12</t>
        </is>
      </c>
      <c r="V1809" t="inlineStr">
        <is>
          <t>2004-10-05</t>
        </is>
      </c>
      <c r="W1809" t="inlineStr">
        <is>
          <t>1994-11-14</t>
        </is>
      </c>
      <c r="X1809" t="inlineStr">
        <is>
          <t>1994-11-15</t>
        </is>
      </c>
      <c r="Y1809" t="n">
        <v>198</v>
      </c>
      <c r="Z1809" t="n">
        <v>171</v>
      </c>
      <c r="AA1809" t="n">
        <v>207</v>
      </c>
      <c r="AB1809" t="n">
        <v>2</v>
      </c>
      <c r="AC1809" t="n">
        <v>2</v>
      </c>
      <c r="AD1809" t="n">
        <v>16</v>
      </c>
      <c r="AE1809" t="n">
        <v>16</v>
      </c>
      <c r="AF1809" t="n">
        <v>4</v>
      </c>
      <c r="AG1809" t="n">
        <v>4</v>
      </c>
      <c r="AH1809" t="n">
        <v>4</v>
      </c>
      <c r="AI1809" t="n">
        <v>4</v>
      </c>
      <c r="AJ1809" t="n">
        <v>10</v>
      </c>
      <c r="AK1809" t="n">
        <v>10</v>
      </c>
      <c r="AL1809" t="n">
        <v>1</v>
      </c>
      <c r="AM1809" t="n">
        <v>1</v>
      </c>
      <c r="AN1809" t="n">
        <v>0</v>
      </c>
      <c r="AO1809" t="n">
        <v>0</v>
      </c>
      <c r="AP1809" t="inlineStr">
        <is>
          <t>Yes</t>
        </is>
      </c>
      <c r="AQ1809" t="inlineStr">
        <is>
          <t>No</t>
        </is>
      </c>
      <c r="AR1809">
        <f>HYPERLINK("http://catalog.hathitrust.org/Record/001267282","HathiTrust Record")</f>
        <v/>
      </c>
      <c r="AS1809">
        <f>HYPERLINK("https://creighton-primo.hosted.exlibrisgroup.com/primo-explore/search?tab=default_tab&amp;search_scope=EVERYTHING&amp;vid=01CRU&amp;lang=en_US&amp;offset=0&amp;query=any,contains,991002797719702656","Catalog Record")</f>
        <v/>
      </c>
      <c r="AT1809">
        <f>HYPERLINK("http://www.worldcat.org/oclc/445792","WorldCat Record")</f>
        <v/>
      </c>
      <c r="AU1809" t="inlineStr">
        <is>
          <t>5417037337:eng</t>
        </is>
      </c>
      <c r="AV1809" t="inlineStr">
        <is>
          <t>445792</t>
        </is>
      </c>
      <c r="AW1809" t="inlineStr">
        <is>
          <t>991002797719702656</t>
        </is>
      </c>
      <c r="AX1809" t="inlineStr">
        <is>
          <t>991002797719702656</t>
        </is>
      </c>
      <c r="AY1809" t="inlineStr">
        <is>
          <t>2262962570002656</t>
        </is>
      </c>
      <c r="AZ1809" t="inlineStr">
        <is>
          <t>BOOK</t>
        </is>
      </c>
      <c r="BC1809" t="inlineStr">
        <is>
          <t>32285001966547</t>
        </is>
      </c>
      <c r="BD1809" t="inlineStr">
        <is>
          <t>893409542</t>
        </is>
      </c>
    </row>
    <row r="1810">
      <c r="A1810" t="inlineStr">
        <is>
          <t>No</t>
        </is>
      </c>
      <c r="B1810" t="inlineStr">
        <is>
          <t>DS655 .C67</t>
        </is>
      </c>
      <c r="C1810" t="inlineStr">
        <is>
          <t>0                      DS 0655000C  67</t>
        </is>
      </c>
      <c r="D1810" t="inlineStr">
        <is>
          <t>The Philippines / [by] Onofre D. Corpuz.</t>
        </is>
      </c>
      <c r="F1810" t="inlineStr">
        <is>
          <t>No</t>
        </is>
      </c>
      <c r="G1810" t="inlineStr">
        <is>
          <t>1</t>
        </is>
      </c>
      <c r="H1810" t="inlineStr">
        <is>
          <t>No</t>
        </is>
      </c>
      <c r="I1810" t="inlineStr">
        <is>
          <t>No</t>
        </is>
      </c>
      <c r="J1810" t="inlineStr">
        <is>
          <t>0</t>
        </is>
      </c>
      <c r="K1810" t="inlineStr">
        <is>
          <t>Corpuz, Onofre D.</t>
        </is>
      </c>
      <c r="L1810" t="inlineStr">
        <is>
          <t>Englewood Cliffs, N.J. : Prentice-Hall, [1966, c1965]</t>
        </is>
      </c>
      <c r="M1810" t="inlineStr">
        <is>
          <t>1966</t>
        </is>
      </c>
      <c r="O1810" t="inlineStr">
        <is>
          <t>eng</t>
        </is>
      </c>
      <c r="P1810" t="inlineStr">
        <is>
          <t>nju</t>
        </is>
      </c>
      <c r="Q1810" t="inlineStr">
        <is>
          <t>A Spectrum book.</t>
        </is>
      </c>
      <c r="R1810" t="inlineStr">
        <is>
          <t xml:space="preserve">DS </t>
        </is>
      </c>
      <c r="S1810" t="n">
        <v>13</v>
      </c>
      <c r="T1810" t="n">
        <v>13</v>
      </c>
      <c r="U1810" t="inlineStr">
        <is>
          <t>1999-02-02</t>
        </is>
      </c>
      <c r="V1810" t="inlineStr">
        <is>
          <t>1999-02-02</t>
        </is>
      </c>
      <c r="W1810" t="inlineStr">
        <is>
          <t>1990-05-15</t>
        </is>
      </c>
      <c r="X1810" t="inlineStr">
        <is>
          <t>1990-05-15</t>
        </is>
      </c>
      <c r="Y1810" t="n">
        <v>1052</v>
      </c>
      <c r="Z1810" t="n">
        <v>987</v>
      </c>
      <c r="AA1810" t="n">
        <v>1021</v>
      </c>
      <c r="AB1810" t="n">
        <v>7</v>
      </c>
      <c r="AC1810" t="n">
        <v>7</v>
      </c>
      <c r="AD1810" t="n">
        <v>46</v>
      </c>
      <c r="AE1810" t="n">
        <v>46</v>
      </c>
      <c r="AF1810" t="n">
        <v>20</v>
      </c>
      <c r="AG1810" t="n">
        <v>20</v>
      </c>
      <c r="AH1810" t="n">
        <v>9</v>
      </c>
      <c r="AI1810" t="n">
        <v>9</v>
      </c>
      <c r="AJ1810" t="n">
        <v>22</v>
      </c>
      <c r="AK1810" t="n">
        <v>22</v>
      </c>
      <c r="AL1810" t="n">
        <v>6</v>
      </c>
      <c r="AM1810" t="n">
        <v>6</v>
      </c>
      <c r="AN1810" t="n">
        <v>0</v>
      </c>
      <c r="AO1810" t="n">
        <v>0</v>
      </c>
      <c r="AP1810" t="inlineStr">
        <is>
          <t>No</t>
        </is>
      </c>
      <c r="AQ1810" t="inlineStr">
        <is>
          <t>Yes</t>
        </is>
      </c>
      <c r="AR1810">
        <f>HYPERLINK("http://catalog.hathitrust.org/Record/001256766","HathiTrust Record")</f>
        <v/>
      </c>
      <c r="AS1810">
        <f>HYPERLINK("https://creighton-primo.hosted.exlibrisgroup.com/primo-explore/search?tab=default_tab&amp;search_scope=EVERYTHING&amp;vid=01CRU&amp;lang=en_US&amp;offset=0&amp;query=any,contains,991001651399702656","Catalog Record")</f>
        <v/>
      </c>
      <c r="AT1810">
        <f>HYPERLINK("http://www.worldcat.org/oclc/233903","WorldCat Record")</f>
        <v/>
      </c>
      <c r="AU1810" t="inlineStr">
        <is>
          <t>1362411:eng</t>
        </is>
      </c>
      <c r="AV1810" t="inlineStr">
        <is>
          <t>233903</t>
        </is>
      </c>
      <c r="AW1810" t="inlineStr">
        <is>
          <t>991001651399702656</t>
        </is>
      </c>
      <c r="AX1810" t="inlineStr">
        <is>
          <t>991001651399702656</t>
        </is>
      </c>
      <c r="AY1810" t="inlineStr">
        <is>
          <t>2259217810002656</t>
        </is>
      </c>
      <c r="AZ1810" t="inlineStr">
        <is>
          <t>BOOK</t>
        </is>
      </c>
      <c r="BC1810" t="inlineStr">
        <is>
          <t>32285000155621</t>
        </is>
      </c>
      <c r="BD1810" t="inlineStr">
        <is>
          <t>893238236</t>
        </is>
      </c>
    </row>
    <row r="1811">
      <c r="A1811" t="inlineStr">
        <is>
          <t>No</t>
        </is>
      </c>
      <c r="B1811" t="inlineStr">
        <is>
          <t>DS655 .L5 1973</t>
        </is>
      </c>
      <c r="C1811" t="inlineStr">
        <is>
          <t>0                      DS 0655000L  5           1973</t>
        </is>
      </c>
      <c r="D1811" t="inlineStr">
        <is>
          <t>The Philippines.</t>
        </is>
      </c>
      <c r="F1811" t="inlineStr">
        <is>
          <t>No</t>
        </is>
      </c>
      <c r="G1811" t="inlineStr">
        <is>
          <t>1</t>
        </is>
      </c>
      <c r="H1811" t="inlineStr">
        <is>
          <t>No</t>
        </is>
      </c>
      <c r="I1811" t="inlineStr">
        <is>
          <t>No</t>
        </is>
      </c>
      <c r="J1811" t="inlineStr">
        <is>
          <t>0</t>
        </is>
      </c>
      <c r="K1811" t="inlineStr">
        <is>
          <t>Lightfoot, Keith.</t>
        </is>
      </c>
      <c r="L1811" t="inlineStr">
        <is>
          <t>New York : Praeger, [1973]</t>
        </is>
      </c>
      <c r="M1811" t="inlineStr">
        <is>
          <t>1973</t>
        </is>
      </c>
      <c r="O1811" t="inlineStr">
        <is>
          <t>eng</t>
        </is>
      </c>
      <c r="P1811" t="inlineStr">
        <is>
          <t>nyu</t>
        </is>
      </c>
      <c r="Q1811" t="inlineStr">
        <is>
          <t>Nations of the modern world</t>
        </is>
      </c>
      <c r="R1811" t="inlineStr">
        <is>
          <t xml:space="preserve">DS </t>
        </is>
      </c>
      <c r="S1811" t="n">
        <v>15</v>
      </c>
      <c r="T1811" t="n">
        <v>15</v>
      </c>
      <c r="U1811" t="inlineStr">
        <is>
          <t>2005-02-16</t>
        </is>
      </c>
      <c r="V1811" t="inlineStr">
        <is>
          <t>2005-02-16</t>
        </is>
      </c>
      <c r="W1811" t="inlineStr">
        <is>
          <t>1992-09-09</t>
        </is>
      </c>
      <c r="X1811" t="inlineStr">
        <is>
          <t>1992-09-09</t>
        </is>
      </c>
      <c r="Y1811" t="n">
        <v>368</v>
      </c>
      <c r="Z1811" t="n">
        <v>350</v>
      </c>
      <c r="AA1811" t="n">
        <v>404</v>
      </c>
      <c r="AB1811" t="n">
        <v>3</v>
      </c>
      <c r="AC1811" t="n">
        <v>4</v>
      </c>
      <c r="AD1811" t="n">
        <v>8</v>
      </c>
      <c r="AE1811" t="n">
        <v>10</v>
      </c>
      <c r="AF1811" t="n">
        <v>4</v>
      </c>
      <c r="AG1811" t="n">
        <v>5</v>
      </c>
      <c r="AH1811" t="n">
        <v>2</v>
      </c>
      <c r="AI1811" t="n">
        <v>2</v>
      </c>
      <c r="AJ1811" t="n">
        <v>2</v>
      </c>
      <c r="AK1811" t="n">
        <v>3</v>
      </c>
      <c r="AL1811" t="n">
        <v>2</v>
      </c>
      <c r="AM1811" t="n">
        <v>3</v>
      </c>
      <c r="AN1811" t="n">
        <v>0</v>
      </c>
      <c r="AO1811" t="n">
        <v>0</v>
      </c>
      <c r="AP1811" t="inlineStr">
        <is>
          <t>No</t>
        </is>
      </c>
      <c r="AQ1811" t="inlineStr">
        <is>
          <t>Yes</t>
        </is>
      </c>
      <c r="AR1811">
        <f>HYPERLINK("http://catalog.hathitrust.org/Record/001256772","HathiTrust Record")</f>
        <v/>
      </c>
      <c r="AS1811">
        <f>HYPERLINK("https://creighton-primo.hosted.exlibrisgroup.com/primo-explore/search?tab=default_tab&amp;search_scope=EVERYTHING&amp;vid=01CRU&amp;lang=en_US&amp;offset=0&amp;query=any,contains,991003155819702656","Catalog Record")</f>
        <v/>
      </c>
      <c r="AT1811">
        <f>HYPERLINK("http://www.worldcat.org/oclc/695241","WorldCat Record")</f>
        <v/>
      </c>
      <c r="AU1811" t="inlineStr">
        <is>
          <t>1733745:eng</t>
        </is>
      </c>
      <c r="AV1811" t="inlineStr">
        <is>
          <t>695241</t>
        </is>
      </c>
      <c r="AW1811" t="inlineStr">
        <is>
          <t>991003155819702656</t>
        </is>
      </c>
      <c r="AX1811" t="inlineStr">
        <is>
          <t>991003155819702656</t>
        </is>
      </c>
      <c r="AY1811" t="inlineStr">
        <is>
          <t>2267766170002656</t>
        </is>
      </c>
      <c r="AZ1811" t="inlineStr">
        <is>
          <t>BOOK</t>
        </is>
      </c>
      <c r="BC1811" t="inlineStr">
        <is>
          <t>32285001297232</t>
        </is>
      </c>
      <c r="BD1811" t="inlineStr">
        <is>
          <t>893686242</t>
        </is>
      </c>
    </row>
    <row r="1812">
      <c r="A1812" t="inlineStr">
        <is>
          <t>No</t>
        </is>
      </c>
      <c r="B1812" t="inlineStr">
        <is>
          <t>DS658 .S85</t>
        </is>
      </c>
      <c r="C1812" t="inlineStr">
        <is>
          <t>0                      DS 0658000S  85</t>
        </is>
      </c>
      <c r="D1812" t="inlineStr">
        <is>
          <t>Yesterdays in the Philippines. By Joseph Earle Stevens.</t>
        </is>
      </c>
      <c r="F1812" t="inlineStr">
        <is>
          <t>No</t>
        </is>
      </c>
      <c r="G1812" t="inlineStr">
        <is>
          <t>1</t>
        </is>
      </c>
      <c r="H1812" t="inlineStr">
        <is>
          <t>No</t>
        </is>
      </c>
      <c r="I1812" t="inlineStr">
        <is>
          <t>No</t>
        </is>
      </c>
      <c r="J1812" t="inlineStr">
        <is>
          <t>0</t>
        </is>
      </c>
      <c r="K1812" t="inlineStr">
        <is>
          <t>Stevens, Joseph Earle, 1870-</t>
        </is>
      </c>
      <c r="L1812" t="inlineStr">
        <is>
          <t>New York, C. Scribner's sons, 1898.</t>
        </is>
      </c>
      <c r="M1812" t="inlineStr">
        <is>
          <t>1898</t>
        </is>
      </c>
      <c r="O1812" t="inlineStr">
        <is>
          <t>eng</t>
        </is>
      </c>
      <c r="P1812" t="inlineStr">
        <is>
          <t>nyu</t>
        </is>
      </c>
      <c r="R1812" t="inlineStr">
        <is>
          <t xml:space="preserve">DS </t>
        </is>
      </c>
      <c r="S1812" t="n">
        <v>3</v>
      </c>
      <c r="T1812" t="n">
        <v>3</v>
      </c>
      <c r="U1812" t="inlineStr">
        <is>
          <t>1998-11-20</t>
        </is>
      </c>
      <c r="V1812" t="inlineStr">
        <is>
          <t>1998-11-20</t>
        </is>
      </c>
      <c r="W1812" t="inlineStr">
        <is>
          <t>1997-03-11</t>
        </is>
      </c>
      <c r="X1812" t="inlineStr">
        <is>
          <t>1997-03-11</t>
        </is>
      </c>
      <c r="Y1812" t="n">
        <v>40</v>
      </c>
      <c r="Z1812" t="n">
        <v>35</v>
      </c>
      <c r="AA1812" t="n">
        <v>226</v>
      </c>
      <c r="AB1812" t="n">
        <v>1</v>
      </c>
      <c r="AC1812" t="n">
        <v>2</v>
      </c>
      <c r="AD1812" t="n">
        <v>0</v>
      </c>
      <c r="AE1812" t="n">
        <v>13</v>
      </c>
      <c r="AF1812" t="n">
        <v>0</v>
      </c>
      <c r="AG1812" t="n">
        <v>3</v>
      </c>
      <c r="AH1812" t="n">
        <v>0</v>
      </c>
      <c r="AI1812" t="n">
        <v>4</v>
      </c>
      <c r="AJ1812" t="n">
        <v>0</v>
      </c>
      <c r="AK1812" t="n">
        <v>7</v>
      </c>
      <c r="AL1812" t="n">
        <v>0</v>
      </c>
      <c r="AM1812" t="n">
        <v>1</v>
      </c>
      <c r="AN1812" t="n">
        <v>0</v>
      </c>
      <c r="AO1812" t="n">
        <v>0</v>
      </c>
      <c r="AP1812" t="inlineStr">
        <is>
          <t>Yes</t>
        </is>
      </c>
      <c r="AQ1812" t="inlineStr">
        <is>
          <t>No</t>
        </is>
      </c>
      <c r="AR1812">
        <f>HYPERLINK("http://catalog.hathitrust.org/Record/100517441","HathiTrust Record")</f>
        <v/>
      </c>
      <c r="AS1812">
        <f>HYPERLINK("https://creighton-primo.hosted.exlibrisgroup.com/primo-explore/search?tab=default_tab&amp;search_scope=EVERYTHING&amp;vid=01CRU&amp;lang=en_US&amp;offset=0&amp;query=any,contains,991003022719702656","Catalog Record")</f>
        <v/>
      </c>
      <c r="AT1812">
        <f>HYPERLINK("http://www.worldcat.org/oclc/587476","WorldCat Record")</f>
        <v/>
      </c>
      <c r="AU1812" t="inlineStr">
        <is>
          <t>1757608:eng</t>
        </is>
      </c>
      <c r="AV1812" t="inlineStr">
        <is>
          <t>587476</t>
        </is>
      </c>
      <c r="AW1812" t="inlineStr">
        <is>
          <t>991003022719702656</t>
        </is>
      </c>
      <c r="AX1812" t="inlineStr">
        <is>
          <t>991003022719702656</t>
        </is>
      </c>
      <c r="AY1812" t="inlineStr">
        <is>
          <t>2266972580002656</t>
        </is>
      </c>
      <c r="AZ1812" t="inlineStr">
        <is>
          <t>BOOK</t>
        </is>
      </c>
      <c r="BC1812" t="inlineStr">
        <is>
          <t>32285002445590</t>
        </is>
      </c>
      <c r="BD1812" t="inlineStr">
        <is>
          <t>893440842</t>
        </is>
      </c>
    </row>
    <row r="1813">
      <c r="A1813" t="inlineStr">
        <is>
          <t>No</t>
        </is>
      </c>
      <c r="B1813" t="inlineStr">
        <is>
          <t>DS66 .L3713</t>
        </is>
      </c>
      <c r="C1813" t="inlineStr">
        <is>
          <t>0                      DS 0066000L  3713</t>
        </is>
      </c>
      <c r="D1813" t="inlineStr">
        <is>
          <t>The Hittites : people of a thousand gods / Johannes Lehmann ; translated by J. Maxwell Brownjohn.</t>
        </is>
      </c>
      <c r="F1813" t="inlineStr">
        <is>
          <t>No</t>
        </is>
      </c>
      <c r="G1813" t="inlineStr">
        <is>
          <t>1</t>
        </is>
      </c>
      <c r="H1813" t="inlineStr">
        <is>
          <t>No</t>
        </is>
      </c>
      <c r="I1813" t="inlineStr">
        <is>
          <t>No</t>
        </is>
      </c>
      <c r="J1813" t="inlineStr">
        <is>
          <t>0</t>
        </is>
      </c>
      <c r="K1813" t="inlineStr">
        <is>
          <t>Lehmann, Johannes, 1929-2011.</t>
        </is>
      </c>
      <c r="L1813" t="inlineStr">
        <is>
          <t>New York : Viking Press, 1977.</t>
        </is>
      </c>
      <c r="M1813" t="inlineStr">
        <is>
          <t>1977</t>
        </is>
      </c>
      <c r="O1813" t="inlineStr">
        <is>
          <t>eng</t>
        </is>
      </c>
      <c r="P1813" t="inlineStr">
        <is>
          <t>nyu</t>
        </is>
      </c>
      <c r="R1813" t="inlineStr">
        <is>
          <t xml:space="preserve">DS </t>
        </is>
      </c>
      <c r="S1813" t="n">
        <v>1</v>
      </c>
      <c r="T1813" t="n">
        <v>1</v>
      </c>
      <c r="U1813" t="inlineStr">
        <is>
          <t>1993-04-02</t>
        </is>
      </c>
      <c r="V1813" t="inlineStr">
        <is>
          <t>1993-04-02</t>
        </is>
      </c>
      <c r="W1813" t="inlineStr">
        <is>
          <t>1990-08-14</t>
        </is>
      </c>
      <c r="X1813" t="inlineStr">
        <is>
          <t>1990-08-14</t>
        </is>
      </c>
      <c r="Y1813" t="n">
        <v>951</v>
      </c>
      <c r="Z1813" t="n">
        <v>903</v>
      </c>
      <c r="AA1813" t="n">
        <v>943</v>
      </c>
      <c r="AB1813" t="n">
        <v>12</v>
      </c>
      <c r="AC1813" t="n">
        <v>14</v>
      </c>
      <c r="AD1813" t="n">
        <v>29</v>
      </c>
      <c r="AE1813" t="n">
        <v>30</v>
      </c>
      <c r="AF1813" t="n">
        <v>10</v>
      </c>
      <c r="AG1813" t="n">
        <v>10</v>
      </c>
      <c r="AH1813" t="n">
        <v>5</v>
      </c>
      <c r="AI1813" t="n">
        <v>5</v>
      </c>
      <c r="AJ1813" t="n">
        <v>13</v>
      </c>
      <c r="AK1813" t="n">
        <v>13</v>
      </c>
      <c r="AL1813" t="n">
        <v>8</v>
      </c>
      <c r="AM1813" t="n">
        <v>9</v>
      </c>
      <c r="AN1813" t="n">
        <v>0</v>
      </c>
      <c r="AO1813" t="n">
        <v>0</v>
      </c>
      <c r="AP1813" t="inlineStr">
        <is>
          <t>No</t>
        </is>
      </c>
      <c r="AQ1813" t="inlineStr">
        <is>
          <t>No</t>
        </is>
      </c>
      <c r="AS1813">
        <f>HYPERLINK("https://creighton-primo.hosted.exlibrisgroup.com/primo-explore/search?tab=default_tab&amp;search_scope=EVERYTHING&amp;vid=01CRU&amp;lang=en_US&amp;offset=0&amp;query=any,contains,991004157919702656","Catalog Record")</f>
        <v/>
      </c>
      <c r="AT1813">
        <f>HYPERLINK("http://www.worldcat.org/oclc/2542539","WorldCat Record")</f>
        <v/>
      </c>
      <c r="AU1813" t="inlineStr">
        <is>
          <t>5630826:eng</t>
        </is>
      </c>
      <c r="AV1813" t="inlineStr">
        <is>
          <t>2542539</t>
        </is>
      </c>
      <c r="AW1813" t="inlineStr">
        <is>
          <t>991004157919702656</t>
        </is>
      </c>
      <c r="AX1813" t="inlineStr">
        <is>
          <t>991004157919702656</t>
        </is>
      </c>
      <c r="AY1813" t="inlineStr">
        <is>
          <t>2272090620002656</t>
        </is>
      </c>
      <c r="AZ1813" t="inlineStr">
        <is>
          <t>BOOK</t>
        </is>
      </c>
      <c r="BB1813" t="inlineStr">
        <is>
          <t>9780670374151</t>
        </is>
      </c>
      <c r="BC1813" t="inlineStr">
        <is>
          <t>32285000281294</t>
        </is>
      </c>
      <c r="BD1813" t="inlineStr">
        <is>
          <t>893624416</t>
        </is>
      </c>
    </row>
    <row r="1814">
      <c r="A1814" t="inlineStr">
        <is>
          <t>No</t>
        </is>
      </c>
      <c r="B1814" t="inlineStr">
        <is>
          <t>DS66 .M284</t>
        </is>
      </c>
      <c r="C1814" t="inlineStr">
        <is>
          <t>0                      DS 0066000M  284</t>
        </is>
      </c>
      <c r="D1814" t="inlineStr">
        <is>
          <t>The secret of the Hittites : the discovery of an ancient empire / by C.W. Ceram [pseud.] Translated from the German by Richard and Clara Winston.</t>
        </is>
      </c>
      <c r="F1814" t="inlineStr">
        <is>
          <t>No</t>
        </is>
      </c>
      <c r="G1814" t="inlineStr">
        <is>
          <t>1</t>
        </is>
      </c>
      <c r="H1814" t="inlineStr">
        <is>
          <t>No</t>
        </is>
      </c>
      <c r="I1814" t="inlineStr">
        <is>
          <t>No</t>
        </is>
      </c>
      <c r="J1814" t="inlineStr">
        <is>
          <t>0</t>
        </is>
      </c>
      <c r="K1814" t="inlineStr">
        <is>
          <t>Ceram, C. W., 1915-1972.</t>
        </is>
      </c>
      <c r="L1814" t="inlineStr">
        <is>
          <t>New York : Knopf, 1956 [c1955]</t>
        </is>
      </c>
      <c r="M1814" t="inlineStr">
        <is>
          <t>1956</t>
        </is>
      </c>
      <c r="N1814" t="inlineStr">
        <is>
          <t>[1st American ed.]</t>
        </is>
      </c>
      <c r="O1814" t="inlineStr">
        <is>
          <t>eng</t>
        </is>
      </c>
      <c r="P1814" t="inlineStr">
        <is>
          <t>nyu</t>
        </is>
      </c>
      <c r="R1814" t="inlineStr">
        <is>
          <t xml:space="preserve">DS </t>
        </is>
      </c>
      <c r="S1814" t="n">
        <v>1</v>
      </c>
      <c r="T1814" t="n">
        <v>1</v>
      </c>
      <c r="U1814" t="inlineStr">
        <is>
          <t>2002-02-03</t>
        </is>
      </c>
      <c r="V1814" t="inlineStr">
        <is>
          <t>2002-02-03</t>
        </is>
      </c>
      <c r="W1814" t="inlineStr">
        <is>
          <t>1992-04-24</t>
        </is>
      </c>
      <c r="X1814" t="inlineStr">
        <is>
          <t>1992-04-24</t>
        </is>
      </c>
      <c r="Y1814" t="n">
        <v>1759</v>
      </c>
      <c r="Z1814" t="n">
        <v>1670</v>
      </c>
      <c r="AA1814" t="n">
        <v>1915</v>
      </c>
      <c r="AB1814" t="n">
        <v>16</v>
      </c>
      <c r="AC1814" t="n">
        <v>19</v>
      </c>
      <c r="AD1814" t="n">
        <v>54</v>
      </c>
      <c r="AE1814" t="n">
        <v>56</v>
      </c>
      <c r="AF1814" t="n">
        <v>23</v>
      </c>
      <c r="AG1814" t="n">
        <v>23</v>
      </c>
      <c r="AH1814" t="n">
        <v>9</v>
      </c>
      <c r="AI1814" t="n">
        <v>10</v>
      </c>
      <c r="AJ1814" t="n">
        <v>25</v>
      </c>
      <c r="AK1814" t="n">
        <v>26</v>
      </c>
      <c r="AL1814" t="n">
        <v>10</v>
      </c>
      <c r="AM1814" t="n">
        <v>11</v>
      </c>
      <c r="AN1814" t="n">
        <v>0</v>
      </c>
      <c r="AO1814" t="n">
        <v>0</v>
      </c>
      <c r="AP1814" t="inlineStr">
        <is>
          <t>No</t>
        </is>
      </c>
      <c r="AQ1814" t="inlineStr">
        <is>
          <t>Yes</t>
        </is>
      </c>
      <c r="AR1814">
        <f>HYPERLINK("http://catalog.hathitrust.org/Record/001241426","HathiTrust Record")</f>
        <v/>
      </c>
      <c r="AS1814">
        <f>HYPERLINK("https://creighton-primo.hosted.exlibrisgroup.com/primo-explore/search?tab=default_tab&amp;search_scope=EVERYTHING&amp;vid=01CRU&amp;lang=en_US&amp;offset=0&amp;query=any,contains,991002203029702656","Catalog Record")</f>
        <v/>
      </c>
      <c r="AT1814">
        <f>HYPERLINK("http://www.worldcat.org/oclc/284899","WorldCat Record")</f>
        <v/>
      </c>
      <c r="AU1814" t="inlineStr">
        <is>
          <t>2908477446:eng</t>
        </is>
      </c>
      <c r="AV1814" t="inlineStr">
        <is>
          <t>284899</t>
        </is>
      </c>
      <c r="AW1814" t="inlineStr">
        <is>
          <t>991002203029702656</t>
        </is>
      </c>
      <c r="AX1814" t="inlineStr">
        <is>
          <t>991002203029702656</t>
        </is>
      </c>
      <c r="AY1814" t="inlineStr">
        <is>
          <t>2262591810002656</t>
        </is>
      </c>
      <c r="AZ1814" t="inlineStr">
        <is>
          <t>BOOK</t>
        </is>
      </c>
      <c r="BC1814" t="inlineStr">
        <is>
          <t>32285001086817</t>
        </is>
      </c>
      <c r="BD1814" t="inlineStr">
        <is>
          <t>893615822</t>
        </is>
      </c>
    </row>
    <row r="1815">
      <c r="A1815" t="inlineStr">
        <is>
          <t>No</t>
        </is>
      </c>
      <c r="B1815" t="inlineStr">
        <is>
          <t>DS66 .N483 1951</t>
        </is>
      </c>
      <c r="C1815" t="inlineStr">
        <is>
          <t>0                      DS 0066000N  483         1951</t>
        </is>
      </c>
      <c r="D1815" t="inlineStr">
        <is>
          <t>The Hittite laws / translated into English and Hebrew with commentary by E. Neufeld.</t>
        </is>
      </c>
      <c r="F1815" t="inlineStr">
        <is>
          <t>No</t>
        </is>
      </c>
      <c r="G1815" t="inlineStr">
        <is>
          <t>1</t>
        </is>
      </c>
      <c r="H1815" t="inlineStr">
        <is>
          <t>No</t>
        </is>
      </c>
      <c r="I1815" t="inlineStr">
        <is>
          <t>No</t>
        </is>
      </c>
      <c r="J1815" t="inlineStr">
        <is>
          <t>0</t>
        </is>
      </c>
      <c r="K1815" t="inlineStr">
        <is>
          <t>Neufeld, E. (Ephraim), 1912-</t>
        </is>
      </c>
      <c r="L1815" t="inlineStr">
        <is>
          <t>London : Luzac, 1951.</t>
        </is>
      </c>
      <c r="M1815" t="inlineStr">
        <is>
          <t>1951</t>
        </is>
      </c>
      <c r="O1815" t="inlineStr">
        <is>
          <t>eng</t>
        </is>
      </c>
      <c r="P1815" t="inlineStr">
        <is>
          <t xml:space="preserve">xx </t>
        </is>
      </c>
      <c r="R1815" t="inlineStr">
        <is>
          <t xml:space="preserve">DS </t>
        </is>
      </c>
      <c r="S1815" t="n">
        <v>1</v>
      </c>
      <c r="T1815" t="n">
        <v>1</v>
      </c>
      <c r="U1815" t="inlineStr">
        <is>
          <t>1999-04-26</t>
        </is>
      </c>
      <c r="V1815" t="inlineStr">
        <is>
          <t>1999-04-26</t>
        </is>
      </c>
      <c r="W1815" t="inlineStr">
        <is>
          <t>1993-02-03</t>
        </is>
      </c>
      <c r="X1815" t="inlineStr">
        <is>
          <t>1993-02-03</t>
        </is>
      </c>
      <c r="Y1815" t="n">
        <v>347</v>
      </c>
      <c r="Z1815" t="n">
        <v>264</v>
      </c>
      <c r="AA1815" t="n">
        <v>270</v>
      </c>
      <c r="AB1815" t="n">
        <v>2</v>
      </c>
      <c r="AC1815" t="n">
        <v>2</v>
      </c>
      <c r="AD1815" t="n">
        <v>15</v>
      </c>
      <c r="AE1815" t="n">
        <v>15</v>
      </c>
      <c r="AF1815" t="n">
        <v>1</v>
      </c>
      <c r="AG1815" t="n">
        <v>1</v>
      </c>
      <c r="AH1815" t="n">
        <v>4</v>
      </c>
      <c r="AI1815" t="n">
        <v>4</v>
      </c>
      <c r="AJ1815" t="n">
        <v>6</v>
      </c>
      <c r="AK1815" t="n">
        <v>6</v>
      </c>
      <c r="AL1815" t="n">
        <v>0</v>
      </c>
      <c r="AM1815" t="n">
        <v>0</v>
      </c>
      <c r="AN1815" t="n">
        <v>6</v>
      </c>
      <c r="AO1815" t="n">
        <v>6</v>
      </c>
      <c r="AP1815" t="inlineStr">
        <is>
          <t>No</t>
        </is>
      </c>
      <c r="AQ1815" t="inlineStr">
        <is>
          <t>Yes</t>
        </is>
      </c>
      <c r="AR1815">
        <f>HYPERLINK("http://catalog.hathitrust.org/Record/001181216","HathiTrust Record")</f>
        <v/>
      </c>
      <c r="AS1815">
        <f>HYPERLINK("https://creighton-primo.hosted.exlibrisgroup.com/primo-explore/search?tab=default_tab&amp;search_scope=EVERYTHING&amp;vid=01CRU&amp;lang=en_US&amp;offset=0&amp;query=any,contains,991002955129702656","Catalog Record")</f>
        <v/>
      </c>
      <c r="AT1815">
        <f>HYPERLINK("http://www.worldcat.org/oclc/883794","WorldCat Record")</f>
        <v/>
      </c>
      <c r="AU1815" t="inlineStr">
        <is>
          <t>54009055:eng</t>
        </is>
      </c>
      <c r="AV1815" t="inlineStr">
        <is>
          <t>883794</t>
        </is>
      </c>
      <c r="AW1815" t="inlineStr">
        <is>
          <t>991002955129702656</t>
        </is>
      </c>
      <c r="AX1815" t="inlineStr">
        <is>
          <t>991002955129702656</t>
        </is>
      </c>
      <c r="AY1815" t="inlineStr">
        <is>
          <t>2268532390002656</t>
        </is>
      </c>
      <c r="AZ1815" t="inlineStr">
        <is>
          <t>BOOK</t>
        </is>
      </c>
      <c r="BC1815" t="inlineStr">
        <is>
          <t>32285001520153</t>
        </is>
      </c>
      <c r="BD1815" t="inlineStr">
        <is>
          <t>893348153</t>
        </is>
      </c>
    </row>
    <row r="1816">
      <c r="A1816" t="inlineStr">
        <is>
          <t>No</t>
        </is>
      </c>
      <c r="B1816" t="inlineStr">
        <is>
          <t>DS660 .C47 1980</t>
        </is>
      </c>
      <c r="C1816" t="inlineStr">
        <is>
          <t>0                      DS 0660000C  47          1980</t>
        </is>
      </c>
      <c r="D1816" t="inlineStr">
        <is>
          <t>Philippines / text and direction by Richard Z. Chesnoff ; photography by Larry Secrist with Jeffrey Aas ; pref. by Ferdinand E. Marcos ; introd. to Manila by Imelda Romualdez Marcos.</t>
        </is>
      </c>
      <c r="F1816" t="inlineStr">
        <is>
          <t>No</t>
        </is>
      </c>
      <c r="G1816" t="inlineStr">
        <is>
          <t>1</t>
        </is>
      </c>
      <c r="H1816" t="inlineStr">
        <is>
          <t>No</t>
        </is>
      </c>
      <c r="I1816" t="inlineStr">
        <is>
          <t>No</t>
        </is>
      </c>
      <c r="J1816" t="inlineStr">
        <is>
          <t>0</t>
        </is>
      </c>
      <c r="K1816" t="inlineStr">
        <is>
          <t>Chesnoff, Richard Z., 1937-</t>
        </is>
      </c>
      <c r="L1816" t="inlineStr">
        <is>
          <t>New York : Abrams, c1980.</t>
        </is>
      </c>
      <c r="M1816" t="inlineStr">
        <is>
          <t>1980</t>
        </is>
      </c>
      <c r="N1816" t="inlineStr">
        <is>
          <t>Concise ed.</t>
        </is>
      </c>
      <c r="O1816" t="inlineStr">
        <is>
          <t>eng</t>
        </is>
      </c>
      <c r="P1816" t="inlineStr">
        <is>
          <t xml:space="preserve">ph </t>
        </is>
      </c>
      <c r="R1816" t="inlineStr">
        <is>
          <t xml:space="preserve">DS </t>
        </is>
      </c>
      <c r="S1816" t="n">
        <v>21</v>
      </c>
      <c r="T1816" t="n">
        <v>21</v>
      </c>
      <c r="U1816" t="inlineStr">
        <is>
          <t>1999-11-24</t>
        </is>
      </c>
      <c r="V1816" t="inlineStr">
        <is>
          <t>1999-11-24</t>
        </is>
      </c>
      <c r="W1816" t="inlineStr">
        <is>
          <t>1993-06-24</t>
        </is>
      </c>
      <c r="X1816" t="inlineStr">
        <is>
          <t>1993-06-24</t>
        </is>
      </c>
      <c r="Y1816" t="n">
        <v>260</v>
      </c>
      <c r="Z1816" t="n">
        <v>225</v>
      </c>
      <c r="AA1816" t="n">
        <v>244</v>
      </c>
      <c r="AB1816" t="n">
        <v>4</v>
      </c>
      <c r="AC1816" t="n">
        <v>4</v>
      </c>
      <c r="AD1816" t="n">
        <v>11</v>
      </c>
      <c r="AE1816" t="n">
        <v>11</v>
      </c>
      <c r="AF1816" t="n">
        <v>2</v>
      </c>
      <c r="AG1816" t="n">
        <v>2</v>
      </c>
      <c r="AH1816" t="n">
        <v>2</v>
      </c>
      <c r="AI1816" t="n">
        <v>2</v>
      </c>
      <c r="AJ1816" t="n">
        <v>5</v>
      </c>
      <c r="AK1816" t="n">
        <v>5</v>
      </c>
      <c r="AL1816" t="n">
        <v>3</v>
      </c>
      <c r="AM1816" t="n">
        <v>3</v>
      </c>
      <c r="AN1816" t="n">
        <v>0</v>
      </c>
      <c r="AO1816" t="n">
        <v>0</v>
      </c>
      <c r="AP1816" t="inlineStr">
        <is>
          <t>No</t>
        </is>
      </c>
      <c r="AQ1816" t="inlineStr">
        <is>
          <t>Yes</t>
        </is>
      </c>
      <c r="AR1816">
        <f>HYPERLINK("http://catalog.hathitrust.org/Record/000224998","HathiTrust Record")</f>
        <v/>
      </c>
      <c r="AS1816">
        <f>HYPERLINK("https://creighton-primo.hosted.exlibrisgroup.com/primo-explore/search?tab=default_tab&amp;search_scope=EVERYTHING&amp;vid=01CRU&amp;lang=en_US&amp;offset=0&amp;query=any,contains,991004998619702656","Catalog Record")</f>
        <v/>
      </c>
      <c r="AT1816">
        <f>HYPERLINK("http://www.worldcat.org/oclc/6532638","WorldCat Record")</f>
        <v/>
      </c>
      <c r="AU1816" t="inlineStr">
        <is>
          <t>470227:eng</t>
        </is>
      </c>
      <c r="AV1816" t="inlineStr">
        <is>
          <t>6532638</t>
        </is>
      </c>
      <c r="AW1816" t="inlineStr">
        <is>
          <t>991004998619702656</t>
        </is>
      </c>
      <c r="AX1816" t="inlineStr">
        <is>
          <t>991004998619702656</t>
        </is>
      </c>
      <c r="AY1816" t="inlineStr">
        <is>
          <t>2262081730002656</t>
        </is>
      </c>
      <c r="AZ1816" t="inlineStr">
        <is>
          <t>BOOK</t>
        </is>
      </c>
      <c r="BB1816" t="inlineStr">
        <is>
          <t>9780810914759</t>
        </is>
      </c>
      <c r="BC1816" t="inlineStr">
        <is>
          <t>32285001732139</t>
        </is>
      </c>
      <c r="BD1816" t="inlineStr">
        <is>
          <t>893520274</t>
        </is>
      </c>
    </row>
    <row r="1817">
      <c r="A1817" t="inlineStr">
        <is>
          <t>No</t>
        </is>
      </c>
      <c r="B1817" t="inlineStr">
        <is>
          <t>DS665 .K7 1974</t>
        </is>
      </c>
      <c r="C1817" t="inlineStr">
        <is>
          <t>0                      DS 0665000K  7           1974</t>
        </is>
      </c>
      <c r="D1817" t="inlineStr">
        <is>
          <t>Peoples of the Philippines.</t>
        </is>
      </c>
      <c r="F1817" t="inlineStr">
        <is>
          <t>No</t>
        </is>
      </c>
      <c r="G1817" t="inlineStr">
        <is>
          <t>1</t>
        </is>
      </c>
      <c r="H1817" t="inlineStr">
        <is>
          <t>No</t>
        </is>
      </c>
      <c r="I1817" t="inlineStr">
        <is>
          <t>No</t>
        </is>
      </c>
      <c r="J1817" t="inlineStr">
        <is>
          <t>0</t>
        </is>
      </c>
      <c r="K1817" t="inlineStr">
        <is>
          <t>Kroeber, A. L. (Alfred Louis), 1876-1960.</t>
        </is>
      </c>
      <c r="L1817" t="inlineStr">
        <is>
          <t>Westport, Conn. : Greenwood Press, [1974]</t>
        </is>
      </c>
      <c r="M1817" t="inlineStr">
        <is>
          <t>1974</t>
        </is>
      </c>
      <c r="O1817" t="inlineStr">
        <is>
          <t>eng</t>
        </is>
      </c>
      <c r="P1817" t="inlineStr">
        <is>
          <t>ctu</t>
        </is>
      </c>
      <c r="R1817" t="inlineStr">
        <is>
          <t xml:space="preserve">DS </t>
        </is>
      </c>
      <c r="S1817" t="n">
        <v>23</v>
      </c>
      <c r="T1817" t="n">
        <v>23</v>
      </c>
      <c r="U1817" t="inlineStr">
        <is>
          <t>2006-11-12</t>
        </is>
      </c>
      <c r="V1817" t="inlineStr">
        <is>
          <t>2006-11-12</t>
        </is>
      </c>
      <c r="W1817" t="inlineStr">
        <is>
          <t>1990-04-18</t>
        </is>
      </c>
      <c r="X1817" t="inlineStr">
        <is>
          <t>1990-04-18</t>
        </is>
      </c>
      <c r="Y1817" t="n">
        <v>100</v>
      </c>
      <c r="Z1817" t="n">
        <v>79</v>
      </c>
      <c r="AA1817" t="n">
        <v>365</v>
      </c>
      <c r="AB1817" t="n">
        <v>1</v>
      </c>
      <c r="AC1817" t="n">
        <v>3</v>
      </c>
      <c r="AD1817" t="n">
        <v>3</v>
      </c>
      <c r="AE1817" t="n">
        <v>11</v>
      </c>
      <c r="AF1817" t="n">
        <v>1</v>
      </c>
      <c r="AG1817" t="n">
        <v>3</v>
      </c>
      <c r="AH1817" t="n">
        <v>2</v>
      </c>
      <c r="AI1817" t="n">
        <v>3</v>
      </c>
      <c r="AJ1817" t="n">
        <v>1</v>
      </c>
      <c r="AK1817" t="n">
        <v>5</v>
      </c>
      <c r="AL1817" t="n">
        <v>0</v>
      </c>
      <c r="AM1817" t="n">
        <v>2</v>
      </c>
      <c r="AN1817" t="n">
        <v>0</v>
      </c>
      <c r="AO1817" t="n">
        <v>0</v>
      </c>
      <c r="AP1817" t="inlineStr">
        <is>
          <t>No</t>
        </is>
      </c>
      <c r="AQ1817" t="inlineStr">
        <is>
          <t>Yes</t>
        </is>
      </c>
      <c r="AR1817">
        <f>HYPERLINK("http://catalog.hathitrust.org/Record/007061499","HathiTrust Record")</f>
        <v/>
      </c>
      <c r="AS1817">
        <f>HYPERLINK("https://creighton-primo.hosted.exlibrisgroup.com/primo-explore/search?tab=default_tab&amp;search_scope=EVERYTHING&amp;vid=01CRU&amp;lang=en_US&amp;offset=0&amp;query=any,contains,991003188169702656","Catalog Record")</f>
        <v/>
      </c>
      <c r="AT1817">
        <f>HYPERLINK("http://www.worldcat.org/oclc/714154","WorldCat Record")</f>
        <v/>
      </c>
      <c r="AU1817" t="inlineStr">
        <is>
          <t>1370345:eng</t>
        </is>
      </c>
      <c r="AV1817" t="inlineStr">
        <is>
          <t>714154</t>
        </is>
      </c>
      <c r="AW1817" t="inlineStr">
        <is>
          <t>991003188169702656</t>
        </is>
      </c>
      <c r="AX1817" t="inlineStr">
        <is>
          <t>991003188169702656</t>
        </is>
      </c>
      <c r="AY1817" t="inlineStr">
        <is>
          <t>2255993710002656</t>
        </is>
      </c>
      <c r="AZ1817" t="inlineStr">
        <is>
          <t>BOOK</t>
        </is>
      </c>
      <c r="BB1817" t="inlineStr">
        <is>
          <t>9780837170404</t>
        </is>
      </c>
      <c r="BC1817" t="inlineStr">
        <is>
          <t>32285000116268</t>
        </is>
      </c>
      <c r="BD1817" t="inlineStr">
        <is>
          <t>893262660</t>
        </is>
      </c>
    </row>
    <row r="1818">
      <c r="A1818" t="inlineStr">
        <is>
          <t>No</t>
        </is>
      </c>
      <c r="B1818" t="inlineStr">
        <is>
          <t>DS666.T32 H46 2003</t>
        </is>
      </c>
      <c r="C1818" t="inlineStr">
        <is>
          <t>0                      DS 0666000T  32                 H  46          2003</t>
        </is>
      </c>
      <c r="D1818" t="inlineStr">
        <is>
          <t>Invented Eden : the elusive, disputed history of the Tasaday / Robin Hemley.</t>
        </is>
      </c>
      <c r="F1818" t="inlineStr">
        <is>
          <t>No</t>
        </is>
      </c>
      <c r="G1818" t="inlineStr">
        <is>
          <t>1</t>
        </is>
      </c>
      <c r="H1818" t="inlineStr">
        <is>
          <t>No</t>
        </is>
      </c>
      <c r="I1818" t="inlineStr">
        <is>
          <t>No</t>
        </is>
      </c>
      <c r="J1818" t="inlineStr">
        <is>
          <t>0</t>
        </is>
      </c>
      <c r="K1818" t="inlineStr">
        <is>
          <t>Hemley, Robin, 1958-</t>
        </is>
      </c>
      <c r="L1818" t="inlineStr">
        <is>
          <t>New York : Farrar, Straus and Giroux, 2003.</t>
        </is>
      </c>
      <c r="M1818" t="inlineStr">
        <is>
          <t>2003</t>
        </is>
      </c>
      <c r="N1818" t="inlineStr">
        <is>
          <t>1st ed.</t>
        </is>
      </c>
      <c r="O1818" t="inlineStr">
        <is>
          <t>eng</t>
        </is>
      </c>
      <c r="P1818" t="inlineStr">
        <is>
          <t>nyu</t>
        </is>
      </c>
      <c r="R1818" t="inlineStr">
        <is>
          <t xml:space="preserve">DS </t>
        </is>
      </c>
      <c r="S1818" t="n">
        <v>2</v>
      </c>
      <c r="T1818" t="n">
        <v>2</v>
      </c>
      <c r="U1818" t="inlineStr">
        <is>
          <t>2003-06-10</t>
        </is>
      </c>
      <c r="V1818" t="inlineStr">
        <is>
          <t>2003-06-10</t>
        </is>
      </c>
      <c r="W1818" t="inlineStr">
        <is>
          <t>2003-06-10</t>
        </is>
      </c>
      <c r="X1818" t="inlineStr">
        <is>
          <t>2003-06-10</t>
        </is>
      </c>
      <c r="Y1818" t="n">
        <v>645</v>
      </c>
      <c r="Z1818" t="n">
        <v>594</v>
      </c>
      <c r="AA1818" t="n">
        <v>645</v>
      </c>
      <c r="AB1818" t="n">
        <v>5</v>
      </c>
      <c r="AC1818" t="n">
        <v>6</v>
      </c>
      <c r="AD1818" t="n">
        <v>21</v>
      </c>
      <c r="AE1818" t="n">
        <v>24</v>
      </c>
      <c r="AF1818" t="n">
        <v>8</v>
      </c>
      <c r="AG1818" t="n">
        <v>9</v>
      </c>
      <c r="AH1818" t="n">
        <v>5</v>
      </c>
      <c r="AI1818" t="n">
        <v>5</v>
      </c>
      <c r="AJ1818" t="n">
        <v>11</v>
      </c>
      <c r="AK1818" t="n">
        <v>14</v>
      </c>
      <c r="AL1818" t="n">
        <v>4</v>
      </c>
      <c r="AM1818" t="n">
        <v>4</v>
      </c>
      <c r="AN1818" t="n">
        <v>0</v>
      </c>
      <c r="AO1818" t="n">
        <v>0</v>
      </c>
      <c r="AP1818" t="inlineStr">
        <is>
          <t>No</t>
        </is>
      </c>
      <c r="AQ1818" t="inlineStr">
        <is>
          <t>No</t>
        </is>
      </c>
      <c r="AS1818">
        <f>HYPERLINK("https://creighton-primo.hosted.exlibrisgroup.com/primo-explore/search?tab=default_tab&amp;search_scope=EVERYTHING&amp;vid=01CRU&amp;lang=en_US&amp;offset=0&amp;query=any,contains,991004057279702656","Catalog Record")</f>
        <v/>
      </c>
      <c r="AT1818">
        <f>HYPERLINK("http://www.worldcat.org/oclc/50670547","WorldCat Record")</f>
        <v/>
      </c>
      <c r="AU1818" t="inlineStr">
        <is>
          <t>290702060:eng</t>
        </is>
      </c>
      <c r="AV1818" t="inlineStr">
        <is>
          <t>50670547</t>
        </is>
      </c>
      <c r="AW1818" t="inlineStr">
        <is>
          <t>991004057279702656</t>
        </is>
      </c>
      <c r="AX1818" t="inlineStr">
        <is>
          <t>991004057279702656</t>
        </is>
      </c>
      <c r="AY1818" t="inlineStr">
        <is>
          <t>2264366240002656</t>
        </is>
      </c>
      <c r="AZ1818" t="inlineStr">
        <is>
          <t>BOOK</t>
        </is>
      </c>
      <c r="BB1818" t="inlineStr">
        <is>
          <t>9780374177164</t>
        </is>
      </c>
      <c r="BC1818" t="inlineStr">
        <is>
          <t>32285004751599</t>
        </is>
      </c>
      <c r="BD1818" t="inlineStr">
        <is>
          <t>893699782</t>
        </is>
      </c>
    </row>
    <row r="1819">
      <c r="A1819" t="inlineStr">
        <is>
          <t>No</t>
        </is>
      </c>
      <c r="B1819" t="inlineStr">
        <is>
          <t>DS673.J3 S3</t>
        </is>
      </c>
      <c r="C1819" t="inlineStr">
        <is>
          <t>0                      DS 0673000J  3                  S  3</t>
        </is>
      </c>
      <c r="D1819" t="inlineStr">
        <is>
          <t>Japan and the Philippines, 1868-1898.</t>
        </is>
      </c>
      <c r="F1819" t="inlineStr">
        <is>
          <t>No</t>
        </is>
      </c>
      <c r="G1819" t="inlineStr">
        <is>
          <t>1</t>
        </is>
      </c>
      <c r="H1819" t="inlineStr">
        <is>
          <t>No</t>
        </is>
      </c>
      <c r="I1819" t="inlineStr">
        <is>
          <t>No</t>
        </is>
      </c>
      <c r="J1819" t="inlineStr">
        <is>
          <t>0</t>
        </is>
      </c>
      <c r="K1819" t="inlineStr">
        <is>
          <t>Saniel, Josefa M.</t>
        </is>
      </c>
      <c r="L1819" t="inlineStr">
        <is>
          <t>Quezon City, University of the Philippines, 1962.</t>
        </is>
      </c>
      <c r="M1819" t="inlineStr">
        <is>
          <t>1962</t>
        </is>
      </c>
      <c r="O1819" t="inlineStr">
        <is>
          <t>eng</t>
        </is>
      </c>
      <c r="P1819" t="inlineStr">
        <is>
          <t xml:space="preserve">ph </t>
        </is>
      </c>
      <c r="R1819" t="inlineStr">
        <is>
          <t xml:space="preserve">DS </t>
        </is>
      </c>
      <c r="S1819" t="n">
        <v>4</v>
      </c>
      <c r="T1819" t="n">
        <v>4</v>
      </c>
      <c r="U1819" t="inlineStr">
        <is>
          <t>2005-03-14</t>
        </is>
      </c>
      <c r="V1819" t="inlineStr">
        <is>
          <t>2005-03-14</t>
        </is>
      </c>
      <c r="W1819" t="inlineStr">
        <is>
          <t>1997-03-11</t>
        </is>
      </c>
      <c r="X1819" t="inlineStr">
        <is>
          <t>1997-03-11</t>
        </is>
      </c>
      <c r="Y1819" t="n">
        <v>72</v>
      </c>
      <c r="Z1819" t="n">
        <v>54</v>
      </c>
      <c r="AA1819" t="n">
        <v>225</v>
      </c>
      <c r="AB1819" t="n">
        <v>1</v>
      </c>
      <c r="AC1819" t="n">
        <v>2</v>
      </c>
      <c r="AD1819" t="n">
        <v>1</v>
      </c>
      <c r="AE1819" t="n">
        <v>7</v>
      </c>
      <c r="AF1819" t="n">
        <v>0</v>
      </c>
      <c r="AG1819" t="n">
        <v>2</v>
      </c>
      <c r="AH1819" t="n">
        <v>0</v>
      </c>
      <c r="AI1819" t="n">
        <v>2</v>
      </c>
      <c r="AJ1819" t="n">
        <v>1</v>
      </c>
      <c r="AK1819" t="n">
        <v>4</v>
      </c>
      <c r="AL1819" t="n">
        <v>0</v>
      </c>
      <c r="AM1819" t="n">
        <v>1</v>
      </c>
      <c r="AN1819" t="n">
        <v>0</v>
      </c>
      <c r="AO1819" t="n">
        <v>0</v>
      </c>
      <c r="AP1819" t="inlineStr">
        <is>
          <t>No</t>
        </is>
      </c>
      <c r="AQ1819" t="inlineStr">
        <is>
          <t>Yes</t>
        </is>
      </c>
      <c r="AR1819">
        <f>HYPERLINK("http://catalog.hathitrust.org/Record/001267318","HathiTrust Record")</f>
        <v/>
      </c>
      <c r="AS1819">
        <f>HYPERLINK("https://creighton-primo.hosted.exlibrisgroup.com/primo-explore/search?tab=default_tab&amp;search_scope=EVERYTHING&amp;vid=01CRU&amp;lang=en_US&amp;offset=0&amp;query=any,contains,991005111049702656","Catalog Record")</f>
        <v/>
      </c>
      <c r="AT1819">
        <f>HYPERLINK("http://www.worldcat.org/oclc/7429335","WorldCat Record")</f>
        <v/>
      </c>
      <c r="AU1819" t="inlineStr">
        <is>
          <t>1635632:eng</t>
        </is>
      </c>
      <c r="AV1819" t="inlineStr">
        <is>
          <t>7429335</t>
        </is>
      </c>
      <c r="AW1819" t="inlineStr">
        <is>
          <t>991005111049702656</t>
        </is>
      </c>
      <c r="AX1819" t="inlineStr">
        <is>
          <t>991005111049702656</t>
        </is>
      </c>
      <c r="AY1819" t="inlineStr">
        <is>
          <t>2258221520002656</t>
        </is>
      </c>
      <c r="AZ1819" t="inlineStr">
        <is>
          <t>BOOK</t>
        </is>
      </c>
      <c r="BC1819" t="inlineStr">
        <is>
          <t>32285002445632</t>
        </is>
      </c>
      <c r="BD1819" t="inlineStr">
        <is>
          <t>893443415</t>
        </is>
      </c>
    </row>
    <row r="1820">
      <c r="A1820" t="inlineStr">
        <is>
          <t>No</t>
        </is>
      </c>
      <c r="B1820" t="inlineStr">
        <is>
          <t>DS679 .F2</t>
        </is>
      </c>
      <c r="C1820" t="inlineStr">
        <is>
          <t>0                      DS 0679000F  2</t>
        </is>
      </c>
      <c r="D1820" t="inlineStr">
        <is>
          <t>Campaigning in the Philippines / by Karl Irving Faust.</t>
        </is>
      </c>
      <c r="F1820" t="inlineStr">
        <is>
          <t>No</t>
        </is>
      </c>
      <c r="G1820" t="inlineStr">
        <is>
          <t>1</t>
        </is>
      </c>
      <c r="H1820" t="inlineStr">
        <is>
          <t>No</t>
        </is>
      </c>
      <c r="I1820" t="inlineStr">
        <is>
          <t>No</t>
        </is>
      </c>
      <c r="J1820" t="inlineStr">
        <is>
          <t>0</t>
        </is>
      </c>
      <c r="K1820" t="inlineStr">
        <is>
          <t>Faust, Karl Irving.</t>
        </is>
      </c>
      <c r="L1820" t="inlineStr">
        <is>
          <t>San Francisco : Hicks-Judd Co., 1899.</t>
        </is>
      </c>
      <c r="M1820" t="inlineStr">
        <is>
          <t>1899</t>
        </is>
      </c>
      <c r="O1820" t="inlineStr">
        <is>
          <t>eng</t>
        </is>
      </c>
      <c r="P1820" t="inlineStr">
        <is>
          <t>cau</t>
        </is>
      </c>
      <c r="R1820" t="inlineStr">
        <is>
          <t xml:space="preserve">DS </t>
        </is>
      </c>
      <c r="S1820" t="n">
        <v>8</v>
      </c>
      <c r="T1820" t="n">
        <v>8</v>
      </c>
      <c r="U1820" t="inlineStr">
        <is>
          <t>1998-02-11</t>
        </is>
      </c>
      <c r="V1820" t="inlineStr">
        <is>
          <t>1998-02-11</t>
        </is>
      </c>
      <c r="W1820" t="inlineStr">
        <is>
          <t>1995-04-26</t>
        </is>
      </c>
      <c r="X1820" t="inlineStr">
        <is>
          <t>1995-04-26</t>
        </is>
      </c>
      <c r="Y1820" t="n">
        <v>36</v>
      </c>
      <c r="Z1820" t="n">
        <v>34</v>
      </c>
      <c r="AA1820" t="n">
        <v>65</v>
      </c>
      <c r="AB1820" t="n">
        <v>1</v>
      </c>
      <c r="AC1820" t="n">
        <v>1</v>
      </c>
      <c r="AD1820" t="n">
        <v>0</v>
      </c>
      <c r="AE1820" t="n">
        <v>1</v>
      </c>
      <c r="AF1820" t="n">
        <v>0</v>
      </c>
      <c r="AG1820" t="n">
        <v>0</v>
      </c>
      <c r="AH1820" t="n">
        <v>0</v>
      </c>
      <c r="AI1820" t="n">
        <v>1</v>
      </c>
      <c r="AJ1820" t="n">
        <v>0</v>
      </c>
      <c r="AK1820" t="n">
        <v>0</v>
      </c>
      <c r="AL1820" t="n">
        <v>0</v>
      </c>
      <c r="AM1820" t="n">
        <v>0</v>
      </c>
      <c r="AN1820" t="n">
        <v>0</v>
      </c>
      <c r="AO1820" t="n">
        <v>0</v>
      </c>
      <c r="AP1820" t="inlineStr">
        <is>
          <t>Yes</t>
        </is>
      </c>
      <c r="AQ1820" t="inlineStr">
        <is>
          <t>No</t>
        </is>
      </c>
      <c r="AR1820">
        <f>HYPERLINK("http://catalog.hathitrust.org/Record/008653668","HathiTrust Record")</f>
        <v/>
      </c>
      <c r="AS1820">
        <f>HYPERLINK("https://creighton-primo.hosted.exlibrisgroup.com/primo-explore/search?tab=default_tab&amp;search_scope=EVERYTHING&amp;vid=01CRU&amp;lang=en_US&amp;offset=0&amp;query=any,contains,991002401179702656","Catalog Record")</f>
        <v/>
      </c>
      <c r="AT1820">
        <f>HYPERLINK("http://www.worldcat.org/oclc/31207168","WorldCat Record")</f>
        <v/>
      </c>
      <c r="AU1820" t="inlineStr">
        <is>
          <t>3094760335:eng</t>
        </is>
      </c>
      <c r="AV1820" t="inlineStr">
        <is>
          <t>31207168</t>
        </is>
      </c>
      <c r="AW1820" t="inlineStr">
        <is>
          <t>991002401179702656</t>
        </is>
      </c>
      <c r="AX1820" t="inlineStr">
        <is>
          <t>991002401179702656</t>
        </is>
      </c>
      <c r="AY1820" t="inlineStr">
        <is>
          <t>2257382900002656</t>
        </is>
      </c>
      <c r="AZ1820" t="inlineStr">
        <is>
          <t>BOOK</t>
        </is>
      </c>
      <c r="BC1820" t="inlineStr">
        <is>
          <t>32285002028933</t>
        </is>
      </c>
      <c r="BD1820" t="inlineStr">
        <is>
          <t>893609818</t>
        </is>
      </c>
    </row>
    <row r="1821">
      <c r="A1821" t="inlineStr">
        <is>
          <t>No</t>
        </is>
      </c>
      <c r="B1821" t="inlineStr">
        <is>
          <t>DS679 .G38</t>
        </is>
      </c>
      <c r="C1821" t="inlineStr">
        <is>
          <t>0                      DS 0679000G  38</t>
        </is>
      </c>
      <c r="D1821" t="inlineStr">
        <is>
          <t>Schoolbooks and Krags; the United States Army in the Philippines, 1898-1902.</t>
        </is>
      </c>
      <c r="F1821" t="inlineStr">
        <is>
          <t>No</t>
        </is>
      </c>
      <c r="G1821" t="inlineStr">
        <is>
          <t>1</t>
        </is>
      </c>
      <c r="H1821" t="inlineStr">
        <is>
          <t>No</t>
        </is>
      </c>
      <c r="I1821" t="inlineStr">
        <is>
          <t>No</t>
        </is>
      </c>
      <c r="J1821" t="inlineStr">
        <is>
          <t>0</t>
        </is>
      </c>
      <c r="K1821" t="inlineStr">
        <is>
          <t>Gates, John Morgan, 1937-</t>
        </is>
      </c>
      <c r="L1821" t="inlineStr">
        <is>
          <t>Westport, Conn., Greenwood Press [1973]</t>
        </is>
      </c>
      <c r="M1821" t="inlineStr">
        <is>
          <t>1973</t>
        </is>
      </c>
      <c r="O1821" t="inlineStr">
        <is>
          <t>eng</t>
        </is>
      </c>
      <c r="P1821" t="inlineStr">
        <is>
          <t>ctu</t>
        </is>
      </c>
      <c r="Q1821" t="inlineStr">
        <is>
          <t>Contributions in military history ; no. 3</t>
        </is>
      </c>
      <c r="R1821" t="inlineStr">
        <is>
          <t xml:space="preserve">DS </t>
        </is>
      </c>
      <c r="S1821" t="n">
        <v>2</v>
      </c>
      <c r="T1821" t="n">
        <v>2</v>
      </c>
      <c r="U1821" t="inlineStr">
        <is>
          <t>2004-11-29</t>
        </is>
      </c>
      <c r="V1821" t="inlineStr">
        <is>
          <t>2004-11-29</t>
        </is>
      </c>
      <c r="W1821" t="inlineStr">
        <is>
          <t>1997-03-11</t>
        </is>
      </c>
      <c r="X1821" t="inlineStr">
        <is>
          <t>1997-03-11</t>
        </is>
      </c>
      <c r="Y1821" t="n">
        <v>583</v>
      </c>
      <c r="Z1821" t="n">
        <v>520</v>
      </c>
      <c r="AA1821" t="n">
        <v>521</v>
      </c>
      <c r="AB1821" t="n">
        <v>6</v>
      </c>
      <c r="AC1821" t="n">
        <v>6</v>
      </c>
      <c r="AD1821" t="n">
        <v>24</v>
      </c>
      <c r="AE1821" t="n">
        <v>24</v>
      </c>
      <c r="AF1821" t="n">
        <v>8</v>
      </c>
      <c r="AG1821" t="n">
        <v>8</v>
      </c>
      <c r="AH1821" t="n">
        <v>6</v>
      </c>
      <c r="AI1821" t="n">
        <v>6</v>
      </c>
      <c r="AJ1821" t="n">
        <v>11</v>
      </c>
      <c r="AK1821" t="n">
        <v>11</v>
      </c>
      <c r="AL1821" t="n">
        <v>5</v>
      </c>
      <c r="AM1821" t="n">
        <v>5</v>
      </c>
      <c r="AN1821" t="n">
        <v>0</v>
      </c>
      <c r="AO1821" t="n">
        <v>0</v>
      </c>
      <c r="AP1821" t="inlineStr">
        <is>
          <t>No</t>
        </is>
      </c>
      <c r="AQ1821" t="inlineStr">
        <is>
          <t>Yes</t>
        </is>
      </c>
      <c r="AR1821">
        <f>HYPERLINK("http://catalog.hathitrust.org/Record/001256961","HathiTrust Record")</f>
        <v/>
      </c>
      <c r="AS1821">
        <f>HYPERLINK("https://creighton-primo.hosted.exlibrisgroup.com/primo-explore/search?tab=default_tab&amp;search_scope=EVERYTHING&amp;vid=01CRU&amp;lang=en_US&amp;offset=0&amp;query=any,contains,991002953769702656","Catalog Record")</f>
        <v/>
      </c>
      <c r="AT1821">
        <f>HYPERLINK("http://www.worldcat.org/oclc/540933","WorldCat Record")</f>
        <v/>
      </c>
      <c r="AU1821" t="inlineStr">
        <is>
          <t>784462641:eng</t>
        </is>
      </c>
      <c r="AV1821" t="inlineStr">
        <is>
          <t>540933</t>
        </is>
      </c>
      <c r="AW1821" t="inlineStr">
        <is>
          <t>991002953769702656</t>
        </is>
      </c>
      <c r="AX1821" t="inlineStr">
        <is>
          <t>991002953769702656</t>
        </is>
      </c>
      <c r="AY1821" t="inlineStr">
        <is>
          <t>2270373740002656</t>
        </is>
      </c>
      <c r="AZ1821" t="inlineStr">
        <is>
          <t>BOOK</t>
        </is>
      </c>
      <c r="BB1821" t="inlineStr">
        <is>
          <t>9780837158181</t>
        </is>
      </c>
      <c r="BC1821" t="inlineStr">
        <is>
          <t>32285002445665</t>
        </is>
      </c>
      <c r="BD1821" t="inlineStr">
        <is>
          <t>893805257</t>
        </is>
      </c>
    </row>
    <row r="1822">
      <c r="A1822" t="inlineStr">
        <is>
          <t>No</t>
        </is>
      </c>
      <c r="B1822" t="inlineStr">
        <is>
          <t>DS679 .M59 1982</t>
        </is>
      </c>
      <c r="C1822" t="inlineStr">
        <is>
          <t>0                      DS 0679000M  59          1982</t>
        </is>
      </c>
      <c r="D1822" t="inlineStr">
        <is>
          <t>"Benevolent assimilation" : the American conquest of the Philippines, 1899-1903 / Stuart Creighton Miller.</t>
        </is>
      </c>
      <c r="F1822" t="inlineStr">
        <is>
          <t>No</t>
        </is>
      </c>
      <c r="G1822" t="inlineStr">
        <is>
          <t>1</t>
        </is>
      </c>
      <c r="H1822" t="inlineStr">
        <is>
          <t>No</t>
        </is>
      </c>
      <c r="I1822" t="inlineStr">
        <is>
          <t>No</t>
        </is>
      </c>
      <c r="J1822" t="inlineStr">
        <is>
          <t>0</t>
        </is>
      </c>
      <c r="K1822" t="inlineStr">
        <is>
          <t>Miller, Stuart Creighton, 1927-2010.</t>
        </is>
      </c>
      <c r="L1822" t="inlineStr">
        <is>
          <t>New Haven : Yale University Press, c1982.</t>
        </is>
      </c>
      <c r="M1822" t="inlineStr">
        <is>
          <t>1982</t>
        </is>
      </c>
      <c r="O1822" t="inlineStr">
        <is>
          <t>eng</t>
        </is>
      </c>
      <c r="P1822" t="inlineStr">
        <is>
          <t>ctu</t>
        </is>
      </c>
      <c r="R1822" t="inlineStr">
        <is>
          <t xml:space="preserve">DS </t>
        </is>
      </c>
      <c r="S1822" t="n">
        <v>4</v>
      </c>
      <c r="T1822" t="n">
        <v>4</v>
      </c>
      <c r="U1822" t="inlineStr">
        <is>
          <t>2007-09-07</t>
        </is>
      </c>
      <c r="V1822" t="inlineStr">
        <is>
          <t>2007-09-07</t>
        </is>
      </c>
      <c r="W1822" t="inlineStr">
        <is>
          <t>1990-10-11</t>
        </is>
      </c>
      <c r="X1822" t="inlineStr">
        <is>
          <t>1990-10-11</t>
        </is>
      </c>
      <c r="Y1822" t="n">
        <v>1043</v>
      </c>
      <c r="Z1822" t="n">
        <v>903</v>
      </c>
      <c r="AA1822" t="n">
        <v>1025</v>
      </c>
      <c r="AB1822" t="n">
        <v>6</v>
      </c>
      <c r="AC1822" t="n">
        <v>6</v>
      </c>
      <c r="AD1822" t="n">
        <v>39</v>
      </c>
      <c r="AE1822" t="n">
        <v>41</v>
      </c>
      <c r="AF1822" t="n">
        <v>19</v>
      </c>
      <c r="AG1822" t="n">
        <v>20</v>
      </c>
      <c r="AH1822" t="n">
        <v>7</v>
      </c>
      <c r="AI1822" t="n">
        <v>8</v>
      </c>
      <c r="AJ1822" t="n">
        <v>18</v>
      </c>
      <c r="AK1822" t="n">
        <v>19</v>
      </c>
      <c r="AL1822" t="n">
        <v>5</v>
      </c>
      <c r="AM1822" t="n">
        <v>5</v>
      </c>
      <c r="AN1822" t="n">
        <v>0</v>
      </c>
      <c r="AO1822" t="n">
        <v>0</v>
      </c>
      <c r="AP1822" t="inlineStr">
        <is>
          <t>No</t>
        </is>
      </c>
      <c r="AQ1822" t="inlineStr">
        <is>
          <t>No</t>
        </is>
      </c>
      <c r="AS1822">
        <f>HYPERLINK("https://creighton-primo.hosted.exlibrisgroup.com/primo-explore/search?tab=default_tab&amp;search_scope=EVERYTHING&amp;vid=01CRU&amp;lang=en_US&amp;offset=0&amp;query=any,contains,991005211969702656","Catalog Record")</f>
        <v/>
      </c>
      <c r="AT1822">
        <f>HYPERLINK("http://www.worldcat.org/oclc/8169994","WorldCat Record")</f>
        <v/>
      </c>
      <c r="AU1822" t="inlineStr">
        <is>
          <t>4958347:eng</t>
        </is>
      </c>
      <c r="AV1822" t="inlineStr">
        <is>
          <t>8169994</t>
        </is>
      </c>
      <c r="AW1822" t="inlineStr">
        <is>
          <t>991005211969702656</t>
        </is>
      </c>
      <c r="AX1822" t="inlineStr">
        <is>
          <t>991005211969702656</t>
        </is>
      </c>
      <c r="AY1822" t="inlineStr">
        <is>
          <t>2269605320002656</t>
        </is>
      </c>
      <c r="AZ1822" t="inlineStr">
        <is>
          <t>BOOK</t>
        </is>
      </c>
      <c r="BB1822" t="inlineStr">
        <is>
          <t>9780300026979</t>
        </is>
      </c>
      <c r="BC1822" t="inlineStr">
        <is>
          <t>32285000337880</t>
        </is>
      </c>
      <c r="BD1822" t="inlineStr">
        <is>
          <t>893783211</t>
        </is>
      </c>
    </row>
    <row r="1823">
      <c r="A1823" t="inlineStr">
        <is>
          <t>No</t>
        </is>
      </c>
      <c r="B1823" t="inlineStr">
        <is>
          <t>DS68 .L8 1968</t>
        </is>
      </c>
      <c r="C1823" t="inlineStr">
        <is>
          <t>0                      DS 0068000L  8           1968</t>
        </is>
      </c>
      <c r="D1823" t="inlineStr">
        <is>
          <t>Ancient records of Assyria and Babylonia.</t>
        </is>
      </c>
      <c r="E1823" t="inlineStr">
        <is>
          <t>V.2</t>
        </is>
      </c>
      <c r="F1823" t="inlineStr">
        <is>
          <t>Yes</t>
        </is>
      </c>
      <c r="G1823" t="inlineStr">
        <is>
          <t>1</t>
        </is>
      </c>
      <c r="H1823" t="inlineStr">
        <is>
          <t>No</t>
        </is>
      </c>
      <c r="I1823" t="inlineStr">
        <is>
          <t>No</t>
        </is>
      </c>
      <c r="J1823" t="inlineStr">
        <is>
          <t>0</t>
        </is>
      </c>
      <c r="K1823" t="inlineStr">
        <is>
          <t>Luckenbill, Daniel David, 1881-1927.</t>
        </is>
      </c>
      <c r="L1823" t="inlineStr">
        <is>
          <t>New York, Greenwood Press [1968, c1926]</t>
        </is>
      </c>
      <c r="M1823" t="inlineStr">
        <is>
          <t>1968</t>
        </is>
      </c>
      <c r="O1823" t="inlineStr">
        <is>
          <t>eng</t>
        </is>
      </c>
      <c r="P1823" t="inlineStr">
        <is>
          <t>nyu</t>
        </is>
      </c>
      <c r="R1823" t="inlineStr">
        <is>
          <t xml:space="preserve">DS </t>
        </is>
      </c>
      <c r="S1823" t="n">
        <v>4</v>
      </c>
      <c r="T1823" t="n">
        <v>9</v>
      </c>
      <c r="U1823" t="inlineStr">
        <is>
          <t>2006-11-05</t>
        </is>
      </c>
      <c r="V1823" t="inlineStr">
        <is>
          <t>2006-11-05</t>
        </is>
      </c>
      <c r="W1823" t="inlineStr">
        <is>
          <t>1997-02-24</t>
        </is>
      </c>
      <c r="X1823" t="inlineStr">
        <is>
          <t>1997-02-24</t>
        </is>
      </c>
      <c r="Y1823" t="n">
        <v>338</v>
      </c>
      <c r="Z1823" t="n">
        <v>295</v>
      </c>
      <c r="AA1823" t="n">
        <v>299</v>
      </c>
      <c r="AB1823" t="n">
        <v>4</v>
      </c>
      <c r="AC1823" t="n">
        <v>4</v>
      </c>
      <c r="AD1823" t="n">
        <v>7</v>
      </c>
      <c r="AE1823" t="n">
        <v>7</v>
      </c>
      <c r="AF1823" t="n">
        <v>2</v>
      </c>
      <c r="AG1823" t="n">
        <v>2</v>
      </c>
      <c r="AH1823" t="n">
        <v>1</v>
      </c>
      <c r="AI1823" t="n">
        <v>1</v>
      </c>
      <c r="AJ1823" t="n">
        <v>4</v>
      </c>
      <c r="AK1823" t="n">
        <v>4</v>
      </c>
      <c r="AL1823" t="n">
        <v>2</v>
      </c>
      <c r="AM1823" t="n">
        <v>2</v>
      </c>
      <c r="AN1823" t="n">
        <v>0</v>
      </c>
      <c r="AO1823" t="n">
        <v>0</v>
      </c>
      <c r="AP1823" t="inlineStr">
        <is>
          <t>No</t>
        </is>
      </c>
      <c r="AQ1823" t="inlineStr">
        <is>
          <t>Yes</t>
        </is>
      </c>
      <c r="AR1823">
        <f>HYPERLINK("http://catalog.hathitrust.org/Record/007124035","HathiTrust Record")</f>
        <v/>
      </c>
      <c r="AS1823">
        <f>HYPERLINK("https://creighton-primo.hosted.exlibrisgroup.com/primo-explore/search?tab=default_tab&amp;search_scope=EVERYTHING&amp;vid=01CRU&amp;lang=en_US&amp;offset=0&amp;query=any,contains,991005435179702656","Catalog Record")</f>
        <v/>
      </c>
      <c r="AT1823">
        <f>HYPERLINK("http://www.worldcat.org/oclc/2845","WorldCat Record")</f>
        <v/>
      </c>
      <c r="AU1823" t="inlineStr">
        <is>
          <t>5579916093:eng</t>
        </is>
      </c>
      <c r="AV1823" t="inlineStr">
        <is>
          <t>2845</t>
        </is>
      </c>
      <c r="AW1823" t="inlineStr">
        <is>
          <t>991005435179702656</t>
        </is>
      </c>
      <c r="AX1823" t="inlineStr">
        <is>
          <t>991005435179702656</t>
        </is>
      </c>
      <c r="AY1823" t="inlineStr">
        <is>
          <t>2262892490002656</t>
        </is>
      </c>
      <c r="AZ1823" t="inlineStr">
        <is>
          <t>BOOK</t>
        </is>
      </c>
      <c r="BC1823" t="inlineStr">
        <is>
          <t>32285002460250</t>
        </is>
      </c>
      <c r="BD1823" t="inlineStr">
        <is>
          <t>893620005</t>
        </is>
      </c>
    </row>
    <row r="1824">
      <c r="A1824" t="inlineStr">
        <is>
          <t>No</t>
        </is>
      </c>
      <c r="B1824" t="inlineStr">
        <is>
          <t>DS68 .L8 1968</t>
        </is>
      </c>
      <c r="C1824" t="inlineStr">
        <is>
          <t>0                      DS 0068000L  8           1968</t>
        </is>
      </c>
      <c r="D1824" t="inlineStr">
        <is>
          <t>Ancient records of Assyria and Babylonia.</t>
        </is>
      </c>
      <c r="E1824" t="inlineStr">
        <is>
          <t>V.1</t>
        </is>
      </c>
      <c r="F1824" t="inlineStr">
        <is>
          <t>Yes</t>
        </is>
      </c>
      <c r="G1824" t="inlineStr">
        <is>
          <t>1</t>
        </is>
      </c>
      <c r="H1824" t="inlineStr">
        <is>
          <t>No</t>
        </is>
      </c>
      <c r="I1824" t="inlineStr">
        <is>
          <t>No</t>
        </is>
      </c>
      <c r="J1824" t="inlineStr">
        <is>
          <t>0</t>
        </is>
      </c>
      <c r="K1824" t="inlineStr">
        <is>
          <t>Luckenbill, Daniel David, 1881-1927.</t>
        </is>
      </c>
      <c r="L1824" t="inlineStr">
        <is>
          <t>New York, Greenwood Press [1968, c1926]</t>
        </is>
      </c>
      <c r="M1824" t="inlineStr">
        <is>
          <t>1968</t>
        </is>
      </c>
      <c r="O1824" t="inlineStr">
        <is>
          <t>eng</t>
        </is>
      </c>
      <c r="P1824" t="inlineStr">
        <is>
          <t>nyu</t>
        </is>
      </c>
      <c r="R1824" t="inlineStr">
        <is>
          <t xml:space="preserve">DS </t>
        </is>
      </c>
      <c r="S1824" t="n">
        <v>5</v>
      </c>
      <c r="T1824" t="n">
        <v>9</v>
      </c>
      <c r="U1824" t="inlineStr">
        <is>
          <t>2004-09-09</t>
        </is>
      </c>
      <c r="V1824" t="inlineStr">
        <is>
          <t>2006-11-05</t>
        </is>
      </c>
      <c r="W1824" t="inlineStr">
        <is>
          <t>1997-02-24</t>
        </is>
      </c>
      <c r="X1824" t="inlineStr">
        <is>
          <t>1997-02-24</t>
        </is>
      </c>
      <c r="Y1824" t="n">
        <v>338</v>
      </c>
      <c r="Z1824" t="n">
        <v>295</v>
      </c>
      <c r="AA1824" t="n">
        <v>299</v>
      </c>
      <c r="AB1824" t="n">
        <v>4</v>
      </c>
      <c r="AC1824" t="n">
        <v>4</v>
      </c>
      <c r="AD1824" t="n">
        <v>7</v>
      </c>
      <c r="AE1824" t="n">
        <v>7</v>
      </c>
      <c r="AF1824" t="n">
        <v>2</v>
      </c>
      <c r="AG1824" t="n">
        <v>2</v>
      </c>
      <c r="AH1824" t="n">
        <v>1</v>
      </c>
      <c r="AI1824" t="n">
        <v>1</v>
      </c>
      <c r="AJ1824" t="n">
        <v>4</v>
      </c>
      <c r="AK1824" t="n">
        <v>4</v>
      </c>
      <c r="AL1824" t="n">
        <v>2</v>
      </c>
      <c r="AM1824" t="n">
        <v>2</v>
      </c>
      <c r="AN1824" t="n">
        <v>0</v>
      </c>
      <c r="AO1824" t="n">
        <v>0</v>
      </c>
      <c r="AP1824" t="inlineStr">
        <is>
          <t>No</t>
        </is>
      </c>
      <c r="AQ1824" t="inlineStr">
        <is>
          <t>Yes</t>
        </is>
      </c>
      <c r="AR1824">
        <f>HYPERLINK("http://catalog.hathitrust.org/Record/007124035","HathiTrust Record")</f>
        <v/>
      </c>
      <c r="AS1824">
        <f>HYPERLINK("https://creighton-primo.hosted.exlibrisgroup.com/primo-explore/search?tab=default_tab&amp;search_scope=EVERYTHING&amp;vid=01CRU&amp;lang=en_US&amp;offset=0&amp;query=any,contains,991005435179702656","Catalog Record")</f>
        <v/>
      </c>
      <c r="AT1824">
        <f>HYPERLINK("http://www.worldcat.org/oclc/2845","WorldCat Record")</f>
        <v/>
      </c>
      <c r="AU1824" t="inlineStr">
        <is>
          <t>5579916093:eng</t>
        </is>
      </c>
      <c r="AV1824" t="inlineStr">
        <is>
          <t>2845</t>
        </is>
      </c>
      <c r="AW1824" t="inlineStr">
        <is>
          <t>991005435179702656</t>
        </is>
      </c>
      <c r="AX1824" t="inlineStr">
        <is>
          <t>991005435179702656</t>
        </is>
      </c>
      <c r="AY1824" t="inlineStr">
        <is>
          <t>2262892490002656</t>
        </is>
      </c>
      <c r="AZ1824" t="inlineStr">
        <is>
          <t>BOOK</t>
        </is>
      </c>
      <c r="BC1824" t="inlineStr">
        <is>
          <t>32285002460243</t>
        </is>
      </c>
      <c r="BD1824" t="inlineStr">
        <is>
          <t>893595062</t>
        </is>
      </c>
    </row>
    <row r="1825">
      <c r="A1825" t="inlineStr">
        <is>
          <t>No</t>
        </is>
      </c>
      <c r="B1825" t="inlineStr">
        <is>
          <t>DS682.A1 W6</t>
        </is>
      </c>
      <c r="C1825" t="inlineStr">
        <is>
          <t>0                      DS 0682000A  1                  W  6</t>
        </is>
      </c>
      <c r="D1825" t="inlineStr">
        <is>
          <t>Little brown brother; how the United States purchased and pacified the Philippine Islands at the century's turn.</t>
        </is>
      </c>
      <c r="F1825" t="inlineStr">
        <is>
          <t>No</t>
        </is>
      </c>
      <c r="G1825" t="inlineStr">
        <is>
          <t>1</t>
        </is>
      </c>
      <c r="H1825" t="inlineStr">
        <is>
          <t>No</t>
        </is>
      </c>
      <c r="I1825" t="inlineStr">
        <is>
          <t>No</t>
        </is>
      </c>
      <c r="J1825" t="inlineStr">
        <is>
          <t>0</t>
        </is>
      </c>
      <c r="K1825" t="inlineStr">
        <is>
          <t>Wolff, Leon.</t>
        </is>
      </c>
      <c r="L1825" t="inlineStr">
        <is>
          <t>Garden City, N.Y., Doubleday, 1961.</t>
        </is>
      </c>
      <c r="M1825" t="inlineStr">
        <is>
          <t>1961</t>
        </is>
      </c>
      <c r="N1825" t="inlineStr">
        <is>
          <t>[1st ed.]</t>
        </is>
      </c>
      <c r="O1825" t="inlineStr">
        <is>
          <t>eng</t>
        </is>
      </c>
      <c r="P1825" t="inlineStr">
        <is>
          <t>nyu</t>
        </is>
      </c>
      <c r="R1825" t="inlineStr">
        <is>
          <t xml:space="preserve">DS </t>
        </is>
      </c>
      <c r="S1825" t="n">
        <v>2</v>
      </c>
      <c r="T1825" t="n">
        <v>2</v>
      </c>
      <c r="U1825" t="inlineStr">
        <is>
          <t>2007-09-07</t>
        </is>
      </c>
      <c r="V1825" t="inlineStr">
        <is>
          <t>2007-09-07</t>
        </is>
      </c>
      <c r="W1825" t="inlineStr">
        <is>
          <t>1997-03-11</t>
        </is>
      </c>
      <c r="X1825" t="inlineStr">
        <is>
          <t>1997-03-11</t>
        </is>
      </c>
      <c r="Y1825" t="n">
        <v>608</v>
      </c>
      <c r="Z1825" t="n">
        <v>572</v>
      </c>
      <c r="AA1825" t="n">
        <v>735</v>
      </c>
      <c r="AB1825" t="n">
        <v>5</v>
      </c>
      <c r="AC1825" t="n">
        <v>8</v>
      </c>
      <c r="AD1825" t="n">
        <v>21</v>
      </c>
      <c r="AE1825" t="n">
        <v>25</v>
      </c>
      <c r="AF1825" t="n">
        <v>8</v>
      </c>
      <c r="AG1825" t="n">
        <v>9</v>
      </c>
      <c r="AH1825" t="n">
        <v>5</v>
      </c>
      <c r="AI1825" t="n">
        <v>6</v>
      </c>
      <c r="AJ1825" t="n">
        <v>10</v>
      </c>
      <c r="AK1825" t="n">
        <v>10</v>
      </c>
      <c r="AL1825" t="n">
        <v>2</v>
      </c>
      <c r="AM1825" t="n">
        <v>4</v>
      </c>
      <c r="AN1825" t="n">
        <v>0</v>
      </c>
      <c r="AO1825" t="n">
        <v>0</v>
      </c>
      <c r="AP1825" t="inlineStr">
        <is>
          <t>No</t>
        </is>
      </c>
      <c r="AQ1825" t="inlineStr">
        <is>
          <t>Yes</t>
        </is>
      </c>
      <c r="AR1825">
        <f>HYPERLINK("http://catalog.hathitrust.org/Record/001256976","HathiTrust Record")</f>
        <v/>
      </c>
      <c r="AS1825">
        <f>HYPERLINK("https://creighton-primo.hosted.exlibrisgroup.com/primo-explore/search?tab=default_tab&amp;search_scope=EVERYTHING&amp;vid=01CRU&amp;lang=en_US&amp;offset=0&amp;query=any,contains,991001928729702656","Catalog Record")</f>
        <v/>
      </c>
      <c r="AT1825">
        <f>HYPERLINK("http://www.worldcat.org/oclc/248073","WorldCat Record")</f>
        <v/>
      </c>
      <c r="AU1825" t="inlineStr">
        <is>
          <t>3980136455:eng</t>
        </is>
      </c>
      <c r="AV1825" t="inlineStr">
        <is>
          <t>248073</t>
        </is>
      </c>
      <c r="AW1825" t="inlineStr">
        <is>
          <t>991001928729702656</t>
        </is>
      </c>
      <c r="AX1825" t="inlineStr">
        <is>
          <t>991001928729702656</t>
        </is>
      </c>
      <c r="AY1825" t="inlineStr">
        <is>
          <t>2257764390002656</t>
        </is>
      </c>
      <c r="AZ1825" t="inlineStr">
        <is>
          <t>BOOK</t>
        </is>
      </c>
      <c r="BC1825" t="inlineStr">
        <is>
          <t>32285002445673</t>
        </is>
      </c>
      <c r="BD1825" t="inlineStr">
        <is>
          <t>893879313</t>
        </is>
      </c>
    </row>
    <row r="1826">
      <c r="A1826" t="inlineStr">
        <is>
          <t>No</t>
        </is>
      </c>
      <c r="B1826" t="inlineStr">
        <is>
          <t>DS685 .F6</t>
        </is>
      </c>
      <c r="C1826" t="inlineStr">
        <is>
          <t>0                      DS 0685000F  6</t>
        </is>
      </c>
      <c r="D1826" t="inlineStr">
        <is>
          <t>The Philippine Islands, by W. Cameron Forbes.</t>
        </is>
      </c>
      <c r="E1826" t="inlineStr">
        <is>
          <t>V.2</t>
        </is>
      </c>
      <c r="F1826" t="inlineStr">
        <is>
          <t>Yes</t>
        </is>
      </c>
      <c r="G1826" t="inlineStr">
        <is>
          <t>1</t>
        </is>
      </c>
      <c r="H1826" t="inlineStr">
        <is>
          <t>No</t>
        </is>
      </c>
      <c r="I1826" t="inlineStr">
        <is>
          <t>No</t>
        </is>
      </c>
      <c r="J1826" t="inlineStr">
        <is>
          <t>0</t>
        </is>
      </c>
      <c r="K1826" t="inlineStr">
        <is>
          <t>Forbes, W. Cameron (William Cameron), 1870-1959.</t>
        </is>
      </c>
      <c r="L1826" t="inlineStr">
        <is>
          <t>Boston, New York, Houghton Mifflin company, 1928.</t>
        </is>
      </c>
      <c r="M1826" t="inlineStr">
        <is>
          <t>1928</t>
        </is>
      </c>
      <c r="O1826" t="inlineStr">
        <is>
          <t>eng</t>
        </is>
      </c>
      <c r="P1826" t="inlineStr">
        <is>
          <t>mau</t>
        </is>
      </c>
      <c r="R1826" t="inlineStr">
        <is>
          <t xml:space="preserve">DS </t>
        </is>
      </c>
      <c r="S1826" t="n">
        <v>0</v>
      </c>
      <c r="T1826" t="n">
        <v>1</v>
      </c>
      <c r="V1826" t="inlineStr">
        <is>
          <t>2005-01-26</t>
        </is>
      </c>
      <c r="W1826" t="inlineStr">
        <is>
          <t>1997-03-11</t>
        </is>
      </c>
      <c r="X1826" t="inlineStr">
        <is>
          <t>1997-03-11</t>
        </is>
      </c>
      <c r="Y1826" t="n">
        <v>386</v>
      </c>
      <c r="Z1826" t="n">
        <v>334</v>
      </c>
      <c r="AA1826" t="n">
        <v>338</v>
      </c>
      <c r="AB1826" t="n">
        <v>5</v>
      </c>
      <c r="AC1826" t="n">
        <v>5</v>
      </c>
      <c r="AD1826" t="n">
        <v>12</v>
      </c>
      <c r="AE1826" t="n">
        <v>12</v>
      </c>
      <c r="AF1826" t="n">
        <v>2</v>
      </c>
      <c r="AG1826" t="n">
        <v>2</v>
      </c>
      <c r="AH1826" t="n">
        <v>2</v>
      </c>
      <c r="AI1826" t="n">
        <v>2</v>
      </c>
      <c r="AJ1826" t="n">
        <v>4</v>
      </c>
      <c r="AK1826" t="n">
        <v>4</v>
      </c>
      <c r="AL1826" t="n">
        <v>4</v>
      </c>
      <c r="AM1826" t="n">
        <v>4</v>
      </c>
      <c r="AN1826" t="n">
        <v>0</v>
      </c>
      <c r="AO1826" t="n">
        <v>0</v>
      </c>
      <c r="AP1826" t="inlineStr">
        <is>
          <t>No</t>
        </is>
      </c>
      <c r="AQ1826" t="inlineStr">
        <is>
          <t>Yes</t>
        </is>
      </c>
      <c r="AR1826">
        <f>HYPERLINK("http://catalog.hathitrust.org/Record/001256991","HathiTrust Record")</f>
        <v/>
      </c>
      <c r="AS1826">
        <f>HYPERLINK("https://creighton-primo.hosted.exlibrisgroup.com/primo-explore/search?tab=default_tab&amp;search_scope=EVERYTHING&amp;vid=01CRU&amp;lang=en_US&amp;offset=0&amp;query=any,contains,991003917039702656","Catalog Record")</f>
        <v/>
      </c>
      <c r="AT1826">
        <f>HYPERLINK("http://www.worldcat.org/oclc/1863181","WorldCat Record")</f>
        <v/>
      </c>
      <c r="AU1826" t="inlineStr">
        <is>
          <t>10678220816:eng</t>
        </is>
      </c>
      <c r="AV1826" t="inlineStr">
        <is>
          <t>1863181</t>
        </is>
      </c>
      <c r="AW1826" t="inlineStr">
        <is>
          <t>991003917039702656</t>
        </is>
      </c>
      <c r="AX1826" t="inlineStr">
        <is>
          <t>991003917039702656</t>
        </is>
      </c>
      <c r="AY1826" t="inlineStr">
        <is>
          <t>2263102910002656</t>
        </is>
      </c>
      <c r="AZ1826" t="inlineStr">
        <is>
          <t>BOOK</t>
        </is>
      </c>
      <c r="BC1826" t="inlineStr">
        <is>
          <t>32285002445707</t>
        </is>
      </c>
      <c r="BD1826" t="inlineStr">
        <is>
          <t>893781632</t>
        </is>
      </c>
    </row>
    <row r="1827">
      <c r="A1827" t="inlineStr">
        <is>
          <t>No</t>
        </is>
      </c>
      <c r="B1827" t="inlineStr">
        <is>
          <t>DS685 .F6</t>
        </is>
      </c>
      <c r="C1827" t="inlineStr">
        <is>
          <t>0                      DS 0685000F  6</t>
        </is>
      </c>
      <c r="D1827" t="inlineStr">
        <is>
          <t>The Philippine Islands, by W. Cameron Forbes.</t>
        </is>
      </c>
      <c r="E1827" t="inlineStr">
        <is>
          <t>V.1</t>
        </is>
      </c>
      <c r="F1827" t="inlineStr">
        <is>
          <t>Yes</t>
        </is>
      </c>
      <c r="G1827" t="inlineStr">
        <is>
          <t>1</t>
        </is>
      </c>
      <c r="H1827" t="inlineStr">
        <is>
          <t>No</t>
        </is>
      </c>
      <c r="I1827" t="inlineStr">
        <is>
          <t>No</t>
        </is>
      </c>
      <c r="J1827" t="inlineStr">
        <is>
          <t>0</t>
        </is>
      </c>
      <c r="K1827" t="inlineStr">
        <is>
          <t>Forbes, W. Cameron (William Cameron), 1870-1959.</t>
        </is>
      </c>
      <c r="L1827" t="inlineStr">
        <is>
          <t>Boston, New York, Houghton Mifflin company, 1928.</t>
        </is>
      </c>
      <c r="M1827" t="inlineStr">
        <is>
          <t>1928</t>
        </is>
      </c>
      <c r="O1827" t="inlineStr">
        <is>
          <t>eng</t>
        </is>
      </c>
      <c r="P1827" t="inlineStr">
        <is>
          <t>mau</t>
        </is>
      </c>
      <c r="R1827" t="inlineStr">
        <is>
          <t xml:space="preserve">DS </t>
        </is>
      </c>
      <c r="S1827" t="n">
        <v>1</v>
      </c>
      <c r="T1827" t="n">
        <v>1</v>
      </c>
      <c r="U1827" t="inlineStr">
        <is>
          <t>2005-01-26</t>
        </is>
      </c>
      <c r="V1827" t="inlineStr">
        <is>
          <t>2005-01-26</t>
        </is>
      </c>
      <c r="W1827" t="inlineStr">
        <is>
          <t>1997-03-11</t>
        </is>
      </c>
      <c r="X1827" t="inlineStr">
        <is>
          <t>1997-03-11</t>
        </is>
      </c>
      <c r="Y1827" t="n">
        <v>386</v>
      </c>
      <c r="Z1827" t="n">
        <v>334</v>
      </c>
      <c r="AA1827" t="n">
        <v>338</v>
      </c>
      <c r="AB1827" t="n">
        <v>5</v>
      </c>
      <c r="AC1827" t="n">
        <v>5</v>
      </c>
      <c r="AD1827" t="n">
        <v>12</v>
      </c>
      <c r="AE1827" t="n">
        <v>12</v>
      </c>
      <c r="AF1827" t="n">
        <v>2</v>
      </c>
      <c r="AG1827" t="n">
        <v>2</v>
      </c>
      <c r="AH1827" t="n">
        <v>2</v>
      </c>
      <c r="AI1827" t="n">
        <v>2</v>
      </c>
      <c r="AJ1827" t="n">
        <v>4</v>
      </c>
      <c r="AK1827" t="n">
        <v>4</v>
      </c>
      <c r="AL1827" t="n">
        <v>4</v>
      </c>
      <c r="AM1827" t="n">
        <v>4</v>
      </c>
      <c r="AN1827" t="n">
        <v>0</v>
      </c>
      <c r="AO1827" t="n">
        <v>0</v>
      </c>
      <c r="AP1827" t="inlineStr">
        <is>
          <t>No</t>
        </is>
      </c>
      <c r="AQ1827" t="inlineStr">
        <is>
          <t>Yes</t>
        </is>
      </c>
      <c r="AR1827">
        <f>HYPERLINK("http://catalog.hathitrust.org/Record/001256991","HathiTrust Record")</f>
        <v/>
      </c>
      <c r="AS1827">
        <f>HYPERLINK("https://creighton-primo.hosted.exlibrisgroup.com/primo-explore/search?tab=default_tab&amp;search_scope=EVERYTHING&amp;vid=01CRU&amp;lang=en_US&amp;offset=0&amp;query=any,contains,991003917039702656","Catalog Record")</f>
        <v/>
      </c>
      <c r="AT1827">
        <f>HYPERLINK("http://www.worldcat.org/oclc/1863181","WorldCat Record")</f>
        <v/>
      </c>
      <c r="AU1827" t="inlineStr">
        <is>
          <t>10678220816:eng</t>
        </is>
      </c>
      <c r="AV1827" t="inlineStr">
        <is>
          <t>1863181</t>
        </is>
      </c>
      <c r="AW1827" t="inlineStr">
        <is>
          <t>991003917039702656</t>
        </is>
      </c>
      <c r="AX1827" t="inlineStr">
        <is>
          <t>991003917039702656</t>
        </is>
      </c>
      <c r="AY1827" t="inlineStr">
        <is>
          <t>2263102910002656</t>
        </is>
      </c>
      <c r="AZ1827" t="inlineStr">
        <is>
          <t>BOOK</t>
        </is>
      </c>
      <c r="BC1827" t="inlineStr">
        <is>
          <t>32285002445699</t>
        </is>
      </c>
      <c r="BD1827" t="inlineStr">
        <is>
          <t>893800367</t>
        </is>
      </c>
    </row>
    <row r="1828">
      <c r="A1828" t="inlineStr">
        <is>
          <t>No</t>
        </is>
      </c>
      <c r="B1828" t="inlineStr">
        <is>
          <t>DS685 .G75 1973</t>
        </is>
      </c>
      <c r="C1828" t="inlineStr">
        <is>
          <t>0                      DS 0685000G  75          1973</t>
        </is>
      </c>
      <c r="D1828" t="inlineStr">
        <is>
          <t>The Philippines and the United States / by Garel A. Grunder and William E. Livezey.</t>
        </is>
      </c>
      <c r="F1828" t="inlineStr">
        <is>
          <t>No</t>
        </is>
      </c>
      <c r="G1828" t="inlineStr">
        <is>
          <t>1</t>
        </is>
      </c>
      <c r="H1828" t="inlineStr">
        <is>
          <t>No</t>
        </is>
      </c>
      <c r="I1828" t="inlineStr">
        <is>
          <t>No</t>
        </is>
      </c>
      <c r="J1828" t="inlineStr">
        <is>
          <t>0</t>
        </is>
      </c>
      <c r="K1828" t="inlineStr">
        <is>
          <t>Grunder, Garel A.</t>
        </is>
      </c>
      <c r="L1828" t="inlineStr">
        <is>
          <t>Westport, Conn. : Greenwood Press, [1973, c1951]</t>
        </is>
      </c>
      <c r="M1828" t="inlineStr">
        <is>
          <t>1973</t>
        </is>
      </c>
      <c r="O1828" t="inlineStr">
        <is>
          <t>eng</t>
        </is>
      </c>
      <c r="P1828" t="inlineStr">
        <is>
          <t>ctu</t>
        </is>
      </c>
      <c r="R1828" t="inlineStr">
        <is>
          <t xml:space="preserve">DS </t>
        </is>
      </c>
      <c r="S1828" t="n">
        <v>5</v>
      </c>
      <c r="T1828" t="n">
        <v>5</v>
      </c>
      <c r="U1828" t="inlineStr">
        <is>
          <t>1998-02-11</t>
        </is>
      </c>
      <c r="V1828" t="inlineStr">
        <is>
          <t>1998-02-11</t>
        </is>
      </c>
      <c r="W1828" t="inlineStr">
        <is>
          <t>1990-05-18</t>
        </is>
      </c>
      <c r="X1828" t="inlineStr">
        <is>
          <t>1990-05-18</t>
        </is>
      </c>
      <c r="Y1828" t="n">
        <v>83</v>
      </c>
      <c r="Z1828" t="n">
        <v>63</v>
      </c>
      <c r="AA1828" t="n">
        <v>516</v>
      </c>
      <c r="AB1828" t="n">
        <v>1</v>
      </c>
      <c r="AC1828" t="n">
        <v>4</v>
      </c>
      <c r="AD1828" t="n">
        <v>2</v>
      </c>
      <c r="AE1828" t="n">
        <v>29</v>
      </c>
      <c r="AF1828" t="n">
        <v>1</v>
      </c>
      <c r="AG1828" t="n">
        <v>9</v>
      </c>
      <c r="AH1828" t="n">
        <v>0</v>
      </c>
      <c r="AI1828" t="n">
        <v>8</v>
      </c>
      <c r="AJ1828" t="n">
        <v>2</v>
      </c>
      <c r="AK1828" t="n">
        <v>16</v>
      </c>
      <c r="AL1828" t="n">
        <v>0</v>
      </c>
      <c r="AM1828" t="n">
        <v>3</v>
      </c>
      <c r="AN1828" t="n">
        <v>0</v>
      </c>
      <c r="AO1828" t="n">
        <v>1</v>
      </c>
      <c r="AP1828" t="inlineStr">
        <is>
          <t>No</t>
        </is>
      </c>
      <c r="AQ1828" t="inlineStr">
        <is>
          <t>Yes</t>
        </is>
      </c>
      <c r="AR1828">
        <f>HYPERLINK("http://catalog.hathitrust.org/Record/007531270","HathiTrust Record")</f>
        <v/>
      </c>
      <c r="AS1828">
        <f>HYPERLINK("https://creighton-primo.hosted.exlibrisgroup.com/primo-explore/search?tab=default_tab&amp;search_scope=EVERYTHING&amp;vid=01CRU&amp;lang=en_US&amp;offset=0&amp;query=any,contains,991003032579702656","Catalog Record")</f>
        <v/>
      </c>
      <c r="AT1828">
        <f>HYPERLINK("http://www.worldcat.org/oclc/595313","WorldCat Record")</f>
        <v/>
      </c>
      <c r="AU1828" t="inlineStr">
        <is>
          <t>1457815:eng</t>
        </is>
      </c>
      <c r="AV1828" t="inlineStr">
        <is>
          <t>595313</t>
        </is>
      </c>
      <c r="AW1828" t="inlineStr">
        <is>
          <t>991003032579702656</t>
        </is>
      </c>
      <c r="AX1828" t="inlineStr">
        <is>
          <t>991003032579702656</t>
        </is>
      </c>
      <c r="AY1828" t="inlineStr">
        <is>
          <t>2272286920002656</t>
        </is>
      </c>
      <c r="AZ1828" t="inlineStr">
        <is>
          <t>BOOK</t>
        </is>
      </c>
      <c r="BB1828" t="inlineStr">
        <is>
          <t>9780837167312</t>
        </is>
      </c>
      <c r="BC1828" t="inlineStr">
        <is>
          <t>32285000155126</t>
        </is>
      </c>
      <c r="BD1828" t="inlineStr">
        <is>
          <t>893317588</t>
        </is>
      </c>
    </row>
    <row r="1829">
      <c r="A1829" t="inlineStr">
        <is>
          <t>No</t>
        </is>
      </c>
      <c r="B1829" t="inlineStr">
        <is>
          <t>DS685 .H3</t>
        </is>
      </c>
      <c r="C1829" t="inlineStr">
        <is>
          <t>0                      DS 0685000H  3</t>
        </is>
      </c>
      <c r="D1829" t="inlineStr">
        <is>
          <t>The corner-stone of Philippine independence.</t>
        </is>
      </c>
      <c r="F1829" t="inlineStr">
        <is>
          <t>No</t>
        </is>
      </c>
      <c r="G1829" t="inlineStr">
        <is>
          <t>1</t>
        </is>
      </c>
      <c r="H1829" t="inlineStr">
        <is>
          <t>No</t>
        </is>
      </c>
      <c r="I1829" t="inlineStr">
        <is>
          <t>No</t>
        </is>
      </c>
      <c r="J1829" t="inlineStr">
        <is>
          <t>0</t>
        </is>
      </c>
      <c r="K1829" t="inlineStr">
        <is>
          <t>Harrison, Francis Burton, 1873-1957.</t>
        </is>
      </c>
      <c r="L1829" t="inlineStr">
        <is>
          <t>New York : The Century co., 1922.</t>
        </is>
      </c>
      <c r="M1829" t="inlineStr">
        <is>
          <t>1922</t>
        </is>
      </c>
      <c r="O1829" t="inlineStr">
        <is>
          <t>eng</t>
        </is>
      </c>
      <c r="P1829" t="inlineStr">
        <is>
          <t xml:space="preserve">xx </t>
        </is>
      </c>
      <c r="R1829" t="inlineStr">
        <is>
          <t xml:space="preserve">DS </t>
        </is>
      </c>
      <c r="S1829" t="n">
        <v>3</v>
      </c>
      <c r="T1829" t="n">
        <v>3</v>
      </c>
      <c r="U1829" t="inlineStr">
        <is>
          <t>1996-04-09</t>
        </is>
      </c>
      <c r="V1829" t="inlineStr">
        <is>
          <t>1996-04-09</t>
        </is>
      </c>
      <c r="W1829" t="inlineStr">
        <is>
          <t>1990-05-18</t>
        </is>
      </c>
      <c r="X1829" t="inlineStr">
        <is>
          <t>1990-05-18</t>
        </is>
      </c>
      <c r="Y1829" t="n">
        <v>239</v>
      </c>
      <c r="Z1829" t="n">
        <v>213</v>
      </c>
      <c r="AA1829" t="n">
        <v>351</v>
      </c>
      <c r="AB1829" t="n">
        <v>4</v>
      </c>
      <c r="AC1829" t="n">
        <v>5</v>
      </c>
      <c r="AD1829" t="n">
        <v>10</v>
      </c>
      <c r="AE1829" t="n">
        <v>20</v>
      </c>
      <c r="AF1829" t="n">
        <v>3</v>
      </c>
      <c r="AG1829" t="n">
        <v>6</v>
      </c>
      <c r="AH1829" t="n">
        <v>0</v>
      </c>
      <c r="AI1829" t="n">
        <v>3</v>
      </c>
      <c r="AJ1829" t="n">
        <v>5</v>
      </c>
      <c r="AK1829" t="n">
        <v>5</v>
      </c>
      <c r="AL1829" t="n">
        <v>3</v>
      </c>
      <c r="AM1829" t="n">
        <v>3</v>
      </c>
      <c r="AN1829" t="n">
        <v>0</v>
      </c>
      <c r="AO1829" t="n">
        <v>5</v>
      </c>
      <c r="AP1829" t="inlineStr">
        <is>
          <t>Yes</t>
        </is>
      </c>
      <c r="AQ1829" t="inlineStr">
        <is>
          <t>No</t>
        </is>
      </c>
      <c r="AR1829">
        <f>HYPERLINK("http://catalog.hathitrust.org/Record/001256997","HathiTrust Record")</f>
        <v/>
      </c>
      <c r="AS1829">
        <f>HYPERLINK("https://creighton-primo.hosted.exlibrisgroup.com/primo-explore/search?tab=default_tab&amp;search_scope=EVERYTHING&amp;vid=01CRU&amp;lang=en_US&amp;offset=0&amp;query=any,contains,991002716379702656","Catalog Record")</f>
        <v/>
      </c>
      <c r="AT1829">
        <f>HYPERLINK("http://www.worldcat.org/oclc/411378","WorldCat Record")</f>
        <v/>
      </c>
      <c r="AU1829" t="inlineStr">
        <is>
          <t>431696082:eng</t>
        </is>
      </c>
      <c r="AV1829" t="inlineStr">
        <is>
          <t>411378</t>
        </is>
      </c>
      <c r="AW1829" t="inlineStr">
        <is>
          <t>991002716379702656</t>
        </is>
      </c>
      <c r="AX1829" t="inlineStr">
        <is>
          <t>991002716379702656</t>
        </is>
      </c>
      <c r="AY1829" t="inlineStr">
        <is>
          <t>2265057960002656</t>
        </is>
      </c>
      <c r="AZ1829" t="inlineStr">
        <is>
          <t>BOOK</t>
        </is>
      </c>
      <c r="BC1829" t="inlineStr">
        <is>
          <t>32285000155068</t>
        </is>
      </c>
      <c r="BD1829" t="inlineStr">
        <is>
          <t>893530363</t>
        </is>
      </c>
    </row>
    <row r="1830">
      <c r="A1830" t="inlineStr">
        <is>
          <t>No</t>
        </is>
      </c>
      <c r="B1830" t="inlineStr">
        <is>
          <t>DS685 .M3</t>
        </is>
      </c>
      <c r="C1830" t="inlineStr">
        <is>
          <t>0                      DS 0685000M  3</t>
        </is>
      </c>
      <c r="D1830" t="inlineStr">
        <is>
          <t>The isles of fear; the truth about the Philippines, by Katherine Mayo, illustrated from photographs.</t>
        </is>
      </c>
      <c r="F1830" t="inlineStr">
        <is>
          <t>No</t>
        </is>
      </c>
      <c r="G1830" t="inlineStr">
        <is>
          <t>1</t>
        </is>
      </c>
      <c r="H1830" t="inlineStr">
        <is>
          <t>No</t>
        </is>
      </c>
      <c r="I1830" t="inlineStr">
        <is>
          <t>No</t>
        </is>
      </c>
      <c r="J1830" t="inlineStr">
        <is>
          <t>0</t>
        </is>
      </c>
      <c r="K1830" t="inlineStr">
        <is>
          <t>Mayo, Katherine, 1868?-1940.</t>
        </is>
      </c>
      <c r="L1830" t="inlineStr">
        <is>
          <t>New York, Harcourt, Brace and company [c1925]</t>
        </is>
      </c>
      <c r="M1830" t="inlineStr">
        <is>
          <t>1925</t>
        </is>
      </c>
      <c r="O1830" t="inlineStr">
        <is>
          <t>eng</t>
        </is>
      </c>
      <c r="P1830" t="inlineStr">
        <is>
          <t xml:space="preserve">xx </t>
        </is>
      </c>
      <c r="R1830" t="inlineStr">
        <is>
          <t xml:space="preserve">DS </t>
        </is>
      </c>
      <c r="S1830" t="n">
        <v>0</v>
      </c>
      <c r="T1830" t="n">
        <v>0</v>
      </c>
      <c r="U1830" t="inlineStr">
        <is>
          <t>2001-06-26</t>
        </is>
      </c>
      <c r="V1830" t="inlineStr">
        <is>
          <t>2001-06-26</t>
        </is>
      </c>
      <c r="W1830" t="inlineStr">
        <is>
          <t>1997-03-11</t>
        </is>
      </c>
      <c r="X1830" t="inlineStr">
        <is>
          <t>1997-03-11</t>
        </is>
      </c>
      <c r="Y1830" t="n">
        <v>270</v>
      </c>
      <c r="Z1830" t="n">
        <v>243</v>
      </c>
      <c r="AA1830" t="n">
        <v>258</v>
      </c>
      <c r="AB1830" t="n">
        <v>2</v>
      </c>
      <c r="AC1830" t="n">
        <v>2</v>
      </c>
      <c r="AD1830" t="n">
        <v>8</v>
      </c>
      <c r="AE1830" t="n">
        <v>9</v>
      </c>
      <c r="AF1830" t="n">
        <v>3</v>
      </c>
      <c r="AG1830" t="n">
        <v>3</v>
      </c>
      <c r="AH1830" t="n">
        <v>3</v>
      </c>
      <c r="AI1830" t="n">
        <v>4</v>
      </c>
      <c r="AJ1830" t="n">
        <v>4</v>
      </c>
      <c r="AK1830" t="n">
        <v>4</v>
      </c>
      <c r="AL1830" t="n">
        <v>1</v>
      </c>
      <c r="AM1830" t="n">
        <v>1</v>
      </c>
      <c r="AN1830" t="n">
        <v>0</v>
      </c>
      <c r="AO1830" t="n">
        <v>0</v>
      </c>
      <c r="AP1830" t="inlineStr">
        <is>
          <t>Yes</t>
        </is>
      </c>
      <c r="AQ1830" t="inlineStr">
        <is>
          <t>No</t>
        </is>
      </c>
      <c r="AR1830">
        <f>HYPERLINK("http://catalog.hathitrust.org/Record/001257009","HathiTrust Record")</f>
        <v/>
      </c>
      <c r="AS1830">
        <f>HYPERLINK("https://creighton-primo.hosted.exlibrisgroup.com/primo-explore/search?tab=default_tab&amp;search_scope=EVERYTHING&amp;vid=01CRU&amp;lang=en_US&amp;offset=0&amp;query=any,contains,991003103139702656","Catalog Record")</f>
        <v/>
      </c>
      <c r="AT1830">
        <f>HYPERLINK("http://www.worldcat.org/oclc/652425","WorldCat Record")</f>
        <v/>
      </c>
      <c r="AU1830" t="inlineStr">
        <is>
          <t>36159163:eng</t>
        </is>
      </c>
      <c r="AV1830" t="inlineStr">
        <is>
          <t>652425</t>
        </is>
      </c>
      <c r="AW1830" t="inlineStr">
        <is>
          <t>991003103139702656</t>
        </is>
      </c>
      <c r="AX1830" t="inlineStr">
        <is>
          <t>991003103139702656</t>
        </is>
      </c>
      <c r="AY1830" t="inlineStr">
        <is>
          <t>2262782890002656</t>
        </is>
      </c>
      <c r="AZ1830" t="inlineStr">
        <is>
          <t>BOOK</t>
        </is>
      </c>
      <c r="BC1830" t="inlineStr">
        <is>
          <t>32285002445715</t>
        </is>
      </c>
      <c r="BD1830" t="inlineStr">
        <is>
          <t>893416041</t>
        </is>
      </c>
    </row>
    <row r="1831">
      <c r="A1831" t="inlineStr">
        <is>
          <t>No</t>
        </is>
      </c>
      <c r="B1831" t="inlineStr">
        <is>
          <t>DS685 .R74</t>
        </is>
      </c>
      <c r="C1831" t="inlineStr">
        <is>
          <t>0                      DS 0685000R  74</t>
        </is>
      </c>
      <c r="D1831" t="inlineStr">
        <is>
          <t>Muddy glory : America's "Indian wars" in the Philippines, 1899-1935 / by Russell Roth.</t>
        </is>
      </c>
      <c r="F1831" t="inlineStr">
        <is>
          <t>No</t>
        </is>
      </c>
      <c r="G1831" t="inlineStr">
        <is>
          <t>1</t>
        </is>
      </c>
      <c r="H1831" t="inlineStr">
        <is>
          <t>No</t>
        </is>
      </c>
      <c r="I1831" t="inlineStr">
        <is>
          <t>No</t>
        </is>
      </c>
      <c r="J1831" t="inlineStr">
        <is>
          <t>0</t>
        </is>
      </c>
      <c r="K1831" t="inlineStr">
        <is>
          <t>Roth, Russell.</t>
        </is>
      </c>
      <c r="L1831" t="inlineStr">
        <is>
          <t>W. Hanover, Mass. : Christopher Pub. House, c1981.</t>
        </is>
      </c>
      <c r="M1831" t="inlineStr">
        <is>
          <t>1981</t>
        </is>
      </c>
      <c r="O1831" t="inlineStr">
        <is>
          <t>eng</t>
        </is>
      </c>
      <c r="P1831" t="inlineStr">
        <is>
          <t>mau</t>
        </is>
      </c>
      <c r="R1831" t="inlineStr">
        <is>
          <t xml:space="preserve">DS </t>
        </is>
      </c>
      <c r="S1831" t="n">
        <v>2</v>
      </c>
      <c r="T1831" t="n">
        <v>2</v>
      </c>
      <c r="U1831" t="inlineStr">
        <is>
          <t>1993-04-16</t>
        </is>
      </c>
      <c r="V1831" t="inlineStr">
        <is>
          <t>1993-04-16</t>
        </is>
      </c>
      <c r="W1831" t="inlineStr">
        <is>
          <t>1990-10-11</t>
        </is>
      </c>
      <c r="X1831" t="inlineStr">
        <is>
          <t>1990-10-11</t>
        </is>
      </c>
      <c r="Y1831" t="n">
        <v>204</v>
      </c>
      <c r="Z1831" t="n">
        <v>168</v>
      </c>
      <c r="AA1831" t="n">
        <v>170</v>
      </c>
      <c r="AB1831" t="n">
        <v>2</v>
      </c>
      <c r="AC1831" t="n">
        <v>2</v>
      </c>
      <c r="AD1831" t="n">
        <v>7</v>
      </c>
      <c r="AE1831" t="n">
        <v>7</v>
      </c>
      <c r="AF1831" t="n">
        <v>2</v>
      </c>
      <c r="AG1831" t="n">
        <v>2</v>
      </c>
      <c r="AH1831" t="n">
        <v>2</v>
      </c>
      <c r="AI1831" t="n">
        <v>2</v>
      </c>
      <c r="AJ1831" t="n">
        <v>4</v>
      </c>
      <c r="AK1831" t="n">
        <v>4</v>
      </c>
      <c r="AL1831" t="n">
        <v>1</v>
      </c>
      <c r="AM1831" t="n">
        <v>1</v>
      </c>
      <c r="AN1831" t="n">
        <v>0</v>
      </c>
      <c r="AO1831" t="n">
        <v>0</v>
      </c>
      <c r="AP1831" t="inlineStr">
        <is>
          <t>No</t>
        </is>
      </c>
      <c r="AQ1831" t="inlineStr">
        <is>
          <t>Yes</t>
        </is>
      </c>
      <c r="AR1831">
        <f>HYPERLINK("http://catalog.hathitrust.org/Record/000145274","HathiTrust Record")</f>
        <v/>
      </c>
      <c r="AS1831">
        <f>HYPERLINK("https://creighton-primo.hosted.exlibrisgroup.com/primo-explore/search?tab=default_tab&amp;search_scope=EVERYTHING&amp;vid=01CRU&amp;lang=en_US&amp;offset=0&amp;query=any,contains,991005118959702656","Catalog Record")</f>
        <v/>
      </c>
      <c r="AT1831">
        <f>HYPERLINK("http://www.worldcat.org/oclc/7475676","WorldCat Record")</f>
        <v/>
      </c>
      <c r="AU1831" t="inlineStr">
        <is>
          <t>43362958:eng</t>
        </is>
      </c>
      <c r="AV1831" t="inlineStr">
        <is>
          <t>7475676</t>
        </is>
      </c>
      <c r="AW1831" t="inlineStr">
        <is>
          <t>991005118959702656</t>
        </is>
      </c>
      <c r="AX1831" t="inlineStr">
        <is>
          <t>991005118959702656</t>
        </is>
      </c>
      <c r="AY1831" t="inlineStr">
        <is>
          <t>2264537480002656</t>
        </is>
      </c>
      <c r="AZ1831" t="inlineStr">
        <is>
          <t>BOOK</t>
        </is>
      </c>
      <c r="BB1831" t="inlineStr">
        <is>
          <t>9780815804024</t>
        </is>
      </c>
      <c r="BC1831" t="inlineStr">
        <is>
          <t>32285000337898</t>
        </is>
      </c>
      <c r="BD1831" t="inlineStr">
        <is>
          <t>893870546</t>
        </is>
      </c>
    </row>
    <row r="1832">
      <c r="A1832" t="inlineStr">
        <is>
          <t>No</t>
        </is>
      </c>
      <c r="B1832" t="inlineStr">
        <is>
          <t>DS685 .S2</t>
        </is>
      </c>
      <c r="C1832" t="inlineStr">
        <is>
          <t>0                      DS 0685000S  2</t>
        </is>
      </c>
      <c r="D1832" t="inlineStr">
        <is>
          <t>The Filipino reaction to American rule, 1901-1913 / by Bonifacio S. Salamanca.</t>
        </is>
      </c>
      <c r="F1832" t="inlineStr">
        <is>
          <t>No</t>
        </is>
      </c>
      <c r="G1832" t="inlineStr">
        <is>
          <t>1</t>
        </is>
      </c>
      <c r="H1832" t="inlineStr">
        <is>
          <t>No</t>
        </is>
      </c>
      <c r="I1832" t="inlineStr">
        <is>
          <t>No</t>
        </is>
      </c>
      <c r="J1832" t="inlineStr">
        <is>
          <t>0</t>
        </is>
      </c>
      <c r="K1832" t="inlineStr">
        <is>
          <t>Salamanca, Bonifacio S.</t>
        </is>
      </c>
      <c r="L1832" t="inlineStr">
        <is>
          <t>[Hamden, Conn.] : Shoe String Press, 1968.</t>
        </is>
      </c>
      <c r="M1832" t="inlineStr">
        <is>
          <t>1968</t>
        </is>
      </c>
      <c r="O1832" t="inlineStr">
        <is>
          <t>eng</t>
        </is>
      </c>
      <c r="P1832" t="inlineStr">
        <is>
          <t>ctu</t>
        </is>
      </c>
      <c r="R1832" t="inlineStr">
        <is>
          <t xml:space="preserve">DS </t>
        </is>
      </c>
      <c r="S1832" t="n">
        <v>5</v>
      </c>
      <c r="T1832" t="n">
        <v>5</v>
      </c>
      <c r="U1832" t="inlineStr">
        <is>
          <t>1998-02-11</t>
        </is>
      </c>
      <c r="V1832" t="inlineStr">
        <is>
          <t>1998-02-11</t>
        </is>
      </c>
      <c r="W1832" t="inlineStr">
        <is>
          <t>1990-11-30</t>
        </is>
      </c>
      <c r="X1832" t="inlineStr">
        <is>
          <t>1990-11-30</t>
        </is>
      </c>
      <c r="Y1832" t="n">
        <v>413</v>
      </c>
      <c r="Z1832" t="n">
        <v>361</v>
      </c>
      <c r="AA1832" t="n">
        <v>386</v>
      </c>
      <c r="AB1832" t="n">
        <v>2</v>
      </c>
      <c r="AC1832" t="n">
        <v>2</v>
      </c>
      <c r="AD1832" t="n">
        <v>17</v>
      </c>
      <c r="AE1832" t="n">
        <v>20</v>
      </c>
      <c r="AF1832" t="n">
        <v>5</v>
      </c>
      <c r="AG1832" t="n">
        <v>7</v>
      </c>
      <c r="AH1832" t="n">
        <v>5</v>
      </c>
      <c r="AI1832" t="n">
        <v>6</v>
      </c>
      <c r="AJ1832" t="n">
        <v>9</v>
      </c>
      <c r="AK1832" t="n">
        <v>11</v>
      </c>
      <c r="AL1832" t="n">
        <v>1</v>
      </c>
      <c r="AM1832" t="n">
        <v>1</v>
      </c>
      <c r="AN1832" t="n">
        <v>0</v>
      </c>
      <c r="AO1832" t="n">
        <v>0</v>
      </c>
      <c r="AP1832" t="inlineStr">
        <is>
          <t>No</t>
        </is>
      </c>
      <c r="AQ1832" t="inlineStr">
        <is>
          <t>Yes</t>
        </is>
      </c>
      <c r="AR1832">
        <f>HYPERLINK("http://catalog.hathitrust.org/Record/001257024","HathiTrust Record")</f>
        <v/>
      </c>
      <c r="AS1832">
        <f>HYPERLINK("https://creighton-primo.hosted.exlibrisgroup.com/primo-explore/search?tab=default_tab&amp;search_scope=EVERYTHING&amp;vid=01CRU&amp;lang=en_US&amp;offset=0&amp;query=any,contains,991002792059702656","Catalog Record")</f>
        <v/>
      </c>
      <c r="AT1832">
        <f>HYPERLINK("http://www.worldcat.org/oclc/443890","WorldCat Record")</f>
        <v/>
      </c>
      <c r="AU1832" t="inlineStr">
        <is>
          <t>1576055:eng</t>
        </is>
      </c>
      <c r="AV1832" t="inlineStr">
        <is>
          <t>443890</t>
        </is>
      </c>
      <c r="AW1832" t="inlineStr">
        <is>
          <t>991002792059702656</t>
        </is>
      </c>
      <c r="AX1832" t="inlineStr">
        <is>
          <t>991002792059702656</t>
        </is>
      </c>
      <c r="AY1832" t="inlineStr">
        <is>
          <t>2264351220002656</t>
        </is>
      </c>
      <c r="AZ1832" t="inlineStr">
        <is>
          <t>BOOK</t>
        </is>
      </c>
      <c r="BC1832" t="inlineStr">
        <is>
          <t>32285000410117</t>
        </is>
      </c>
      <c r="BD1832" t="inlineStr">
        <is>
          <t>893805039</t>
        </is>
      </c>
    </row>
    <row r="1833">
      <c r="A1833" t="inlineStr">
        <is>
          <t>No</t>
        </is>
      </c>
      <c r="B1833" t="inlineStr">
        <is>
          <t>DS686.5 .K44 1982</t>
        </is>
      </c>
      <c r="C1833" t="inlineStr">
        <is>
          <t>0                      DS 0686500K  44          1982</t>
        </is>
      </c>
      <c r="D1833" t="inlineStr">
        <is>
          <t>The Huk rebellion : a study of peasant revolt in the Philippines / by Benedict J. Kerkvliet.</t>
        </is>
      </c>
      <c r="F1833" t="inlineStr">
        <is>
          <t>No</t>
        </is>
      </c>
      <c r="G1833" t="inlineStr">
        <is>
          <t>1</t>
        </is>
      </c>
      <c r="H1833" t="inlineStr">
        <is>
          <t>No</t>
        </is>
      </c>
      <c r="I1833" t="inlineStr">
        <is>
          <t>No</t>
        </is>
      </c>
      <c r="J1833" t="inlineStr">
        <is>
          <t>0</t>
        </is>
      </c>
      <c r="K1833" t="inlineStr">
        <is>
          <t>Kerkvliet, Benedict J.</t>
        </is>
      </c>
      <c r="L1833" t="inlineStr">
        <is>
          <t>Berkeley, Calif. : University of California Press, 1982, c1977.</t>
        </is>
      </c>
      <c r="M1833" t="inlineStr">
        <is>
          <t>1982</t>
        </is>
      </c>
      <c r="O1833" t="inlineStr">
        <is>
          <t>eng</t>
        </is>
      </c>
      <c r="P1833" t="inlineStr">
        <is>
          <t>cau</t>
        </is>
      </c>
      <c r="R1833" t="inlineStr">
        <is>
          <t xml:space="preserve">DS </t>
        </is>
      </c>
      <c r="S1833" t="n">
        <v>2</v>
      </c>
      <c r="T1833" t="n">
        <v>2</v>
      </c>
      <c r="U1833" t="inlineStr">
        <is>
          <t>1996-03-19</t>
        </is>
      </c>
      <c r="V1833" t="inlineStr">
        <is>
          <t>1996-03-19</t>
        </is>
      </c>
      <c r="W1833" t="inlineStr">
        <is>
          <t>1990-10-11</t>
        </is>
      </c>
      <c r="X1833" t="inlineStr">
        <is>
          <t>1990-10-11</t>
        </is>
      </c>
      <c r="Y1833" t="n">
        <v>677</v>
      </c>
      <c r="Z1833" t="n">
        <v>556</v>
      </c>
      <c r="AA1833" t="n">
        <v>609</v>
      </c>
      <c r="AB1833" t="n">
        <v>3</v>
      </c>
      <c r="AC1833" t="n">
        <v>3</v>
      </c>
      <c r="AD1833" t="n">
        <v>22</v>
      </c>
      <c r="AE1833" t="n">
        <v>24</v>
      </c>
      <c r="AF1833" t="n">
        <v>7</v>
      </c>
      <c r="AG1833" t="n">
        <v>8</v>
      </c>
      <c r="AH1833" t="n">
        <v>6</v>
      </c>
      <c r="AI1833" t="n">
        <v>7</v>
      </c>
      <c r="AJ1833" t="n">
        <v>14</v>
      </c>
      <c r="AK1833" t="n">
        <v>15</v>
      </c>
      <c r="AL1833" t="n">
        <v>2</v>
      </c>
      <c r="AM1833" t="n">
        <v>2</v>
      </c>
      <c r="AN1833" t="n">
        <v>0</v>
      </c>
      <c r="AO1833" t="n">
        <v>0</v>
      </c>
      <c r="AP1833" t="inlineStr">
        <is>
          <t>No</t>
        </is>
      </c>
      <c r="AQ1833" t="inlineStr">
        <is>
          <t>No</t>
        </is>
      </c>
      <c r="AS1833">
        <f>HYPERLINK("https://creighton-primo.hosted.exlibrisgroup.com/primo-explore/search?tab=default_tab&amp;search_scope=EVERYTHING&amp;vid=01CRU&amp;lang=en_US&amp;offset=0&amp;query=any,contains,991000167089702656","Catalog Record")</f>
        <v/>
      </c>
      <c r="AT1833">
        <f>HYPERLINK("http://www.worldcat.org/oclc/3019766","WorldCat Record")</f>
        <v/>
      </c>
      <c r="AU1833" t="inlineStr">
        <is>
          <t>502680:eng</t>
        </is>
      </c>
      <c r="AV1833" t="inlineStr">
        <is>
          <t>3019766</t>
        </is>
      </c>
      <c r="AW1833" t="inlineStr">
        <is>
          <t>991000167089702656</t>
        </is>
      </c>
      <c r="AX1833" t="inlineStr">
        <is>
          <t>991000167089702656</t>
        </is>
      </c>
      <c r="AY1833" t="inlineStr">
        <is>
          <t>2262191440002656</t>
        </is>
      </c>
      <c r="AZ1833" t="inlineStr">
        <is>
          <t>BOOK</t>
        </is>
      </c>
      <c r="BB1833" t="inlineStr">
        <is>
          <t>9780520046351</t>
        </is>
      </c>
      <c r="BC1833" t="inlineStr">
        <is>
          <t>32285000337906</t>
        </is>
      </c>
      <c r="BD1833" t="inlineStr">
        <is>
          <t>893230931</t>
        </is>
      </c>
    </row>
    <row r="1834">
      <c r="A1834" t="inlineStr">
        <is>
          <t>No</t>
        </is>
      </c>
      <c r="B1834" t="inlineStr">
        <is>
          <t>DS69.6 .J23 1970</t>
        </is>
      </c>
      <c r="C1834" t="inlineStr">
        <is>
          <t>0                      DS 0069600J  23          1970</t>
        </is>
      </c>
      <c r="D1834" t="inlineStr">
        <is>
          <t>Toward the image of Tammuz and other essays on Mesopotamian history and culture / edited by William L. Moran.</t>
        </is>
      </c>
      <c r="F1834" t="inlineStr">
        <is>
          <t>No</t>
        </is>
      </c>
      <c r="G1834" t="inlineStr">
        <is>
          <t>1</t>
        </is>
      </c>
      <c r="H1834" t="inlineStr">
        <is>
          <t>No</t>
        </is>
      </c>
      <c r="I1834" t="inlineStr">
        <is>
          <t>No</t>
        </is>
      </c>
      <c r="J1834" t="inlineStr">
        <is>
          <t>0</t>
        </is>
      </c>
      <c r="K1834" t="inlineStr">
        <is>
          <t>Jacobsen, Thorkild, 1904-1993.</t>
        </is>
      </c>
      <c r="L1834" t="inlineStr">
        <is>
          <t>Cambridge : Harvard University Press, 1970.</t>
        </is>
      </c>
      <c r="M1834" t="inlineStr">
        <is>
          <t>1970</t>
        </is>
      </c>
      <c r="O1834" t="inlineStr">
        <is>
          <t>eng</t>
        </is>
      </c>
      <c r="P1834" t="inlineStr">
        <is>
          <t>mau</t>
        </is>
      </c>
      <c r="Q1834" t="inlineStr">
        <is>
          <t>Harvard Semitic series ; v. 21</t>
        </is>
      </c>
      <c r="R1834" t="inlineStr">
        <is>
          <t xml:space="preserve">DS </t>
        </is>
      </c>
      <c r="S1834" t="n">
        <v>2</v>
      </c>
      <c r="T1834" t="n">
        <v>2</v>
      </c>
      <c r="U1834" t="inlineStr">
        <is>
          <t>2007-04-03</t>
        </is>
      </c>
      <c r="V1834" t="inlineStr">
        <is>
          <t>2007-04-03</t>
        </is>
      </c>
      <c r="W1834" t="inlineStr">
        <is>
          <t>1992-03-11</t>
        </is>
      </c>
      <c r="X1834" t="inlineStr">
        <is>
          <t>1992-03-11</t>
        </is>
      </c>
      <c r="Y1834" t="n">
        <v>662</v>
      </c>
      <c r="Z1834" t="n">
        <v>525</v>
      </c>
      <c r="AA1834" t="n">
        <v>531</v>
      </c>
      <c r="AB1834" t="n">
        <v>5</v>
      </c>
      <c r="AC1834" t="n">
        <v>5</v>
      </c>
      <c r="AD1834" t="n">
        <v>23</v>
      </c>
      <c r="AE1834" t="n">
        <v>23</v>
      </c>
      <c r="AF1834" t="n">
        <v>6</v>
      </c>
      <c r="AG1834" t="n">
        <v>6</v>
      </c>
      <c r="AH1834" t="n">
        <v>7</v>
      </c>
      <c r="AI1834" t="n">
        <v>7</v>
      </c>
      <c r="AJ1834" t="n">
        <v>10</v>
      </c>
      <c r="AK1834" t="n">
        <v>10</v>
      </c>
      <c r="AL1834" t="n">
        <v>4</v>
      </c>
      <c r="AM1834" t="n">
        <v>4</v>
      </c>
      <c r="AN1834" t="n">
        <v>0</v>
      </c>
      <c r="AO1834" t="n">
        <v>0</v>
      </c>
      <c r="AP1834" t="inlineStr">
        <is>
          <t>No</t>
        </is>
      </c>
      <c r="AQ1834" t="inlineStr">
        <is>
          <t>Yes</t>
        </is>
      </c>
      <c r="AR1834">
        <f>HYPERLINK("http://catalog.hathitrust.org/Record/000001497","HathiTrust Record")</f>
        <v/>
      </c>
      <c r="AS1834">
        <f>HYPERLINK("https://creighton-primo.hosted.exlibrisgroup.com/primo-explore/search?tab=default_tab&amp;search_scope=EVERYTHING&amp;vid=01CRU&amp;lang=en_US&amp;offset=0&amp;query=any,contains,991000635119702656","Catalog Record")</f>
        <v/>
      </c>
      <c r="AT1834">
        <f>HYPERLINK("http://www.worldcat.org/oclc/107416","WorldCat Record")</f>
        <v/>
      </c>
      <c r="AU1834" t="inlineStr">
        <is>
          <t>314038992:eng</t>
        </is>
      </c>
      <c r="AV1834" t="inlineStr">
        <is>
          <t>107416</t>
        </is>
      </c>
      <c r="AW1834" t="inlineStr">
        <is>
          <t>991000635119702656</t>
        </is>
      </c>
      <c r="AX1834" t="inlineStr">
        <is>
          <t>991000635119702656</t>
        </is>
      </c>
      <c r="AY1834" t="inlineStr">
        <is>
          <t>2261906320002656</t>
        </is>
      </c>
      <c r="AZ1834" t="inlineStr">
        <is>
          <t>BOOK</t>
        </is>
      </c>
      <c r="BB1834" t="inlineStr">
        <is>
          <t>9780674898103</t>
        </is>
      </c>
      <c r="BC1834" t="inlineStr">
        <is>
          <t>32285000996743</t>
        </is>
      </c>
      <c r="BD1834" t="inlineStr">
        <is>
          <t>893255591</t>
        </is>
      </c>
    </row>
    <row r="1835">
      <c r="A1835" t="inlineStr">
        <is>
          <t>No</t>
        </is>
      </c>
      <c r="B1835" t="inlineStr">
        <is>
          <t>DS70 .A32</t>
        </is>
      </c>
      <c r="C1835" t="inlineStr">
        <is>
          <t>0                      DS 0070000A  32</t>
        </is>
      </c>
      <c r="D1835" t="inlineStr">
        <is>
          <t>Heartland of cities : surveys of ancient settlement and land use on the central floodplain of the Euphrates / Robert McC. Adams.</t>
        </is>
      </c>
      <c r="F1835" t="inlineStr">
        <is>
          <t>No</t>
        </is>
      </c>
      <c r="G1835" t="inlineStr">
        <is>
          <t>1</t>
        </is>
      </c>
      <c r="H1835" t="inlineStr">
        <is>
          <t>No</t>
        </is>
      </c>
      <c r="I1835" t="inlineStr">
        <is>
          <t>No</t>
        </is>
      </c>
      <c r="J1835" t="inlineStr">
        <is>
          <t>0</t>
        </is>
      </c>
      <c r="K1835" t="inlineStr">
        <is>
          <t>Adams, Robert McC. (Robert McCormick), 1926-2018.</t>
        </is>
      </c>
      <c r="L1835" t="inlineStr">
        <is>
          <t>Chicago : University of Chicago Press, 1981.</t>
        </is>
      </c>
      <c r="M1835" t="inlineStr">
        <is>
          <t>1981</t>
        </is>
      </c>
      <c r="O1835" t="inlineStr">
        <is>
          <t>eng</t>
        </is>
      </c>
      <c r="P1835" t="inlineStr">
        <is>
          <t>ilu</t>
        </is>
      </c>
      <c r="R1835" t="inlineStr">
        <is>
          <t xml:space="preserve">DS </t>
        </is>
      </c>
      <c r="S1835" t="n">
        <v>2</v>
      </c>
      <c r="T1835" t="n">
        <v>2</v>
      </c>
      <c r="U1835" t="inlineStr">
        <is>
          <t>1999-11-26</t>
        </is>
      </c>
      <c r="V1835" t="inlineStr">
        <is>
          <t>1999-11-26</t>
        </is>
      </c>
      <c r="W1835" t="inlineStr">
        <is>
          <t>1990-09-18</t>
        </is>
      </c>
      <c r="X1835" t="inlineStr">
        <is>
          <t>1990-09-18</t>
        </is>
      </c>
      <c r="Y1835" t="n">
        <v>443</v>
      </c>
      <c r="Z1835" t="n">
        <v>345</v>
      </c>
      <c r="AA1835" t="n">
        <v>368</v>
      </c>
      <c r="AB1835" t="n">
        <v>4</v>
      </c>
      <c r="AC1835" t="n">
        <v>4</v>
      </c>
      <c r="AD1835" t="n">
        <v>14</v>
      </c>
      <c r="AE1835" t="n">
        <v>15</v>
      </c>
      <c r="AF1835" t="n">
        <v>2</v>
      </c>
      <c r="AG1835" t="n">
        <v>3</v>
      </c>
      <c r="AH1835" t="n">
        <v>5</v>
      </c>
      <c r="AI1835" t="n">
        <v>5</v>
      </c>
      <c r="AJ1835" t="n">
        <v>7</v>
      </c>
      <c r="AK1835" t="n">
        <v>7</v>
      </c>
      <c r="AL1835" t="n">
        <v>3</v>
      </c>
      <c r="AM1835" t="n">
        <v>3</v>
      </c>
      <c r="AN1835" t="n">
        <v>0</v>
      </c>
      <c r="AO1835" t="n">
        <v>0</v>
      </c>
      <c r="AP1835" t="inlineStr">
        <is>
          <t>No</t>
        </is>
      </c>
      <c r="AQ1835" t="inlineStr">
        <is>
          <t>No</t>
        </is>
      </c>
      <c r="AS1835">
        <f>HYPERLINK("https://creighton-primo.hosted.exlibrisgroup.com/primo-explore/search?tab=default_tab&amp;search_scope=EVERYTHING&amp;vid=01CRU&amp;lang=en_US&amp;offset=0&amp;query=any,contains,991004947949702656","Catalog Record")</f>
        <v/>
      </c>
      <c r="AT1835">
        <f>HYPERLINK("http://www.worldcat.org/oclc/6223045","WorldCat Record")</f>
        <v/>
      </c>
      <c r="AU1835" t="inlineStr">
        <is>
          <t>230638417:eng</t>
        </is>
      </c>
      <c r="AV1835" t="inlineStr">
        <is>
          <t>6223045</t>
        </is>
      </c>
      <c r="AW1835" t="inlineStr">
        <is>
          <t>991004947949702656</t>
        </is>
      </c>
      <c r="AX1835" t="inlineStr">
        <is>
          <t>991004947949702656</t>
        </is>
      </c>
      <c r="AY1835" t="inlineStr">
        <is>
          <t>2268400000002656</t>
        </is>
      </c>
      <c r="AZ1835" t="inlineStr">
        <is>
          <t>BOOK</t>
        </is>
      </c>
      <c r="BB1835" t="inlineStr">
        <is>
          <t>9780226005447</t>
        </is>
      </c>
      <c r="BC1835" t="inlineStr">
        <is>
          <t>32285000292101</t>
        </is>
      </c>
      <c r="BD1835" t="inlineStr">
        <is>
          <t>893430645</t>
        </is>
      </c>
    </row>
    <row r="1836">
      <c r="A1836" t="inlineStr">
        <is>
          <t>No</t>
        </is>
      </c>
      <c r="B1836" t="inlineStr">
        <is>
          <t>DS70 .L42 1852</t>
        </is>
      </c>
      <c r="C1836" t="inlineStr">
        <is>
          <t>0                      DS 0070000L  42          1852</t>
        </is>
      </c>
      <c r="D1836" t="inlineStr">
        <is>
          <t>Nineveh and its remains: with an account of a visit to the Chaldæan Christians of Kurdistan, and the Yezidis, or devil worshippers; and an inquiry into the manners and arts of the ancient Assyrians. By Austen Henry Layard.</t>
        </is>
      </c>
      <c r="F1836" t="inlineStr">
        <is>
          <t>No</t>
        </is>
      </c>
      <c r="G1836" t="inlineStr">
        <is>
          <t>1</t>
        </is>
      </c>
      <c r="H1836" t="inlineStr">
        <is>
          <t>No</t>
        </is>
      </c>
      <c r="I1836" t="inlineStr">
        <is>
          <t>No</t>
        </is>
      </c>
      <c r="J1836" t="inlineStr">
        <is>
          <t>0</t>
        </is>
      </c>
      <c r="K1836" t="inlineStr">
        <is>
          <t>Layard, Austen Henry, 1817-1894.</t>
        </is>
      </c>
      <c r="L1836" t="inlineStr">
        <is>
          <t>New York, G. P. Putnam, 1852.</t>
        </is>
      </c>
      <c r="M1836" t="inlineStr">
        <is>
          <t>1852</t>
        </is>
      </c>
      <c r="N1836" t="inlineStr">
        <is>
          <t>13th thousand.</t>
        </is>
      </c>
      <c r="O1836" t="inlineStr">
        <is>
          <t>eng</t>
        </is>
      </c>
      <c r="P1836" t="inlineStr">
        <is>
          <t>nyu</t>
        </is>
      </c>
      <c r="R1836" t="inlineStr">
        <is>
          <t xml:space="preserve">DS </t>
        </is>
      </c>
      <c r="S1836" t="n">
        <v>3</v>
      </c>
      <c r="T1836" t="n">
        <v>3</v>
      </c>
      <c r="U1836" t="inlineStr">
        <is>
          <t>2000-09-11</t>
        </is>
      </c>
      <c r="V1836" t="inlineStr">
        <is>
          <t>2000-09-11</t>
        </is>
      </c>
      <c r="W1836" t="inlineStr">
        <is>
          <t>1997-02-24</t>
        </is>
      </c>
      <c r="X1836" t="inlineStr">
        <is>
          <t>1997-02-24</t>
        </is>
      </c>
      <c r="Y1836" t="n">
        <v>52</v>
      </c>
      <c r="Z1836" t="n">
        <v>49</v>
      </c>
      <c r="AA1836" t="n">
        <v>408</v>
      </c>
      <c r="AB1836" t="n">
        <v>1</v>
      </c>
      <c r="AC1836" t="n">
        <v>3</v>
      </c>
      <c r="AD1836" t="n">
        <v>1</v>
      </c>
      <c r="AE1836" t="n">
        <v>22</v>
      </c>
      <c r="AF1836" t="n">
        <v>1</v>
      </c>
      <c r="AG1836" t="n">
        <v>8</v>
      </c>
      <c r="AH1836" t="n">
        <v>0</v>
      </c>
      <c r="AI1836" t="n">
        <v>7</v>
      </c>
      <c r="AJ1836" t="n">
        <v>0</v>
      </c>
      <c r="AK1836" t="n">
        <v>11</v>
      </c>
      <c r="AL1836" t="n">
        <v>0</v>
      </c>
      <c r="AM1836" t="n">
        <v>2</v>
      </c>
      <c r="AN1836" t="n">
        <v>0</v>
      </c>
      <c r="AO1836" t="n">
        <v>0</v>
      </c>
      <c r="AP1836" t="inlineStr">
        <is>
          <t>Yes</t>
        </is>
      </c>
      <c r="AQ1836" t="inlineStr">
        <is>
          <t>No</t>
        </is>
      </c>
      <c r="AR1836">
        <f>HYPERLINK("http://catalog.hathitrust.org/Record/011560584","HathiTrust Record")</f>
        <v/>
      </c>
      <c r="AS1836">
        <f>HYPERLINK("https://creighton-primo.hosted.exlibrisgroup.com/primo-explore/search?tab=default_tab&amp;search_scope=EVERYTHING&amp;vid=01CRU&amp;lang=en_US&amp;offset=0&amp;query=any,contains,991004853769702656","Catalog Record")</f>
        <v/>
      </c>
      <c r="AT1836">
        <f>HYPERLINK("http://www.worldcat.org/oclc/5654518","WorldCat Record")</f>
        <v/>
      </c>
      <c r="AU1836" t="inlineStr">
        <is>
          <t>5453690072:eng</t>
        </is>
      </c>
      <c r="AV1836" t="inlineStr">
        <is>
          <t>5654518</t>
        </is>
      </c>
      <c r="AW1836" t="inlineStr">
        <is>
          <t>991004853769702656</t>
        </is>
      </c>
      <c r="AX1836" t="inlineStr">
        <is>
          <t>991004853769702656</t>
        </is>
      </c>
      <c r="AY1836" t="inlineStr">
        <is>
          <t>2255426410002656</t>
        </is>
      </c>
      <c r="AZ1836" t="inlineStr">
        <is>
          <t>BOOK</t>
        </is>
      </c>
      <c r="BC1836" t="inlineStr">
        <is>
          <t>32285002460268</t>
        </is>
      </c>
      <c r="BD1836" t="inlineStr">
        <is>
          <t>893619156</t>
        </is>
      </c>
    </row>
    <row r="1837">
      <c r="A1837" t="inlineStr">
        <is>
          <t>No</t>
        </is>
      </c>
      <c r="B1837" t="inlineStr">
        <is>
          <t>DS70 .L437</t>
        </is>
      </c>
      <c r="C1837" t="inlineStr">
        <is>
          <t>0                      DS 0070000L  437</t>
        </is>
      </c>
      <c r="D1837" t="inlineStr">
        <is>
          <t>Discoveries among the ruins of Nineveh and Babylon : with travels in Armenia, Kurdistan, and the desert : being the result of a second expedition undertaken for the Trustees of the British museum / by Austen H. Layard.</t>
        </is>
      </c>
      <c r="F1837" t="inlineStr">
        <is>
          <t>No</t>
        </is>
      </c>
      <c r="G1837" t="inlineStr">
        <is>
          <t>1</t>
        </is>
      </c>
      <c r="H1837" t="inlineStr">
        <is>
          <t>No</t>
        </is>
      </c>
      <c r="I1837" t="inlineStr">
        <is>
          <t>No</t>
        </is>
      </c>
      <c r="J1837" t="inlineStr">
        <is>
          <t>0</t>
        </is>
      </c>
      <c r="K1837" t="inlineStr">
        <is>
          <t>Layard, Austen Henry, 1817-1894.</t>
        </is>
      </c>
      <c r="L1837" t="inlineStr">
        <is>
          <t>New York : Harper &amp; brothers, 1853.</t>
        </is>
      </c>
      <c r="M1837" t="inlineStr">
        <is>
          <t>1853</t>
        </is>
      </c>
      <c r="O1837" t="inlineStr">
        <is>
          <t>eng</t>
        </is>
      </c>
      <c r="P1837" t="inlineStr">
        <is>
          <t>nyu</t>
        </is>
      </c>
      <c r="R1837" t="inlineStr">
        <is>
          <t xml:space="preserve">DS </t>
        </is>
      </c>
      <c r="S1837" t="n">
        <v>4</v>
      </c>
      <c r="T1837" t="n">
        <v>4</v>
      </c>
      <c r="U1837" t="inlineStr">
        <is>
          <t>2002-09-24</t>
        </is>
      </c>
      <c r="V1837" t="inlineStr">
        <is>
          <t>2002-09-24</t>
        </is>
      </c>
      <c r="W1837" t="inlineStr">
        <is>
          <t>1992-04-24</t>
        </is>
      </c>
      <c r="X1837" t="inlineStr">
        <is>
          <t>1992-04-24</t>
        </is>
      </c>
      <c r="Y1837" t="n">
        <v>156</v>
      </c>
      <c r="Z1837" t="n">
        <v>143</v>
      </c>
      <c r="AA1837" t="n">
        <v>312</v>
      </c>
      <c r="AB1837" t="n">
        <v>2</v>
      </c>
      <c r="AC1837" t="n">
        <v>3</v>
      </c>
      <c r="AD1837" t="n">
        <v>8</v>
      </c>
      <c r="AE1837" t="n">
        <v>14</v>
      </c>
      <c r="AF1837" t="n">
        <v>3</v>
      </c>
      <c r="AG1837" t="n">
        <v>6</v>
      </c>
      <c r="AH1837" t="n">
        <v>2</v>
      </c>
      <c r="AI1837" t="n">
        <v>3</v>
      </c>
      <c r="AJ1837" t="n">
        <v>4</v>
      </c>
      <c r="AK1837" t="n">
        <v>6</v>
      </c>
      <c r="AL1837" t="n">
        <v>1</v>
      </c>
      <c r="AM1837" t="n">
        <v>2</v>
      </c>
      <c r="AN1837" t="n">
        <v>0</v>
      </c>
      <c r="AO1837" t="n">
        <v>0</v>
      </c>
      <c r="AP1837" t="inlineStr">
        <is>
          <t>Yes</t>
        </is>
      </c>
      <c r="AQ1837" t="inlineStr">
        <is>
          <t>No</t>
        </is>
      </c>
      <c r="AR1837">
        <f>HYPERLINK("http://catalog.hathitrust.org/Record/005062711","HathiTrust Record")</f>
        <v/>
      </c>
      <c r="AS1837">
        <f>HYPERLINK("https://creighton-primo.hosted.exlibrisgroup.com/primo-explore/search?tab=default_tab&amp;search_scope=EVERYTHING&amp;vid=01CRU&amp;lang=en_US&amp;offset=0&amp;query=any,contains,991003911119702656","Catalog Record")</f>
        <v/>
      </c>
      <c r="AT1837">
        <f>HYPERLINK("http://www.worldcat.org/oclc/1852091","WorldCat Record")</f>
        <v/>
      </c>
      <c r="AU1837" t="inlineStr">
        <is>
          <t>3901123143:eng</t>
        </is>
      </c>
      <c r="AV1837" t="inlineStr">
        <is>
          <t>1852091</t>
        </is>
      </c>
      <c r="AW1837" t="inlineStr">
        <is>
          <t>991003911119702656</t>
        </is>
      </c>
      <c r="AX1837" t="inlineStr">
        <is>
          <t>991003911119702656</t>
        </is>
      </c>
      <c r="AY1837" t="inlineStr">
        <is>
          <t>2263798970002656</t>
        </is>
      </c>
      <c r="AZ1837" t="inlineStr">
        <is>
          <t>BOOK</t>
        </is>
      </c>
      <c r="BC1837" t="inlineStr">
        <is>
          <t>32285001086809</t>
        </is>
      </c>
      <c r="BD1837" t="inlineStr">
        <is>
          <t>893423145</t>
        </is>
      </c>
    </row>
    <row r="1838">
      <c r="A1838" t="inlineStr">
        <is>
          <t>No</t>
        </is>
      </c>
      <c r="B1838" t="inlineStr">
        <is>
          <t>DS70 .L48 1978</t>
        </is>
      </c>
      <c r="C1838" t="inlineStr">
        <is>
          <t>0                      DS 0070000L  48          1978</t>
        </is>
      </c>
      <c r="D1838" t="inlineStr">
        <is>
          <t>Foundations in the dust : a story of Mesopotamian exploration / Seton Lloyd.</t>
        </is>
      </c>
      <c r="F1838" t="inlineStr">
        <is>
          <t>No</t>
        </is>
      </c>
      <c r="G1838" t="inlineStr">
        <is>
          <t>1</t>
        </is>
      </c>
      <c r="H1838" t="inlineStr">
        <is>
          <t>No</t>
        </is>
      </c>
      <c r="I1838" t="inlineStr">
        <is>
          <t>No</t>
        </is>
      </c>
      <c r="J1838" t="inlineStr">
        <is>
          <t>0</t>
        </is>
      </c>
      <c r="K1838" t="inlineStr">
        <is>
          <t>Lloyd, Seton.</t>
        </is>
      </c>
      <c r="L1838" t="inlineStr">
        <is>
          <t>New York : AMS Press, 1978.</t>
        </is>
      </c>
      <c r="M1838" t="inlineStr">
        <is>
          <t>1978</t>
        </is>
      </c>
      <c r="O1838" t="inlineStr">
        <is>
          <t>eng</t>
        </is>
      </c>
      <c r="P1838" t="inlineStr">
        <is>
          <t>nyu</t>
        </is>
      </c>
      <c r="R1838" t="inlineStr">
        <is>
          <t xml:space="preserve">DS </t>
        </is>
      </c>
      <c r="S1838" t="n">
        <v>3</v>
      </c>
      <c r="T1838" t="n">
        <v>3</v>
      </c>
      <c r="U1838" t="inlineStr">
        <is>
          <t>1992-04-08</t>
        </is>
      </c>
      <c r="V1838" t="inlineStr">
        <is>
          <t>1992-04-08</t>
        </is>
      </c>
      <c r="W1838" t="inlineStr">
        <is>
          <t>1990-09-18</t>
        </is>
      </c>
      <c r="X1838" t="inlineStr">
        <is>
          <t>1990-09-18</t>
        </is>
      </c>
      <c r="Y1838" t="n">
        <v>93</v>
      </c>
      <c r="Z1838" t="n">
        <v>85</v>
      </c>
      <c r="AA1838" t="n">
        <v>459</v>
      </c>
      <c r="AB1838" t="n">
        <v>2</v>
      </c>
      <c r="AC1838" t="n">
        <v>4</v>
      </c>
      <c r="AD1838" t="n">
        <v>2</v>
      </c>
      <c r="AE1838" t="n">
        <v>20</v>
      </c>
      <c r="AF1838" t="n">
        <v>0</v>
      </c>
      <c r="AG1838" t="n">
        <v>6</v>
      </c>
      <c r="AH1838" t="n">
        <v>1</v>
      </c>
      <c r="AI1838" t="n">
        <v>5</v>
      </c>
      <c r="AJ1838" t="n">
        <v>0</v>
      </c>
      <c r="AK1838" t="n">
        <v>12</v>
      </c>
      <c r="AL1838" t="n">
        <v>1</v>
      </c>
      <c r="AM1838" t="n">
        <v>2</v>
      </c>
      <c r="AN1838" t="n">
        <v>0</v>
      </c>
      <c r="AO1838" t="n">
        <v>0</v>
      </c>
      <c r="AP1838" t="inlineStr">
        <is>
          <t>No</t>
        </is>
      </c>
      <c r="AQ1838" t="inlineStr">
        <is>
          <t>Yes</t>
        </is>
      </c>
      <c r="AR1838">
        <f>HYPERLINK("http://catalog.hathitrust.org/Record/004409001","HathiTrust Record")</f>
        <v/>
      </c>
      <c r="AS1838">
        <f>HYPERLINK("https://creighton-primo.hosted.exlibrisgroup.com/primo-explore/search?tab=default_tab&amp;search_scope=EVERYTHING&amp;vid=01CRU&amp;lang=en_US&amp;offset=0&amp;query=any,contains,991004460999702656","Catalog Record")</f>
        <v/>
      </c>
      <c r="AT1838">
        <f>HYPERLINK("http://www.worldcat.org/oclc/3543320","WorldCat Record")</f>
        <v/>
      </c>
      <c r="AU1838" t="inlineStr">
        <is>
          <t>1082352407:eng</t>
        </is>
      </c>
      <c r="AV1838" t="inlineStr">
        <is>
          <t>3543320</t>
        </is>
      </c>
      <c r="AW1838" t="inlineStr">
        <is>
          <t>991004460999702656</t>
        </is>
      </c>
      <c r="AX1838" t="inlineStr">
        <is>
          <t>991004460999702656</t>
        </is>
      </c>
      <c r="AY1838" t="inlineStr">
        <is>
          <t>2265019850002656</t>
        </is>
      </c>
      <c r="AZ1838" t="inlineStr">
        <is>
          <t>BOOK</t>
        </is>
      </c>
      <c r="BB1838" t="inlineStr">
        <is>
          <t>9780404153649</t>
        </is>
      </c>
      <c r="BC1838" t="inlineStr">
        <is>
          <t>32285000292119</t>
        </is>
      </c>
      <c r="BD1838" t="inlineStr">
        <is>
          <t>893519676</t>
        </is>
      </c>
    </row>
    <row r="1839">
      <c r="A1839" t="inlineStr">
        <is>
          <t>No</t>
        </is>
      </c>
      <c r="B1839" t="inlineStr">
        <is>
          <t>DS70.5.B3 B33 2009</t>
        </is>
      </c>
      <c r="C1839" t="inlineStr">
        <is>
          <t>0                      DS 0070500B  3                  B  33          2009</t>
        </is>
      </c>
      <c r="D1839" t="inlineStr">
        <is>
          <t>Babylon / edited by I.L. Finkel and M.J. Seymour ; with contributions from J.E. Curtis ... [et al.].</t>
        </is>
      </c>
      <c r="F1839" t="inlineStr">
        <is>
          <t>No</t>
        </is>
      </c>
      <c r="G1839" t="inlineStr">
        <is>
          <t>1</t>
        </is>
      </c>
      <c r="H1839" t="inlineStr">
        <is>
          <t>No</t>
        </is>
      </c>
      <c r="I1839" t="inlineStr">
        <is>
          <t>No</t>
        </is>
      </c>
      <c r="J1839" t="inlineStr">
        <is>
          <t>0</t>
        </is>
      </c>
      <c r="L1839" t="inlineStr">
        <is>
          <t>Oxford ; New York : Oxford University Press, 2009.</t>
        </is>
      </c>
      <c r="M1839" t="inlineStr">
        <is>
          <t>2009</t>
        </is>
      </c>
      <c r="O1839" t="inlineStr">
        <is>
          <t>eng</t>
        </is>
      </c>
      <c r="P1839" t="inlineStr">
        <is>
          <t>enk</t>
        </is>
      </c>
      <c r="R1839" t="inlineStr">
        <is>
          <t xml:space="preserve">DS </t>
        </is>
      </c>
      <c r="S1839" t="n">
        <v>1</v>
      </c>
      <c r="T1839" t="n">
        <v>1</v>
      </c>
      <c r="U1839" t="inlineStr">
        <is>
          <t>2009-04-29</t>
        </is>
      </c>
      <c r="V1839" t="inlineStr">
        <is>
          <t>2009-04-29</t>
        </is>
      </c>
      <c r="W1839" t="inlineStr">
        <is>
          <t>2009-04-29</t>
        </is>
      </c>
      <c r="X1839" t="inlineStr">
        <is>
          <t>2009-04-29</t>
        </is>
      </c>
      <c r="Y1839" t="n">
        <v>263</v>
      </c>
      <c r="Z1839" t="n">
        <v>235</v>
      </c>
      <c r="AA1839" t="n">
        <v>236</v>
      </c>
      <c r="AB1839" t="n">
        <v>2</v>
      </c>
      <c r="AC1839" t="n">
        <v>2</v>
      </c>
      <c r="AD1839" t="n">
        <v>7</v>
      </c>
      <c r="AE1839" t="n">
        <v>7</v>
      </c>
      <c r="AF1839" t="n">
        <v>3</v>
      </c>
      <c r="AG1839" t="n">
        <v>3</v>
      </c>
      <c r="AH1839" t="n">
        <v>1</v>
      </c>
      <c r="AI1839" t="n">
        <v>1</v>
      </c>
      <c r="AJ1839" t="n">
        <v>5</v>
      </c>
      <c r="AK1839" t="n">
        <v>5</v>
      </c>
      <c r="AL1839" t="n">
        <v>1</v>
      </c>
      <c r="AM1839" t="n">
        <v>1</v>
      </c>
      <c r="AN1839" t="n">
        <v>0</v>
      </c>
      <c r="AO1839" t="n">
        <v>0</v>
      </c>
      <c r="AP1839" t="inlineStr">
        <is>
          <t>No</t>
        </is>
      </c>
      <c r="AQ1839" t="inlineStr">
        <is>
          <t>Yes</t>
        </is>
      </c>
      <c r="AR1839">
        <f>HYPERLINK("http://catalog.hathitrust.org/Record/006814165","HathiTrust Record")</f>
        <v/>
      </c>
      <c r="AS1839">
        <f>HYPERLINK("https://creighton-primo.hosted.exlibrisgroup.com/primo-explore/search?tab=default_tab&amp;search_scope=EVERYTHING&amp;vid=01CRU&amp;lang=en_US&amp;offset=0&amp;query=any,contains,991005311369702656","Catalog Record")</f>
        <v/>
      </c>
      <c r="AT1839">
        <f>HYPERLINK("http://www.worldcat.org/oclc/234260201","WorldCat Record")</f>
        <v/>
      </c>
      <c r="AU1839" t="inlineStr">
        <is>
          <t>8907914093:eng</t>
        </is>
      </c>
      <c r="AV1839" t="inlineStr">
        <is>
          <t>234260201</t>
        </is>
      </c>
      <c r="AW1839" t="inlineStr">
        <is>
          <t>991005311369702656</t>
        </is>
      </c>
      <c r="AX1839" t="inlineStr">
        <is>
          <t>991005311369702656</t>
        </is>
      </c>
      <c r="AY1839" t="inlineStr">
        <is>
          <t>2267852260002656</t>
        </is>
      </c>
      <c r="AZ1839" t="inlineStr">
        <is>
          <t>BOOK</t>
        </is>
      </c>
      <c r="BB1839" t="inlineStr">
        <is>
          <t>9780195385403</t>
        </is>
      </c>
      <c r="BC1839" t="inlineStr">
        <is>
          <t>32285005530034</t>
        </is>
      </c>
      <c r="BD1839" t="inlineStr">
        <is>
          <t>893628681</t>
        </is>
      </c>
    </row>
    <row r="1840">
      <c r="A1840" t="inlineStr">
        <is>
          <t>No</t>
        </is>
      </c>
      <c r="B1840" t="inlineStr">
        <is>
          <t>DS70.5.U7 W63 1964</t>
        </is>
      </c>
      <c r="C1840" t="inlineStr">
        <is>
          <t>0                      DS 0070500U  7                  W  63          1964</t>
        </is>
      </c>
      <c r="D1840" t="inlineStr">
        <is>
          <t>Excavations at Ur : a record of twelve years' work.</t>
        </is>
      </c>
      <c r="F1840" t="inlineStr">
        <is>
          <t>No</t>
        </is>
      </c>
      <c r="G1840" t="inlineStr">
        <is>
          <t>1</t>
        </is>
      </c>
      <c r="H1840" t="inlineStr">
        <is>
          <t>No</t>
        </is>
      </c>
      <c r="I1840" t="inlineStr">
        <is>
          <t>No</t>
        </is>
      </c>
      <c r="J1840" t="inlineStr">
        <is>
          <t>0</t>
        </is>
      </c>
      <c r="K1840" t="inlineStr">
        <is>
          <t>Woolley, Leonard, 1880-1960.</t>
        </is>
      </c>
      <c r="L1840" t="inlineStr">
        <is>
          <t>London : E. Benn ; New York : Barnes &amp; Noble, [1964]</t>
        </is>
      </c>
      <c r="M1840" t="inlineStr">
        <is>
          <t>1964</t>
        </is>
      </c>
      <c r="O1840" t="inlineStr">
        <is>
          <t>eng</t>
        </is>
      </c>
      <c r="P1840" t="inlineStr">
        <is>
          <t>enk</t>
        </is>
      </c>
      <c r="R1840" t="inlineStr">
        <is>
          <t xml:space="preserve">DS </t>
        </is>
      </c>
      <c r="S1840" t="n">
        <v>3</v>
      </c>
      <c r="T1840" t="n">
        <v>3</v>
      </c>
      <c r="U1840" t="inlineStr">
        <is>
          <t>1999-09-15</t>
        </is>
      </c>
      <c r="V1840" t="inlineStr">
        <is>
          <t>1999-09-15</t>
        </is>
      </c>
      <c r="W1840" t="inlineStr">
        <is>
          <t>1992-03-11</t>
        </is>
      </c>
      <c r="X1840" t="inlineStr">
        <is>
          <t>1992-03-11</t>
        </is>
      </c>
      <c r="Y1840" t="n">
        <v>121</v>
      </c>
      <c r="Z1840" t="n">
        <v>117</v>
      </c>
      <c r="AA1840" t="n">
        <v>912</v>
      </c>
      <c r="AB1840" t="n">
        <v>2</v>
      </c>
      <c r="AC1840" t="n">
        <v>12</v>
      </c>
      <c r="AD1840" t="n">
        <v>4</v>
      </c>
      <c r="AE1840" t="n">
        <v>40</v>
      </c>
      <c r="AF1840" t="n">
        <v>2</v>
      </c>
      <c r="AG1840" t="n">
        <v>17</v>
      </c>
      <c r="AH1840" t="n">
        <v>1</v>
      </c>
      <c r="AI1840" t="n">
        <v>9</v>
      </c>
      <c r="AJ1840" t="n">
        <v>1</v>
      </c>
      <c r="AK1840" t="n">
        <v>13</v>
      </c>
      <c r="AL1840" t="n">
        <v>1</v>
      </c>
      <c r="AM1840" t="n">
        <v>9</v>
      </c>
      <c r="AN1840" t="n">
        <v>0</v>
      </c>
      <c r="AO1840" t="n">
        <v>0</v>
      </c>
      <c r="AP1840" t="inlineStr">
        <is>
          <t>No</t>
        </is>
      </c>
      <c r="AQ1840" t="inlineStr">
        <is>
          <t>No</t>
        </is>
      </c>
      <c r="AS1840">
        <f>HYPERLINK("https://creighton-primo.hosted.exlibrisgroup.com/primo-explore/search?tab=default_tab&amp;search_scope=EVERYTHING&amp;vid=01CRU&amp;lang=en_US&amp;offset=0&amp;query=any,contains,991004843759702656","Catalog Record")</f>
        <v/>
      </c>
      <c r="AT1840">
        <f>HYPERLINK("http://www.worldcat.org/oclc/5535145","WorldCat Record")</f>
        <v/>
      </c>
      <c r="AU1840" t="inlineStr">
        <is>
          <t>4923552962:eng</t>
        </is>
      </c>
      <c r="AV1840" t="inlineStr">
        <is>
          <t>5535145</t>
        </is>
      </c>
      <c r="AW1840" t="inlineStr">
        <is>
          <t>991004843759702656</t>
        </is>
      </c>
      <c r="AX1840" t="inlineStr">
        <is>
          <t>991004843759702656</t>
        </is>
      </c>
      <c r="AY1840" t="inlineStr">
        <is>
          <t>2255923620002656</t>
        </is>
      </c>
      <c r="AZ1840" t="inlineStr">
        <is>
          <t>BOOK</t>
        </is>
      </c>
      <c r="BC1840" t="inlineStr">
        <is>
          <t>32285000996735</t>
        </is>
      </c>
      <c r="BD1840" t="inlineStr">
        <is>
          <t>893876638</t>
        </is>
      </c>
    </row>
    <row r="1841">
      <c r="A1841" t="inlineStr">
        <is>
          <t>No</t>
        </is>
      </c>
      <c r="B1841" t="inlineStr">
        <is>
          <t>DS70.5.U7 W63 1982</t>
        </is>
      </c>
      <c r="C1841" t="inlineStr">
        <is>
          <t>0                      DS 0070500U  7                  W  63          1982</t>
        </is>
      </c>
      <c r="D1841" t="inlineStr">
        <is>
          <t>Ur 'of the Chaldees' : a revised and updated edition of Sir Leonard Woolley's Excavations at Ur / by P.R.S. Moorey.</t>
        </is>
      </c>
      <c r="F1841" t="inlineStr">
        <is>
          <t>No</t>
        </is>
      </c>
      <c r="G1841" t="inlineStr">
        <is>
          <t>1</t>
        </is>
      </c>
      <c r="H1841" t="inlineStr">
        <is>
          <t>No</t>
        </is>
      </c>
      <c r="I1841" t="inlineStr">
        <is>
          <t>No</t>
        </is>
      </c>
      <c r="J1841" t="inlineStr">
        <is>
          <t>0</t>
        </is>
      </c>
      <c r="K1841" t="inlineStr">
        <is>
          <t>Woolley, Leonard, 1880-1960.</t>
        </is>
      </c>
      <c r="L1841" t="inlineStr">
        <is>
          <t>Ithaca, N.Y. : Cornell University Press, 1982.</t>
        </is>
      </c>
      <c r="M1841" t="inlineStr">
        <is>
          <t>1982</t>
        </is>
      </c>
      <c r="N1841" t="inlineStr">
        <is>
          <t>Rev., updated ed.</t>
        </is>
      </c>
      <c r="O1841" t="inlineStr">
        <is>
          <t>eng</t>
        </is>
      </c>
      <c r="P1841" t="inlineStr">
        <is>
          <t>nyu</t>
        </is>
      </c>
      <c r="R1841" t="inlineStr">
        <is>
          <t xml:space="preserve">DS </t>
        </is>
      </c>
      <c r="S1841" t="n">
        <v>5</v>
      </c>
      <c r="T1841" t="n">
        <v>5</v>
      </c>
      <c r="U1841" t="inlineStr">
        <is>
          <t>2004-10-05</t>
        </is>
      </c>
      <c r="V1841" t="inlineStr">
        <is>
          <t>2004-10-05</t>
        </is>
      </c>
      <c r="W1841" t="inlineStr">
        <is>
          <t>1990-08-16</t>
        </is>
      </c>
      <c r="X1841" t="inlineStr">
        <is>
          <t>1990-08-16</t>
        </is>
      </c>
      <c r="Y1841" t="n">
        <v>627</v>
      </c>
      <c r="Z1841" t="n">
        <v>585</v>
      </c>
      <c r="AA1841" t="n">
        <v>632</v>
      </c>
      <c r="AB1841" t="n">
        <v>5</v>
      </c>
      <c r="AC1841" t="n">
        <v>7</v>
      </c>
      <c r="AD1841" t="n">
        <v>19</v>
      </c>
      <c r="AE1841" t="n">
        <v>22</v>
      </c>
      <c r="AF1841" t="n">
        <v>7</v>
      </c>
      <c r="AG1841" t="n">
        <v>8</v>
      </c>
      <c r="AH1841" t="n">
        <v>5</v>
      </c>
      <c r="AI1841" t="n">
        <v>5</v>
      </c>
      <c r="AJ1841" t="n">
        <v>10</v>
      </c>
      <c r="AK1841" t="n">
        <v>11</v>
      </c>
      <c r="AL1841" t="n">
        <v>3</v>
      </c>
      <c r="AM1841" t="n">
        <v>5</v>
      </c>
      <c r="AN1841" t="n">
        <v>0</v>
      </c>
      <c r="AO1841" t="n">
        <v>0</v>
      </c>
      <c r="AP1841" t="inlineStr">
        <is>
          <t>No</t>
        </is>
      </c>
      <c r="AQ1841" t="inlineStr">
        <is>
          <t>Yes</t>
        </is>
      </c>
      <c r="AR1841">
        <f>HYPERLINK("http://catalog.hathitrust.org/Record/004733110","HathiTrust Record")</f>
        <v/>
      </c>
      <c r="AS1841">
        <f>HYPERLINK("https://creighton-primo.hosted.exlibrisgroup.com/primo-explore/search?tab=default_tab&amp;search_scope=EVERYTHING&amp;vid=01CRU&amp;lang=en_US&amp;offset=0&amp;query=any,contains,991000073939702656","Catalog Record")</f>
        <v/>
      </c>
      <c r="AT1841">
        <f>HYPERLINK("http://www.worldcat.org/oclc/8800122","WorldCat Record")</f>
        <v/>
      </c>
      <c r="AU1841" t="inlineStr">
        <is>
          <t>3768521133:eng</t>
        </is>
      </c>
      <c r="AV1841" t="inlineStr">
        <is>
          <t>8800122</t>
        </is>
      </c>
      <c r="AW1841" t="inlineStr">
        <is>
          <t>991000073939702656</t>
        </is>
      </c>
      <c r="AX1841" t="inlineStr">
        <is>
          <t>991000073939702656</t>
        </is>
      </c>
      <c r="AY1841" t="inlineStr">
        <is>
          <t>2264401700002656</t>
        </is>
      </c>
      <c r="AZ1841" t="inlineStr">
        <is>
          <t>BOOK</t>
        </is>
      </c>
      <c r="BB1841" t="inlineStr">
        <is>
          <t>9780801415180</t>
        </is>
      </c>
      <c r="BC1841" t="inlineStr">
        <is>
          <t>32285000274653</t>
        </is>
      </c>
      <c r="BD1841" t="inlineStr">
        <is>
          <t>893326984</t>
        </is>
      </c>
    </row>
    <row r="1842">
      <c r="A1842" t="inlineStr">
        <is>
          <t>No</t>
        </is>
      </c>
      <c r="B1842" t="inlineStr">
        <is>
          <t>DS70.6 .B58 2004</t>
        </is>
      </c>
      <c r="C1842" t="inlineStr">
        <is>
          <t>0                      DS 0070600B  58          2004</t>
        </is>
      </c>
      <c r="D1842" t="inlineStr">
        <is>
          <t>Banking on Baghdad : inside Iraq's 7,000-year history of war, profit,and conflict / Edwin Black.</t>
        </is>
      </c>
      <c r="F1842" t="inlineStr">
        <is>
          <t>No</t>
        </is>
      </c>
      <c r="G1842" t="inlineStr">
        <is>
          <t>1</t>
        </is>
      </c>
      <c r="H1842" t="inlineStr">
        <is>
          <t>No</t>
        </is>
      </c>
      <c r="I1842" t="inlineStr">
        <is>
          <t>No</t>
        </is>
      </c>
      <c r="J1842" t="inlineStr">
        <is>
          <t>0</t>
        </is>
      </c>
      <c r="K1842" t="inlineStr">
        <is>
          <t>Black, Edwin.</t>
        </is>
      </c>
      <c r="L1842" t="inlineStr">
        <is>
          <t>Hoboken, N.J. : John Wiley &amp; Sons, Inc., 2004.</t>
        </is>
      </c>
      <c r="M1842" t="inlineStr">
        <is>
          <t>2004</t>
        </is>
      </c>
      <c r="O1842" t="inlineStr">
        <is>
          <t>eng</t>
        </is>
      </c>
      <c r="P1842" t="inlineStr">
        <is>
          <t>nju</t>
        </is>
      </c>
      <c r="R1842" t="inlineStr">
        <is>
          <t xml:space="preserve">DS </t>
        </is>
      </c>
      <c r="S1842" t="n">
        <v>2</v>
      </c>
      <c r="T1842" t="n">
        <v>2</v>
      </c>
      <c r="U1842" t="inlineStr">
        <is>
          <t>2005-01-21</t>
        </is>
      </c>
      <c r="V1842" t="inlineStr">
        <is>
          <t>2005-01-21</t>
        </is>
      </c>
      <c r="W1842" t="inlineStr">
        <is>
          <t>2004-12-14</t>
        </is>
      </c>
      <c r="X1842" t="inlineStr">
        <is>
          <t>2004-12-14</t>
        </is>
      </c>
      <c r="Y1842" t="n">
        <v>621</v>
      </c>
      <c r="Z1842" t="n">
        <v>534</v>
      </c>
      <c r="AA1842" t="n">
        <v>872</v>
      </c>
      <c r="AB1842" t="n">
        <v>5</v>
      </c>
      <c r="AC1842" t="n">
        <v>33</v>
      </c>
      <c r="AD1842" t="n">
        <v>16</v>
      </c>
      <c r="AE1842" t="n">
        <v>29</v>
      </c>
      <c r="AF1842" t="n">
        <v>7</v>
      </c>
      <c r="AG1842" t="n">
        <v>9</v>
      </c>
      <c r="AH1842" t="n">
        <v>3</v>
      </c>
      <c r="AI1842" t="n">
        <v>4</v>
      </c>
      <c r="AJ1842" t="n">
        <v>8</v>
      </c>
      <c r="AK1842" t="n">
        <v>9</v>
      </c>
      <c r="AL1842" t="n">
        <v>3</v>
      </c>
      <c r="AM1842" t="n">
        <v>13</v>
      </c>
      <c r="AN1842" t="n">
        <v>0</v>
      </c>
      <c r="AO1842" t="n">
        <v>0</v>
      </c>
      <c r="AP1842" t="inlineStr">
        <is>
          <t>No</t>
        </is>
      </c>
      <c r="AQ1842" t="inlineStr">
        <is>
          <t>No</t>
        </is>
      </c>
      <c r="AS1842">
        <f>HYPERLINK("https://creighton-primo.hosted.exlibrisgroup.com/primo-explore/search?tab=default_tab&amp;search_scope=EVERYTHING&amp;vid=01CRU&amp;lang=en_US&amp;offset=0&amp;query=any,contains,991004419589702656","Catalog Record")</f>
        <v/>
      </c>
      <c r="AT1842">
        <f>HYPERLINK("http://www.worldcat.org/oclc/56068808","WorldCat Record")</f>
        <v/>
      </c>
      <c r="AU1842" t="inlineStr">
        <is>
          <t>116906517:eng</t>
        </is>
      </c>
      <c r="AV1842" t="inlineStr">
        <is>
          <t>56068808</t>
        </is>
      </c>
      <c r="AW1842" t="inlineStr">
        <is>
          <t>991004419589702656</t>
        </is>
      </c>
      <c r="AX1842" t="inlineStr">
        <is>
          <t>991004419589702656</t>
        </is>
      </c>
      <c r="AY1842" t="inlineStr">
        <is>
          <t>2272075450002656</t>
        </is>
      </c>
      <c r="AZ1842" t="inlineStr">
        <is>
          <t>BOOK</t>
        </is>
      </c>
      <c r="BB1842" t="inlineStr">
        <is>
          <t>9780471671862</t>
        </is>
      </c>
      <c r="BC1842" t="inlineStr">
        <is>
          <t>32285005016737</t>
        </is>
      </c>
      <c r="BD1842" t="inlineStr">
        <is>
          <t>893446204</t>
        </is>
      </c>
    </row>
    <row r="1843">
      <c r="A1843" t="inlineStr">
        <is>
          <t>No</t>
        </is>
      </c>
      <c r="B1843" t="inlineStr">
        <is>
          <t>DS70.6 .H3</t>
        </is>
      </c>
      <c r="C1843" t="inlineStr">
        <is>
          <t>0                      DS 0070600H  3</t>
        </is>
      </c>
      <c r="D1843" t="inlineStr">
        <is>
          <t>Iraq : its people, its society, its culture / in collaboration with Moukhtar Ani [and others]</t>
        </is>
      </c>
      <c r="F1843" t="inlineStr">
        <is>
          <t>No</t>
        </is>
      </c>
      <c r="G1843" t="inlineStr">
        <is>
          <t>1</t>
        </is>
      </c>
      <c r="H1843" t="inlineStr">
        <is>
          <t>No</t>
        </is>
      </c>
      <c r="I1843" t="inlineStr">
        <is>
          <t>No</t>
        </is>
      </c>
      <c r="J1843" t="inlineStr">
        <is>
          <t>0</t>
        </is>
      </c>
      <c r="K1843" t="inlineStr">
        <is>
          <t>Harris, George L. (George Lawrence), 1910-2011.</t>
        </is>
      </c>
      <c r="L1843" t="inlineStr">
        <is>
          <t>New Haven : HRAF Press, [1958]</t>
        </is>
      </c>
      <c r="M1843" t="inlineStr">
        <is>
          <t>1958</t>
        </is>
      </c>
      <c r="O1843" t="inlineStr">
        <is>
          <t>eng</t>
        </is>
      </c>
      <c r="P1843" t="inlineStr">
        <is>
          <t>ctu</t>
        </is>
      </c>
      <c r="Q1843" t="inlineStr">
        <is>
          <t>Survey of world cultures ; 3</t>
        </is>
      </c>
      <c r="R1843" t="inlineStr">
        <is>
          <t xml:space="preserve">DS </t>
        </is>
      </c>
      <c r="S1843" t="n">
        <v>11</v>
      </c>
      <c r="T1843" t="n">
        <v>11</v>
      </c>
      <c r="U1843" t="inlineStr">
        <is>
          <t>1999-03-22</t>
        </is>
      </c>
      <c r="V1843" t="inlineStr">
        <is>
          <t>1999-03-22</t>
        </is>
      </c>
      <c r="W1843" t="inlineStr">
        <is>
          <t>1990-08-14</t>
        </is>
      </c>
      <c r="X1843" t="inlineStr">
        <is>
          <t>1990-08-14</t>
        </is>
      </c>
      <c r="Y1843" t="n">
        <v>1024</v>
      </c>
      <c r="Z1843" t="n">
        <v>902</v>
      </c>
      <c r="AA1843" t="n">
        <v>913</v>
      </c>
      <c r="AB1843" t="n">
        <v>8</v>
      </c>
      <c r="AC1843" t="n">
        <v>8</v>
      </c>
      <c r="AD1843" t="n">
        <v>33</v>
      </c>
      <c r="AE1843" t="n">
        <v>33</v>
      </c>
      <c r="AF1843" t="n">
        <v>14</v>
      </c>
      <c r="AG1843" t="n">
        <v>14</v>
      </c>
      <c r="AH1843" t="n">
        <v>5</v>
      </c>
      <c r="AI1843" t="n">
        <v>5</v>
      </c>
      <c r="AJ1843" t="n">
        <v>15</v>
      </c>
      <c r="AK1843" t="n">
        <v>15</v>
      </c>
      <c r="AL1843" t="n">
        <v>6</v>
      </c>
      <c r="AM1843" t="n">
        <v>6</v>
      </c>
      <c r="AN1843" t="n">
        <v>1</v>
      </c>
      <c r="AO1843" t="n">
        <v>1</v>
      </c>
      <c r="AP1843" t="inlineStr">
        <is>
          <t>Yes</t>
        </is>
      </c>
      <c r="AQ1843" t="inlineStr">
        <is>
          <t>No</t>
        </is>
      </c>
      <c r="AR1843">
        <f>HYPERLINK("http://catalog.hathitrust.org/Record/001241499","HathiTrust Record")</f>
        <v/>
      </c>
      <c r="AS1843">
        <f>HYPERLINK("https://creighton-primo.hosted.exlibrisgroup.com/primo-explore/search?tab=default_tab&amp;search_scope=EVERYTHING&amp;vid=01CRU&amp;lang=en_US&amp;offset=0&amp;query=any,contains,991002679899702656","Catalog Record")</f>
        <v/>
      </c>
      <c r="AT1843">
        <f>HYPERLINK("http://www.worldcat.org/oclc/398138","WorldCat Record")</f>
        <v/>
      </c>
      <c r="AU1843" t="inlineStr">
        <is>
          <t>3856215367:eng</t>
        </is>
      </c>
      <c r="AV1843" t="inlineStr">
        <is>
          <t>398138</t>
        </is>
      </c>
      <c r="AW1843" t="inlineStr">
        <is>
          <t>991002679899702656</t>
        </is>
      </c>
      <c r="AX1843" t="inlineStr">
        <is>
          <t>991002679899702656</t>
        </is>
      </c>
      <c r="AY1843" t="inlineStr">
        <is>
          <t>2257269650002656</t>
        </is>
      </c>
      <c r="AZ1843" t="inlineStr">
        <is>
          <t>BOOK</t>
        </is>
      </c>
      <c r="BC1843" t="inlineStr">
        <is>
          <t>32285000281286</t>
        </is>
      </c>
      <c r="BD1843" t="inlineStr">
        <is>
          <t>893610138</t>
        </is>
      </c>
    </row>
    <row r="1844">
      <c r="A1844" t="inlineStr">
        <is>
          <t>No</t>
        </is>
      </c>
      <c r="B1844" t="inlineStr">
        <is>
          <t>DS70.65 .B57 2004</t>
        </is>
      </c>
      <c r="C1844" t="inlineStr">
        <is>
          <t>0                      DS 0070650B  57          2004</t>
        </is>
      </c>
      <c r="D1844" t="inlineStr">
        <is>
          <t>A thousand sighs, a thousand revolts : journeys in Kurdistan / Christiane Bird.</t>
        </is>
      </c>
      <c r="F1844" t="inlineStr">
        <is>
          <t>No</t>
        </is>
      </c>
      <c r="G1844" t="inlineStr">
        <is>
          <t>1</t>
        </is>
      </c>
      <c r="H1844" t="inlineStr">
        <is>
          <t>No</t>
        </is>
      </c>
      <c r="I1844" t="inlineStr">
        <is>
          <t>No</t>
        </is>
      </c>
      <c r="J1844" t="inlineStr">
        <is>
          <t>0</t>
        </is>
      </c>
      <c r="K1844" t="inlineStr">
        <is>
          <t>Bird, Christiane.</t>
        </is>
      </c>
      <c r="L1844" t="inlineStr">
        <is>
          <t>New York : Ballantine Books, 2004.</t>
        </is>
      </c>
      <c r="M1844" t="inlineStr">
        <is>
          <t>2004</t>
        </is>
      </c>
      <c r="N1844" t="inlineStr">
        <is>
          <t>1st ed.</t>
        </is>
      </c>
      <c r="O1844" t="inlineStr">
        <is>
          <t>eng</t>
        </is>
      </c>
      <c r="P1844" t="inlineStr">
        <is>
          <t>nyu</t>
        </is>
      </c>
      <c r="R1844" t="inlineStr">
        <is>
          <t xml:space="preserve">DS </t>
        </is>
      </c>
      <c r="S1844" t="n">
        <v>3</v>
      </c>
      <c r="T1844" t="n">
        <v>3</v>
      </c>
      <c r="U1844" t="inlineStr">
        <is>
          <t>2006-04-01</t>
        </is>
      </c>
      <c r="V1844" t="inlineStr">
        <is>
          <t>2006-04-01</t>
        </is>
      </c>
      <c r="W1844" t="inlineStr">
        <is>
          <t>2004-06-29</t>
        </is>
      </c>
      <c r="X1844" t="inlineStr">
        <is>
          <t>2004-06-29</t>
        </is>
      </c>
      <c r="Y1844" t="n">
        <v>522</v>
      </c>
      <c r="Z1844" t="n">
        <v>483</v>
      </c>
      <c r="AA1844" t="n">
        <v>521</v>
      </c>
      <c r="AB1844" t="n">
        <v>4</v>
      </c>
      <c r="AC1844" t="n">
        <v>4</v>
      </c>
      <c r="AD1844" t="n">
        <v>7</v>
      </c>
      <c r="AE1844" t="n">
        <v>7</v>
      </c>
      <c r="AF1844" t="n">
        <v>2</v>
      </c>
      <c r="AG1844" t="n">
        <v>2</v>
      </c>
      <c r="AH1844" t="n">
        <v>3</v>
      </c>
      <c r="AI1844" t="n">
        <v>3</v>
      </c>
      <c r="AJ1844" t="n">
        <v>4</v>
      </c>
      <c r="AK1844" t="n">
        <v>4</v>
      </c>
      <c r="AL1844" t="n">
        <v>1</v>
      </c>
      <c r="AM1844" t="n">
        <v>1</v>
      </c>
      <c r="AN1844" t="n">
        <v>0</v>
      </c>
      <c r="AO1844" t="n">
        <v>0</v>
      </c>
      <c r="AP1844" t="inlineStr">
        <is>
          <t>No</t>
        </is>
      </c>
      <c r="AQ1844" t="inlineStr">
        <is>
          <t>Yes</t>
        </is>
      </c>
      <c r="AR1844">
        <f>HYPERLINK("http://catalog.hathitrust.org/Record/004763128","HathiTrust Record")</f>
        <v/>
      </c>
      <c r="AS1844">
        <f>HYPERLINK("https://creighton-primo.hosted.exlibrisgroup.com/primo-explore/search?tab=default_tab&amp;search_scope=EVERYTHING&amp;vid=01CRU&amp;lang=en_US&amp;offset=0&amp;query=any,contains,991004303819702656","Catalog Record")</f>
        <v/>
      </c>
      <c r="AT1844">
        <f>HYPERLINK("http://www.worldcat.org/oclc/53967115","WorldCat Record")</f>
        <v/>
      </c>
      <c r="AU1844" t="inlineStr">
        <is>
          <t>902894599:eng</t>
        </is>
      </c>
      <c r="AV1844" t="inlineStr">
        <is>
          <t>53967115</t>
        </is>
      </c>
      <c r="AW1844" t="inlineStr">
        <is>
          <t>991004303819702656</t>
        </is>
      </c>
      <c r="AX1844" t="inlineStr">
        <is>
          <t>991004303819702656</t>
        </is>
      </c>
      <c r="AY1844" t="inlineStr">
        <is>
          <t>2256890240002656</t>
        </is>
      </c>
      <c r="AZ1844" t="inlineStr">
        <is>
          <t>BOOK</t>
        </is>
      </c>
      <c r="BB1844" t="inlineStr">
        <is>
          <t>9780345468925</t>
        </is>
      </c>
      <c r="BC1844" t="inlineStr">
        <is>
          <t>32285004921705</t>
        </is>
      </c>
      <c r="BD1844" t="inlineStr">
        <is>
          <t>893506682</t>
        </is>
      </c>
    </row>
    <row r="1845">
      <c r="A1845" t="inlineStr">
        <is>
          <t>No</t>
        </is>
      </c>
      <c r="B1845" t="inlineStr">
        <is>
          <t>DS70.65 .P76 2005</t>
        </is>
      </c>
      <c r="C1845" t="inlineStr">
        <is>
          <t>0                      DS 0070650P  76          2005</t>
        </is>
      </c>
      <c r="D1845" t="inlineStr">
        <is>
          <t>Two birthdays in Baghdad : finding the heart of Iraq / by Anna Prouse; translated by Elizabeth Griffith.</t>
        </is>
      </c>
      <c r="F1845" t="inlineStr">
        <is>
          <t>No</t>
        </is>
      </c>
      <c r="G1845" t="inlineStr">
        <is>
          <t>1</t>
        </is>
      </c>
      <c r="H1845" t="inlineStr">
        <is>
          <t>No</t>
        </is>
      </c>
      <c r="I1845" t="inlineStr">
        <is>
          <t>No</t>
        </is>
      </c>
      <c r="J1845" t="inlineStr">
        <is>
          <t>0</t>
        </is>
      </c>
      <c r="K1845" t="inlineStr">
        <is>
          <t>Prouse, Anna.</t>
        </is>
      </c>
      <c r="L1845" t="inlineStr">
        <is>
          <t>Washington, DC : The Compass Press, c2005.</t>
        </is>
      </c>
      <c r="M1845" t="inlineStr">
        <is>
          <t>2005</t>
        </is>
      </c>
      <c r="O1845" t="inlineStr">
        <is>
          <t>eng</t>
        </is>
      </c>
      <c r="P1845" t="inlineStr">
        <is>
          <t>dcu</t>
        </is>
      </c>
      <c r="R1845" t="inlineStr">
        <is>
          <t xml:space="preserve">DS </t>
        </is>
      </c>
      <c r="S1845" t="n">
        <v>1</v>
      </c>
      <c r="T1845" t="n">
        <v>1</v>
      </c>
      <c r="U1845" t="inlineStr">
        <is>
          <t>2005-11-17</t>
        </is>
      </c>
      <c r="V1845" t="inlineStr">
        <is>
          <t>2005-11-17</t>
        </is>
      </c>
      <c r="W1845" t="inlineStr">
        <is>
          <t>2005-11-17</t>
        </is>
      </c>
      <c r="X1845" t="inlineStr">
        <is>
          <t>2005-11-17</t>
        </is>
      </c>
      <c r="Y1845" t="n">
        <v>271</v>
      </c>
      <c r="Z1845" t="n">
        <v>262</v>
      </c>
      <c r="AA1845" t="n">
        <v>264</v>
      </c>
      <c r="AB1845" t="n">
        <v>2</v>
      </c>
      <c r="AC1845" t="n">
        <v>2</v>
      </c>
      <c r="AD1845" t="n">
        <v>5</v>
      </c>
      <c r="AE1845" t="n">
        <v>5</v>
      </c>
      <c r="AF1845" t="n">
        <v>0</v>
      </c>
      <c r="AG1845" t="n">
        <v>0</v>
      </c>
      <c r="AH1845" t="n">
        <v>3</v>
      </c>
      <c r="AI1845" t="n">
        <v>3</v>
      </c>
      <c r="AJ1845" t="n">
        <v>2</v>
      </c>
      <c r="AK1845" t="n">
        <v>2</v>
      </c>
      <c r="AL1845" t="n">
        <v>1</v>
      </c>
      <c r="AM1845" t="n">
        <v>1</v>
      </c>
      <c r="AN1845" t="n">
        <v>0</v>
      </c>
      <c r="AO1845" t="n">
        <v>0</v>
      </c>
      <c r="AP1845" t="inlineStr">
        <is>
          <t>No</t>
        </is>
      </c>
      <c r="AQ1845" t="inlineStr">
        <is>
          <t>Yes</t>
        </is>
      </c>
      <c r="AR1845">
        <f>HYPERLINK("http://catalog.hathitrust.org/Record/005124701","HathiTrust Record")</f>
        <v/>
      </c>
      <c r="AS1845">
        <f>HYPERLINK("https://creighton-primo.hosted.exlibrisgroup.com/primo-explore/search?tab=default_tab&amp;search_scope=EVERYTHING&amp;vid=01CRU&amp;lang=en_US&amp;offset=0&amp;query=any,contains,991004661749702656","Catalog Record")</f>
        <v/>
      </c>
      <c r="AT1845">
        <f>HYPERLINK("http://www.worldcat.org/oclc/62096210","WorldCat Record")</f>
        <v/>
      </c>
      <c r="AU1845" t="inlineStr">
        <is>
          <t>46519374:eng</t>
        </is>
      </c>
      <c r="AV1845" t="inlineStr">
        <is>
          <t>62096210</t>
        </is>
      </c>
      <c r="AW1845" t="inlineStr">
        <is>
          <t>991004661749702656</t>
        </is>
      </c>
      <c r="AX1845" t="inlineStr">
        <is>
          <t>991004661749702656</t>
        </is>
      </c>
      <c r="AY1845" t="inlineStr">
        <is>
          <t>2268687180002656</t>
        </is>
      </c>
      <c r="AZ1845" t="inlineStr">
        <is>
          <t>BOOK</t>
        </is>
      </c>
      <c r="BB1845" t="inlineStr">
        <is>
          <t>9780929590202</t>
        </is>
      </c>
      <c r="BC1845" t="inlineStr">
        <is>
          <t>32285005089064</t>
        </is>
      </c>
      <c r="BD1845" t="inlineStr">
        <is>
          <t>893253966</t>
        </is>
      </c>
    </row>
    <row r="1846">
      <c r="A1846" t="inlineStr">
        <is>
          <t>No</t>
        </is>
      </c>
      <c r="B1846" t="inlineStr">
        <is>
          <t>DS70.7 .F4 1969</t>
        </is>
      </c>
      <c r="C1846" t="inlineStr">
        <is>
          <t>0                      DS 0070700F  4           1969</t>
        </is>
      </c>
      <c r="D1846" t="inlineStr">
        <is>
          <t>Guests of the Sheik : an ethnography of an Iraqi village / Elizabeth Warnock Fernea.</t>
        </is>
      </c>
      <c r="F1846" t="inlineStr">
        <is>
          <t>No</t>
        </is>
      </c>
      <c r="G1846" t="inlineStr">
        <is>
          <t>1</t>
        </is>
      </c>
      <c r="H1846" t="inlineStr">
        <is>
          <t>No</t>
        </is>
      </c>
      <c r="I1846" t="inlineStr">
        <is>
          <t>No</t>
        </is>
      </c>
      <c r="J1846" t="inlineStr">
        <is>
          <t>0</t>
        </is>
      </c>
      <c r="K1846" t="inlineStr">
        <is>
          <t>Fernea, Elizabeth Warnock, 1927-2008.</t>
        </is>
      </c>
      <c r="L1846" t="inlineStr">
        <is>
          <t>Garden City, N.Y. : Anchor books, 1969.</t>
        </is>
      </c>
      <c r="M1846" t="inlineStr">
        <is>
          <t>1969</t>
        </is>
      </c>
      <c r="N1846" t="inlineStr">
        <is>
          <t>Anchor books ed.</t>
        </is>
      </c>
      <c r="O1846" t="inlineStr">
        <is>
          <t>eng</t>
        </is>
      </c>
      <c r="P1846" t="inlineStr">
        <is>
          <t>nyu</t>
        </is>
      </c>
      <c r="Q1846" t="inlineStr">
        <is>
          <t>A Doubleday Anchor book</t>
        </is>
      </c>
      <c r="R1846" t="inlineStr">
        <is>
          <t xml:space="preserve">DS </t>
        </is>
      </c>
      <c r="S1846" t="n">
        <v>11</v>
      </c>
      <c r="T1846" t="n">
        <v>11</v>
      </c>
      <c r="U1846" t="inlineStr">
        <is>
          <t>1999-04-23</t>
        </is>
      </c>
      <c r="V1846" t="inlineStr">
        <is>
          <t>1999-04-23</t>
        </is>
      </c>
      <c r="W1846" t="inlineStr">
        <is>
          <t>1997-02-24</t>
        </is>
      </c>
      <c r="X1846" t="inlineStr">
        <is>
          <t>1997-02-24</t>
        </is>
      </c>
      <c r="Y1846" t="n">
        <v>251</v>
      </c>
      <c r="Z1846" t="n">
        <v>228</v>
      </c>
      <c r="AA1846" t="n">
        <v>926</v>
      </c>
      <c r="AB1846" t="n">
        <v>4</v>
      </c>
      <c r="AC1846" t="n">
        <v>9</v>
      </c>
      <c r="AD1846" t="n">
        <v>12</v>
      </c>
      <c r="AE1846" t="n">
        <v>38</v>
      </c>
      <c r="AF1846" t="n">
        <v>4</v>
      </c>
      <c r="AG1846" t="n">
        <v>12</v>
      </c>
      <c r="AH1846" t="n">
        <v>4</v>
      </c>
      <c r="AI1846" t="n">
        <v>9</v>
      </c>
      <c r="AJ1846" t="n">
        <v>3</v>
      </c>
      <c r="AK1846" t="n">
        <v>19</v>
      </c>
      <c r="AL1846" t="n">
        <v>3</v>
      </c>
      <c r="AM1846" t="n">
        <v>7</v>
      </c>
      <c r="AN1846" t="n">
        <v>0</v>
      </c>
      <c r="AO1846" t="n">
        <v>0</v>
      </c>
      <c r="AP1846" t="inlineStr">
        <is>
          <t>No</t>
        </is>
      </c>
      <c r="AQ1846" t="inlineStr">
        <is>
          <t>No</t>
        </is>
      </c>
      <c r="AS1846">
        <f>HYPERLINK("https://creighton-primo.hosted.exlibrisgroup.com/primo-explore/search?tab=default_tab&amp;search_scope=EVERYTHING&amp;vid=01CRU&amp;lang=en_US&amp;offset=0&amp;query=any,contains,991005041659702656","Catalog Record")</f>
        <v/>
      </c>
      <c r="AT1846">
        <f>HYPERLINK("http://www.worldcat.org/oclc/6798767","WorldCat Record")</f>
        <v/>
      </c>
      <c r="AU1846" t="inlineStr">
        <is>
          <t>196675519:eng</t>
        </is>
      </c>
      <c r="AV1846" t="inlineStr">
        <is>
          <t>6798767</t>
        </is>
      </c>
      <c r="AW1846" t="inlineStr">
        <is>
          <t>991005041659702656</t>
        </is>
      </c>
      <c r="AX1846" t="inlineStr">
        <is>
          <t>991005041659702656</t>
        </is>
      </c>
      <c r="AY1846" t="inlineStr">
        <is>
          <t>2265527710002656</t>
        </is>
      </c>
      <c r="AZ1846" t="inlineStr">
        <is>
          <t>BOOK</t>
        </is>
      </c>
      <c r="BB1846" t="inlineStr">
        <is>
          <t>9780385014854</t>
        </is>
      </c>
      <c r="BC1846" t="inlineStr">
        <is>
          <t>32285002460284</t>
        </is>
      </c>
      <c r="BD1846" t="inlineStr">
        <is>
          <t>893418299</t>
        </is>
      </c>
    </row>
    <row r="1847">
      <c r="A1847" t="inlineStr">
        <is>
          <t>No</t>
        </is>
      </c>
      <c r="B1847" t="inlineStr">
        <is>
          <t>DS70.7 .I73 2003</t>
        </is>
      </c>
      <c r="C1847" t="inlineStr">
        <is>
          <t>0                      DS 0070700I  73          2003</t>
        </is>
      </c>
      <c r="D1847" t="inlineStr">
        <is>
          <t>Iraq : its history, people, and politics / edited by Shams C. Inati.</t>
        </is>
      </c>
      <c r="F1847" t="inlineStr">
        <is>
          <t>No</t>
        </is>
      </c>
      <c r="G1847" t="inlineStr">
        <is>
          <t>1</t>
        </is>
      </c>
      <c r="H1847" t="inlineStr">
        <is>
          <t>No</t>
        </is>
      </c>
      <c r="I1847" t="inlineStr">
        <is>
          <t>No</t>
        </is>
      </c>
      <c r="J1847" t="inlineStr">
        <is>
          <t>0</t>
        </is>
      </c>
      <c r="L1847" t="inlineStr">
        <is>
          <t>Amherst, N.Y. : Humanity Books, 2003.</t>
        </is>
      </c>
      <c r="M1847" t="inlineStr">
        <is>
          <t>2003</t>
        </is>
      </c>
      <c r="O1847" t="inlineStr">
        <is>
          <t>eng</t>
        </is>
      </c>
      <c r="P1847" t="inlineStr">
        <is>
          <t>nyu</t>
        </is>
      </c>
      <c r="R1847" t="inlineStr">
        <is>
          <t xml:space="preserve">DS </t>
        </is>
      </c>
      <c r="S1847" t="n">
        <v>8</v>
      </c>
      <c r="T1847" t="n">
        <v>8</v>
      </c>
      <c r="U1847" t="inlineStr">
        <is>
          <t>2009-03-16</t>
        </is>
      </c>
      <c r="V1847" t="inlineStr">
        <is>
          <t>2009-03-16</t>
        </is>
      </c>
      <c r="W1847" t="inlineStr">
        <is>
          <t>2003-09-30</t>
        </is>
      </c>
      <c r="X1847" t="inlineStr">
        <is>
          <t>2003-09-30</t>
        </is>
      </c>
      <c r="Y1847" t="n">
        <v>270</v>
      </c>
      <c r="Z1847" t="n">
        <v>224</v>
      </c>
      <c r="AA1847" t="n">
        <v>230</v>
      </c>
      <c r="AB1847" t="n">
        <v>3</v>
      </c>
      <c r="AC1847" t="n">
        <v>3</v>
      </c>
      <c r="AD1847" t="n">
        <v>9</v>
      </c>
      <c r="AE1847" t="n">
        <v>9</v>
      </c>
      <c r="AF1847" t="n">
        <v>3</v>
      </c>
      <c r="AG1847" t="n">
        <v>3</v>
      </c>
      <c r="AH1847" t="n">
        <v>3</v>
      </c>
      <c r="AI1847" t="n">
        <v>3</v>
      </c>
      <c r="AJ1847" t="n">
        <v>2</v>
      </c>
      <c r="AK1847" t="n">
        <v>2</v>
      </c>
      <c r="AL1847" t="n">
        <v>2</v>
      </c>
      <c r="AM1847" t="n">
        <v>2</v>
      </c>
      <c r="AN1847" t="n">
        <v>0</v>
      </c>
      <c r="AO1847" t="n">
        <v>0</v>
      </c>
      <c r="AP1847" t="inlineStr">
        <is>
          <t>No</t>
        </is>
      </c>
      <c r="AQ1847" t="inlineStr">
        <is>
          <t>No</t>
        </is>
      </c>
      <c r="AS1847">
        <f>HYPERLINK("https://creighton-primo.hosted.exlibrisgroup.com/primo-explore/search?tab=default_tab&amp;search_scope=EVERYTHING&amp;vid=01CRU&amp;lang=en_US&amp;offset=0&amp;query=any,contains,991004143669702656","Catalog Record")</f>
        <v/>
      </c>
      <c r="AT1847">
        <f>HYPERLINK("http://www.worldcat.org/oclc/51553058","WorldCat Record")</f>
        <v/>
      </c>
      <c r="AU1847" t="inlineStr">
        <is>
          <t>939792:eng</t>
        </is>
      </c>
      <c r="AV1847" t="inlineStr">
        <is>
          <t>51553058</t>
        </is>
      </c>
      <c r="AW1847" t="inlineStr">
        <is>
          <t>991004143669702656</t>
        </is>
      </c>
      <c r="AX1847" t="inlineStr">
        <is>
          <t>991004143669702656</t>
        </is>
      </c>
      <c r="AY1847" t="inlineStr">
        <is>
          <t>2263645850002656</t>
        </is>
      </c>
      <c r="AZ1847" t="inlineStr">
        <is>
          <t>BOOK</t>
        </is>
      </c>
      <c r="BB1847" t="inlineStr">
        <is>
          <t>9781591020967</t>
        </is>
      </c>
      <c r="BC1847" t="inlineStr">
        <is>
          <t>32285004792635</t>
        </is>
      </c>
      <c r="BD1847" t="inlineStr">
        <is>
          <t>893411167</t>
        </is>
      </c>
    </row>
    <row r="1848">
      <c r="A1848" t="inlineStr">
        <is>
          <t>No</t>
        </is>
      </c>
      <c r="B1848" t="inlineStr">
        <is>
          <t>DS70.7 .O6</t>
        </is>
      </c>
      <c r="C1848" t="inlineStr">
        <is>
          <t>0                      DS 0070700O  6</t>
        </is>
      </c>
      <c r="D1848" t="inlineStr">
        <is>
          <t>Ancient Mesopotamia : portrait of a dead civilization / by A. Leo Oppenheim.</t>
        </is>
      </c>
      <c r="F1848" t="inlineStr">
        <is>
          <t>No</t>
        </is>
      </c>
      <c r="G1848" t="inlineStr">
        <is>
          <t>1</t>
        </is>
      </c>
      <c r="H1848" t="inlineStr">
        <is>
          <t>No</t>
        </is>
      </c>
      <c r="I1848" t="inlineStr">
        <is>
          <t>No</t>
        </is>
      </c>
      <c r="J1848" t="inlineStr">
        <is>
          <t>0</t>
        </is>
      </c>
      <c r="K1848" t="inlineStr">
        <is>
          <t>Oppenheim, A. Leo, 1904-1974.</t>
        </is>
      </c>
      <c r="L1848" t="inlineStr">
        <is>
          <t>Chicago : University of Chicago Press, [1964]</t>
        </is>
      </c>
      <c r="M1848" t="inlineStr">
        <is>
          <t>1964</t>
        </is>
      </c>
      <c r="O1848" t="inlineStr">
        <is>
          <t>eng</t>
        </is>
      </c>
      <c r="P1848" t="inlineStr">
        <is>
          <t>ilu</t>
        </is>
      </c>
      <c r="R1848" t="inlineStr">
        <is>
          <t xml:space="preserve">DS </t>
        </is>
      </c>
      <c r="S1848" t="n">
        <v>12</v>
      </c>
      <c r="T1848" t="n">
        <v>12</v>
      </c>
      <c r="U1848" t="inlineStr">
        <is>
          <t>2007-01-31</t>
        </is>
      </c>
      <c r="V1848" t="inlineStr">
        <is>
          <t>2007-01-31</t>
        </is>
      </c>
      <c r="W1848" t="inlineStr">
        <is>
          <t>1990-08-14</t>
        </is>
      </c>
      <c r="X1848" t="inlineStr">
        <is>
          <t>1990-08-14</t>
        </is>
      </c>
      <c r="Y1848" t="n">
        <v>1512</v>
      </c>
      <c r="Z1848" t="n">
        <v>1334</v>
      </c>
      <c r="AA1848" t="n">
        <v>1802</v>
      </c>
      <c r="AB1848" t="n">
        <v>11</v>
      </c>
      <c r="AC1848" t="n">
        <v>13</v>
      </c>
      <c r="AD1848" t="n">
        <v>51</v>
      </c>
      <c r="AE1848" t="n">
        <v>64</v>
      </c>
      <c r="AF1848" t="n">
        <v>20</v>
      </c>
      <c r="AG1848" t="n">
        <v>28</v>
      </c>
      <c r="AH1848" t="n">
        <v>8</v>
      </c>
      <c r="AI1848" t="n">
        <v>11</v>
      </c>
      <c r="AJ1848" t="n">
        <v>22</v>
      </c>
      <c r="AK1848" t="n">
        <v>27</v>
      </c>
      <c r="AL1848" t="n">
        <v>10</v>
      </c>
      <c r="AM1848" t="n">
        <v>12</v>
      </c>
      <c r="AN1848" t="n">
        <v>0</v>
      </c>
      <c r="AO1848" t="n">
        <v>0</v>
      </c>
      <c r="AP1848" t="inlineStr">
        <is>
          <t>No</t>
        </is>
      </c>
      <c r="AQ1848" t="inlineStr">
        <is>
          <t>Yes</t>
        </is>
      </c>
      <c r="AR1848">
        <f>HYPERLINK("http://catalog.hathitrust.org/Record/001241506","HathiTrust Record")</f>
        <v/>
      </c>
      <c r="AS1848">
        <f>HYPERLINK("https://creighton-primo.hosted.exlibrisgroup.com/primo-explore/search?tab=default_tab&amp;search_scope=EVERYTHING&amp;vid=01CRU&amp;lang=en_US&amp;offset=0&amp;query=any,contains,991003594309702656","Catalog Record")</f>
        <v/>
      </c>
      <c r="AT1848">
        <f>HYPERLINK("http://www.worldcat.org/oclc/1175501","WorldCat Record")</f>
        <v/>
      </c>
      <c r="AU1848" t="inlineStr">
        <is>
          <t>571518:eng</t>
        </is>
      </c>
      <c r="AV1848" t="inlineStr">
        <is>
          <t>1175501</t>
        </is>
      </c>
      <c r="AW1848" t="inlineStr">
        <is>
          <t>991003594309702656</t>
        </is>
      </c>
      <c r="AX1848" t="inlineStr">
        <is>
          <t>991003594309702656</t>
        </is>
      </c>
      <c r="AY1848" t="inlineStr">
        <is>
          <t>2271903620002656</t>
        </is>
      </c>
      <c r="AZ1848" t="inlineStr">
        <is>
          <t>BOOK</t>
        </is>
      </c>
      <c r="BC1848" t="inlineStr">
        <is>
          <t>32285000281278</t>
        </is>
      </c>
      <c r="BD1848" t="inlineStr">
        <is>
          <t>893686695</t>
        </is>
      </c>
    </row>
    <row r="1849">
      <c r="A1849" t="inlineStr">
        <is>
          <t>No</t>
        </is>
      </c>
      <c r="B1849" t="inlineStr">
        <is>
          <t>DS70.7 .S26 1987</t>
        </is>
      </c>
      <c r="C1849" t="inlineStr">
        <is>
          <t>0                      DS 0070700S  26          1987</t>
        </is>
      </c>
      <c r="D1849" t="inlineStr">
        <is>
          <t>Everyday life in Babylonia &amp; Assyria / H.W.F. Saggs ; drawings by Helen Nixon Fairfield.</t>
        </is>
      </c>
      <c r="F1849" t="inlineStr">
        <is>
          <t>No</t>
        </is>
      </c>
      <c r="G1849" t="inlineStr">
        <is>
          <t>1</t>
        </is>
      </c>
      <c r="H1849" t="inlineStr">
        <is>
          <t>No</t>
        </is>
      </c>
      <c r="I1849" t="inlineStr">
        <is>
          <t>No</t>
        </is>
      </c>
      <c r="J1849" t="inlineStr">
        <is>
          <t>0</t>
        </is>
      </c>
      <c r="K1849" t="inlineStr">
        <is>
          <t>Saggs, H. W. F.</t>
        </is>
      </c>
      <c r="L1849" t="inlineStr">
        <is>
          <t>New York : Dorset Press, 1987.</t>
        </is>
      </c>
      <c r="M1849" t="inlineStr">
        <is>
          <t>1987</t>
        </is>
      </c>
      <c r="O1849" t="inlineStr">
        <is>
          <t>eng</t>
        </is>
      </c>
      <c r="P1849" t="inlineStr">
        <is>
          <t>nyu</t>
        </is>
      </c>
      <c r="R1849" t="inlineStr">
        <is>
          <t xml:space="preserve">DS </t>
        </is>
      </c>
      <c r="S1849" t="n">
        <v>6</v>
      </c>
      <c r="T1849" t="n">
        <v>6</v>
      </c>
      <c r="U1849" t="inlineStr">
        <is>
          <t>2008-11-02</t>
        </is>
      </c>
      <c r="V1849" t="inlineStr">
        <is>
          <t>2008-11-02</t>
        </is>
      </c>
      <c r="W1849" t="inlineStr">
        <is>
          <t>1990-05-01</t>
        </is>
      </c>
      <c r="X1849" t="inlineStr">
        <is>
          <t>1990-05-01</t>
        </is>
      </c>
      <c r="Y1849" t="n">
        <v>491</v>
      </c>
      <c r="Z1849" t="n">
        <v>459</v>
      </c>
      <c r="AA1849" t="n">
        <v>1083</v>
      </c>
      <c r="AB1849" t="n">
        <v>5</v>
      </c>
      <c r="AC1849" t="n">
        <v>8</v>
      </c>
      <c r="AD1849" t="n">
        <v>11</v>
      </c>
      <c r="AE1849" t="n">
        <v>21</v>
      </c>
      <c r="AF1849" t="n">
        <v>6</v>
      </c>
      <c r="AG1849" t="n">
        <v>8</v>
      </c>
      <c r="AH1849" t="n">
        <v>2</v>
      </c>
      <c r="AI1849" t="n">
        <v>3</v>
      </c>
      <c r="AJ1849" t="n">
        <v>6</v>
      </c>
      <c r="AK1849" t="n">
        <v>11</v>
      </c>
      <c r="AL1849" t="n">
        <v>1</v>
      </c>
      <c r="AM1849" t="n">
        <v>3</v>
      </c>
      <c r="AN1849" t="n">
        <v>0</v>
      </c>
      <c r="AO1849" t="n">
        <v>0</v>
      </c>
      <c r="AP1849" t="inlineStr">
        <is>
          <t>No</t>
        </is>
      </c>
      <c r="AQ1849" t="inlineStr">
        <is>
          <t>Yes</t>
        </is>
      </c>
      <c r="AR1849">
        <f>HYPERLINK("http://catalog.hathitrust.org/Record/101982464","HathiTrust Record")</f>
        <v/>
      </c>
      <c r="AS1849">
        <f>HYPERLINK("https://creighton-primo.hosted.exlibrisgroup.com/primo-explore/search?tab=default_tab&amp;search_scope=EVERYTHING&amp;vid=01CRU&amp;lang=en_US&amp;offset=0&amp;query=any,contains,991001072989702656","Catalog Record")</f>
        <v/>
      </c>
      <c r="AT1849">
        <f>HYPERLINK("http://www.worldcat.org/oclc/16002825","WorldCat Record")</f>
        <v/>
      </c>
      <c r="AU1849" t="inlineStr">
        <is>
          <t>1548967:eng</t>
        </is>
      </c>
      <c r="AV1849" t="inlineStr">
        <is>
          <t>16002825</t>
        </is>
      </c>
      <c r="AW1849" t="inlineStr">
        <is>
          <t>991001072989702656</t>
        </is>
      </c>
      <c r="AX1849" t="inlineStr">
        <is>
          <t>991001072989702656</t>
        </is>
      </c>
      <c r="AY1849" t="inlineStr">
        <is>
          <t>2272102950002656</t>
        </is>
      </c>
      <c r="AZ1849" t="inlineStr">
        <is>
          <t>BOOK</t>
        </is>
      </c>
      <c r="BB1849" t="inlineStr">
        <is>
          <t>9780880291279</t>
        </is>
      </c>
      <c r="BC1849" t="inlineStr">
        <is>
          <t>32285000129972</t>
        </is>
      </c>
      <c r="BD1849" t="inlineStr">
        <is>
          <t>893426294</t>
        </is>
      </c>
    </row>
    <row r="1850">
      <c r="A1850" t="inlineStr">
        <is>
          <t>No</t>
        </is>
      </c>
      <c r="B1850" t="inlineStr">
        <is>
          <t>DS70.8.K8 B58 1993</t>
        </is>
      </c>
      <c r="C1850" t="inlineStr">
        <is>
          <t>0                      DS 0070800K  8                  B  58          1993</t>
        </is>
      </c>
      <c r="D1850" t="inlineStr">
        <is>
          <t>Genocide in Iraq : the Anfal campaign against the Kurds.</t>
        </is>
      </c>
      <c r="F1850" t="inlineStr">
        <is>
          <t>No</t>
        </is>
      </c>
      <c r="G1850" t="inlineStr">
        <is>
          <t>1</t>
        </is>
      </c>
      <c r="H1850" t="inlineStr">
        <is>
          <t>No</t>
        </is>
      </c>
      <c r="I1850" t="inlineStr">
        <is>
          <t>No</t>
        </is>
      </c>
      <c r="J1850" t="inlineStr">
        <is>
          <t>0</t>
        </is>
      </c>
      <c r="K1850" t="inlineStr">
        <is>
          <t>Black, George, 1949-</t>
        </is>
      </c>
      <c r="L1850" t="inlineStr">
        <is>
          <t>New York : Human Rights Watch, [c1993].</t>
        </is>
      </c>
      <c r="M1850" t="inlineStr">
        <is>
          <t>1993</t>
        </is>
      </c>
      <c r="O1850" t="inlineStr">
        <is>
          <t>eng</t>
        </is>
      </c>
      <c r="P1850" t="inlineStr">
        <is>
          <t>nyu</t>
        </is>
      </c>
      <c r="Q1850" t="inlineStr">
        <is>
          <t>Middle East Watch report</t>
        </is>
      </c>
      <c r="R1850" t="inlineStr">
        <is>
          <t xml:space="preserve">DS </t>
        </is>
      </c>
      <c r="S1850" t="n">
        <v>13</v>
      </c>
      <c r="T1850" t="n">
        <v>13</v>
      </c>
      <c r="U1850" t="inlineStr">
        <is>
          <t>2006-10-29</t>
        </is>
      </c>
      <c r="V1850" t="inlineStr">
        <is>
          <t>2006-10-29</t>
        </is>
      </c>
      <c r="W1850" t="inlineStr">
        <is>
          <t>1994-10-21</t>
        </is>
      </c>
      <c r="X1850" t="inlineStr">
        <is>
          <t>1994-10-21</t>
        </is>
      </c>
      <c r="Y1850" t="n">
        <v>242</v>
      </c>
      <c r="Z1850" t="n">
        <v>181</v>
      </c>
      <c r="AA1850" t="n">
        <v>195</v>
      </c>
      <c r="AB1850" t="n">
        <v>2</v>
      </c>
      <c r="AC1850" t="n">
        <v>2</v>
      </c>
      <c r="AD1850" t="n">
        <v>10</v>
      </c>
      <c r="AE1850" t="n">
        <v>10</v>
      </c>
      <c r="AF1850" t="n">
        <v>2</v>
      </c>
      <c r="AG1850" t="n">
        <v>2</v>
      </c>
      <c r="AH1850" t="n">
        <v>3</v>
      </c>
      <c r="AI1850" t="n">
        <v>3</v>
      </c>
      <c r="AJ1850" t="n">
        <v>4</v>
      </c>
      <c r="AK1850" t="n">
        <v>4</v>
      </c>
      <c r="AL1850" t="n">
        <v>1</v>
      </c>
      <c r="AM1850" t="n">
        <v>1</v>
      </c>
      <c r="AN1850" t="n">
        <v>2</v>
      </c>
      <c r="AO1850" t="n">
        <v>2</v>
      </c>
      <c r="AP1850" t="inlineStr">
        <is>
          <t>No</t>
        </is>
      </c>
      <c r="AQ1850" t="inlineStr">
        <is>
          <t>No</t>
        </is>
      </c>
      <c r="AS1850">
        <f>HYPERLINK("https://creighton-primo.hosted.exlibrisgroup.com/primo-explore/search?tab=default_tab&amp;search_scope=EVERYTHING&amp;vid=01CRU&amp;lang=en_US&amp;offset=0&amp;query=any,contains,991005417529702656","Catalog Record")</f>
        <v/>
      </c>
      <c r="AT1850">
        <f>HYPERLINK("http://www.worldcat.org/oclc/28687194","WorldCat Record")</f>
        <v/>
      </c>
      <c r="AU1850" t="inlineStr">
        <is>
          <t>152303531:eng</t>
        </is>
      </c>
      <c r="AV1850" t="inlineStr">
        <is>
          <t>28687194</t>
        </is>
      </c>
      <c r="AW1850" t="inlineStr">
        <is>
          <t>991005417529702656</t>
        </is>
      </c>
      <c r="AX1850" t="inlineStr">
        <is>
          <t>991005417529702656</t>
        </is>
      </c>
      <c r="AY1850" t="inlineStr">
        <is>
          <t>2271115460002656</t>
        </is>
      </c>
      <c r="AZ1850" t="inlineStr">
        <is>
          <t>BOOK</t>
        </is>
      </c>
      <c r="BB1850" t="inlineStr">
        <is>
          <t>9781564321084</t>
        </is>
      </c>
      <c r="BC1850" t="inlineStr">
        <is>
          <t>32285005018964</t>
        </is>
      </c>
      <c r="BD1850" t="inlineStr">
        <is>
          <t>893714074</t>
        </is>
      </c>
    </row>
    <row r="1851">
      <c r="A1851" t="inlineStr">
        <is>
          <t>No</t>
        </is>
      </c>
      <c r="B1851" t="inlineStr">
        <is>
          <t>DS70.8.K8 F88 2005</t>
        </is>
      </c>
      <c r="C1851" t="inlineStr">
        <is>
          <t>0                      DS 0070800K  8                  F  88          2005</t>
        </is>
      </c>
      <c r="D1851" t="inlineStr">
        <is>
          <t>The future of Kurdistan in Iraq / edited by Brendan O'Leary, John McGarry, and Khaled Salih.</t>
        </is>
      </c>
      <c r="F1851" t="inlineStr">
        <is>
          <t>No</t>
        </is>
      </c>
      <c r="G1851" t="inlineStr">
        <is>
          <t>1</t>
        </is>
      </c>
      <c r="H1851" t="inlineStr">
        <is>
          <t>No</t>
        </is>
      </c>
      <c r="I1851" t="inlineStr">
        <is>
          <t>No</t>
        </is>
      </c>
      <c r="J1851" t="inlineStr">
        <is>
          <t>0</t>
        </is>
      </c>
      <c r="L1851" t="inlineStr">
        <is>
          <t>Philadelphia : University of Pennsylvania Press, 2005.</t>
        </is>
      </c>
      <c r="M1851" t="inlineStr">
        <is>
          <t>2005</t>
        </is>
      </c>
      <c r="O1851" t="inlineStr">
        <is>
          <t>eng</t>
        </is>
      </c>
      <c r="P1851" t="inlineStr">
        <is>
          <t>pau</t>
        </is>
      </c>
      <c r="R1851" t="inlineStr">
        <is>
          <t xml:space="preserve">DS </t>
        </is>
      </c>
      <c r="S1851" t="n">
        <v>5</v>
      </c>
      <c r="T1851" t="n">
        <v>5</v>
      </c>
      <c r="U1851" t="inlineStr">
        <is>
          <t>2010-10-12</t>
        </is>
      </c>
      <c r="V1851" t="inlineStr">
        <is>
          <t>2010-10-12</t>
        </is>
      </c>
      <c r="W1851" t="inlineStr">
        <is>
          <t>2006-04-03</t>
        </is>
      </c>
      <c r="X1851" t="inlineStr">
        <is>
          <t>2006-04-03</t>
        </is>
      </c>
      <c r="Y1851" t="n">
        <v>444</v>
      </c>
      <c r="Z1851" t="n">
        <v>356</v>
      </c>
      <c r="AA1851" t="n">
        <v>358</v>
      </c>
      <c r="AB1851" t="n">
        <v>2</v>
      </c>
      <c r="AC1851" t="n">
        <v>2</v>
      </c>
      <c r="AD1851" t="n">
        <v>23</v>
      </c>
      <c r="AE1851" t="n">
        <v>23</v>
      </c>
      <c r="AF1851" t="n">
        <v>10</v>
      </c>
      <c r="AG1851" t="n">
        <v>10</v>
      </c>
      <c r="AH1851" t="n">
        <v>9</v>
      </c>
      <c r="AI1851" t="n">
        <v>9</v>
      </c>
      <c r="AJ1851" t="n">
        <v>11</v>
      </c>
      <c r="AK1851" t="n">
        <v>11</v>
      </c>
      <c r="AL1851" t="n">
        <v>1</v>
      </c>
      <c r="AM1851" t="n">
        <v>1</v>
      </c>
      <c r="AN1851" t="n">
        <v>1</v>
      </c>
      <c r="AO1851" t="n">
        <v>1</v>
      </c>
      <c r="AP1851" t="inlineStr">
        <is>
          <t>No</t>
        </is>
      </c>
      <c r="AQ1851" t="inlineStr">
        <is>
          <t>Yes</t>
        </is>
      </c>
      <c r="AR1851">
        <f>HYPERLINK("http://catalog.hathitrust.org/Record/004978538","HathiTrust Record")</f>
        <v/>
      </c>
      <c r="AS1851">
        <f>HYPERLINK("https://creighton-primo.hosted.exlibrisgroup.com/primo-explore/search?tab=default_tab&amp;search_scope=EVERYTHING&amp;vid=01CRU&amp;lang=en_US&amp;offset=0&amp;query=any,contains,991004776759702656","Catalog Record")</f>
        <v/>
      </c>
      <c r="AT1851">
        <f>HYPERLINK("http://www.worldcat.org/oclc/57001883","WorldCat Record")</f>
        <v/>
      </c>
      <c r="AU1851" t="inlineStr">
        <is>
          <t>367168202:eng</t>
        </is>
      </c>
      <c r="AV1851" t="inlineStr">
        <is>
          <t>57001883</t>
        </is>
      </c>
      <c r="AW1851" t="inlineStr">
        <is>
          <t>991004776759702656</t>
        </is>
      </c>
      <c r="AX1851" t="inlineStr">
        <is>
          <t>991004776759702656</t>
        </is>
      </c>
      <c r="AY1851" t="inlineStr">
        <is>
          <t>2271841910002656</t>
        </is>
      </c>
      <c r="AZ1851" t="inlineStr">
        <is>
          <t>BOOK</t>
        </is>
      </c>
      <c r="BB1851" t="inlineStr">
        <is>
          <t>9780812238709</t>
        </is>
      </c>
      <c r="BC1851" t="inlineStr">
        <is>
          <t>32285005169247</t>
        </is>
      </c>
      <c r="BD1851" t="inlineStr">
        <is>
          <t>893500946</t>
        </is>
      </c>
    </row>
    <row r="1852">
      <c r="A1852" t="inlineStr">
        <is>
          <t>No</t>
        </is>
      </c>
      <c r="B1852" t="inlineStr">
        <is>
          <t>DS70.8.K8 G86 1992</t>
        </is>
      </c>
      <c r="C1852" t="inlineStr">
        <is>
          <t>0                      DS 0070800K  8                  G  86          1992</t>
        </is>
      </c>
      <c r="D1852" t="inlineStr">
        <is>
          <t>The Kurds of Iraq : tragedy and hope / by Michael M. Gunter.</t>
        </is>
      </c>
      <c r="F1852" t="inlineStr">
        <is>
          <t>No</t>
        </is>
      </c>
      <c r="G1852" t="inlineStr">
        <is>
          <t>1</t>
        </is>
      </c>
      <c r="H1852" t="inlineStr">
        <is>
          <t>No</t>
        </is>
      </c>
      <c r="I1852" t="inlineStr">
        <is>
          <t>No</t>
        </is>
      </c>
      <c r="J1852" t="inlineStr">
        <is>
          <t>0</t>
        </is>
      </c>
      <c r="K1852" t="inlineStr">
        <is>
          <t>Gunter, Michael M.</t>
        </is>
      </c>
      <c r="L1852" t="inlineStr">
        <is>
          <t>New York : St. Martin's Press, 1992.</t>
        </is>
      </c>
      <c r="M1852" t="inlineStr">
        <is>
          <t>1992</t>
        </is>
      </c>
      <c r="O1852" t="inlineStr">
        <is>
          <t>eng</t>
        </is>
      </c>
      <c r="P1852" t="inlineStr">
        <is>
          <t>nyu</t>
        </is>
      </c>
      <c r="R1852" t="inlineStr">
        <is>
          <t xml:space="preserve">DS </t>
        </is>
      </c>
      <c r="S1852" t="n">
        <v>14</v>
      </c>
      <c r="T1852" t="n">
        <v>14</v>
      </c>
      <c r="U1852" t="inlineStr">
        <is>
          <t>2009-10-13</t>
        </is>
      </c>
      <c r="V1852" t="inlineStr">
        <is>
          <t>2009-10-13</t>
        </is>
      </c>
      <c r="W1852" t="inlineStr">
        <is>
          <t>1993-07-20</t>
        </is>
      </c>
      <c r="X1852" t="inlineStr">
        <is>
          <t>1993-07-20</t>
        </is>
      </c>
      <c r="Y1852" t="n">
        <v>417</v>
      </c>
      <c r="Z1852" t="n">
        <v>338</v>
      </c>
      <c r="AA1852" t="n">
        <v>338</v>
      </c>
      <c r="AB1852" t="n">
        <v>4</v>
      </c>
      <c r="AC1852" t="n">
        <v>4</v>
      </c>
      <c r="AD1852" t="n">
        <v>16</v>
      </c>
      <c r="AE1852" t="n">
        <v>16</v>
      </c>
      <c r="AF1852" t="n">
        <v>3</v>
      </c>
      <c r="AG1852" t="n">
        <v>3</v>
      </c>
      <c r="AH1852" t="n">
        <v>6</v>
      </c>
      <c r="AI1852" t="n">
        <v>6</v>
      </c>
      <c r="AJ1852" t="n">
        <v>8</v>
      </c>
      <c r="AK1852" t="n">
        <v>8</v>
      </c>
      <c r="AL1852" t="n">
        <v>3</v>
      </c>
      <c r="AM1852" t="n">
        <v>3</v>
      </c>
      <c r="AN1852" t="n">
        <v>0</v>
      </c>
      <c r="AO1852" t="n">
        <v>0</v>
      </c>
      <c r="AP1852" t="inlineStr">
        <is>
          <t>No</t>
        </is>
      </c>
      <c r="AQ1852" t="inlineStr">
        <is>
          <t>No</t>
        </is>
      </c>
      <c r="AS1852">
        <f>HYPERLINK("https://creighton-primo.hosted.exlibrisgroup.com/primo-explore/search?tab=default_tab&amp;search_scope=EVERYTHING&amp;vid=01CRU&amp;lang=en_US&amp;offset=0&amp;query=any,contains,991002068349702656","Catalog Record")</f>
        <v/>
      </c>
      <c r="AT1852">
        <f>HYPERLINK("http://www.worldcat.org/oclc/26502786","WorldCat Record")</f>
        <v/>
      </c>
      <c r="AU1852" t="inlineStr">
        <is>
          <t>330873:eng</t>
        </is>
      </c>
      <c r="AV1852" t="inlineStr">
        <is>
          <t>26502786</t>
        </is>
      </c>
      <c r="AW1852" t="inlineStr">
        <is>
          <t>991002068349702656</t>
        </is>
      </c>
      <c r="AX1852" t="inlineStr">
        <is>
          <t>991002068349702656</t>
        </is>
      </c>
      <c r="AY1852" t="inlineStr">
        <is>
          <t>2257047070002656</t>
        </is>
      </c>
      <c r="AZ1852" t="inlineStr">
        <is>
          <t>BOOK</t>
        </is>
      </c>
      <c r="BB1852" t="inlineStr">
        <is>
          <t>9780312090845</t>
        </is>
      </c>
      <c r="BC1852" t="inlineStr">
        <is>
          <t>32285001703064</t>
        </is>
      </c>
      <c r="BD1852" t="inlineStr">
        <is>
          <t>893703634</t>
        </is>
      </c>
    </row>
    <row r="1853">
      <c r="A1853" t="inlineStr">
        <is>
          <t>No</t>
        </is>
      </c>
      <c r="B1853" t="inlineStr">
        <is>
          <t>DS70.8.K8 G86 1999</t>
        </is>
      </c>
      <c r="C1853" t="inlineStr">
        <is>
          <t>0                      DS 0070800K  8                  G  86          1999</t>
        </is>
      </c>
      <c r="D1853" t="inlineStr">
        <is>
          <t>The Kurdish predicament in Iraq : a political analysis / Michael M. Gunter.</t>
        </is>
      </c>
      <c r="F1853" t="inlineStr">
        <is>
          <t>No</t>
        </is>
      </c>
      <c r="G1853" t="inlineStr">
        <is>
          <t>1</t>
        </is>
      </c>
      <c r="H1853" t="inlineStr">
        <is>
          <t>No</t>
        </is>
      </c>
      <c r="I1853" t="inlineStr">
        <is>
          <t>No</t>
        </is>
      </c>
      <c r="J1853" t="inlineStr">
        <is>
          <t>0</t>
        </is>
      </c>
      <c r="K1853" t="inlineStr">
        <is>
          <t>Gunter, Michael M.</t>
        </is>
      </c>
      <c r="L1853" t="inlineStr">
        <is>
          <t>New York : St. Martin's Press, c1999.</t>
        </is>
      </c>
      <c r="M1853" t="inlineStr">
        <is>
          <t>1999</t>
        </is>
      </c>
      <c r="O1853" t="inlineStr">
        <is>
          <t>eng</t>
        </is>
      </c>
      <c r="P1853" t="inlineStr">
        <is>
          <t>nyu</t>
        </is>
      </c>
      <c r="R1853" t="inlineStr">
        <is>
          <t xml:space="preserve">DS </t>
        </is>
      </c>
      <c r="S1853" t="n">
        <v>8</v>
      </c>
      <c r="T1853" t="n">
        <v>8</v>
      </c>
      <c r="U1853" t="inlineStr">
        <is>
          <t>2009-10-13</t>
        </is>
      </c>
      <c r="V1853" t="inlineStr">
        <is>
          <t>2009-10-13</t>
        </is>
      </c>
      <c r="W1853" t="inlineStr">
        <is>
          <t>2002-10-17</t>
        </is>
      </c>
      <c r="X1853" t="inlineStr">
        <is>
          <t>2002-10-17</t>
        </is>
      </c>
      <c r="Y1853" t="n">
        <v>340</v>
      </c>
      <c r="Z1853" t="n">
        <v>287</v>
      </c>
      <c r="AA1853" t="n">
        <v>290</v>
      </c>
      <c r="AB1853" t="n">
        <v>3</v>
      </c>
      <c r="AC1853" t="n">
        <v>3</v>
      </c>
      <c r="AD1853" t="n">
        <v>19</v>
      </c>
      <c r="AE1853" t="n">
        <v>19</v>
      </c>
      <c r="AF1853" t="n">
        <v>7</v>
      </c>
      <c r="AG1853" t="n">
        <v>7</v>
      </c>
      <c r="AH1853" t="n">
        <v>5</v>
      </c>
      <c r="AI1853" t="n">
        <v>5</v>
      </c>
      <c r="AJ1853" t="n">
        <v>10</v>
      </c>
      <c r="AK1853" t="n">
        <v>10</v>
      </c>
      <c r="AL1853" t="n">
        <v>2</v>
      </c>
      <c r="AM1853" t="n">
        <v>2</v>
      </c>
      <c r="AN1853" t="n">
        <v>0</v>
      </c>
      <c r="AO1853" t="n">
        <v>0</v>
      </c>
      <c r="AP1853" t="inlineStr">
        <is>
          <t>No</t>
        </is>
      </c>
      <c r="AQ1853" t="inlineStr">
        <is>
          <t>No</t>
        </is>
      </c>
      <c r="AS1853">
        <f>HYPERLINK("https://creighton-primo.hosted.exlibrisgroup.com/primo-explore/search?tab=default_tab&amp;search_scope=EVERYTHING&amp;vid=01CRU&amp;lang=en_US&amp;offset=0&amp;query=any,contains,991003875509702656","Catalog Record")</f>
        <v/>
      </c>
      <c r="AT1853">
        <f>HYPERLINK("http://www.worldcat.org/oclc/39875103","WorldCat Record")</f>
        <v/>
      </c>
      <c r="AU1853" t="inlineStr">
        <is>
          <t>838199341:eng</t>
        </is>
      </c>
      <c r="AV1853" t="inlineStr">
        <is>
          <t>39875103</t>
        </is>
      </c>
      <c r="AW1853" t="inlineStr">
        <is>
          <t>991003875509702656</t>
        </is>
      </c>
      <c r="AX1853" t="inlineStr">
        <is>
          <t>991003875509702656</t>
        </is>
      </c>
      <c r="AY1853" t="inlineStr">
        <is>
          <t>2260384430002656</t>
        </is>
      </c>
      <c r="AZ1853" t="inlineStr">
        <is>
          <t>BOOK</t>
        </is>
      </c>
      <c r="BB1853" t="inlineStr">
        <is>
          <t>9780312218966</t>
        </is>
      </c>
      <c r="BC1853" t="inlineStr">
        <is>
          <t>32285004656046</t>
        </is>
      </c>
      <c r="BD1853" t="inlineStr">
        <is>
          <t>893518965</t>
        </is>
      </c>
    </row>
    <row r="1854">
      <c r="A1854" t="inlineStr">
        <is>
          <t>No</t>
        </is>
      </c>
      <c r="B1854" t="inlineStr">
        <is>
          <t>DS70.8.S55 N35 2003</t>
        </is>
      </c>
      <c r="C1854" t="inlineStr">
        <is>
          <t>0                      DS 0070800S  55                 N  35          2003</t>
        </is>
      </c>
      <c r="D1854" t="inlineStr">
        <is>
          <t>The Shiʻis of Iraq / with a new introduction by the author, Yitzhak Nakash.</t>
        </is>
      </c>
      <c r="F1854" t="inlineStr">
        <is>
          <t>No</t>
        </is>
      </c>
      <c r="G1854" t="inlineStr">
        <is>
          <t>1</t>
        </is>
      </c>
      <c r="H1854" t="inlineStr">
        <is>
          <t>No</t>
        </is>
      </c>
      <c r="I1854" t="inlineStr">
        <is>
          <t>No</t>
        </is>
      </c>
      <c r="J1854" t="inlineStr">
        <is>
          <t>0</t>
        </is>
      </c>
      <c r="K1854" t="inlineStr">
        <is>
          <t>Nakash, Yitzhak.</t>
        </is>
      </c>
      <c r="L1854" t="inlineStr">
        <is>
          <t>Princeton, N.J. : Princeton University Press, 2003.</t>
        </is>
      </c>
      <c r="M1854" t="inlineStr">
        <is>
          <t>2003</t>
        </is>
      </c>
      <c r="N1854" t="inlineStr">
        <is>
          <t>2nd pbk. ed.</t>
        </is>
      </c>
      <c r="O1854" t="inlineStr">
        <is>
          <t>eng</t>
        </is>
      </c>
      <c r="P1854" t="inlineStr">
        <is>
          <t>nju</t>
        </is>
      </c>
      <c r="R1854" t="inlineStr">
        <is>
          <t xml:space="preserve">DS </t>
        </is>
      </c>
      <c r="S1854" t="n">
        <v>2</v>
      </c>
      <c r="T1854" t="n">
        <v>2</v>
      </c>
      <c r="U1854" t="inlineStr">
        <is>
          <t>2003-11-13</t>
        </is>
      </c>
      <c r="V1854" t="inlineStr">
        <is>
          <t>2003-11-13</t>
        </is>
      </c>
      <c r="W1854" t="inlineStr">
        <is>
          <t>2003-11-13</t>
        </is>
      </c>
      <c r="X1854" t="inlineStr">
        <is>
          <t>2003-11-13</t>
        </is>
      </c>
      <c r="Y1854" t="n">
        <v>257</v>
      </c>
      <c r="Z1854" t="n">
        <v>217</v>
      </c>
      <c r="AA1854" t="n">
        <v>815</v>
      </c>
      <c r="AB1854" t="n">
        <v>5</v>
      </c>
      <c r="AC1854" t="n">
        <v>8</v>
      </c>
      <c r="AD1854" t="n">
        <v>12</v>
      </c>
      <c r="AE1854" t="n">
        <v>39</v>
      </c>
      <c r="AF1854" t="n">
        <v>5</v>
      </c>
      <c r="AG1854" t="n">
        <v>17</v>
      </c>
      <c r="AH1854" t="n">
        <v>2</v>
      </c>
      <c r="AI1854" t="n">
        <v>9</v>
      </c>
      <c r="AJ1854" t="n">
        <v>4</v>
      </c>
      <c r="AK1854" t="n">
        <v>17</v>
      </c>
      <c r="AL1854" t="n">
        <v>4</v>
      </c>
      <c r="AM1854" t="n">
        <v>7</v>
      </c>
      <c r="AN1854" t="n">
        <v>0</v>
      </c>
      <c r="AO1854" t="n">
        <v>0</v>
      </c>
      <c r="AP1854" t="inlineStr">
        <is>
          <t>No</t>
        </is>
      </c>
      <c r="AQ1854" t="inlineStr">
        <is>
          <t>No</t>
        </is>
      </c>
      <c r="AS1854">
        <f>HYPERLINK("https://creighton-primo.hosted.exlibrisgroup.com/primo-explore/search?tab=default_tab&amp;search_scope=EVERYTHING&amp;vid=01CRU&amp;lang=en_US&amp;offset=0&amp;query=any,contains,991004163849702656","Catalog Record")</f>
        <v/>
      </c>
      <c r="AT1854">
        <f>HYPERLINK("http://www.worldcat.org/oclc/52807402","WorldCat Record")</f>
        <v/>
      </c>
      <c r="AU1854" t="inlineStr">
        <is>
          <t>30942936:eng</t>
        </is>
      </c>
      <c r="AV1854" t="inlineStr">
        <is>
          <t>52807402</t>
        </is>
      </c>
      <c r="AW1854" t="inlineStr">
        <is>
          <t>991004163849702656</t>
        </is>
      </c>
      <c r="AX1854" t="inlineStr">
        <is>
          <t>991004163849702656</t>
        </is>
      </c>
      <c r="AY1854" t="inlineStr">
        <is>
          <t>2268033090002656</t>
        </is>
      </c>
      <c r="AZ1854" t="inlineStr">
        <is>
          <t>BOOK</t>
        </is>
      </c>
      <c r="BB1854" t="inlineStr">
        <is>
          <t>9780691115757</t>
        </is>
      </c>
      <c r="BC1854" t="inlineStr">
        <is>
          <t>32285004797782</t>
        </is>
      </c>
      <c r="BD1854" t="inlineStr">
        <is>
          <t>893411193</t>
        </is>
      </c>
    </row>
    <row r="1855">
      <c r="A1855" t="inlineStr">
        <is>
          <t>No</t>
        </is>
      </c>
      <c r="B1855" t="inlineStr">
        <is>
          <t>DS70.88.L3 B7</t>
        </is>
      </c>
      <c r="C1855" t="inlineStr">
        <is>
          <t>0                      DS 0070880L  3                  B  7</t>
        </is>
      </c>
      <c r="D1855" t="inlineStr">
        <is>
          <t>The luck of Nineveh : archaeology's great adventure / by Arnold C. Brackman.</t>
        </is>
      </c>
      <c r="F1855" t="inlineStr">
        <is>
          <t>No</t>
        </is>
      </c>
      <c r="G1855" t="inlineStr">
        <is>
          <t>1</t>
        </is>
      </c>
      <c r="H1855" t="inlineStr">
        <is>
          <t>No</t>
        </is>
      </c>
      <c r="I1855" t="inlineStr">
        <is>
          <t>No</t>
        </is>
      </c>
      <c r="J1855" t="inlineStr">
        <is>
          <t>0</t>
        </is>
      </c>
      <c r="K1855" t="inlineStr">
        <is>
          <t>Brackman, Arnold C.</t>
        </is>
      </c>
      <c r="L1855" t="inlineStr">
        <is>
          <t>New York : McGraw-Hill, 1978.</t>
        </is>
      </c>
      <c r="M1855" t="inlineStr">
        <is>
          <t>1978</t>
        </is>
      </c>
      <c r="O1855" t="inlineStr">
        <is>
          <t>eng</t>
        </is>
      </c>
      <c r="P1855" t="inlineStr">
        <is>
          <t>nyu</t>
        </is>
      </c>
      <c r="R1855" t="inlineStr">
        <is>
          <t xml:space="preserve">DS </t>
        </is>
      </c>
      <c r="S1855" t="n">
        <v>9</v>
      </c>
      <c r="T1855" t="n">
        <v>9</v>
      </c>
      <c r="U1855" t="inlineStr">
        <is>
          <t>2006-04-07</t>
        </is>
      </c>
      <c r="V1855" t="inlineStr">
        <is>
          <t>2006-04-07</t>
        </is>
      </c>
      <c r="W1855" t="inlineStr">
        <is>
          <t>1990-09-18</t>
        </is>
      </c>
      <c r="X1855" t="inlineStr">
        <is>
          <t>1990-09-18</t>
        </is>
      </c>
      <c r="Y1855" t="n">
        <v>607</v>
      </c>
      <c r="Z1855" t="n">
        <v>554</v>
      </c>
      <c r="AA1855" t="n">
        <v>563</v>
      </c>
      <c r="AB1855" t="n">
        <v>5</v>
      </c>
      <c r="AC1855" t="n">
        <v>6</v>
      </c>
      <c r="AD1855" t="n">
        <v>17</v>
      </c>
      <c r="AE1855" t="n">
        <v>18</v>
      </c>
      <c r="AF1855" t="n">
        <v>8</v>
      </c>
      <c r="AG1855" t="n">
        <v>8</v>
      </c>
      <c r="AH1855" t="n">
        <v>1</v>
      </c>
      <c r="AI1855" t="n">
        <v>1</v>
      </c>
      <c r="AJ1855" t="n">
        <v>9</v>
      </c>
      <c r="AK1855" t="n">
        <v>9</v>
      </c>
      <c r="AL1855" t="n">
        <v>3</v>
      </c>
      <c r="AM1855" t="n">
        <v>4</v>
      </c>
      <c r="AN1855" t="n">
        <v>0</v>
      </c>
      <c r="AO1855" t="n">
        <v>0</v>
      </c>
      <c r="AP1855" t="inlineStr">
        <is>
          <t>No</t>
        </is>
      </c>
      <c r="AQ1855" t="inlineStr">
        <is>
          <t>Yes</t>
        </is>
      </c>
      <c r="AR1855">
        <f>HYPERLINK("http://catalog.hathitrust.org/Record/000093449","HathiTrust Record")</f>
        <v/>
      </c>
      <c r="AS1855">
        <f>HYPERLINK("https://creighton-primo.hosted.exlibrisgroup.com/primo-explore/search?tab=default_tab&amp;search_scope=EVERYTHING&amp;vid=01CRU&amp;lang=en_US&amp;offset=0&amp;query=any,contains,991004492219702656","Catalog Record")</f>
        <v/>
      </c>
      <c r="AT1855">
        <f>HYPERLINK("http://www.worldcat.org/oclc/3669502","WorldCat Record")</f>
        <v/>
      </c>
      <c r="AU1855" t="inlineStr">
        <is>
          <t>3944109572:eng</t>
        </is>
      </c>
      <c r="AV1855" t="inlineStr">
        <is>
          <t>3669502</t>
        </is>
      </c>
      <c r="AW1855" t="inlineStr">
        <is>
          <t>991004492219702656</t>
        </is>
      </c>
      <c r="AX1855" t="inlineStr">
        <is>
          <t>991004492219702656</t>
        </is>
      </c>
      <c r="AY1855" t="inlineStr">
        <is>
          <t>2262034160002656</t>
        </is>
      </c>
      <c r="AZ1855" t="inlineStr">
        <is>
          <t>BOOK</t>
        </is>
      </c>
      <c r="BB1855" t="inlineStr">
        <is>
          <t>9780070070301</t>
        </is>
      </c>
      <c r="BC1855" t="inlineStr">
        <is>
          <t>32285000292127</t>
        </is>
      </c>
      <c r="BD1855" t="inlineStr">
        <is>
          <t>893712664</t>
        </is>
      </c>
    </row>
    <row r="1856">
      <c r="A1856" t="inlineStr">
        <is>
          <t>No</t>
        </is>
      </c>
      <c r="B1856" t="inlineStr">
        <is>
          <t>DS70.9 .P66 2005</t>
        </is>
      </c>
      <c r="C1856" t="inlineStr">
        <is>
          <t>0                      DS 0070900P  66          2005</t>
        </is>
      </c>
      <c r="D1856" t="inlineStr">
        <is>
          <t>Understanding Iraq : the whole sweep of Iraqi history, from Genghis Khan's Mongols to the Ottoman Turks to the British mandate to the American occupation / William R. Polk.</t>
        </is>
      </c>
      <c r="F1856" t="inlineStr">
        <is>
          <t>No</t>
        </is>
      </c>
      <c r="G1856" t="inlineStr">
        <is>
          <t>1</t>
        </is>
      </c>
      <c r="H1856" t="inlineStr">
        <is>
          <t>No</t>
        </is>
      </c>
      <c r="I1856" t="inlineStr">
        <is>
          <t>No</t>
        </is>
      </c>
      <c r="J1856" t="inlineStr">
        <is>
          <t>0</t>
        </is>
      </c>
      <c r="K1856" t="inlineStr">
        <is>
          <t>Polk, William R. (William Roe), 1929-</t>
        </is>
      </c>
      <c r="L1856" t="inlineStr">
        <is>
          <t>New York : HarperCollins, c2005.</t>
        </is>
      </c>
      <c r="M1856" t="inlineStr">
        <is>
          <t>2005</t>
        </is>
      </c>
      <c r="N1856" t="inlineStr">
        <is>
          <t>1st ed.</t>
        </is>
      </c>
      <c r="O1856" t="inlineStr">
        <is>
          <t>eng</t>
        </is>
      </c>
      <c r="P1856" t="inlineStr">
        <is>
          <t>nyu</t>
        </is>
      </c>
      <c r="R1856" t="inlineStr">
        <is>
          <t xml:space="preserve">DS </t>
        </is>
      </c>
      <c r="S1856" t="n">
        <v>5</v>
      </c>
      <c r="T1856" t="n">
        <v>5</v>
      </c>
      <c r="U1856" t="inlineStr">
        <is>
          <t>2009-11-06</t>
        </is>
      </c>
      <c r="V1856" t="inlineStr">
        <is>
          <t>2009-11-06</t>
        </is>
      </c>
      <c r="W1856" t="inlineStr">
        <is>
          <t>2005-04-30</t>
        </is>
      </c>
      <c r="X1856" t="inlineStr">
        <is>
          <t>2005-04-30</t>
        </is>
      </c>
      <c r="Y1856" t="n">
        <v>1631</v>
      </c>
      <c r="Z1856" t="n">
        <v>1530</v>
      </c>
      <c r="AA1856" t="n">
        <v>1861</v>
      </c>
      <c r="AB1856" t="n">
        <v>14</v>
      </c>
      <c r="AC1856" t="n">
        <v>17</v>
      </c>
      <c r="AD1856" t="n">
        <v>42</v>
      </c>
      <c r="AE1856" t="n">
        <v>51</v>
      </c>
      <c r="AF1856" t="n">
        <v>15</v>
      </c>
      <c r="AG1856" t="n">
        <v>21</v>
      </c>
      <c r="AH1856" t="n">
        <v>9</v>
      </c>
      <c r="AI1856" t="n">
        <v>9</v>
      </c>
      <c r="AJ1856" t="n">
        <v>17</v>
      </c>
      <c r="AK1856" t="n">
        <v>21</v>
      </c>
      <c r="AL1856" t="n">
        <v>10</v>
      </c>
      <c r="AM1856" t="n">
        <v>12</v>
      </c>
      <c r="AN1856" t="n">
        <v>0</v>
      </c>
      <c r="AO1856" t="n">
        <v>0</v>
      </c>
      <c r="AP1856" t="inlineStr">
        <is>
          <t>No</t>
        </is>
      </c>
      <c r="AQ1856" t="inlineStr">
        <is>
          <t>No</t>
        </is>
      </c>
      <c r="AS1856">
        <f>HYPERLINK("https://creighton-primo.hosted.exlibrisgroup.com/primo-explore/search?tab=default_tab&amp;search_scope=EVERYTHING&amp;vid=01CRU&amp;lang=en_US&amp;offset=0&amp;query=any,contains,991004530809702656","Catalog Record")</f>
        <v/>
      </c>
      <c r="AT1856">
        <f>HYPERLINK("http://www.worldcat.org/oclc/58731526","WorldCat Record")</f>
        <v/>
      </c>
      <c r="AU1856" t="inlineStr">
        <is>
          <t>979847:eng</t>
        </is>
      </c>
      <c r="AV1856" t="inlineStr">
        <is>
          <t>58731526</t>
        </is>
      </c>
      <c r="AW1856" t="inlineStr">
        <is>
          <t>991004530809702656</t>
        </is>
      </c>
      <c r="AX1856" t="inlineStr">
        <is>
          <t>991004530809702656</t>
        </is>
      </c>
      <c r="AY1856" t="inlineStr">
        <is>
          <t>2263138060002656</t>
        </is>
      </c>
      <c r="AZ1856" t="inlineStr">
        <is>
          <t>BOOK</t>
        </is>
      </c>
      <c r="BB1856" t="inlineStr">
        <is>
          <t>9780060764685</t>
        </is>
      </c>
      <c r="BC1856" t="inlineStr">
        <is>
          <t>32285005034565</t>
        </is>
      </c>
      <c r="BD1856" t="inlineStr">
        <is>
          <t>893599948</t>
        </is>
      </c>
    </row>
    <row r="1857">
      <c r="A1857" t="inlineStr">
        <is>
          <t>No</t>
        </is>
      </c>
      <c r="B1857" t="inlineStr">
        <is>
          <t>DS70.95 .I72 2003</t>
        </is>
      </c>
      <c r="C1857" t="inlineStr">
        <is>
          <t>0                      DS 0070950I  72          2003</t>
        </is>
      </c>
      <c r="D1857" t="inlineStr">
        <is>
          <t>Iraq : issues, historical background, bibliography / Leon M. Jeffries, editor.</t>
        </is>
      </c>
      <c r="F1857" t="inlineStr">
        <is>
          <t>No</t>
        </is>
      </c>
      <c r="G1857" t="inlineStr">
        <is>
          <t>1</t>
        </is>
      </c>
      <c r="H1857" t="inlineStr">
        <is>
          <t>No</t>
        </is>
      </c>
      <c r="I1857" t="inlineStr">
        <is>
          <t>No</t>
        </is>
      </c>
      <c r="J1857" t="inlineStr">
        <is>
          <t>0</t>
        </is>
      </c>
      <c r="L1857" t="inlineStr">
        <is>
          <t>New York : Nova Science Publishers, c2003.</t>
        </is>
      </c>
      <c r="M1857" t="inlineStr">
        <is>
          <t>2003</t>
        </is>
      </c>
      <c r="O1857" t="inlineStr">
        <is>
          <t>eng</t>
        </is>
      </c>
      <c r="P1857" t="inlineStr">
        <is>
          <t>nyu</t>
        </is>
      </c>
      <c r="R1857" t="inlineStr">
        <is>
          <t xml:space="preserve">DS </t>
        </is>
      </c>
      <c r="S1857" t="n">
        <v>6</v>
      </c>
      <c r="T1857" t="n">
        <v>6</v>
      </c>
      <c r="U1857" t="inlineStr">
        <is>
          <t>2006-04-17</t>
        </is>
      </c>
      <c r="V1857" t="inlineStr">
        <is>
          <t>2006-04-17</t>
        </is>
      </c>
      <c r="W1857" t="inlineStr">
        <is>
          <t>2003-07-31</t>
        </is>
      </c>
      <c r="X1857" t="inlineStr">
        <is>
          <t>2003-07-31</t>
        </is>
      </c>
      <c r="Y1857" t="n">
        <v>123</v>
      </c>
      <c r="Z1857" t="n">
        <v>99</v>
      </c>
      <c r="AA1857" t="n">
        <v>99</v>
      </c>
      <c r="AB1857" t="n">
        <v>2</v>
      </c>
      <c r="AC1857" t="n">
        <v>2</v>
      </c>
      <c r="AD1857" t="n">
        <v>9</v>
      </c>
      <c r="AE1857" t="n">
        <v>9</v>
      </c>
      <c r="AF1857" t="n">
        <v>2</v>
      </c>
      <c r="AG1857" t="n">
        <v>2</v>
      </c>
      <c r="AH1857" t="n">
        <v>3</v>
      </c>
      <c r="AI1857" t="n">
        <v>3</v>
      </c>
      <c r="AJ1857" t="n">
        <v>5</v>
      </c>
      <c r="AK1857" t="n">
        <v>5</v>
      </c>
      <c r="AL1857" t="n">
        <v>1</v>
      </c>
      <c r="AM1857" t="n">
        <v>1</v>
      </c>
      <c r="AN1857" t="n">
        <v>0</v>
      </c>
      <c r="AO1857" t="n">
        <v>0</v>
      </c>
      <c r="AP1857" t="inlineStr">
        <is>
          <t>No</t>
        </is>
      </c>
      <c r="AQ1857" t="inlineStr">
        <is>
          <t>No</t>
        </is>
      </c>
      <c r="AS1857">
        <f>HYPERLINK("https://creighton-primo.hosted.exlibrisgroup.com/primo-explore/search?tab=default_tab&amp;search_scope=EVERYTHING&amp;vid=01CRU&amp;lang=en_US&amp;offset=0&amp;query=any,contains,991004082609702656","Catalog Record")</f>
        <v/>
      </c>
      <c r="AT1857">
        <f>HYPERLINK("http://www.worldcat.org/oclc/51813560","WorldCat Record")</f>
        <v/>
      </c>
      <c r="AU1857" t="inlineStr">
        <is>
          <t>478431734:eng</t>
        </is>
      </c>
      <c r="AV1857" t="inlineStr">
        <is>
          <t>51813560</t>
        </is>
      </c>
      <c r="AW1857" t="inlineStr">
        <is>
          <t>991004082609702656</t>
        </is>
      </c>
      <c r="AX1857" t="inlineStr">
        <is>
          <t>991004082609702656</t>
        </is>
      </c>
      <c r="AY1857" t="inlineStr">
        <is>
          <t>2256809750002656</t>
        </is>
      </c>
      <c r="AZ1857" t="inlineStr">
        <is>
          <t>BOOK</t>
        </is>
      </c>
      <c r="BB1857" t="inlineStr">
        <is>
          <t>9781590332924</t>
        </is>
      </c>
      <c r="BC1857" t="inlineStr">
        <is>
          <t>32285004758586</t>
        </is>
      </c>
      <c r="BD1857" t="inlineStr">
        <is>
          <t>893781828</t>
        </is>
      </c>
    </row>
    <row r="1858">
      <c r="A1858" t="inlineStr">
        <is>
          <t>No</t>
        </is>
      </c>
      <c r="B1858" t="inlineStr">
        <is>
          <t>DS70.95 .L36 2007</t>
        </is>
      </c>
      <c r="C1858" t="inlineStr">
        <is>
          <t>0                      DS 0070950L  36          2007</t>
        </is>
      </c>
      <c r="D1858" t="inlineStr">
        <is>
          <t>Web of deceit : the history of Western complicity in Iraq, from Churchill to Kennedy to George W. Bush / Barry M. Lando.</t>
        </is>
      </c>
      <c r="F1858" t="inlineStr">
        <is>
          <t>No</t>
        </is>
      </c>
      <c r="G1858" t="inlineStr">
        <is>
          <t>1</t>
        </is>
      </c>
      <c r="H1858" t="inlineStr">
        <is>
          <t>No</t>
        </is>
      </c>
      <c r="I1858" t="inlineStr">
        <is>
          <t>No</t>
        </is>
      </c>
      <c r="J1858" t="inlineStr">
        <is>
          <t>0</t>
        </is>
      </c>
      <c r="K1858" t="inlineStr">
        <is>
          <t>Lando, Barry.</t>
        </is>
      </c>
      <c r="L1858" t="inlineStr">
        <is>
          <t>New York : Other Press, c2007.</t>
        </is>
      </c>
      <c r="M1858" t="inlineStr">
        <is>
          <t>2007</t>
        </is>
      </c>
      <c r="O1858" t="inlineStr">
        <is>
          <t>eng</t>
        </is>
      </c>
      <c r="P1858" t="inlineStr">
        <is>
          <t>nyu</t>
        </is>
      </c>
      <c r="R1858" t="inlineStr">
        <is>
          <t xml:space="preserve">DS </t>
        </is>
      </c>
      <c r="S1858" t="n">
        <v>3</v>
      </c>
      <c r="T1858" t="n">
        <v>3</v>
      </c>
      <c r="U1858" t="inlineStr">
        <is>
          <t>2008-02-27</t>
        </is>
      </c>
      <c r="V1858" t="inlineStr">
        <is>
          <t>2008-02-27</t>
        </is>
      </c>
      <c r="W1858" t="inlineStr">
        <is>
          <t>2007-06-06</t>
        </is>
      </c>
      <c r="X1858" t="inlineStr">
        <is>
          <t>2007-06-06</t>
        </is>
      </c>
      <c r="Y1858" t="n">
        <v>696</v>
      </c>
      <c r="Z1858" t="n">
        <v>632</v>
      </c>
      <c r="AA1858" t="n">
        <v>644</v>
      </c>
      <c r="AB1858" t="n">
        <v>4</v>
      </c>
      <c r="AC1858" t="n">
        <v>4</v>
      </c>
      <c r="AD1858" t="n">
        <v>19</v>
      </c>
      <c r="AE1858" t="n">
        <v>19</v>
      </c>
      <c r="AF1858" t="n">
        <v>7</v>
      </c>
      <c r="AG1858" t="n">
        <v>7</v>
      </c>
      <c r="AH1858" t="n">
        <v>8</v>
      </c>
      <c r="AI1858" t="n">
        <v>8</v>
      </c>
      <c r="AJ1858" t="n">
        <v>7</v>
      </c>
      <c r="AK1858" t="n">
        <v>7</v>
      </c>
      <c r="AL1858" t="n">
        <v>1</v>
      </c>
      <c r="AM1858" t="n">
        <v>1</v>
      </c>
      <c r="AN1858" t="n">
        <v>0</v>
      </c>
      <c r="AO1858" t="n">
        <v>0</v>
      </c>
      <c r="AP1858" t="inlineStr">
        <is>
          <t>No</t>
        </is>
      </c>
      <c r="AQ1858" t="inlineStr">
        <is>
          <t>Yes</t>
        </is>
      </c>
      <c r="AR1858">
        <f>HYPERLINK("http://catalog.hathitrust.org/Record/005408623","HathiTrust Record")</f>
        <v/>
      </c>
      <c r="AS1858">
        <f>HYPERLINK("https://creighton-primo.hosted.exlibrisgroup.com/primo-explore/search?tab=default_tab&amp;search_scope=EVERYTHING&amp;vid=01CRU&amp;lang=en_US&amp;offset=0&amp;query=any,contains,991005083319702656","Catalog Record")</f>
        <v/>
      </c>
      <c r="AT1858">
        <f>HYPERLINK("http://www.worldcat.org/oclc/67240550","WorldCat Record")</f>
        <v/>
      </c>
      <c r="AU1858" t="inlineStr">
        <is>
          <t>196595537:eng</t>
        </is>
      </c>
      <c r="AV1858" t="inlineStr">
        <is>
          <t>67240550</t>
        </is>
      </c>
      <c r="AW1858" t="inlineStr">
        <is>
          <t>991005083319702656</t>
        </is>
      </c>
      <c r="AX1858" t="inlineStr">
        <is>
          <t>991005083319702656</t>
        </is>
      </c>
      <c r="AY1858" t="inlineStr">
        <is>
          <t>2266344900002656</t>
        </is>
      </c>
      <c r="AZ1858" t="inlineStr">
        <is>
          <t>BOOK</t>
        </is>
      </c>
      <c r="BB1858" t="inlineStr">
        <is>
          <t>9781590512388</t>
        </is>
      </c>
      <c r="BC1858" t="inlineStr">
        <is>
          <t>32285005315592</t>
        </is>
      </c>
      <c r="BD1858" t="inlineStr">
        <is>
          <t>893338478</t>
        </is>
      </c>
    </row>
    <row r="1859">
      <c r="A1859" t="inlineStr">
        <is>
          <t>No</t>
        </is>
      </c>
      <c r="B1859" t="inlineStr">
        <is>
          <t>DS70.96.G7 C37 2004</t>
        </is>
      </c>
      <c r="C1859" t="inlineStr">
        <is>
          <t>0                      DS 0070960G  7                  C  37          2004</t>
        </is>
      </c>
      <c r="D1859" t="inlineStr">
        <is>
          <t>Churchill's folly : how Winston Churchill created modern Iraq / Christopher Catherwood.</t>
        </is>
      </c>
      <c r="F1859" t="inlineStr">
        <is>
          <t>No</t>
        </is>
      </c>
      <c r="G1859" t="inlineStr">
        <is>
          <t>1</t>
        </is>
      </c>
      <c r="H1859" t="inlineStr">
        <is>
          <t>No</t>
        </is>
      </c>
      <c r="I1859" t="inlineStr">
        <is>
          <t>No</t>
        </is>
      </c>
      <c r="J1859" t="inlineStr">
        <is>
          <t>0</t>
        </is>
      </c>
      <c r="K1859" t="inlineStr">
        <is>
          <t>Catherwood, Christopher.</t>
        </is>
      </c>
      <c r="L1859" t="inlineStr">
        <is>
          <t>New York : Carroll &amp; Graf Pub., 2004.</t>
        </is>
      </c>
      <c r="M1859" t="inlineStr">
        <is>
          <t>2004</t>
        </is>
      </c>
      <c r="O1859" t="inlineStr">
        <is>
          <t>eng</t>
        </is>
      </c>
      <c r="P1859" t="inlineStr">
        <is>
          <t>nyu</t>
        </is>
      </c>
      <c r="R1859" t="inlineStr">
        <is>
          <t xml:space="preserve">DS </t>
        </is>
      </c>
      <c r="S1859" t="n">
        <v>3</v>
      </c>
      <c r="T1859" t="n">
        <v>3</v>
      </c>
      <c r="U1859" t="inlineStr">
        <is>
          <t>2004-08-25</t>
        </is>
      </c>
      <c r="V1859" t="inlineStr">
        <is>
          <t>2004-08-25</t>
        </is>
      </c>
      <c r="W1859" t="inlineStr">
        <is>
          <t>2004-07-14</t>
        </is>
      </c>
      <c r="X1859" t="inlineStr">
        <is>
          <t>2004-07-14</t>
        </is>
      </c>
      <c r="Y1859" t="n">
        <v>658</v>
      </c>
      <c r="Z1859" t="n">
        <v>597</v>
      </c>
      <c r="AA1859" t="n">
        <v>695</v>
      </c>
      <c r="AB1859" t="n">
        <v>5</v>
      </c>
      <c r="AC1859" t="n">
        <v>5</v>
      </c>
      <c r="AD1859" t="n">
        <v>19</v>
      </c>
      <c r="AE1859" t="n">
        <v>20</v>
      </c>
      <c r="AF1859" t="n">
        <v>7</v>
      </c>
      <c r="AG1859" t="n">
        <v>7</v>
      </c>
      <c r="AH1859" t="n">
        <v>4</v>
      </c>
      <c r="AI1859" t="n">
        <v>4</v>
      </c>
      <c r="AJ1859" t="n">
        <v>6</v>
      </c>
      <c r="AK1859" t="n">
        <v>7</v>
      </c>
      <c r="AL1859" t="n">
        <v>3</v>
      </c>
      <c r="AM1859" t="n">
        <v>3</v>
      </c>
      <c r="AN1859" t="n">
        <v>2</v>
      </c>
      <c r="AO1859" t="n">
        <v>2</v>
      </c>
      <c r="AP1859" t="inlineStr">
        <is>
          <t>No</t>
        </is>
      </c>
      <c r="AQ1859" t="inlineStr">
        <is>
          <t>No</t>
        </is>
      </c>
      <c r="AS1859">
        <f>HYPERLINK("https://creighton-primo.hosted.exlibrisgroup.com/primo-explore/search?tab=default_tab&amp;search_scope=EVERYTHING&amp;vid=01CRU&amp;lang=en_US&amp;offset=0&amp;query=any,contains,991004318539702656","Catalog Record")</f>
        <v/>
      </c>
      <c r="AT1859">
        <f>HYPERLINK("http://www.worldcat.org/oclc/55660169","WorldCat Record")</f>
        <v/>
      </c>
      <c r="AU1859" t="inlineStr">
        <is>
          <t>892794772:eng</t>
        </is>
      </c>
      <c r="AV1859" t="inlineStr">
        <is>
          <t>55660169</t>
        </is>
      </c>
      <c r="AW1859" t="inlineStr">
        <is>
          <t>991004318539702656</t>
        </is>
      </c>
      <c r="AX1859" t="inlineStr">
        <is>
          <t>991004318539702656</t>
        </is>
      </c>
      <c r="AY1859" t="inlineStr">
        <is>
          <t>2263782960002656</t>
        </is>
      </c>
      <c r="AZ1859" t="inlineStr">
        <is>
          <t>BOOK</t>
        </is>
      </c>
      <c r="BB1859" t="inlineStr">
        <is>
          <t>9780786713516</t>
        </is>
      </c>
      <c r="BC1859" t="inlineStr">
        <is>
          <t>32285004922695</t>
        </is>
      </c>
      <c r="BD1859" t="inlineStr">
        <is>
          <t>893429918</t>
        </is>
      </c>
    </row>
    <row r="1860">
      <c r="A1860" t="inlineStr">
        <is>
          <t>No</t>
        </is>
      </c>
      <c r="B1860" t="inlineStr">
        <is>
          <t>DS70.96.G7 D633 2003</t>
        </is>
      </c>
      <c r="C1860" t="inlineStr">
        <is>
          <t>0                      DS 0070960G  7                  D  633         2003</t>
        </is>
      </c>
      <c r="D1860" t="inlineStr">
        <is>
          <t>Inventing Iraq : the failure of nation building and a history denied / by Toby Dodge.</t>
        </is>
      </c>
      <c r="F1860" t="inlineStr">
        <is>
          <t>No</t>
        </is>
      </c>
      <c r="G1860" t="inlineStr">
        <is>
          <t>1</t>
        </is>
      </c>
      <c r="H1860" t="inlineStr">
        <is>
          <t>No</t>
        </is>
      </c>
      <c r="I1860" t="inlineStr">
        <is>
          <t>No</t>
        </is>
      </c>
      <c r="J1860" t="inlineStr">
        <is>
          <t>0</t>
        </is>
      </c>
      <c r="K1860" t="inlineStr">
        <is>
          <t>Dodge, Toby.</t>
        </is>
      </c>
      <c r="L1860" t="inlineStr">
        <is>
          <t>New York : Columbia University Press, c2003.</t>
        </is>
      </c>
      <c r="M1860" t="inlineStr">
        <is>
          <t>2003</t>
        </is>
      </c>
      <c r="O1860" t="inlineStr">
        <is>
          <t>eng</t>
        </is>
      </c>
      <c r="P1860" t="inlineStr">
        <is>
          <t>nyu</t>
        </is>
      </c>
      <c r="R1860" t="inlineStr">
        <is>
          <t xml:space="preserve">DS </t>
        </is>
      </c>
      <c r="S1860" t="n">
        <v>2</v>
      </c>
      <c r="T1860" t="n">
        <v>2</v>
      </c>
      <c r="U1860" t="inlineStr">
        <is>
          <t>2008-02-01</t>
        </is>
      </c>
      <c r="V1860" t="inlineStr">
        <is>
          <t>2008-02-01</t>
        </is>
      </c>
      <c r="W1860" t="inlineStr">
        <is>
          <t>2005-03-28</t>
        </is>
      </c>
      <c r="X1860" t="inlineStr">
        <is>
          <t>2005-03-28</t>
        </is>
      </c>
      <c r="Y1860" t="n">
        <v>869</v>
      </c>
      <c r="Z1860" t="n">
        <v>741</v>
      </c>
      <c r="AA1860" t="n">
        <v>784</v>
      </c>
      <c r="AB1860" t="n">
        <v>6</v>
      </c>
      <c r="AC1860" t="n">
        <v>6</v>
      </c>
      <c r="AD1860" t="n">
        <v>40</v>
      </c>
      <c r="AE1860" t="n">
        <v>41</v>
      </c>
      <c r="AF1860" t="n">
        <v>15</v>
      </c>
      <c r="AG1860" t="n">
        <v>15</v>
      </c>
      <c r="AH1860" t="n">
        <v>8</v>
      </c>
      <c r="AI1860" t="n">
        <v>8</v>
      </c>
      <c r="AJ1860" t="n">
        <v>19</v>
      </c>
      <c r="AK1860" t="n">
        <v>20</v>
      </c>
      <c r="AL1860" t="n">
        <v>5</v>
      </c>
      <c r="AM1860" t="n">
        <v>5</v>
      </c>
      <c r="AN1860" t="n">
        <v>1</v>
      </c>
      <c r="AO1860" t="n">
        <v>1</v>
      </c>
      <c r="AP1860" t="inlineStr">
        <is>
          <t>No</t>
        </is>
      </c>
      <c r="AQ1860" t="inlineStr">
        <is>
          <t>No</t>
        </is>
      </c>
      <c r="AS1860">
        <f>HYPERLINK("https://creighton-primo.hosted.exlibrisgroup.com/primo-explore/search?tab=default_tab&amp;search_scope=EVERYTHING&amp;vid=01CRU&amp;lang=en_US&amp;offset=0&amp;query=any,contains,991004457369702656","Catalog Record")</f>
        <v/>
      </c>
      <c r="AT1860">
        <f>HYPERLINK("http://www.worldcat.org/oclc/52127749","WorldCat Record")</f>
        <v/>
      </c>
      <c r="AU1860" t="inlineStr">
        <is>
          <t>839370713:eng</t>
        </is>
      </c>
      <c r="AV1860" t="inlineStr">
        <is>
          <t>52127749</t>
        </is>
      </c>
      <c r="AW1860" t="inlineStr">
        <is>
          <t>991004457369702656</t>
        </is>
      </c>
      <c r="AX1860" t="inlineStr">
        <is>
          <t>991004457369702656</t>
        </is>
      </c>
      <c r="AY1860" t="inlineStr">
        <is>
          <t>2262613430002656</t>
        </is>
      </c>
      <c r="AZ1860" t="inlineStr">
        <is>
          <t>BOOK</t>
        </is>
      </c>
      <c r="BB1860" t="inlineStr">
        <is>
          <t>9780231131667</t>
        </is>
      </c>
      <c r="BC1860" t="inlineStr">
        <is>
          <t>32285005045025</t>
        </is>
      </c>
      <c r="BD1860" t="inlineStr">
        <is>
          <t>893882491</t>
        </is>
      </c>
    </row>
    <row r="1861">
      <c r="A1861" t="inlineStr">
        <is>
          <t>No</t>
        </is>
      </c>
      <c r="B1861" t="inlineStr">
        <is>
          <t>DS702 .C48 1982</t>
        </is>
      </c>
      <c r="C1861" t="inlineStr">
        <is>
          <t>0                      DS 0702000C  48          1982</t>
        </is>
      </c>
      <c r="D1861" t="inlineStr">
        <is>
          <t>Chinese social and economic history from the Song to 1900 : report of the American delegation to a Sino-American Symposium, Beijing, 26 October-1 November 1980 / edited by Albert Feuerwerker.</t>
        </is>
      </c>
      <c r="F1861" t="inlineStr">
        <is>
          <t>No</t>
        </is>
      </c>
      <c r="G1861" t="inlineStr">
        <is>
          <t>1</t>
        </is>
      </c>
      <c r="H1861" t="inlineStr">
        <is>
          <t>No</t>
        </is>
      </c>
      <c r="I1861" t="inlineStr">
        <is>
          <t>No</t>
        </is>
      </c>
      <c r="J1861" t="inlineStr">
        <is>
          <t>0</t>
        </is>
      </c>
      <c r="L1861" t="inlineStr">
        <is>
          <t>Ann Arbor : Center for Chinese Studies, University of Michigan, 1982.</t>
        </is>
      </c>
      <c r="M1861" t="inlineStr">
        <is>
          <t>1982</t>
        </is>
      </c>
      <c r="O1861" t="inlineStr">
        <is>
          <t>eng</t>
        </is>
      </c>
      <c r="P1861" t="inlineStr">
        <is>
          <t>miu</t>
        </is>
      </c>
      <c r="Q1861" t="inlineStr">
        <is>
          <t>Michigan monographs in Chinese studies ; no. 45</t>
        </is>
      </c>
      <c r="R1861" t="inlineStr">
        <is>
          <t xml:space="preserve">DS </t>
        </is>
      </c>
      <c r="S1861" t="n">
        <v>2</v>
      </c>
      <c r="T1861" t="n">
        <v>2</v>
      </c>
      <c r="U1861" t="inlineStr">
        <is>
          <t>1996-04-21</t>
        </is>
      </c>
      <c r="V1861" t="inlineStr">
        <is>
          <t>1996-04-21</t>
        </is>
      </c>
      <c r="W1861" t="inlineStr">
        <is>
          <t>1995-01-09</t>
        </is>
      </c>
      <c r="X1861" t="inlineStr">
        <is>
          <t>1995-01-09</t>
        </is>
      </c>
      <c r="Y1861" t="n">
        <v>305</v>
      </c>
      <c r="Z1861" t="n">
        <v>226</v>
      </c>
      <c r="AA1861" t="n">
        <v>233</v>
      </c>
      <c r="AB1861" t="n">
        <v>1</v>
      </c>
      <c r="AC1861" t="n">
        <v>1</v>
      </c>
      <c r="AD1861" t="n">
        <v>9</v>
      </c>
      <c r="AE1861" t="n">
        <v>9</v>
      </c>
      <c r="AF1861" t="n">
        <v>3</v>
      </c>
      <c r="AG1861" t="n">
        <v>3</v>
      </c>
      <c r="AH1861" t="n">
        <v>3</v>
      </c>
      <c r="AI1861" t="n">
        <v>3</v>
      </c>
      <c r="AJ1861" t="n">
        <v>5</v>
      </c>
      <c r="AK1861" t="n">
        <v>5</v>
      </c>
      <c r="AL1861" t="n">
        <v>0</v>
      </c>
      <c r="AM1861" t="n">
        <v>0</v>
      </c>
      <c r="AN1861" t="n">
        <v>0</v>
      </c>
      <c r="AO1861" t="n">
        <v>0</v>
      </c>
      <c r="AP1861" t="inlineStr">
        <is>
          <t>No</t>
        </is>
      </c>
      <c r="AQ1861" t="inlineStr">
        <is>
          <t>Yes</t>
        </is>
      </c>
      <c r="AR1861">
        <f>HYPERLINK("http://catalog.hathitrust.org/Record/000239131","HathiTrust Record")</f>
        <v/>
      </c>
      <c r="AS1861">
        <f>HYPERLINK("https://creighton-primo.hosted.exlibrisgroup.com/primo-explore/search?tab=default_tab&amp;search_scope=EVERYTHING&amp;vid=01CRU&amp;lang=en_US&amp;offset=0&amp;query=any,contains,991000148469702656","Catalog Record")</f>
        <v/>
      </c>
      <c r="AT1861">
        <f>HYPERLINK("http://www.worldcat.org/oclc/9197164","WorldCat Record")</f>
        <v/>
      </c>
      <c r="AU1861" t="inlineStr">
        <is>
          <t>428303907:eng</t>
        </is>
      </c>
      <c r="AV1861" t="inlineStr">
        <is>
          <t>9197164</t>
        </is>
      </c>
      <c r="AW1861" t="inlineStr">
        <is>
          <t>991000148469702656</t>
        </is>
      </c>
      <c r="AX1861" t="inlineStr">
        <is>
          <t>991000148469702656</t>
        </is>
      </c>
      <c r="AY1861" t="inlineStr">
        <is>
          <t>2265995290002656</t>
        </is>
      </c>
      <c r="AZ1861" t="inlineStr">
        <is>
          <t>BOOK</t>
        </is>
      </c>
      <c r="BB1861" t="inlineStr">
        <is>
          <t>9780892640454</t>
        </is>
      </c>
      <c r="BC1861" t="inlineStr">
        <is>
          <t>32285001991636</t>
        </is>
      </c>
      <c r="BD1861" t="inlineStr">
        <is>
          <t>893689469</t>
        </is>
      </c>
    </row>
    <row r="1862">
      <c r="A1862" t="inlineStr">
        <is>
          <t>No</t>
        </is>
      </c>
      <c r="B1862" t="inlineStr">
        <is>
          <t>DS706 .A68 1973</t>
        </is>
      </c>
      <c r="C1862" t="inlineStr">
        <is>
          <t>0                      DS 0706000A  68          1973</t>
        </is>
      </c>
      <c r="D1862" t="inlineStr">
        <is>
          <t>Why the Chinese are the way they are. With maps by Samuel H. Bryant.</t>
        </is>
      </c>
      <c r="F1862" t="inlineStr">
        <is>
          <t>No</t>
        </is>
      </c>
      <c r="G1862" t="inlineStr">
        <is>
          <t>1</t>
        </is>
      </c>
      <c r="H1862" t="inlineStr">
        <is>
          <t>No</t>
        </is>
      </c>
      <c r="I1862" t="inlineStr">
        <is>
          <t>No</t>
        </is>
      </c>
      <c r="J1862" t="inlineStr">
        <is>
          <t>0</t>
        </is>
      </c>
      <c r="K1862" t="inlineStr">
        <is>
          <t>Appel, Benjamin, 1907-1977.</t>
        </is>
      </c>
      <c r="L1862" t="inlineStr">
        <is>
          <t>Boston, Little, Brown [1973]</t>
        </is>
      </c>
      <c r="M1862" t="inlineStr">
        <is>
          <t>1973</t>
        </is>
      </c>
      <c r="N1862" t="inlineStr">
        <is>
          <t>Rev. ed.</t>
        </is>
      </c>
      <c r="O1862" t="inlineStr">
        <is>
          <t>eng</t>
        </is>
      </c>
      <c r="P1862" t="inlineStr">
        <is>
          <t>mau</t>
        </is>
      </c>
      <c r="R1862" t="inlineStr">
        <is>
          <t xml:space="preserve">DS </t>
        </is>
      </c>
      <c r="S1862" t="n">
        <v>2</v>
      </c>
      <c r="T1862" t="n">
        <v>2</v>
      </c>
      <c r="U1862" t="inlineStr">
        <is>
          <t>1997-11-10</t>
        </is>
      </c>
      <c r="V1862" t="inlineStr">
        <is>
          <t>1997-11-10</t>
        </is>
      </c>
      <c r="W1862" t="inlineStr">
        <is>
          <t>1996-08-09</t>
        </is>
      </c>
      <c r="X1862" t="inlineStr">
        <is>
          <t>1996-08-09</t>
        </is>
      </c>
      <c r="Y1862" t="n">
        <v>159</v>
      </c>
      <c r="Z1862" t="n">
        <v>149</v>
      </c>
      <c r="AA1862" t="n">
        <v>294</v>
      </c>
      <c r="AB1862" t="n">
        <v>1</v>
      </c>
      <c r="AC1862" t="n">
        <v>2</v>
      </c>
      <c r="AD1862" t="n">
        <v>0</v>
      </c>
      <c r="AE1862" t="n">
        <v>2</v>
      </c>
      <c r="AF1862" t="n">
        <v>0</v>
      </c>
      <c r="AG1862" t="n">
        <v>0</v>
      </c>
      <c r="AH1862" t="n">
        <v>0</v>
      </c>
      <c r="AI1862" t="n">
        <v>1</v>
      </c>
      <c r="AJ1862" t="n">
        <v>0</v>
      </c>
      <c r="AK1862" t="n">
        <v>0</v>
      </c>
      <c r="AL1862" t="n">
        <v>0</v>
      </c>
      <c r="AM1862" t="n">
        <v>1</v>
      </c>
      <c r="AN1862" t="n">
        <v>0</v>
      </c>
      <c r="AO1862" t="n">
        <v>0</v>
      </c>
      <c r="AP1862" t="inlineStr">
        <is>
          <t>No</t>
        </is>
      </c>
      <c r="AQ1862" t="inlineStr">
        <is>
          <t>No</t>
        </is>
      </c>
      <c r="AS1862">
        <f>HYPERLINK("https://creighton-primo.hosted.exlibrisgroup.com/primo-explore/search?tab=default_tab&amp;search_scope=EVERYTHING&amp;vid=01CRU&amp;lang=en_US&amp;offset=0&amp;query=any,contains,991003066849702656","Catalog Record")</f>
        <v/>
      </c>
      <c r="AT1862">
        <f>HYPERLINK("http://www.worldcat.org/oclc/622683","WorldCat Record")</f>
        <v/>
      </c>
      <c r="AU1862" t="inlineStr">
        <is>
          <t>103503025:eng</t>
        </is>
      </c>
      <c r="AV1862" t="inlineStr">
        <is>
          <t>622683</t>
        </is>
      </c>
      <c r="AW1862" t="inlineStr">
        <is>
          <t>991003066849702656</t>
        </is>
      </c>
      <c r="AX1862" t="inlineStr">
        <is>
          <t>991003066849702656</t>
        </is>
      </c>
      <c r="AY1862" t="inlineStr">
        <is>
          <t>2257223950002656</t>
        </is>
      </c>
      <c r="AZ1862" t="inlineStr">
        <is>
          <t>BOOK</t>
        </is>
      </c>
      <c r="BB1862" t="inlineStr">
        <is>
          <t>9780316048675</t>
        </is>
      </c>
      <c r="BC1862" t="inlineStr">
        <is>
          <t>32285002273521</t>
        </is>
      </c>
      <c r="BD1862" t="inlineStr">
        <is>
          <t>893610688</t>
        </is>
      </c>
    </row>
    <row r="1863">
      <c r="A1863" t="inlineStr">
        <is>
          <t>No</t>
        </is>
      </c>
      <c r="B1863" t="inlineStr">
        <is>
          <t>DS706 .B393 2000</t>
        </is>
      </c>
      <c r="C1863" t="inlineStr">
        <is>
          <t>0                      DS 0706000B  393         2000</t>
        </is>
      </c>
      <c r="D1863" t="inlineStr">
        <is>
          <t>The Chinese / Jasper Becker.</t>
        </is>
      </c>
      <c r="F1863" t="inlineStr">
        <is>
          <t>No</t>
        </is>
      </c>
      <c r="G1863" t="inlineStr">
        <is>
          <t>1</t>
        </is>
      </c>
      <c r="H1863" t="inlineStr">
        <is>
          <t>No</t>
        </is>
      </c>
      <c r="I1863" t="inlineStr">
        <is>
          <t>No</t>
        </is>
      </c>
      <c r="J1863" t="inlineStr">
        <is>
          <t>0</t>
        </is>
      </c>
      <c r="K1863" t="inlineStr">
        <is>
          <t>Becker, Jasper.</t>
        </is>
      </c>
      <c r="L1863" t="inlineStr">
        <is>
          <t>New York : Free Press, c2000.</t>
        </is>
      </c>
      <c r="M1863" t="inlineStr">
        <is>
          <t>2000</t>
        </is>
      </c>
      <c r="O1863" t="inlineStr">
        <is>
          <t>eng</t>
        </is>
      </c>
      <c r="P1863" t="inlineStr">
        <is>
          <t>nyu</t>
        </is>
      </c>
      <c r="R1863" t="inlineStr">
        <is>
          <t xml:space="preserve">DS </t>
        </is>
      </c>
      <c r="S1863" t="n">
        <v>4</v>
      </c>
      <c r="T1863" t="n">
        <v>4</v>
      </c>
      <c r="U1863" t="inlineStr">
        <is>
          <t>2010-11-12</t>
        </is>
      </c>
      <c r="V1863" t="inlineStr">
        <is>
          <t>2010-11-12</t>
        </is>
      </c>
      <c r="W1863" t="inlineStr">
        <is>
          <t>2001-02-01</t>
        </is>
      </c>
      <c r="X1863" t="inlineStr">
        <is>
          <t>2001-02-01</t>
        </is>
      </c>
      <c r="Y1863" t="n">
        <v>1021</v>
      </c>
      <c r="Z1863" t="n">
        <v>951</v>
      </c>
      <c r="AA1863" t="n">
        <v>1126</v>
      </c>
      <c r="AB1863" t="n">
        <v>5</v>
      </c>
      <c r="AC1863" t="n">
        <v>5</v>
      </c>
      <c r="AD1863" t="n">
        <v>21</v>
      </c>
      <c r="AE1863" t="n">
        <v>26</v>
      </c>
      <c r="AF1863" t="n">
        <v>5</v>
      </c>
      <c r="AG1863" t="n">
        <v>7</v>
      </c>
      <c r="AH1863" t="n">
        <v>5</v>
      </c>
      <c r="AI1863" t="n">
        <v>8</v>
      </c>
      <c r="AJ1863" t="n">
        <v>9</v>
      </c>
      <c r="AK1863" t="n">
        <v>12</v>
      </c>
      <c r="AL1863" t="n">
        <v>3</v>
      </c>
      <c r="AM1863" t="n">
        <v>3</v>
      </c>
      <c r="AN1863" t="n">
        <v>1</v>
      </c>
      <c r="AO1863" t="n">
        <v>1</v>
      </c>
      <c r="AP1863" t="inlineStr">
        <is>
          <t>No</t>
        </is>
      </c>
      <c r="AQ1863" t="inlineStr">
        <is>
          <t>No</t>
        </is>
      </c>
      <c r="AS1863">
        <f>HYPERLINK("https://creighton-primo.hosted.exlibrisgroup.com/primo-explore/search?tab=default_tab&amp;search_scope=EVERYTHING&amp;vid=01CRU&amp;lang=en_US&amp;offset=0&amp;query=any,contains,991003473359702656","Catalog Record")</f>
        <v/>
      </c>
      <c r="AT1863">
        <f>HYPERLINK("http://www.worldcat.org/oclc/44131814","WorldCat Record")</f>
        <v/>
      </c>
      <c r="AU1863" t="inlineStr">
        <is>
          <t>7084173:eng</t>
        </is>
      </c>
      <c r="AV1863" t="inlineStr">
        <is>
          <t>44131814</t>
        </is>
      </c>
      <c r="AW1863" t="inlineStr">
        <is>
          <t>991003473359702656</t>
        </is>
      </c>
      <c r="AX1863" t="inlineStr">
        <is>
          <t>991003473359702656</t>
        </is>
      </c>
      <c r="AY1863" t="inlineStr">
        <is>
          <t>2270709500002656</t>
        </is>
      </c>
      <c r="AZ1863" t="inlineStr">
        <is>
          <t>BOOK</t>
        </is>
      </c>
      <c r="BB1863" t="inlineStr">
        <is>
          <t>9780684844121</t>
        </is>
      </c>
      <c r="BC1863" t="inlineStr">
        <is>
          <t>32285004293402</t>
        </is>
      </c>
      <c r="BD1863" t="inlineStr">
        <is>
          <t>893598609</t>
        </is>
      </c>
    </row>
    <row r="1864">
      <c r="A1864" t="inlineStr">
        <is>
          <t>No</t>
        </is>
      </c>
      <c r="B1864" t="inlineStr">
        <is>
          <t>DS706 .B3935 2006</t>
        </is>
      </c>
      <c r="C1864" t="inlineStr">
        <is>
          <t>0                      DS 0706000B  3935        2006</t>
        </is>
      </c>
      <c r="D1864" t="inlineStr">
        <is>
          <t>Dragon rising : an inside look at China today / Jasper Becker.</t>
        </is>
      </c>
      <c r="F1864" t="inlineStr">
        <is>
          <t>No</t>
        </is>
      </c>
      <c r="G1864" t="inlineStr">
        <is>
          <t>1</t>
        </is>
      </c>
      <c r="H1864" t="inlineStr">
        <is>
          <t>No</t>
        </is>
      </c>
      <c r="I1864" t="inlineStr">
        <is>
          <t>No</t>
        </is>
      </c>
      <c r="J1864" t="inlineStr">
        <is>
          <t>0</t>
        </is>
      </c>
      <c r="K1864" t="inlineStr">
        <is>
          <t>Becker, Jasper.</t>
        </is>
      </c>
      <c r="L1864" t="inlineStr">
        <is>
          <t>Washington, D.C. : National Geographic Society, c2006.</t>
        </is>
      </c>
      <c r="M1864" t="inlineStr">
        <is>
          <t>2006</t>
        </is>
      </c>
      <c r="O1864" t="inlineStr">
        <is>
          <t>eng</t>
        </is>
      </c>
      <c r="P1864" t="inlineStr">
        <is>
          <t>dcu</t>
        </is>
      </c>
      <c r="R1864" t="inlineStr">
        <is>
          <t xml:space="preserve">DS </t>
        </is>
      </c>
      <c r="S1864" t="n">
        <v>2</v>
      </c>
      <c r="T1864" t="n">
        <v>2</v>
      </c>
      <c r="U1864" t="inlineStr">
        <is>
          <t>2010-10-26</t>
        </is>
      </c>
      <c r="V1864" t="inlineStr">
        <is>
          <t>2010-10-26</t>
        </is>
      </c>
      <c r="W1864" t="inlineStr">
        <is>
          <t>2007-01-23</t>
        </is>
      </c>
      <c r="X1864" t="inlineStr">
        <is>
          <t>2007-01-23</t>
        </is>
      </c>
      <c r="Y1864" t="n">
        <v>567</v>
      </c>
      <c r="Z1864" t="n">
        <v>476</v>
      </c>
      <c r="AA1864" t="n">
        <v>550</v>
      </c>
      <c r="AB1864" t="n">
        <v>4</v>
      </c>
      <c r="AC1864" t="n">
        <v>5</v>
      </c>
      <c r="AD1864" t="n">
        <v>10</v>
      </c>
      <c r="AE1864" t="n">
        <v>10</v>
      </c>
      <c r="AF1864" t="n">
        <v>3</v>
      </c>
      <c r="AG1864" t="n">
        <v>3</v>
      </c>
      <c r="AH1864" t="n">
        <v>3</v>
      </c>
      <c r="AI1864" t="n">
        <v>3</v>
      </c>
      <c r="AJ1864" t="n">
        <v>7</v>
      </c>
      <c r="AK1864" t="n">
        <v>7</v>
      </c>
      <c r="AL1864" t="n">
        <v>2</v>
      </c>
      <c r="AM1864" t="n">
        <v>2</v>
      </c>
      <c r="AN1864" t="n">
        <v>0</v>
      </c>
      <c r="AO1864" t="n">
        <v>0</v>
      </c>
      <c r="AP1864" t="inlineStr">
        <is>
          <t>No</t>
        </is>
      </c>
      <c r="AQ1864" t="inlineStr">
        <is>
          <t>No</t>
        </is>
      </c>
      <c r="AS1864">
        <f>HYPERLINK("https://creighton-primo.hosted.exlibrisgroup.com/primo-explore/search?tab=default_tab&amp;search_scope=EVERYTHING&amp;vid=01CRU&amp;lang=en_US&amp;offset=0&amp;query=any,contains,991005011849702656","Catalog Record")</f>
        <v/>
      </c>
      <c r="AT1864">
        <f>HYPERLINK("http://www.worldcat.org/oclc/70054394","WorldCat Record")</f>
        <v/>
      </c>
      <c r="AU1864" t="inlineStr">
        <is>
          <t>252681458:eng</t>
        </is>
      </c>
      <c r="AV1864" t="inlineStr">
        <is>
          <t>70054394</t>
        </is>
      </c>
      <c r="AW1864" t="inlineStr">
        <is>
          <t>991005011849702656</t>
        </is>
      </c>
      <c r="AX1864" t="inlineStr">
        <is>
          <t>991005011849702656</t>
        </is>
      </c>
      <c r="AY1864" t="inlineStr">
        <is>
          <t>2267996020002656</t>
        </is>
      </c>
      <c r="AZ1864" t="inlineStr">
        <is>
          <t>BOOK</t>
        </is>
      </c>
      <c r="BB1864" t="inlineStr">
        <is>
          <t>9780792253082</t>
        </is>
      </c>
      <c r="BC1864" t="inlineStr">
        <is>
          <t>32285005272587</t>
        </is>
      </c>
      <c r="BD1864" t="inlineStr">
        <is>
          <t>893326049</t>
        </is>
      </c>
    </row>
    <row r="1865">
      <c r="A1865" t="inlineStr">
        <is>
          <t>No</t>
        </is>
      </c>
      <c r="B1865" t="inlineStr">
        <is>
          <t>DS706 .B716 2007</t>
        </is>
      </c>
      <c r="C1865" t="inlineStr">
        <is>
          <t>0                      DS 0706000B  716         2007</t>
        </is>
      </c>
      <c r="D1865" t="inlineStr">
        <is>
          <t>Struggling giant : China in the 21st century / Kerry Brown ; foreword by Jonathan Fenby.</t>
        </is>
      </c>
      <c r="F1865" t="inlineStr">
        <is>
          <t>No</t>
        </is>
      </c>
      <c r="G1865" t="inlineStr">
        <is>
          <t>1</t>
        </is>
      </c>
      <c r="H1865" t="inlineStr">
        <is>
          <t>No</t>
        </is>
      </c>
      <c r="I1865" t="inlineStr">
        <is>
          <t>No</t>
        </is>
      </c>
      <c r="J1865" t="inlineStr">
        <is>
          <t>0</t>
        </is>
      </c>
      <c r="K1865" t="inlineStr">
        <is>
          <t>Brown, Kerry, 1967-</t>
        </is>
      </c>
      <c r="L1865" t="inlineStr">
        <is>
          <t>London ; New York : Anthem : 2007.</t>
        </is>
      </c>
      <c r="M1865" t="inlineStr">
        <is>
          <t>2007</t>
        </is>
      </c>
      <c r="O1865" t="inlineStr">
        <is>
          <t>eng</t>
        </is>
      </c>
      <c r="P1865" t="inlineStr">
        <is>
          <t>nyu</t>
        </is>
      </c>
      <c r="R1865" t="inlineStr">
        <is>
          <t xml:space="preserve">DS </t>
        </is>
      </c>
      <c r="S1865" t="n">
        <v>3</v>
      </c>
      <c r="T1865" t="n">
        <v>3</v>
      </c>
      <c r="U1865" t="inlineStr">
        <is>
          <t>2010-10-26</t>
        </is>
      </c>
      <c r="V1865" t="inlineStr">
        <is>
          <t>2010-10-26</t>
        </is>
      </c>
      <c r="W1865" t="inlineStr">
        <is>
          <t>2010-04-28</t>
        </is>
      </c>
      <c r="X1865" t="inlineStr">
        <is>
          <t>2010-04-28</t>
        </is>
      </c>
      <c r="Y1865" t="n">
        <v>459</v>
      </c>
      <c r="Z1865" t="n">
        <v>377</v>
      </c>
      <c r="AA1865" t="n">
        <v>390</v>
      </c>
      <c r="AB1865" t="n">
        <v>1</v>
      </c>
      <c r="AC1865" t="n">
        <v>1</v>
      </c>
      <c r="AD1865" t="n">
        <v>14</v>
      </c>
      <c r="AE1865" t="n">
        <v>14</v>
      </c>
      <c r="AF1865" t="n">
        <v>5</v>
      </c>
      <c r="AG1865" t="n">
        <v>5</v>
      </c>
      <c r="AH1865" t="n">
        <v>4</v>
      </c>
      <c r="AI1865" t="n">
        <v>4</v>
      </c>
      <c r="AJ1865" t="n">
        <v>11</v>
      </c>
      <c r="AK1865" t="n">
        <v>11</v>
      </c>
      <c r="AL1865" t="n">
        <v>0</v>
      </c>
      <c r="AM1865" t="n">
        <v>0</v>
      </c>
      <c r="AN1865" t="n">
        <v>0</v>
      </c>
      <c r="AO1865" t="n">
        <v>0</v>
      </c>
      <c r="AP1865" t="inlineStr">
        <is>
          <t>No</t>
        </is>
      </c>
      <c r="AQ1865" t="inlineStr">
        <is>
          <t>No</t>
        </is>
      </c>
      <c r="AS1865">
        <f>HYPERLINK("https://creighton-primo.hosted.exlibrisgroup.com/primo-explore/search?tab=default_tab&amp;search_scope=EVERYTHING&amp;vid=01CRU&amp;lang=en_US&amp;offset=0&amp;query=any,contains,991005390579702656","Catalog Record")</f>
        <v/>
      </c>
      <c r="AT1865">
        <f>HYPERLINK("http://www.worldcat.org/oclc/166332441","WorldCat Record")</f>
        <v/>
      </c>
      <c r="AU1865" t="inlineStr">
        <is>
          <t>208374906:eng</t>
        </is>
      </c>
      <c r="AV1865" t="inlineStr">
        <is>
          <t>166332441</t>
        </is>
      </c>
      <c r="AW1865" t="inlineStr">
        <is>
          <t>991005390579702656</t>
        </is>
      </c>
      <c r="AX1865" t="inlineStr">
        <is>
          <t>991005390579702656</t>
        </is>
      </c>
      <c r="AY1865" t="inlineStr">
        <is>
          <t>2267824860002656</t>
        </is>
      </c>
      <c r="AZ1865" t="inlineStr">
        <is>
          <t>BOOK</t>
        </is>
      </c>
      <c r="BB1865" t="inlineStr">
        <is>
          <t>9781843312789</t>
        </is>
      </c>
      <c r="BC1865" t="inlineStr">
        <is>
          <t>32285005568612</t>
        </is>
      </c>
      <c r="BD1865" t="inlineStr">
        <is>
          <t>893877463</t>
        </is>
      </c>
    </row>
    <row r="1866">
      <c r="A1866" t="inlineStr">
        <is>
          <t>No</t>
        </is>
      </c>
      <c r="B1866" t="inlineStr">
        <is>
          <t>DS706 .C496 1975</t>
        </is>
      </c>
      <c r="C1866" t="inlineStr">
        <is>
          <t>0                      DS 0706000C  496         1975</t>
        </is>
      </c>
      <c r="D1866" t="inlineStr">
        <is>
          <t>China in transition / edited by William A. Robson and Bernard Crick.</t>
        </is>
      </c>
      <c r="F1866" t="inlineStr">
        <is>
          <t>No</t>
        </is>
      </c>
      <c r="G1866" t="inlineStr">
        <is>
          <t>1</t>
        </is>
      </c>
      <c r="H1866" t="inlineStr">
        <is>
          <t>No</t>
        </is>
      </c>
      <c r="I1866" t="inlineStr">
        <is>
          <t>No</t>
        </is>
      </c>
      <c r="J1866" t="inlineStr">
        <is>
          <t>0</t>
        </is>
      </c>
      <c r="L1866" t="inlineStr">
        <is>
          <t>Beverly Hills, Calif. : Sage Publications, 1975, c1974.</t>
        </is>
      </c>
      <c r="M1866" t="inlineStr">
        <is>
          <t>1975</t>
        </is>
      </c>
      <c r="O1866" t="inlineStr">
        <is>
          <t>eng</t>
        </is>
      </c>
      <c r="P1866" t="inlineStr">
        <is>
          <t>cau</t>
        </is>
      </c>
      <c r="Q1866" t="inlineStr">
        <is>
          <t>Sage contemporary social science issues ; 17</t>
        </is>
      </c>
      <c r="R1866" t="inlineStr">
        <is>
          <t xml:space="preserve">DS </t>
        </is>
      </c>
      <c r="S1866" t="n">
        <v>1</v>
      </c>
      <c r="T1866" t="n">
        <v>1</v>
      </c>
      <c r="U1866" t="inlineStr">
        <is>
          <t>1997-04-18</t>
        </is>
      </c>
      <c r="V1866" t="inlineStr">
        <is>
          <t>1997-04-18</t>
        </is>
      </c>
      <c r="W1866" t="inlineStr">
        <is>
          <t>1997-04-08</t>
        </is>
      </c>
      <c r="X1866" t="inlineStr">
        <is>
          <t>1997-04-08</t>
        </is>
      </c>
      <c r="Y1866" t="n">
        <v>260</v>
      </c>
      <c r="Z1866" t="n">
        <v>190</v>
      </c>
      <c r="AA1866" t="n">
        <v>194</v>
      </c>
      <c r="AB1866" t="n">
        <v>3</v>
      </c>
      <c r="AC1866" t="n">
        <v>3</v>
      </c>
      <c r="AD1866" t="n">
        <v>7</v>
      </c>
      <c r="AE1866" t="n">
        <v>8</v>
      </c>
      <c r="AF1866" t="n">
        <v>0</v>
      </c>
      <c r="AG1866" t="n">
        <v>0</v>
      </c>
      <c r="AH1866" t="n">
        <v>2</v>
      </c>
      <c r="AI1866" t="n">
        <v>2</v>
      </c>
      <c r="AJ1866" t="n">
        <v>4</v>
      </c>
      <c r="AK1866" t="n">
        <v>5</v>
      </c>
      <c r="AL1866" t="n">
        <v>2</v>
      </c>
      <c r="AM1866" t="n">
        <v>2</v>
      </c>
      <c r="AN1866" t="n">
        <v>0</v>
      </c>
      <c r="AO1866" t="n">
        <v>0</v>
      </c>
      <c r="AP1866" t="inlineStr">
        <is>
          <t>No</t>
        </is>
      </c>
      <c r="AQ1866" t="inlineStr">
        <is>
          <t>Yes</t>
        </is>
      </c>
      <c r="AR1866">
        <f>HYPERLINK("http://catalog.hathitrust.org/Record/000018589","HathiTrust Record")</f>
        <v/>
      </c>
      <c r="AS1866">
        <f>HYPERLINK("https://creighton-primo.hosted.exlibrisgroup.com/primo-explore/search?tab=default_tab&amp;search_scope=EVERYTHING&amp;vid=01CRU&amp;lang=en_US&amp;offset=0&amp;query=any,contains,991003805669702656","Catalog Record")</f>
        <v/>
      </c>
      <c r="AT1866">
        <f>HYPERLINK("http://www.worldcat.org/oclc/1530632","WorldCat Record")</f>
        <v/>
      </c>
      <c r="AU1866" t="inlineStr">
        <is>
          <t>676421210:eng</t>
        </is>
      </c>
      <c r="AV1866" t="inlineStr">
        <is>
          <t>1530632</t>
        </is>
      </c>
      <c r="AW1866" t="inlineStr">
        <is>
          <t>991003805669702656</t>
        </is>
      </c>
      <c r="AX1866" t="inlineStr">
        <is>
          <t>991003805669702656</t>
        </is>
      </c>
      <c r="AY1866" t="inlineStr">
        <is>
          <t>2269697770002656</t>
        </is>
      </c>
      <c r="AZ1866" t="inlineStr">
        <is>
          <t>BOOK</t>
        </is>
      </c>
      <c r="BB1866" t="inlineStr">
        <is>
          <t>9780803905573</t>
        </is>
      </c>
      <c r="BC1866" t="inlineStr">
        <is>
          <t>32285002507324</t>
        </is>
      </c>
      <c r="BD1866" t="inlineStr">
        <is>
          <t>893525248</t>
        </is>
      </c>
    </row>
    <row r="1867">
      <c r="A1867" t="inlineStr">
        <is>
          <t>No</t>
        </is>
      </c>
      <c r="B1867" t="inlineStr">
        <is>
          <t>DS706 .C51137 2001</t>
        </is>
      </c>
      <c r="C1867" t="inlineStr">
        <is>
          <t>0                      DS 0706000C  51137       2001</t>
        </is>
      </c>
      <c r="D1867" t="inlineStr">
        <is>
          <t>China's century : the awakening of the next economic powerhouse / [edited by] Laurence J. Brahm.</t>
        </is>
      </c>
      <c r="F1867" t="inlineStr">
        <is>
          <t>No</t>
        </is>
      </c>
      <c r="G1867" t="inlineStr">
        <is>
          <t>1</t>
        </is>
      </c>
      <c r="H1867" t="inlineStr">
        <is>
          <t>No</t>
        </is>
      </c>
      <c r="I1867" t="inlineStr">
        <is>
          <t>No</t>
        </is>
      </c>
      <c r="J1867" t="inlineStr">
        <is>
          <t>0</t>
        </is>
      </c>
      <c r="L1867" t="inlineStr">
        <is>
          <t>Singapore ; New York : Wiley, 2001.</t>
        </is>
      </c>
      <c r="M1867" t="inlineStr">
        <is>
          <t>2001</t>
        </is>
      </c>
      <c r="O1867" t="inlineStr">
        <is>
          <t>eng</t>
        </is>
      </c>
      <c r="P1867" t="inlineStr">
        <is>
          <t xml:space="preserve">si </t>
        </is>
      </c>
      <c r="R1867" t="inlineStr">
        <is>
          <t xml:space="preserve">DS </t>
        </is>
      </c>
      <c r="S1867" t="n">
        <v>3</v>
      </c>
      <c r="T1867" t="n">
        <v>3</v>
      </c>
      <c r="U1867" t="inlineStr">
        <is>
          <t>2007-04-12</t>
        </is>
      </c>
      <c r="V1867" t="inlineStr">
        <is>
          <t>2007-04-12</t>
        </is>
      </c>
      <c r="W1867" t="inlineStr">
        <is>
          <t>2001-08-21</t>
        </is>
      </c>
      <c r="X1867" t="inlineStr">
        <is>
          <t>2001-08-21</t>
        </is>
      </c>
      <c r="Y1867" t="n">
        <v>293</v>
      </c>
      <c r="Z1867" t="n">
        <v>201</v>
      </c>
      <c r="AA1867" t="n">
        <v>208</v>
      </c>
      <c r="AB1867" t="n">
        <v>2</v>
      </c>
      <c r="AC1867" t="n">
        <v>2</v>
      </c>
      <c r="AD1867" t="n">
        <v>7</v>
      </c>
      <c r="AE1867" t="n">
        <v>7</v>
      </c>
      <c r="AF1867" t="n">
        <v>0</v>
      </c>
      <c r="AG1867" t="n">
        <v>0</v>
      </c>
      <c r="AH1867" t="n">
        <v>2</v>
      </c>
      <c r="AI1867" t="n">
        <v>2</v>
      </c>
      <c r="AJ1867" t="n">
        <v>6</v>
      </c>
      <c r="AK1867" t="n">
        <v>6</v>
      </c>
      <c r="AL1867" t="n">
        <v>1</v>
      </c>
      <c r="AM1867" t="n">
        <v>1</v>
      </c>
      <c r="AN1867" t="n">
        <v>0</v>
      </c>
      <c r="AO1867" t="n">
        <v>0</v>
      </c>
      <c r="AP1867" t="inlineStr">
        <is>
          <t>No</t>
        </is>
      </c>
      <c r="AQ1867" t="inlineStr">
        <is>
          <t>Yes</t>
        </is>
      </c>
      <c r="AR1867">
        <f>HYPERLINK("http://catalog.hathitrust.org/Record/004176086","HathiTrust Record")</f>
        <v/>
      </c>
      <c r="AS1867">
        <f>HYPERLINK("https://creighton-primo.hosted.exlibrisgroup.com/primo-explore/search?tab=default_tab&amp;search_scope=EVERYTHING&amp;vid=01CRU&amp;lang=en_US&amp;offset=0&amp;query=any,contains,991003587059702656","Catalog Record")</f>
        <v/>
      </c>
      <c r="AT1867">
        <f>HYPERLINK("http://www.worldcat.org/oclc/45506036","WorldCat Record")</f>
        <v/>
      </c>
      <c r="AU1867" t="inlineStr">
        <is>
          <t>836997213:eng</t>
        </is>
      </c>
      <c r="AV1867" t="inlineStr">
        <is>
          <t>45506036</t>
        </is>
      </c>
      <c r="AW1867" t="inlineStr">
        <is>
          <t>991003587059702656</t>
        </is>
      </c>
      <c r="AX1867" t="inlineStr">
        <is>
          <t>991003587059702656</t>
        </is>
      </c>
      <c r="AY1867" t="inlineStr">
        <is>
          <t>2259930030002656</t>
        </is>
      </c>
      <c r="AZ1867" t="inlineStr">
        <is>
          <t>BOOK</t>
        </is>
      </c>
      <c r="BB1867" t="inlineStr">
        <is>
          <t>9780471479017</t>
        </is>
      </c>
      <c r="BC1867" t="inlineStr">
        <is>
          <t>32285004378898</t>
        </is>
      </c>
      <c r="BD1867" t="inlineStr">
        <is>
          <t>893874922</t>
        </is>
      </c>
    </row>
    <row r="1868">
      <c r="A1868" t="inlineStr">
        <is>
          <t>No</t>
        </is>
      </c>
      <c r="B1868" t="inlineStr">
        <is>
          <t>DS706 .C51138 2007</t>
        </is>
      </c>
      <c r="C1868" t="inlineStr">
        <is>
          <t>0                      DS 0706000C  51138       2007</t>
        </is>
      </c>
      <c r="D1868" t="inlineStr">
        <is>
          <t>China's geography : globalization and the dynamics of political, economic, and social change / Gregory Veeck ... [et al.].</t>
        </is>
      </c>
      <c r="F1868" t="inlineStr">
        <is>
          <t>No</t>
        </is>
      </c>
      <c r="G1868" t="inlineStr">
        <is>
          <t>1</t>
        </is>
      </c>
      <c r="H1868" t="inlineStr">
        <is>
          <t>No</t>
        </is>
      </c>
      <c r="I1868" t="inlineStr">
        <is>
          <t>No</t>
        </is>
      </c>
      <c r="J1868" t="inlineStr">
        <is>
          <t>0</t>
        </is>
      </c>
      <c r="L1868" t="inlineStr">
        <is>
          <t>Lanham : Rowman &amp; Littlefield Publishers, c2007.</t>
        </is>
      </c>
      <c r="M1868" t="inlineStr">
        <is>
          <t>2007</t>
        </is>
      </c>
      <c r="O1868" t="inlineStr">
        <is>
          <t>eng</t>
        </is>
      </c>
      <c r="P1868" t="inlineStr">
        <is>
          <t>mdu</t>
        </is>
      </c>
      <c r="Q1868" t="inlineStr">
        <is>
          <t>Changing regions in a global context</t>
        </is>
      </c>
      <c r="R1868" t="inlineStr">
        <is>
          <t xml:space="preserve">DS </t>
        </is>
      </c>
      <c r="S1868" t="n">
        <v>2</v>
      </c>
      <c r="T1868" t="n">
        <v>2</v>
      </c>
      <c r="U1868" t="inlineStr">
        <is>
          <t>2010-09-16</t>
        </is>
      </c>
      <c r="V1868" t="inlineStr">
        <is>
          <t>2010-09-16</t>
        </is>
      </c>
      <c r="W1868" t="inlineStr">
        <is>
          <t>2006-11-14</t>
        </is>
      </c>
      <c r="X1868" t="inlineStr">
        <is>
          <t>2006-11-14</t>
        </is>
      </c>
      <c r="Y1868" t="n">
        <v>518</v>
      </c>
      <c r="Z1868" t="n">
        <v>422</v>
      </c>
      <c r="AA1868" t="n">
        <v>581</v>
      </c>
      <c r="AB1868" t="n">
        <v>4</v>
      </c>
      <c r="AC1868" t="n">
        <v>5</v>
      </c>
      <c r="AD1868" t="n">
        <v>24</v>
      </c>
      <c r="AE1868" t="n">
        <v>31</v>
      </c>
      <c r="AF1868" t="n">
        <v>8</v>
      </c>
      <c r="AG1868" t="n">
        <v>14</v>
      </c>
      <c r="AH1868" t="n">
        <v>9</v>
      </c>
      <c r="AI1868" t="n">
        <v>9</v>
      </c>
      <c r="AJ1868" t="n">
        <v>10</v>
      </c>
      <c r="AK1868" t="n">
        <v>12</v>
      </c>
      <c r="AL1868" t="n">
        <v>3</v>
      </c>
      <c r="AM1868" t="n">
        <v>4</v>
      </c>
      <c r="AN1868" t="n">
        <v>0</v>
      </c>
      <c r="AO1868" t="n">
        <v>0</v>
      </c>
      <c r="AP1868" t="inlineStr">
        <is>
          <t>No</t>
        </is>
      </c>
      <c r="AQ1868" t="inlineStr">
        <is>
          <t>Yes</t>
        </is>
      </c>
      <c r="AR1868">
        <f>HYPERLINK("http://catalog.hathitrust.org/Record/005283911","HathiTrust Record")</f>
        <v/>
      </c>
      <c r="AS1868">
        <f>HYPERLINK("https://creighton-primo.hosted.exlibrisgroup.com/primo-explore/search?tab=default_tab&amp;search_scope=EVERYTHING&amp;vid=01CRU&amp;lang=en_US&amp;offset=0&amp;query=any,contains,991004954289702656","Catalog Record")</f>
        <v/>
      </c>
      <c r="AT1868">
        <f>HYPERLINK("http://www.worldcat.org/oclc/67405645","WorldCat Record")</f>
        <v/>
      </c>
      <c r="AU1868" t="inlineStr">
        <is>
          <t>796522810:eng</t>
        </is>
      </c>
      <c r="AV1868" t="inlineStr">
        <is>
          <t>67405645</t>
        </is>
      </c>
      <c r="AW1868" t="inlineStr">
        <is>
          <t>991004954289702656</t>
        </is>
      </c>
      <c r="AX1868" t="inlineStr">
        <is>
          <t>991004954289702656</t>
        </is>
      </c>
      <c r="AY1868" t="inlineStr">
        <is>
          <t>2267107130002656</t>
        </is>
      </c>
      <c r="AZ1868" t="inlineStr">
        <is>
          <t>BOOK</t>
        </is>
      </c>
      <c r="BB1868" t="inlineStr">
        <is>
          <t>9780742554023</t>
        </is>
      </c>
      <c r="BC1868" t="inlineStr">
        <is>
          <t>32285005238463</t>
        </is>
      </c>
      <c r="BD1868" t="inlineStr">
        <is>
          <t>893807660</t>
        </is>
      </c>
    </row>
    <row r="1869">
      <c r="A1869" t="inlineStr">
        <is>
          <t>No</t>
        </is>
      </c>
      <c r="B1869" t="inlineStr">
        <is>
          <t>DS706 .D55 2009</t>
        </is>
      </c>
      <c r="C1869" t="inlineStr">
        <is>
          <t>0                      DS 0706000D  55          2009</t>
        </is>
      </c>
      <c r="D1869" t="inlineStr">
        <is>
          <t>Contemporary China : an introduction/ Michael Dillon.</t>
        </is>
      </c>
      <c r="F1869" t="inlineStr">
        <is>
          <t>No</t>
        </is>
      </c>
      <c r="G1869" t="inlineStr">
        <is>
          <t>1</t>
        </is>
      </c>
      <c r="H1869" t="inlineStr">
        <is>
          <t>No</t>
        </is>
      </c>
      <c r="I1869" t="inlineStr">
        <is>
          <t>No</t>
        </is>
      </c>
      <c r="J1869" t="inlineStr">
        <is>
          <t>0</t>
        </is>
      </c>
      <c r="K1869" t="inlineStr">
        <is>
          <t>Dillon, Michael, 1949-</t>
        </is>
      </c>
      <c r="L1869" t="inlineStr">
        <is>
          <t>London ; New York : Routledge, c2009.</t>
        </is>
      </c>
      <c r="M1869" t="inlineStr">
        <is>
          <t>2009</t>
        </is>
      </c>
      <c r="N1869" t="inlineStr">
        <is>
          <t>1st ed.</t>
        </is>
      </c>
      <c r="O1869" t="inlineStr">
        <is>
          <t>eng</t>
        </is>
      </c>
      <c r="P1869" t="inlineStr">
        <is>
          <t>enk</t>
        </is>
      </c>
      <c r="R1869" t="inlineStr">
        <is>
          <t xml:space="preserve">DS </t>
        </is>
      </c>
      <c r="S1869" t="n">
        <v>2</v>
      </c>
      <c r="T1869" t="n">
        <v>2</v>
      </c>
      <c r="U1869" t="inlineStr">
        <is>
          <t>2009-11-21</t>
        </is>
      </c>
      <c r="V1869" t="inlineStr">
        <is>
          <t>2009-11-21</t>
        </is>
      </c>
      <c r="W1869" t="inlineStr">
        <is>
          <t>2009-06-16</t>
        </is>
      </c>
      <c r="X1869" t="inlineStr">
        <is>
          <t>2009-06-16</t>
        </is>
      </c>
      <c r="Y1869" t="n">
        <v>374</v>
      </c>
      <c r="Z1869" t="n">
        <v>267</v>
      </c>
      <c r="AA1869" t="n">
        <v>366</v>
      </c>
      <c r="AB1869" t="n">
        <v>5</v>
      </c>
      <c r="AC1869" t="n">
        <v>5</v>
      </c>
      <c r="AD1869" t="n">
        <v>16</v>
      </c>
      <c r="AE1869" t="n">
        <v>19</v>
      </c>
      <c r="AF1869" t="n">
        <v>7</v>
      </c>
      <c r="AG1869" t="n">
        <v>7</v>
      </c>
      <c r="AH1869" t="n">
        <v>1</v>
      </c>
      <c r="AI1869" t="n">
        <v>2</v>
      </c>
      <c r="AJ1869" t="n">
        <v>6</v>
      </c>
      <c r="AK1869" t="n">
        <v>8</v>
      </c>
      <c r="AL1869" t="n">
        <v>4</v>
      </c>
      <c r="AM1869" t="n">
        <v>4</v>
      </c>
      <c r="AN1869" t="n">
        <v>1</v>
      </c>
      <c r="AO1869" t="n">
        <v>1</v>
      </c>
      <c r="AP1869" t="inlineStr">
        <is>
          <t>No</t>
        </is>
      </c>
      <c r="AQ1869" t="inlineStr">
        <is>
          <t>No</t>
        </is>
      </c>
      <c r="AS1869">
        <f>HYPERLINK("https://creighton-primo.hosted.exlibrisgroup.com/primo-explore/search?tab=default_tab&amp;search_scope=EVERYTHING&amp;vid=01CRU&amp;lang=en_US&amp;offset=0&amp;query=any,contains,991005320779702656","Catalog Record")</f>
        <v/>
      </c>
      <c r="AT1869">
        <f>HYPERLINK("http://www.worldcat.org/oclc/228427411","WorldCat Record")</f>
        <v/>
      </c>
      <c r="AU1869" t="inlineStr">
        <is>
          <t>800183145:eng</t>
        </is>
      </c>
      <c r="AV1869" t="inlineStr">
        <is>
          <t>228427411</t>
        </is>
      </c>
      <c r="AW1869" t="inlineStr">
        <is>
          <t>991005320779702656</t>
        </is>
      </c>
      <c r="AX1869" t="inlineStr">
        <is>
          <t>991005320779702656</t>
        </is>
      </c>
      <c r="AY1869" t="inlineStr">
        <is>
          <t>2258495070002656</t>
        </is>
      </c>
      <c r="AZ1869" t="inlineStr">
        <is>
          <t>BOOK</t>
        </is>
      </c>
      <c r="BB1869" t="inlineStr">
        <is>
          <t>9780415343190</t>
        </is>
      </c>
      <c r="BC1869" t="inlineStr">
        <is>
          <t>32285005535074</t>
        </is>
      </c>
      <c r="BD1869" t="inlineStr">
        <is>
          <t>893536547</t>
        </is>
      </c>
    </row>
    <row r="1870">
      <c r="A1870" t="inlineStr">
        <is>
          <t>No</t>
        </is>
      </c>
      <c r="B1870" t="inlineStr">
        <is>
          <t>DS706 .E45</t>
        </is>
      </c>
      <c r="C1870" t="inlineStr">
        <is>
          <t>0                      DS 0706000E  45</t>
        </is>
      </c>
      <c r="D1870" t="inlineStr">
        <is>
          <t>Emerging China / edited by Thomas Draper.</t>
        </is>
      </c>
      <c r="F1870" t="inlineStr">
        <is>
          <t>No</t>
        </is>
      </c>
      <c r="G1870" t="inlineStr">
        <is>
          <t>1</t>
        </is>
      </c>
      <c r="H1870" t="inlineStr">
        <is>
          <t>No</t>
        </is>
      </c>
      <c r="I1870" t="inlineStr">
        <is>
          <t>No</t>
        </is>
      </c>
      <c r="J1870" t="inlineStr">
        <is>
          <t>0</t>
        </is>
      </c>
      <c r="L1870" t="inlineStr">
        <is>
          <t>New York : H. W. Wilson, 1980.</t>
        </is>
      </c>
      <c r="M1870" t="inlineStr">
        <is>
          <t>1980</t>
        </is>
      </c>
      <c r="O1870" t="inlineStr">
        <is>
          <t>eng</t>
        </is>
      </c>
      <c r="P1870" t="inlineStr">
        <is>
          <t>nyu</t>
        </is>
      </c>
      <c r="Q1870" t="inlineStr">
        <is>
          <t>The Reference shelf ; v. 52, no. 1</t>
        </is>
      </c>
      <c r="R1870" t="inlineStr">
        <is>
          <t xml:space="preserve">DS </t>
        </is>
      </c>
      <c r="S1870" t="n">
        <v>5</v>
      </c>
      <c r="T1870" t="n">
        <v>5</v>
      </c>
      <c r="U1870" t="inlineStr">
        <is>
          <t>2010-10-26</t>
        </is>
      </c>
      <c r="V1870" t="inlineStr">
        <is>
          <t>2010-10-26</t>
        </is>
      </c>
      <c r="W1870" t="inlineStr">
        <is>
          <t>1990-10-11</t>
        </is>
      </c>
      <c r="X1870" t="inlineStr">
        <is>
          <t>1990-10-11</t>
        </is>
      </c>
      <c r="Y1870" t="n">
        <v>1341</v>
      </c>
      <c r="Z1870" t="n">
        <v>1294</v>
      </c>
      <c r="AA1870" t="n">
        <v>1301</v>
      </c>
      <c r="AB1870" t="n">
        <v>10</v>
      </c>
      <c r="AC1870" t="n">
        <v>10</v>
      </c>
      <c r="AD1870" t="n">
        <v>40</v>
      </c>
      <c r="AE1870" t="n">
        <v>40</v>
      </c>
      <c r="AF1870" t="n">
        <v>15</v>
      </c>
      <c r="AG1870" t="n">
        <v>15</v>
      </c>
      <c r="AH1870" t="n">
        <v>8</v>
      </c>
      <c r="AI1870" t="n">
        <v>8</v>
      </c>
      <c r="AJ1870" t="n">
        <v>21</v>
      </c>
      <c r="AK1870" t="n">
        <v>21</v>
      </c>
      <c r="AL1870" t="n">
        <v>7</v>
      </c>
      <c r="AM1870" t="n">
        <v>7</v>
      </c>
      <c r="AN1870" t="n">
        <v>0</v>
      </c>
      <c r="AO1870" t="n">
        <v>0</v>
      </c>
      <c r="AP1870" t="inlineStr">
        <is>
          <t>No</t>
        </is>
      </c>
      <c r="AQ1870" t="inlineStr">
        <is>
          <t>Yes</t>
        </is>
      </c>
      <c r="AR1870">
        <f>HYPERLINK("http://catalog.hathitrust.org/Record/000037218","HathiTrust Record")</f>
        <v/>
      </c>
      <c r="AS1870">
        <f>HYPERLINK("https://creighton-primo.hosted.exlibrisgroup.com/primo-explore/search?tab=default_tab&amp;search_scope=EVERYTHING&amp;vid=01CRU&amp;lang=en_US&amp;offset=0&amp;query=any,contains,991004914769702656","Catalog Record")</f>
        <v/>
      </c>
      <c r="AT1870">
        <f>HYPERLINK("http://www.worldcat.org/oclc/6015707","WorldCat Record")</f>
        <v/>
      </c>
      <c r="AU1870" t="inlineStr">
        <is>
          <t>490740:eng</t>
        </is>
      </c>
      <c r="AV1870" t="inlineStr">
        <is>
          <t>6015707</t>
        </is>
      </c>
      <c r="AW1870" t="inlineStr">
        <is>
          <t>991004914769702656</t>
        </is>
      </c>
      <c r="AX1870" t="inlineStr">
        <is>
          <t>991004914769702656</t>
        </is>
      </c>
      <c r="AY1870" t="inlineStr">
        <is>
          <t>2269065790002656</t>
        </is>
      </c>
      <c r="AZ1870" t="inlineStr">
        <is>
          <t>BOOK</t>
        </is>
      </c>
      <c r="BB1870" t="inlineStr">
        <is>
          <t>9780824206444</t>
        </is>
      </c>
      <c r="BC1870" t="inlineStr">
        <is>
          <t>32285000337922</t>
        </is>
      </c>
      <c r="BD1870" t="inlineStr">
        <is>
          <t>893807626</t>
        </is>
      </c>
    </row>
    <row r="1871">
      <c r="A1871" t="inlineStr">
        <is>
          <t>No</t>
        </is>
      </c>
      <c r="B1871" t="inlineStr">
        <is>
          <t>DS706 .G73 1994</t>
        </is>
      </c>
      <c r="C1871" t="inlineStr">
        <is>
          <t>0                      DS 0706000G  73          1994</t>
        </is>
      </c>
      <c r="D1871" t="inlineStr">
        <is>
          <t>China : a literary companion / A.C.Grayling and Susan Whitfield.</t>
        </is>
      </c>
      <c r="F1871" t="inlineStr">
        <is>
          <t>No</t>
        </is>
      </c>
      <c r="G1871" t="inlineStr">
        <is>
          <t>1</t>
        </is>
      </c>
      <c r="H1871" t="inlineStr">
        <is>
          <t>No</t>
        </is>
      </c>
      <c r="I1871" t="inlineStr">
        <is>
          <t>No</t>
        </is>
      </c>
      <c r="J1871" t="inlineStr">
        <is>
          <t>0</t>
        </is>
      </c>
      <c r="K1871" t="inlineStr">
        <is>
          <t>Grayling, A. C.</t>
        </is>
      </c>
      <c r="L1871" t="inlineStr">
        <is>
          <t>London : J. Murray, 1994.</t>
        </is>
      </c>
      <c r="M1871" t="inlineStr">
        <is>
          <t>1994</t>
        </is>
      </c>
      <c r="O1871" t="inlineStr">
        <is>
          <t>eng</t>
        </is>
      </c>
      <c r="P1871" t="inlineStr">
        <is>
          <t>enk</t>
        </is>
      </c>
      <c r="R1871" t="inlineStr">
        <is>
          <t xml:space="preserve">DS </t>
        </is>
      </c>
      <c r="S1871" t="n">
        <v>8</v>
      </c>
      <c r="T1871" t="n">
        <v>8</v>
      </c>
      <c r="U1871" t="inlineStr">
        <is>
          <t>1997-03-31</t>
        </is>
      </c>
      <c r="V1871" t="inlineStr">
        <is>
          <t>1997-03-31</t>
        </is>
      </c>
      <c r="W1871" t="inlineStr">
        <is>
          <t>1995-07-05</t>
        </is>
      </c>
      <c r="X1871" t="inlineStr">
        <is>
          <t>1995-07-05</t>
        </is>
      </c>
      <c r="Y1871" t="n">
        <v>212</v>
      </c>
      <c r="Z1871" t="n">
        <v>150</v>
      </c>
      <c r="AA1871" t="n">
        <v>155</v>
      </c>
      <c r="AB1871" t="n">
        <v>1</v>
      </c>
      <c r="AC1871" t="n">
        <v>1</v>
      </c>
      <c r="AD1871" t="n">
        <v>3</v>
      </c>
      <c r="AE1871" t="n">
        <v>3</v>
      </c>
      <c r="AF1871" t="n">
        <v>2</v>
      </c>
      <c r="AG1871" t="n">
        <v>2</v>
      </c>
      <c r="AH1871" t="n">
        <v>2</v>
      </c>
      <c r="AI1871" t="n">
        <v>2</v>
      </c>
      <c r="AJ1871" t="n">
        <v>1</v>
      </c>
      <c r="AK1871" t="n">
        <v>1</v>
      </c>
      <c r="AL1871" t="n">
        <v>0</v>
      </c>
      <c r="AM1871" t="n">
        <v>0</v>
      </c>
      <c r="AN1871" t="n">
        <v>0</v>
      </c>
      <c r="AO1871" t="n">
        <v>0</v>
      </c>
      <c r="AP1871" t="inlineStr">
        <is>
          <t>No</t>
        </is>
      </c>
      <c r="AQ1871" t="inlineStr">
        <is>
          <t>No</t>
        </is>
      </c>
      <c r="AS1871">
        <f>HYPERLINK("https://creighton-primo.hosted.exlibrisgroup.com/primo-explore/search?tab=default_tab&amp;search_scope=EVERYTHING&amp;vid=01CRU&amp;lang=en_US&amp;offset=0&amp;query=any,contains,991002380109702656","Catalog Record")</f>
        <v/>
      </c>
      <c r="AT1871">
        <f>HYPERLINK("http://www.worldcat.org/oclc/30916762","WorldCat Record")</f>
        <v/>
      </c>
      <c r="AU1871" t="inlineStr">
        <is>
          <t>24231123:eng</t>
        </is>
      </c>
      <c r="AV1871" t="inlineStr">
        <is>
          <t>30916762</t>
        </is>
      </c>
      <c r="AW1871" t="inlineStr">
        <is>
          <t>991002380109702656</t>
        </is>
      </c>
      <c r="AX1871" t="inlineStr">
        <is>
          <t>991002380109702656</t>
        </is>
      </c>
      <c r="AY1871" t="inlineStr">
        <is>
          <t>2269614370002656</t>
        </is>
      </c>
      <c r="AZ1871" t="inlineStr">
        <is>
          <t>BOOK</t>
        </is>
      </c>
      <c r="BB1871" t="inlineStr">
        <is>
          <t>9780719553530</t>
        </is>
      </c>
      <c r="BC1871" t="inlineStr">
        <is>
          <t>32285002053709</t>
        </is>
      </c>
      <c r="BD1871" t="inlineStr">
        <is>
          <t>893622216</t>
        </is>
      </c>
    </row>
    <row r="1872">
      <c r="A1872" t="inlineStr">
        <is>
          <t>No</t>
        </is>
      </c>
      <c r="B1872" t="inlineStr">
        <is>
          <t>DS706 .H8</t>
        </is>
      </c>
      <c r="C1872" t="inlineStr">
        <is>
          <t>0                      DS 0706000H  8</t>
        </is>
      </c>
      <c r="D1872" t="inlineStr">
        <is>
          <t>China : its people, its society, its culture / in collaboration with Samuel C. Chu [and others] Editor: Hsiao Hsia.</t>
        </is>
      </c>
      <c r="F1872" t="inlineStr">
        <is>
          <t>No</t>
        </is>
      </c>
      <c r="G1872" t="inlineStr">
        <is>
          <t>1</t>
        </is>
      </c>
      <c r="H1872" t="inlineStr">
        <is>
          <t>No</t>
        </is>
      </c>
      <c r="I1872" t="inlineStr">
        <is>
          <t>No</t>
        </is>
      </c>
      <c r="J1872" t="inlineStr">
        <is>
          <t>0</t>
        </is>
      </c>
      <c r="K1872" t="inlineStr">
        <is>
          <t>Hu, Changdu, 1920-</t>
        </is>
      </c>
      <c r="L1872" t="inlineStr">
        <is>
          <t>New Haven : HRAF Press, [1960]</t>
        </is>
      </c>
      <c r="M1872" t="inlineStr">
        <is>
          <t>1960</t>
        </is>
      </c>
      <c r="O1872" t="inlineStr">
        <is>
          <t>eng</t>
        </is>
      </c>
      <c r="P1872" t="inlineStr">
        <is>
          <t>ctu</t>
        </is>
      </c>
      <c r="Q1872" t="inlineStr">
        <is>
          <t>Survey of world cultures ; 6</t>
        </is>
      </c>
      <c r="R1872" t="inlineStr">
        <is>
          <t xml:space="preserve">DS </t>
        </is>
      </c>
      <c r="S1872" t="n">
        <v>10</v>
      </c>
      <c r="T1872" t="n">
        <v>10</v>
      </c>
      <c r="U1872" t="inlineStr">
        <is>
          <t>1997-11-10</t>
        </is>
      </c>
      <c r="V1872" t="inlineStr">
        <is>
          <t>1997-11-10</t>
        </is>
      </c>
      <c r="W1872" t="inlineStr">
        <is>
          <t>1994-02-16</t>
        </is>
      </c>
      <c r="X1872" t="inlineStr">
        <is>
          <t>1994-02-16</t>
        </is>
      </c>
      <c r="Y1872" t="n">
        <v>911</v>
      </c>
      <c r="Z1872" t="n">
        <v>801</v>
      </c>
      <c r="AA1872" t="n">
        <v>821</v>
      </c>
      <c r="AB1872" t="n">
        <v>3</v>
      </c>
      <c r="AC1872" t="n">
        <v>3</v>
      </c>
      <c r="AD1872" t="n">
        <v>37</v>
      </c>
      <c r="AE1872" t="n">
        <v>37</v>
      </c>
      <c r="AF1872" t="n">
        <v>18</v>
      </c>
      <c r="AG1872" t="n">
        <v>18</v>
      </c>
      <c r="AH1872" t="n">
        <v>6</v>
      </c>
      <c r="AI1872" t="n">
        <v>6</v>
      </c>
      <c r="AJ1872" t="n">
        <v>19</v>
      </c>
      <c r="AK1872" t="n">
        <v>19</v>
      </c>
      <c r="AL1872" t="n">
        <v>2</v>
      </c>
      <c r="AM1872" t="n">
        <v>2</v>
      </c>
      <c r="AN1872" t="n">
        <v>1</v>
      </c>
      <c r="AO1872" t="n">
        <v>1</v>
      </c>
      <c r="AP1872" t="inlineStr">
        <is>
          <t>Yes</t>
        </is>
      </c>
      <c r="AQ1872" t="inlineStr">
        <is>
          <t>No</t>
        </is>
      </c>
      <c r="AR1872">
        <f>HYPERLINK("http://catalog.hathitrust.org/Record/001257183","HathiTrust Record")</f>
        <v/>
      </c>
      <c r="AS1872">
        <f>HYPERLINK("https://creighton-primo.hosted.exlibrisgroup.com/primo-explore/search?tab=default_tab&amp;search_scope=EVERYTHING&amp;vid=01CRU&amp;lang=en_US&amp;offset=0&amp;query=any,contains,991002673569702656","Catalog Record")</f>
        <v/>
      </c>
      <c r="AT1872">
        <f>HYPERLINK("http://www.worldcat.org/oclc/396193","WorldCat Record")</f>
        <v/>
      </c>
      <c r="AU1872" t="inlineStr">
        <is>
          <t>1540775:eng</t>
        </is>
      </c>
      <c r="AV1872" t="inlineStr">
        <is>
          <t>396193</t>
        </is>
      </c>
      <c r="AW1872" t="inlineStr">
        <is>
          <t>991002673569702656</t>
        </is>
      </c>
      <c r="AX1872" t="inlineStr">
        <is>
          <t>991002673569702656</t>
        </is>
      </c>
      <c r="AY1872" t="inlineStr">
        <is>
          <t>2261045540002656</t>
        </is>
      </c>
      <c r="AZ1872" t="inlineStr">
        <is>
          <t>BOOK</t>
        </is>
      </c>
      <c r="BC1872" t="inlineStr">
        <is>
          <t>32285001838597</t>
        </is>
      </c>
      <c r="BD1872" t="inlineStr">
        <is>
          <t>893434148</t>
        </is>
      </c>
    </row>
    <row r="1873">
      <c r="A1873" t="inlineStr">
        <is>
          <t>No</t>
        </is>
      </c>
      <c r="B1873" t="inlineStr">
        <is>
          <t>DS706 .K4613 1997</t>
        </is>
      </c>
      <c r="C1873" t="inlineStr">
        <is>
          <t>0                      DS 0706000K  4613        1997</t>
        </is>
      </c>
      <c r="D1873" t="inlineStr">
        <is>
          <t>China, Hong Kong, Taiwan, Inc. / Willem van Kemenade ; translated from the Dutch by Diane Webb.</t>
        </is>
      </c>
      <c r="F1873" t="inlineStr">
        <is>
          <t>No</t>
        </is>
      </c>
      <c r="G1873" t="inlineStr">
        <is>
          <t>1</t>
        </is>
      </c>
      <c r="H1873" t="inlineStr">
        <is>
          <t>No</t>
        </is>
      </c>
      <c r="I1873" t="inlineStr">
        <is>
          <t>No</t>
        </is>
      </c>
      <c r="J1873" t="inlineStr">
        <is>
          <t>0</t>
        </is>
      </c>
      <c r="K1873" t="inlineStr">
        <is>
          <t>Kemenade, Willem van.</t>
        </is>
      </c>
      <c r="L1873" t="inlineStr">
        <is>
          <t>New York : Knopf, c1997.</t>
        </is>
      </c>
      <c r="M1873" t="inlineStr">
        <is>
          <t>1997</t>
        </is>
      </c>
      <c r="O1873" t="inlineStr">
        <is>
          <t>eng</t>
        </is>
      </c>
      <c r="P1873" t="inlineStr">
        <is>
          <t>nyu</t>
        </is>
      </c>
      <c r="R1873" t="inlineStr">
        <is>
          <t xml:space="preserve">DS </t>
        </is>
      </c>
      <c r="S1873" t="n">
        <v>4</v>
      </c>
      <c r="T1873" t="n">
        <v>4</v>
      </c>
      <c r="U1873" t="inlineStr">
        <is>
          <t>1997-11-24</t>
        </is>
      </c>
      <c r="V1873" t="inlineStr">
        <is>
          <t>1997-11-24</t>
        </is>
      </c>
      <c r="W1873" t="inlineStr">
        <is>
          <t>1997-06-30</t>
        </is>
      </c>
      <c r="X1873" t="inlineStr">
        <is>
          <t>1997-06-30</t>
        </is>
      </c>
      <c r="Y1873" t="n">
        <v>794</v>
      </c>
      <c r="Z1873" t="n">
        <v>735</v>
      </c>
      <c r="AA1873" t="n">
        <v>904</v>
      </c>
      <c r="AB1873" t="n">
        <v>4</v>
      </c>
      <c r="AC1873" t="n">
        <v>6</v>
      </c>
      <c r="AD1873" t="n">
        <v>23</v>
      </c>
      <c r="AE1873" t="n">
        <v>29</v>
      </c>
      <c r="AF1873" t="n">
        <v>7</v>
      </c>
      <c r="AG1873" t="n">
        <v>8</v>
      </c>
      <c r="AH1873" t="n">
        <v>7</v>
      </c>
      <c r="AI1873" t="n">
        <v>9</v>
      </c>
      <c r="AJ1873" t="n">
        <v>10</v>
      </c>
      <c r="AK1873" t="n">
        <v>13</v>
      </c>
      <c r="AL1873" t="n">
        <v>2</v>
      </c>
      <c r="AM1873" t="n">
        <v>4</v>
      </c>
      <c r="AN1873" t="n">
        <v>1</v>
      </c>
      <c r="AO1873" t="n">
        <v>1</v>
      </c>
      <c r="AP1873" t="inlineStr">
        <is>
          <t>No</t>
        </is>
      </c>
      <c r="AQ1873" t="inlineStr">
        <is>
          <t>Yes</t>
        </is>
      </c>
      <c r="AR1873">
        <f>HYPERLINK("http://catalog.hathitrust.org/Record/003180836","HathiTrust Record")</f>
        <v/>
      </c>
      <c r="AS1873">
        <f>HYPERLINK("https://creighton-primo.hosted.exlibrisgroup.com/primo-explore/search?tab=default_tab&amp;search_scope=EVERYTHING&amp;vid=01CRU&amp;lang=en_US&amp;offset=0&amp;query=any,contains,991002820179702656","Catalog Record")</f>
        <v/>
      </c>
      <c r="AT1873">
        <f>HYPERLINK("http://www.worldcat.org/oclc/37106624","WorldCat Record")</f>
        <v/>
      </c>
      <c r="AU1873" t="inlineStr">
        <is>
          <t>570397:eng</t>
        </is>
      </c>
      <c r="AV1873" t="inlineStr">
        <is>
          <t>37106624</t>
        </is>
      </c>
      <c r="AW1873" t="inlineStr">
        <is>
          <t>991002820179702656</t>
        </is>
      </c>
      <c r="AX1873" t="inlineStr">
        <is>
          <t>991002820179702656</t>
        </is>
      </c>
      <c r="AY1873" t="inlineStr">
        <is>
          <t>2268708330002656</t>
        </is>
      </c>
      <c r="AZ1873" t="inlineStr">
        <is>
          <t>BOOK</t>
        </is>
      </c>
      <c r="BB1873" t="inlineStr">
        <is>
          <t>9780679454847</t>
        </is>
      </c>
      <c r="BC1873" t="inlineStr">
        <is>
          <t>32285002754181</t>
        </is>
      </c>
      <c r="BD1873" t="inlineStr">
        <is>
          <t>893805074</t>
        </is>
      </c>
    </row>
    <row r="1874">
      <c r="A1874" t="inlineStr">
        <is>
          <t>No</t>
        </is>
      </c>
      <c r="B1874" t="inlineStr">
        <is>
          <t>DS706 .K8 1963</t>
        </is>
      </c>
      <c r="C1874" t="inlineStr">
        <is>
          <t>0                      DS 0706000K  8           1963</t>
        </is>
      </c>
      <c r="D1874" t="inlineStr">
        <is>
          <t>China / Ping-chia Kuo.</t>
        </is>
      </c>
      <c r="F1874" t="inlineStr">
        <is>
          <t>No</t>
        </is>
      </c>
      <c r="G1874" t="inlineStr">
        <is>
          <t>1</t>
        </is>
      </c>
      <c r="H1874" t="inlineStr">
        <is>
          <t>No</t>
        </is>
      </c>
      <c r="I1874" t="inlineStr">
        <is>
          <t>No</t>
        </is>
      </c>
      <c r="J1874" t="inlineStr">
        <is>
          <t>0</t>
        </is>
      </c>
      <c r="K1874" t="inlineStr">
        <is>
          <t>Kuo, P. C. (Ping-chia)</t>
        </is>
      </c>
      <c r="L1874" t="inlineStr">
        <is>
          <t>[London] : Oxford University Press, 1963.</t>
        </is>
      </c>
      <c r="M1874" t="inlineStr">
        <is>
          <t>1963</t>
        </is>
      </c>
      <c r="O1874" t="inlineStr">
        <is>
          <t>eng</t>
        </is>
      </c>
      <c r="P1874" t="inlineStr">
        <is>
          <t xml:space="preserve">xx </t>
        </is>
      </c>
      <c r="Q1874" t="inlineStr">
        <is>
          <t>The Modern world ; 3</t>
        </is>
      </c>
      <c r="R1874" t="inlineStr">
        <is>
          <t xml:space="preserve">DS </t>
        </is>
      </c>
      <c r="S1874" t="n">
        <v>4</v>
      </c>
      <c r="T1874" t="n">
        <v>4</v>
      </c>
      <c r="U1874" t="inlineStr">
        <is>
          <t>2002-09-25</t>
        </is>
      </c>
      <c r="V1874" t="inlineStr">
        <is>
          <t>2002-09-25</t>
        </is>
      </c>
      <c r="W1874" t="inlineStr">
        <is>
          <t>1990-10-11</t>
        </is>
      </c>
      <c r="X1874" t="inlineStr">
        <is>
          <t>1990-10-11</t>
        </is>
      </c>
      <c r="Y1874" t="n">
        <v>173</v>
      </c>
      <c r="Z1874" t="n">
        <v>135</v>
      </c>
      <c r="AA1874" t="n">
        <v>146</v>
      </c>
      <c r="AB1874" t="n">
        <v>3</v>
      </c>
      <c r="AC1874" t="n">
        <v>3</v>
      </c>
      <c r="AD1874" t="n">
        <v>9</v>
      </c>
      <c r="AE1874" t="n">
        <v>9</v>
      </c>
      <c r="AF1874" t="n">
        <v>0</v>
      </c>
      <c r="AG1874" t="n">
        <v>0</v>
      </c>
      <c r="AH1874" t="n">
        <v>3</v>
      </c>
      <c r="AI1874" t="n">
        <v>3</v>
      </c>
      <c r="AJ1874" t="n">
        <v>6</v>
      </c>
      <c r="AK1874" t="n">
        <v>6</v>
      </c>
      <c r="AL1874" t="n">
        <v>2</v>
      </c>
      <c r="AM1874" t="n">
        <v>2</v>
      </c>
      <c r="AN1874" t="n">
        <v>0</v>
      </c>
      <c r="AO1874" t="n">
        <v>0</v>
      </c>
      <c r="AP1874" t="inlineStr">
        <is>
          <t>No</t>
        </is>
      </c>
      <c r="AQ1874" t="inlineStr">
        <is>
          <t>Yes</t>
        </is>
      </c>
      <c r="AR1874">
        <f>HYPERLINK("http://catalog.hathitrust.org/Record/006783954","HathiTrust Record")</f>
        <v/>
      </c>
      <c r="AS1874">
        <f>HYPERLINK("https://creighton-primo.hosted.exlibrisgroup.com/primo-explore/search?tab=default_tab&amp;search_scope=EVERYTHING&amp;vid=01CRU&amp;lang=en_US&amp;offset=0&amp;query=any,contains,991004432699702656","Catalog Record")</f>
        <v/>
      </c>
      <c r="AT1874">
        <f>HYPERLINK("http://www.worldcat.org/oclc/3431246","WorldCat Record")</f>
        <v/>
      </c>
      <c r="AU1874" t="inlineStr">
        <is>
          <t>8908591888:eng</t>
        </is>
      </c>
      <c r="AV1874" t="inlineStr">
        <is>
          <t>3431246</t>
        </is>
      </c>
      <c r="AW1874" t="inlineStr">
        <is>
          <t>991004432699702656</t>
        </is>
      </c>
      <c r="AX1874" t="inlineStr">
        <is>
          <t>991004432699702656</t>
        </is>
      </c>
      <c r="AY1874" t="inlineStr">
        <is>
          <t>2268023160002656</t>
        </is>
      </c>
      <c r="AZ1874" t="inlineStr">
        <is>
          <t>BOOK</t>
        </is>
      </c>
      <c r="BC1874" t="inlineStr">
        <is>
          <t>32285000337930</t>
        </is>
      </c>
      <c r="BD1874" t="inlineStr">
        <is>
          <t>893782237</t>
        </is>
      </c>
    </row>
    <row r="1875">
      <c r="A1875" t="inlineStr">
        <is>
          <t>No</t>
        </is>
      </c>
      <c r="B1875" t="inlineStr">
        <is>
          <t>DS706 .L3 1934</t>
        </is>
      </c>
      <c r="C1875" t="inlineStr">
        <is>
          <t>0                      DS 0706000L  3           1934</t>
        </is>
      </c>
      <c r="D1875" t="inlineStr">
        <is>
          <t>The Chinese, their history and culture, by Kenneth Scott Latourette.</t>
        </is>
      </c>
      <c r="F1875" t="inlineStr">
        <is>
          <t>No</t>
        </is>
      </c>
      <c r="G1875" t="inlineStr">
        <is>
          <t>1</t>
        </is>
      </c>
      <c r="H1875" t="inlineStr">
        <is>
          <t>No</t>
        </is>
      </c>
      <c r="I1875" t="inlineStr">
        <is>
          <t>Yes</t>
        </is>
      </c>
      <c r="J1875" t="inlineStr">
        <is>
          <t>0</t>
        </is>
      </c>
      <c r="K1875" t="inlineStr">
        <is>
          <t>Latourette, Kenneth Scott, 1884-1968.</t>
        </is>
      </c>
      <c r="L1875" t="inlineStr">
        <is>
          <t>New York, The Macmillan Company, 1934.</t>
        </is>
      </c>
      <c r="M1875" t="inlineStr">
        <is>
          <t>1934</t>
        </is>
      </c>
      <c r="N1875" t="inlineStr">
        <is>
          <t>Second edition, revised.</t>
        </is>
      </c>
      <c r="O1875" t="inlineStr">
        <is>
          <t>eng</t>
        </is>
      </c>
      <c r="P1875" t="inlineStr">
        <is>
          <t>nyu</t>
        </is>
      </c>
      <c r="R1875" t="inlineStr">
        <is>
          <t xml:space="preserve">DS </t>
        </is>
      </c>
      <c r="S1875" t="n">
        <v>2</v>
      </c>
      <c r="T1875" t="n">
        <v>2</v>
      </c>
      <c r="U1875" t="inlineStr">
        <is>
          <t>1998-05-24</t>
        </is>
      </c>
      <c r="V1875" t="inlineStr">
        <is>
          <t>1998-05-24</t>
        </is>
      </c>
      <c r="W1875" t="inlineStr">
        <is>
          <t>1997-03-11</t>
        </is>
      </c>
      <c r="X1875" t="inlineStr">
        <is>
          <t>1997-03-11</t>
        </is>
      </c>
      <c r="Y1875" t="n">
        <v>250</v>
      </c>
      <c r="Z1875" t="n">
        <v>222</v>
      </c>
      <c r="AA1875" t="n">
        <v>1856</v>
      </c>
      <c r="AB1875" t="n">
        <v>4</v>
      </c>
      <c r="AC1875" t="n">
        <v>20</v>
      </c>
      <c r="AD1875" t="n">
        <v>10</v>
      </c>
      <c r="AE1875" t="n">
        <v>55</v>
      </c>
      <c r="AF1875" t="n">
        <v>1</v>
      </c>
      <c r="AG1875" t="n">
        <v>23</v>
      </c>
      <c r="AH1875" t="n">
        <v>2</v>
      </c>
      <c r="AI1875" t="n">
        <v>9</v>
      </c>
      <c r="AJ1875" t="n">
        <v>5</v>
      </c>
      <c r="AK1875" t="n">
        <v>23</v>
      </c>
      <c r="AL1875" t="n">
        <v>3</v>
      </c>
      <c r="AM1875" t="n">
        <v>13</v>
      </c>
      <c r="AN1875" t="n">
        <v>0</v>
      </c>
      <c r="AO1875" t="n">
        <v>0</v>
      </c>
      <c r="AP1875" t="inlineStr">
        <is>
          <t>No</t>
        </is>
      </c>
      <c r="AQ1875" t="inlineStr">
        <is>
          <t>No</t>
        </is>
      </c>
      <c r="AS1875">
        <f>HYPERLINK("https://creighton-primo.hosted.exlibrisgroup.com/primo-explore/search?tab=default_tab&amp;search_scope=EVERYTHING&amp;vid=01CRU&amp;lang=en_US&amp;offset=0&amp;query=any,contains,991004162899702656","Catalog Record")</f>
        <v/>
      </c>
      <c r="AT1875">
        <f>HYPERLINK("http://www.worldcat.org/oclc/2556704","WorldCat Record")</f>
        <v/>
      </c>
      <c r="AU1875" t="inlineStr">
        <is>
          <t>1392960:eng</t>
        </is>
      </c>
      <c r="AV1875" t="inlineStr">
        <is>
          <t>2556704</t>
        </is>
      </c>
      <c r="AW1875" t="inlineStr">
        <is>
          <t>991004162899702656</t>
        </is>
      </c>
      <c r="AX1875" t="inlineStr">
        <is>
          <t>991004162899702656</t>
        </is>
      </c>
      <c r="AY1875" t="inlineStr">
        <is>
          <t>2271228230002656</t>
        </is>
      </c>
      <c r="AZ1875" t="inlineStr">
        <is>
          <t>BOOK</t>
        </is>
      </c>
      <c r="BC1875" t="inlineStr">
        <is>
          <t>32285002445855</t>
        </is>
      </c>
      <c r="BD1875" t="inlineStr">
        <is>
          <t>893512882</t>
        </is>
      </c>
    </row>
    <row r="1876">
      <c r="A1876" t="inlineStr">
        <is>
          <t>No</t>
        </is>
      </c>
      <c r="B1876" t="inlineStr">
        <is>
          <t>DS706 .L3 1964</t>
        </is>
      </c>
      <c r="C1876" t="inlineStr">
        <is>
          <t>0                      DS 0706000L  3           1964</t>
        </is>
      </c>
      <c r="D1876" t="inlineStr">
        <is>
          <t>The Chinese, their history and culture.</t>
        </is>
      </c>
      <c r="F1876" t="inlineStr">
        <is>
          <t>No</t>
        </is>
      </c>
      <c r="G1876" t="inlineStr">
        <is>
          <t>1</t>
        </is>
      </c>
      <c r="H1876" t="inlineStr">
        <is>
          <t>No</t>
        </is>
      </c>
      <c r="I1876" t="inlineStr">
        <is>
          <t>Yes</t>
        </is>
      </c>
      <c r="J1876" t="inlineStr">
        <is>
          <t>0</t>
        </is>
      </c>
      <c r="K1876" t="inlineStr">
        <is>
          <t>Latourette, Kenneth Scott, 1884-1968.</t>
        </is>
      </c>
      <c r="L1876" t="inlineStr">
        <is>
          <t>New York : Macmillan, [1964]</t>
        </is>
      </c>
      <c r="M1876" t="inlineStr">
        <is>
          <t>1964</t>
        </is>
      </c>
      <c r="N1876" t="inlineStr">
        <is>
          <t>4th ed., thoroughly rev.</t>
        </is>
      </c>
      <c r="O1876" t="inlineStr">
        <is>
          <t>eng</t>
        </is>
      </c>
      <c r="P1876" t="inlineStr">
        <is>
          <t>nyu</t>
        </is>
      </c>
      <c r="R1876" t="inlineStr">
        <is>
          <t xml:space="preserve">DS </t>
        </is>
      </c>
      <c r="S1876" t="n">
        <v>19</v>
      </c>
      <c r="T1876" t="n">
        <v>19</v>
      </c>
      <c r="U1876" t="inlineStr">
        <is>
          <t>2004-12-08</t>
        </is>
      </c>
      <c r="V1876" t="inlineStr">
        <is>
          <t>2004-12-08</t>
        </is>
      </c>
      <c r="W1876" t="inlineStr">
        <is>
          <t>1994-02-16</t>
        </is>
      </c>
      <c r="X1876" t="inlineStr">
        <is>
          <t>1994-02-16</t>
        </is>
      </c>
      <c r="Y1876" t="n">
        <v>1414</v>
      </c>
      <c r="Z1876" t="n">
        <v>1290</v>
      </c>
      <c r="AA1876" t="n">
        <v>1856</v>
      </c>
      <c r="AB1876" t="n">
        <v>10</v>
      </c>
      <c r="AC1876" t="n">
        <v>20</v>
      </c>
      <c r="AD1876" t="n">
        <v>41</v>
      </c>
      <c r="AE1876" t="n">
        <v>55</v>
      </c>
      <c r="AF1876" t="n">
        <v>19</v>
      </c>
      <c r="AG1876" t="n">
        <v>23</v>
      </c>
      <c r="AH1876" t="n">
        <v>6</v>
      </c>
      <c r="AI1876" t="n">
        <v>9</v>
      </c>
      <c r="AJ1876" t="n">
        <v>18</v>
      </c>
      <c r="AK1876" t="n">
        <v>23</v>
      </c>
      <c r="AL1876" t="n">
        <v>8</v>
      </c>
      <c r="AM1876" t="n">
        <v>13</v>
      </c>
      <c r="AN1876" t="n">
        <v>0</v>
      </c>
      <c r="AO1876" t="n">
        <v>0</v>
      </c>
      <c r="AP1876" t="inlineStr">
        <is>
          <t>No</t>
        </is>
      </c>
      <c r="AQ1876" t="inlineStr">
        <is>
          <t>Yes</t>
        </is>
      </c>
      <c r="AR1876">
        <f>HYPERLINK("http://catalog.hathitrust.org/Record/001257187","HathiTrust Record")</f>
        <v/>
      </c>
      <c r="AS1876">
        <f>HYPERLINK("https://creighton-primo.hosted.exlibrisgroup.com/primo-explore/search?tab=default_tab&amp;search_scope=EVERYTHING&amp;vid=01CRU&amp;lang=en_US&amp;offset=0&amp;query=any,contains,991005356599702656","Catalog Record")</f>
        <v/>
      </c>
      <c r="AT1876">
        <f>HYPERLINK("http://www.worldcat.org/oclc/722633","WorldCat Record")</f>
        <v/>
      </c>
      <c r="AU1876" t="inlineStr">
        <is>
          <t>1392960:eng</t>
        </is>
      </c>
      <c r="AV1876" t="inlineStr">
        <is>
          <t>722633</t>
        </is>
      </c>
      <c r="AW1876" t="inlineStr">
        <is>
          <t>991005356599702656</t>
        </is>
      </c>
      <c r="AX1876" t="inlineStr">
        <is>
          <t>991005356599702656</t>
        </is>
      </c>
      <c r="AY1876" t="inlineStr">
        <is>
          <t>2256797830002656</t>
        </is>
      </c>
      <c r="AZ1876" t="inlineStr">
        <is>
          <t>BOOK</t>
        </is>
      </c>
      <c r="BC1876" t="inlineStr">
        <is>
          <t>32285001838589</t>
        </is>
      </c>
      <c r="BD1876" t="inlineStr">
        <is>
          <t>893254866</t>
        </is>
      </c>
    </row>
    <row r="1877">
      <c r="A1877" t="inlineStr">
        <is>
          <t>No</t>
        </is>
      </c>
      <c r="B1877" t="inlineStr">
        <is>
          <t>DS706 .O53 2003</t>
        </is>
      </c>
      <c r="C1877" t="inlineStr">
        <is>
          <t>0                      DS 0706000O  53          2003</t>
        </is>
      </c>
      <c r="D1877" t="inlineStr">
        <is>
          <t>One China, many paths / edited by Chaohua Wang.</t>
        </is>
      </c>
      <c r="F1877" t="inlineStr">
        <is>
          <t>No</t>
        </is>
      </c>
      <c r="G1877" t="inlineStr">
        <is>
          <t>1</t>
        </is>
      </c>
      <c r="H1877" t="inlineStr">
        <is>
          <t>No</t>
        </is>
      </c>
      <c r="I1877" t="inlineStr">
        <is>
          <t>No</t>
        </is>
      </c>
      <c r="J1877" t="inlineStr">
        <is>
          <t>0</t>
        </is>
      </c>
      <c r="L1877" t="inlineStr">
        <is>
          <t>London ; New York : Verso, 2003.</t>
        </is>
      </c>
      <c r="M1877" t="inlineStr">
        <is>
          <t>2003</t>
        </is>
      </c>
      <c r="O1877" t="inlineStr">
        <is>
          <t>eng</t>
        </is>
      </c>
      <c r="P1877" t="inlineStr">
        <is>
          <t>enk</t>
        </is>
      </c>
      <c r="R1877" t="inlineStr">
        <is>
          <t xml:space="preserve">DS </t>
        </is>
      </c>
      <c r="S1877" t="n">
        <v>4</v>
      </c>
      <c r="T1877" t="n">
        <v>4</v>
      </c>
      <c r="U1877" t="inlineStr">
        <is>
          <t>2009-04-20</t>
        </is>
      </c>
      <c r="V1877" t="inlineStr">
        <is>
          <t>2009-04-20</t>
        </is>
      </c>
      <c r="W1877" t="inlineStr">
        <is>
          <t>2004-05-25</t>
        </is>
      </c>
      <c r="X1877" t="inlineStr">
        <is>
          <t>2004-05-25</t>
        </is>
      </c>
      <c r="Y1877" t="n">
        <v>544</v>
      </c>
      <c r="Z1877" t="n">
        <v>447</v>
      </c>
      <c r="AA1877" t="n">
        <v>478</v>
      </c>
      <c r="AB1877" t="n">
        <v>3</v>
      </c>
      <c r="AC1877" t="n">
        <v>3</v>
      </c>
      <c r="AD1877" t="n">
        <v>23</v>
      </c>
      <c r="AE1877" t="n">
        <v>23</v>
      </c>
      <c r="AF1877" t="n">
        <v>9</v>
      </c>
      <c r="AG1877" t="n">
        <v>9</v>
      </c>
      <c r="AH1877" t="n">
        <v>6</v>
      </c>
      <c r="AI1877" t="n">
        <v>6</v>
      </c>
      <c r="AJ1877" t="n">
        <v>13</v>
      </c>
      <c r="AK1877" t="n">
        <v>13</v>
      </c>
      <c r="AL1877" t="n">
        <v>2</v>
      </c>
      <c r="AM1877" t="n">
        <v>2</v>
      </c>
      <c r="AN1877" t="n">
        <v>0</v>
      </c>
      <c r="AO1877" t="n">
        <v>0</v>
      </c>
      <c r="AP1877" t="inlineStr">
        <is>
          <t>No</t>
        </is>
      </c>
      <c r="AQ1877" t="inlineStr">
        <is>
          <t>Yes</t>
        </is>
      </c>
      <c r="AR1877">
        <f>HYPERLINK("http://catalog.hathitrust.org/Record/004350550","HathiTrust Record")</f>
        <v/>
      </c>
      <c r="AS1877">
        <f>HYPERLINK("https://creighton-primo.hosted.exlibrisgroup.com/primo-explore/search?tab=default_tab&amp;search_scope=EVERYTHING&amp;vid=01CRU&amp;lang=en_US&amp;offset=0&amp;query=any,contains,991004284619702656","Catalog Record")</f>
        <v/>
      </c>
      <c r="AT1877">
        <f>HYPERLINK("http://www.worldcat.org/oclc/52395979","WorldCat Record")</f>
        <v/>
      </c>
      <c r="AU1877" t="inlineStr">
        <is>
          <t>56929742:eng</t>
        </is>
      </c>
      <c r="AV1877" t="inlineStr">
        <is>
          <t>52395979</t>
        </is>
      </c>
      <c r="AW1877" t="inlineStr">
        <is>
          <t>991004284619702656</t>
        </is>
      </c>
      <c r="AX1877" t="inlineStr">
        <is>
          <t>991004284619702656</t>
        </is>
      </c>
      <c r="AY1877" t="inlineStr">
        <is>
          <t>2271458770002656</t>
        </is>
      </c>
      <c r="AZ1877" t="inlineStr">
        <is>
          <t>BOOK</t>
        </is>
      </c>
      <c r="BB1877" t="inlineStr">
        <is>
          <t>9781859845370</t>
        </is>
      </c>
      <c r="BC1877" t="inlineStr">
        <is>
          <t>32285004907431</t>
        </is>
      </c>
      <c r="BD1877" t="inlineStr">
        <is>
          <t>893436107</t>
        </is>
      </c>
    </row>
    <row r="1878">
      <c r="A1878" t="inlineStr">
        <is>
          <t>No</t>
        </is>
      </c>
      <c r="B1878" t="inlineStr">
        <is>
          <t>DS706 .P38 1979</t>
        </is>
      </c>
      <c r="C1878" t="inlineStr">
        <is>
          <t>0                      DS 0706000P  38          1979</t>
        </is>
      </c>
      <c r="D1878" t="inlineStr">
        <is>
          <t>The People's Republic of China : a handbook / edited by Harold C. Hinton.</t>
        </is>
      </c>
      <c r="F1878" t="inlineStr">
        <is>
          <t>No</t>
        </is>
      </c>
      <c r="G1878" t="inlineStr">
        <is>
          <t>1</t>
        </is>
      </c>
      <c r="H1878" t="inlineStr">
        <is>
          <t>No</t>
        </is>
      </c>
      <c r="I1878" t="inlineStr">
        <is>
          <t>No</t>
        </is>
      </c>
      <c r="J1878" t="inlineStr">
        <is>
          <t>0</t>
        </is>
      </c>
      <c r="L1878" t="inlineStr">
        <is>
          <t>Boulder, Colo. : Westview Press, 1979.</t>
        </is>
      </c>
      <c r="M1878" t="inlineStr">
        <is>
          <t>1979</t>
        </is>
      </c>
      <c r="O1878" t="inlineStr">
        <is>
          <t>eng</t>
        </is>
      </c>
      <c r="P1878" t="inlineStr">
        <is>
          <t>cou</t>
        </is>
      </c>
      <c r="R1878" t="inlineStr">
        <is>
          <t xml:space="preserve">DS </t>
        </is>
      </c>
      <c r="S1878" t="n">
        <v>3</v>
      </c>
      <c r="T1878" t="n">
        <v>3</v>
      </c>
      <c r="U1878" t="inlineStr">
        <is>
          <t>1997-04-20</t>
        </is>
      </c>
      <c r="V1878" t="inlineStr">
        <is>
          <t>1997-04-20</t>
        </is>
      </c>
      <c r="W1878" t="inlineStr">
        <is>
          <t>1990-10-11</t>
        </is>
      </c>
      <c r="X1878" t="inlineStr">
        <is>
          <t>1990-10-11</t>
        </is>
      </c>
      <c r="Y1878" t="n">
        <v>913</v>
      </c>
      <c r="Z1878" t="n">
        <v>763</v>
      </c>
      <c r="AA1878" t="n">
        <v>773</v>
      </c>
      <c r="AB1878" t="n">
        <v>5</v>
      </c>
      <c r="AC1878" t="n">
        <v>5</v>
      </c>
      <c r="AD1878" t="n">
        <v>22</v>
      </c>
      <c r="AE1878" t="n">
        <v>23</v>
      </c>
      <c r="AF1878" t="n">
        <v>9</v>
      </c>
      <c r="AG1878" t="n">
        <v>9</v>
      </c>
      <c r="AH1878" t="n">
        <v>4</v>
      </c>
      <c r="AI1878" t="n">
        <v>5</v>
      </c>
      <c r="AJ1878" t="n">
        <v>7</v>
      </c>
      <c r="AK1878" t="n">
        <v>8</v>
      </c>
      <c r="AL1878" t="n">
        <v>4</v>
      </c>
      <c r="AM1878" t="n">
        <v>4</v>
      </c>
      <c r="AN1878" t="n">
        <v>0</v>
      </c>
      <c r="AO1878" t="n">
        <v>0</v>
      </c>
      <c r="AP1878" t="inlineStr">
        <is>
          <t>No</t>
        </is>
      </c>
      <c r="AQ1878" t="inlineStr">
        <is>
          <t>Yes</t>
        </is>
      </c>
      <c r="AR1878">
        <f>HYPERLINK("http://catalog.hathitrust.org/Record/000256466","HathiTrust Record")</f>
        <v/>
      </c>
      <c r="AS1878">
        <f>HYPERLINK("https://creighton-primo.hosted.exlibrisgroup.com/primo-explore/search?tab=default_tab&amp;search_scope=EVERYTHING&amp;vid=01CRU&amp;lang=en_US&amp;offset=0&amp;query=any,contains,991004659759702656","Catalog Record")</f>
        <v/>
      </c>
      <c r="AT1878">
        <f>HYPERLINK("http://www.worldcat.org/oclc/4496454","WorldCat Record")</f>
        <v/>
      </c>
      <c r="AU1878" t="inlineStr">
        <is>
          <t>889785860:eng</t>
        </is>
      </c>
      <c r="AV1878" t="inlineStr">
        <is>
          <t>4496454</t>
        </is>
      </c>
      <c r="AW1878" t="inlineStr">
        <is>
          <t>991004659759702656</t>
        </is>
      </c>
      <c r="AX1878" t="inlineStr">
        <is>
          <t>991004659759702656</t>
        </is>
      </c>
      <c r="AY1878" t="inlineStr">
        <is>
          <t>2268580680002656</t>
        </is>
      </c>
      <c r="AZ1878" t="inlineStr">
        <is>
          <t>BOOK</t>
        </is>
      </c>
      <c r="BB1878" t="inlineStr">
        <is>
          <t>9780891584193</t>
        </is>
      </c>
      <c r="BC1878" t="inlineStr">
        <is>
          <t>32285000337948</t>
        </is>
      </c>
      <c r="BD1878" t="inlineStr">
        <is>
          <t>893350250</t>
        </is>
      </c>
    </row>
    <row r="1879">
      <c r="A1879" t="inlineStr">
        <is>
          <t>No</t>
        </is>
      </c>
      <c r="B1879" t="inlineStr">
        <is>
          <t>DS706 .T4 1999</t>
        </is>
      </c>
      <c r="C1879" t="inlineStr">
        <is>
          <t>0                      DS 0706000T  4           1999</t>
        </is>
      </c>
      <c r="D1879" t="inlineStr">
        <is>
          <t>New York before Chinatown : Orientalism and the shaping of American culture, 1776-1882 / John Kuo Wei Tchen.</t>
        </is>
      </c>
      <c r="F1879" t="inlineStr">
        <is>
          <t>No</t>
        </is>
      </c>
      <c r="G1879" t="inlineStr">
        <is>
          <t>1</t>
        </is>
      </c>
      <c r="H1879" t="inlineStr">
        <is>
          <t>No</t>
        </is>
      </c>
      <c r="I1879" t="inlineStr">
        <is>
          <t>No</t>
        </is>
      </c>
      <c r="J1879" t="inlineStr">
        <is>
          <t>0</t>
        </is>
      </c>
      <c r="K1879" t="inlineStr">
        <is>
          <t>Tchen, John Kuo Wei.</t>
        </is>
      </c>
      <c r="L1879" t="inlineStr">
        <is>
          <t>Baltimore, Md. : Johns Hopkins University Press, 1999.</t>
        </is>
      </c>
      <c r="M1879" t="inlineStr">
        <is>
          <t>1999</t>
        </is>
      </c>
      <c r="O1879" t="inlineStr">
        <is>
          <t>eng</t>
        </is>
      </c>
      <c r="P1879" t="inlineStr">
        <is>
          <t>mdu</t>
        </is>
      </c>
      <c r="R1879" t="inlineStr">
        <is>
          <t xml:space="preserve">DS </t>
        </is>
      </c>
      <c r="S1879" t="n">
        <v>1</v>
      </c>
      <c r="T1879" t="n">
        <v>1</v>
      </c>
      <c r="U1879" t="inlineStr">
        <is>
          <t>2000-12-13</t>
        </is>
      </c>
      <c r="V1879" t="inlineStr">
        <is>
          <t>2000-12-13</t>
        </is>
      </c>
      <c r="W1879" t="inlineStr">
        <is>
          <t>2000-12-13</t>
        </is>
      </c>
      <c r="X1879" t="inlineStr">
        <is>
          <t>2000-12-13</t>
        </is>
      </c>
      <c r="Y1879" t="n">
        <v>445</v>
      </c>
      <c r="Z1879" t="n">
        <v>385</v>
      </c>
      <c r="AA1879" t="n">
        <v>413</v>
      </c>
      <c r="AB1879" t="n">
        <v>3</v>
      </c>
      <c r="AC1879" t="n">
        <v>3</v>
      </c>
      <c r="AD1879" t="n">
        <v>20</v>
      </c>
      <c r="AE1879" t="n">
        <v>22</v>
      </c>
      <c r="AF1879" t="n">
        <v>5</v>
      </c>
      <c r="AG1879" t="n">
        <v>7</v>
      </c>
      <c r="AH1879" t="n">
        <v>6</v>
      </c>
      <c r="AI1879" t="n">
        <v>6</v>
      </c>
      <c r="AJ1879" t="n">
        <v>12</v>
      </c>
      <c r="AK1879" t="n">
        <v>14</v>
      </c>
      <c r="AL1879" t="n">
        <v>2</v>
      </c>
      <c r="AM1879" t="n">
        <v>2</v>
      </c>
      <c r="AN1879" t="n">
        <v>0</v>
      </c>
      <c r="AO1879" t="n">
        <v>0</v>
      </c>
      <c r="AP1879" t="inlineStr">
        <is>
          <t>No</t>
        </is>
      </c>
      <c r="AQ1879" t="inlineStr">
        <is>
          <t>Yes</t>
        </is>
      </c>
      <c r="AR1879">
        <f>HYPERLINK("http://catalog.hathitrust.org/Record/004053237","HathiTrust Record")</f>
        <v/>
      </c>
      <c r="AS1879">
        <f>HYPERLINK("https://creighton-primo.hosted.exlibrisgroup.com/primo-explore/search?tab=default_tab&amp;search_scope=EVERYTHING&amp;vid=01CRU&amp;lang=en_US&amp;offset=0&amp;query=any,contains,991003338389702656","Catalog Record")</f>
        <v/>
      </c>
      <c r="AT1879">
        <f>HYPERLINK("http://www.worldcat.org/oclc/40602867","WorldCat Record")</f>
        <v/>
      </c>
      <c r="AU1879" t="inlineStr">
        <is>
          <t>13205597:eng</t>
        </is>
      </c>
      <c r="AV1879" t="inlineStr">
        <is>
          <t>40602867</t>
        </is>
      </c>
      <c r="AW1879" t="inlineStr">
        <is>
          <t>991003338389702656</t>
        </is>
      </c>
      <c r="AX1879" t="inlineStr">
        <is>
          <t>991003338389702656</t>
        </is>
      </c>
      <c r="AY1879" t="inlineStr">
        <is>
          <t>2256143320002656</t>
        </is>
      </c>
      <c r="AZ1879" t="inlineStr">
        <is>
          <t>BOOK</t>
        </is>
      </c>
      <c r="BB1879" t="inlineStr">
        <is>
          <t>9780801860065</t>
        </is>
      </c>
      <c r="BC1879" t="inlineStr">
        <is>
          <t>32285004276399</t>
        </is>
      </c>
      <c r="BD1879" t="inlineStr">
        <is>
          <t>893416276</t>
        </is>
      </c>
    </row>
    <row r="1880">
      <c r="A1880" t="inlineStr">
        <is>
          <t>No</t>
        </is>
      </c>
      <c r="B1880" t="inlineStr">
        <is>
          <t>DS706 .W65</t>
        </is>
      </c>
      <c r="C1880" t="inlineStr">
        <is>
          <t>0                      DS 0706000W  65</t>
        </is>
      </c>
      <c r="D1880" t="inlineStr">
        <is>
          <t>The World and its peoples, China.</t>
        </is>
      </c>
      <c r="E1880" t="inlineStr">
        <is>
          <t>V.2</t>
        </is>
      </c>
      <c r="F1880" t="inlineStr">
        <is>
          <t>Yes</t>
        </is>
      </c>
      <c r="G1880" t="inlineStr">
        <is>
          <t>1</t>
        </is>
      </c>
      <c r="H1880" t="inlineStr">
        <is>
          <t>No</t>
        </is>
      </c>
      <c r="I1880" t="inlineStr">
        <is>
          <t>No</t>
        </is>
      </c>
      <c r="J1880" t="inlineStr">
        <is>
          <t>0</t>
        </is>
      </c>
      <c r="L1880" t="inlineStr">
        <is>
          <t>New York : Greystone Press, [1965]</t>
        </is>
      </c>
      <c r="M1880" t="inlineStr">
        <is>
          <t>1965</t>
        </is>
      </c>
      <c r="O1880" t="inlineStr">
        <is>
          <t>eng</t>
        </is>
      </c>
      <c r="P1880" t="inlineStr">
        <is>
          <t>nyu</t>
        </is>
      </c>
      <c r="R1880" t="inlineStr">
        <is>
          <t xml:space="preserve">DS </t>
        </is>
      </c>
      <c r="S1880" t="n">
        <v>4</v>
      </c>
      <c r="T1880" t="n">
        <v>6</v>
      </c>
      <c r="U1880" t="inlineStr">
        <is>
          <t>1999-03-17</t>
        </is>
      </c>
      <c r="V1880" t="inlineStr">
        <is>
          <t>1999-03-17</t>
        </is>
      </c>
      <c r="W1880" t="inlineStr">
        <is>
          <t>1993-01-23</t>
        </is>
      </c>
      <c r="X1880" t="inlineStr">
        <is>
          <t>1997-02-27</t>
        </is>
      </c>
      <c r="Y1880" t="n">
        <v>190</v>
      </c>
      <c r="Z1880" t="n">
        <v>175</v>
      </c>
      <c r="AA1880" t="n">
        <v>180</v>
      </c>
      <c r="AB1880" t="n">
        <v>2</v>
      </c>
      <c r="AC1880" t="n">
        <v>2</v>
      </c>
      <c r="AD1880" t="n">
        <v>4</v>
      </c>
      <c r="AE1880" t="n">
        <v>4</v>
      </c>
      <c r="AF1880" t="n">
        <v>2</v>
      </c>
      <c r="AG1880" t="n">
        <v>2</v>
      </c>
      <c r="AH1880" t="n">
        <v>0</v>
      </c>
      <c r="AI1880" t="n">
        <v>0</v>
      </c>
      <c r="AJ1880" t="n">
        <v>3</v>
      </c>
      <c r="AK1880" t="n">
        <v>3</v>
      </c>
      <c r="AL1880" t="n">
        <v>0</v>
      </c>
      <c r="AM1880" t="n">
        <v>0</v>
      </c>
      <c r="AN1880" t="n">
        <v>0</v>
      </c>
      <c r="AO1880" t="n">
        <v>0</v>
      </c>
      <c r="AP1880" t="inlineStr">
        <is>
          <t>No</t>
        </is>
      </c>
      <c r="AQ1880" t="inlineStr">
        <is>
          <t>No</t>
        </is>
      </c>
      <c r="AS1880">
        <f>HYPERLINK("https://creighton-primo.hosted.exlibrisgroup.com/primo-explore/search?tab=default_tab&amp;search_scope=EVERYTHING&amp;vid=01CRU&amp;lang=en_US&amp;offset=0&amp;query=any,contains,991002719079702656","Catalog Record")</f>
        <v/>
      </c>
      <c r="AT1880">
        <f>HYPERLINK("http://www.worldcat.org/oclc/412110","WorldCat Record")</f>
        <v/>
      </c>
      <c r="AU1880" t="inlineStr">
        <is>
          <t>1243933:eng</t>
        </is>
      </c>
      <c r="AV1880" t="inlineStr">
        <is>
          <t>412110</t>
        </is>
      </c>
      <c r="AW1880" t="inlineStr">
        <is>
          <t>991002719079702656</t>
        </is>
      </c>
      <c r="AX1880" t="inlineStr">
        <is>
          <t>991002719079702656</t>
        </is>
      </c>
      <c r="AY1880" t="inlineStr">
        <is>
          <t>2264523130002656</t>
        </is>
      </c>
      <c r="AZ1880" t="inlineStr">
        <is>
          <t>BOOK</t>
        </is>
      </c>
      <c r="BC1880" t="inlineStr">
        <is>
          <t>32285001477024</t>
        </is>
      </c>
      <c r="BD1880" t="inlineStr">
        <is>
          <t>893335636</t>
        </is>
      </c>
    </row>
    <row r="1881">
      <c r="A1881" t="inlineStr">
        <is>
          <t>No</t>
        </is>
      </c>
      <c r="B1881" t="inlineStr">
        <is>
          <t>DS706 .W65</t>
        </is>
      </c>
      <c r="C1881" t="inlineStr">
        <is>
          <t>0                      DS 0706000W  65</t>
        </is>
      </c>
      <c r="D1881" t="inlineStr">
        <is>
          <t>The World and its peoples, China.</t>
        </is>
      </c>
      <c r="E1881" t="inlineStr">
        <is>
          <t>V.1</t>
        </is>
      </c>
      <c r="F1881" t="inlineStr">
        <is>
          <t>Yes</t>
        </is>
      </c>
      <c r="G1881" t="inlineStr">
        <is>
          <t>1</t>
        </is>
      </c>
      <c r="H1881" t="inlineStr">
        <is>
          <t>No</t>
        </is>
      </c>
      <c r="I1881" t="inlineStr">
        <is>
          <t>No</t>
        </is>
      </c>
      <c r="J1881" t="inlineStr">
        <is>
          <t>0</t>
        </is>
      </c>
      <c r="L1881" t="inlineStr">
        <is>
          <t>New York : Greystone Press, [1965]</t>
        </is>
      </c>
      <c r="M1881" t="inlineStr">
        <is>
          <t>1965</t>
        </is>
      </c>
      <c r="O1881" t="inlineStr">
        <is>
          <t>eng</t>
        </is>
      </c>
      <c r="P1881" t="inlineStr">
        <is>
          <t>nyu</t>
        </is>
      </c>
      <c r="R1881" t="inlineStr">
        <is>
          <t xml:space="preserve">DS </t>
        </is>
      </c>
      <c r="S1881" t="n">
        <v>2</v>
      </c>
      <c r="T1881" t="n">
        <v>6</v>
      </c>
      <c r="V1881" t="inlineStr">
        <is>
          <t>1999-03-17</t>
        </is>
      </c>
      <c r="W1881" t="inlineStr">
        <is>
          <t>1997-02-27</t>
        </is>
      </c>
      <c r="X1881" t="inlineStr">
        <is>
          <t>1997-02-27</t>
        </is>
      </c>
      <c r="Y1881" t="n">
        <v>190</v>
      </c>
      <c r="Z1881" t="n">
        <v>175</v>
      </c>
      <c r="AA1881" t="n">
        <v>180</v>
      </c>
      <c r="AB1881" t="n">
        <v>2</v>
      </c>
      <c r="AC1881" t="n">
        <v>2</v>
      </c>
      <c r="AD1881" t="n">
        <v>4</v>
      </c>
      <c r="AE1881" t="n">
        <v>4</v>
      </c>
      <c r="AF1881" t="n">
        <v>2</v>
      </c>
      <c r="AG1881" t="n">
        <v>2</v>
      </c>
      <c r="AH1881" t="n">
        <v>0</v>
      </c>
      <c r="AI1881" t="n">
        <v>0</v>
      </c>
      <c r="AJ1881" t="n">
        <v>3</v>
      </c>
      <c r="AK1881" t="n">
        <v>3</v>
      </c>
      <c r="AL1881" t="n">
        <v>0</v>
      </c>
      <c r="AM1881" t="n">
        <v>0</v>
      </c>
      <c r="AN1881" t="n">
        <v>0</v>
      </c>
      <c r="AO1881" t="n">
        <v>0</v>
      </c>
      <c r="AP1881" t="inlineStr">
        <is>
          <t>No</t>
        </is>
      </c>
      <c r="AQ1881" t="inlineStr">
        <is>
          <t>No</t>
        </is>
      </c>
      <c r="AS1881">
        <f>HYPERLINK("https://creighton-primo.hosted.exlibrisgroup.com/primo-explore/search?tab=default_tab&amp;search_scope=EVERYTHING&amp;vid=01CRU&amp;lang=en_US&amp;offset=0&amp;query=any,contains,991002719079702656","Catalog Record")</f>
        <v/>
      </c>
      <c r="AT1881">
        <f>HYPERLINK("http://www.worldcat.org/oclc/412110","WorldCat Record")</f>
        <v/>
      </c>
      <c r="AU1881" t="inlineStr">
        <is>
          <t>1243933:eng</t>
        </is>
      </c>
      <c r="AV1881" t="inlineStr">
        <is>
          <t>412110</t>
        </is>
      </c>
      <c r="AW1881" t="inlineStr">
        <is>
          <t>991002719079702656</t>
        </is>
      </c>
      <c r="AX1881" t="inlineStr">
        <is>
          <t>991002719079702656</t>
        </is>
      </c>
      <c r="AY1881" t="inlineStr">
        <is>
          <t>2264523130002656</t>
        </is>
      </c>
      <c r="AZ1881" t="inlineStr">
        <is>
          <t>BOOK</t>
        </is>
      </c>
      <c r="BC1881" t="inlineStr">
        <is>
          <t>32285002463197</t>
        </is>
      </c>
      <c r="BD1881" t="inlineStr">
        <is>
          <t>893317166</t>
        </is>
      </c>
    </row>
    <row r="1882">
      <c r="A1882" t="inlineStr">
        <is>
          <t>No</t>
        </is>
      </c>
      <c r="B1882" t="inlineStr">
        <is>
          <t>DS706.5 .Z66 2003</t>
        </is>
      </c>
      <c r="C1882" t="inlineStr">
        <is>
          <t>0                      DS 0706500Z  66          2003</t>
        </is>
      </c>
      <c r="D1882" t="inlineStr">
        <is>
          <t>Zhongguo di li li shi wei jie zhi mi / Zong Hao bian zhu.</t>
        </is>
      </c>
      <c r="E1882" t="inlineStr">
        <is>
          <t>V. 1</t>
        </is>
      </c>
      <c r="F1882" t="inlineStr">
        <is>
          <t>Yes</t>
        </is>
      </c>
      <c r="G1882" t="inlineStr">
        <is>
          <t>1</t>
        </is>
      </c>
      <c r="H1882" t="inlineStr">
        <is>
          <t>No</t>
        </is>
      </c>
      <c r="I1882" t="inlineStr">
        <is>
          <t>No</t>
        </is>
      </c>
      <c r="J1882" t="inlineStr">
        <is>
          <t>0</t>
        </is>
      </c>
      <c r="K1882" t="inlineStr">
        <is>
          <t>Zong, Hao.</t>
        </is>
      </c>
      <c r="L1882" t="inlineStr">
        <is>
          <t>Nanning Shi : Guangxi min zu chu ban she, 2003.</t>
        </is>
      </c>
      <c r="M1882" t="inlineStr">
        <is>
          <t>2003</t>
        </is>
      </c>
      <c r="N1882" t="inlineStr">
        <is>
          <t>Di 1 ban.</t>
        </is>
      </c>
      <c r="O1882" t="inlineStr">
        <is>
          <t>chi</t>
        </is>
      </c>
      <c r="P1882" t="inlineStr">
        <is>
          <t xml:space="preserve">cc </t>
        </is>
      </c>
      <c r="Q1882" t="inlineStr">
        <is>
          <t>Tan suo wen cong</t>
        </is>
      </c>
      <c r="R1882" t="inlineStr">
        <is>
          <t xml:space="preserve">DS </t>
        </is>
      </c>
      <c r="S1882" t="n">
        <v>1</v>
      </c>
      <c r="T1882" t="n">
        <v>2</v>
      </c>
      <c r="U1882" t="inlineStr">
        <is>
          <t>2007-04-19</t>
        </is>
      </c>
      <c r="V1882" t="inlineStr">
        <is>
          <t>2007-04-19</t>
        </is>
      </c>
      <c r="W1882" t="inlineStr">
        <is>
          <t>2007-04-19</t>
        </is>
      </c>
      <c r="X1882" t="inlineStr">
        <is>
          <t>2007-04-19</t>
        </is>
      </c>
      <c r="Y1882" t="n">
        <v>6</v>
      </c>
      <c r="Z1882" t="n">
        <v>5</v>
      </c>
      <c r="AA1882" t="n">
        <v>10</v>
      </c>
      <c r="AB1882" t="n">
        <v>1</v>
      </c>
      <c r="AC1882" t="n">
        <v>1</v>
      </c>
      <c r="AD1882" t="n">
        <v>0</v>
      </c>
      <c r="AE1882" t="n">
        <v>0</v>
      </c>
      <c r="AF1882" t="n">
        <v>0</v>
      </c>
      <c r="AG1882" t="n">
        <v>0</v>
      </c>
      <c r="AH1882" t="n">
        <v>0</v>
      </c>
      <c r="AI1882" t="n">
        <v>0</v>
      </c>
      <c r="AJ1882" t="n">
        <v>0</v>
      </c>
      <c r="AK1882" t="n">
        <v>0</v>
      </c>
      <c r="AL1882" t="n">
        <v>0</v>
      </c>
      <c r="AM1882" t="n">
        <v>0</v>
      </c>
      <c r="AN1882" t="n">
        <v>0</v>
      </c>
      <c r="AO1882" t="n">
        <v>0</v>
      </c>
      <c r="AP1882" t="inlineStr">
        <is>
          <t>No</t>
        </is>
      </c>
      <c r="AQ1882" t="inlineStr">
        <is>
          <t>No</t>
        </is>
      </c>
      <c r="AS1882">
        <f>HYPERLINK("https://creighton-primo.hosted.exlibrisgroup.com/primo-explore/search?tab=default_tab&amp;search_scope=EVERYTHING&amp;vid=01CRU&amp;lang=en_US&amp;offset=0&amp;query=any,contains,991005074709702656","Catalog Record")</f>
        <v/>
      </c>
      <c r="AT1882">
        <f>HYPERLINK("http://www.worldcat.org/oclc/55501836","WorldCat Record")</f>
        <v/>
      </c>
      <c r="AU1882" t="inlineStr">
        <is>
          <t>3374263996:chi</t>
        </is>
      </c>
      <c r="AV1882" t="inlineStr">
        <is>
          <t>55501836</t>
        </is>
      </c>
      <c r="AW1882" t="inlineStr">
        <is>
          <t>991005074709702656</t>
        </is>
      </c>
      <c r="AX1882" t="inlineStr">
        <is>
          <t>991005074709702656</t>
        </is>
      </c>
      <c r="AY1882" t="inlineStr">
        <is>
          <t>2267792700002656</t>
        </is>
      </c>
      <c r="AZ1882" t="inlineStr">
        <is>
          <t>BOOK</t>
        </is>
      </c>
      <c r="BB1882" t="inlineStr">
        <is>
          <t>9787536344044</t>
        </is>
      </c>
      <c r="BC1882" t="inlineStr">
        <is>
          <t>32285005288856</t>
        </is>
      </c>
      <c r="BD1882" t="inlineStr">
        <is>
          <t>893870471</t>
        </is>
      </c>
    </row>
    <row r="1883">
      <c r="A1883" t="inlineStr">
        <is>
          <t>No</t>
        </is>
      </c>
      <c r="B1883" t="inlineStr">
        <is>
          <t>DS706.5 .Z66 2003</t>
        </is>
      </c>
      <c r="C1883" t="inlineStr">
        <is>
          <t>0                      DS 0706500Z  66          2003</t>
        </is>
      </c>
      <c r="D1883" t="inlineStr">
        <is>
          <t>Zhongguo di li li shi wei jie zhi mi / Zong Hao bian zhu.</t>
        </is>
      </c>
      <c r="E1883" t="inlineStr">
        <is>
          <t>V. 2</t>
        </is>
      </c>
      <c r="F1883" t="inlineStr">
        <is>
          <t>Yes</t>
        </is>
      </c>
      <c r="G1883" t="inlineStr">
        <is>
          <t>1</t>
        </is>
      </c>
      <c r="H1883" t="inlineStr">
        <is>
          <t>No</t>
        </is>
      </c>
      <c r="I1883" t="inlineStr">
        <is>
          <t>No</t>
        </is>
      </c>
      <c r="J1883" t="inlineStr">
        <is>
          <t>0</t>
        </is>
      </c>
      <c r="K1883" t="inlineStr">
        <is>
          <t>Zong, Hao.</t>
        </is>
      </c>
      <c r="L1883" t="inlineStr">
        <is>
          <t>Nanning Shi : Guangxi min zu chu ban she, 2003.</t>
        </is>
      </c>
      <c r="M1883" t="inlineStr">
        <is>
          <t>2003</t>
        </is>
      </c>
      <c r="N1883" t="inlineStr">
        <is>
          <t>Di 1 ban.</t>
        </is>
      </c>
      <c r="O1883" t="inlineStr">
        <is>
          <t>chi</t>
        </is>
      </c>
      <c r="P1883" t="inlineStr">
        <is>
          <t xml:space="preserve">cc </t>
        </is>
      </c>
      <c r="Q1883" t="inlineStr">
        <is>
          <t>Tan suo wen cong</t>
        </is>
      </c>
      <c r="R1883" t="inlineStr">
        <is>
          <t xml:space="preserve">DS </t>
        </is>
      </c>
      <c r="S1883" t="n">
        <v>1</v>
      </c>
      <c r="T1883" t="n">
        <v>2</v>
      </c>
      <c r="U1883" t="inlineStr">
        <is>
          <t>2007-04-19</t>
        </is>
      </c>
      <c r="V1883" t="inlineStr">
        <is>
          <t>2007-04-19</t>
        </is>
      </c>
      <c r="W1883" t="inlineStr">
        <is>
          <t>2007-04-19</t>
        </is>
      </c>
      <c r="X1883" t="inlineStr">
        <is>
          <t>2007-04-19</t>
        </is>
      </c>
      <c r="Y1883" t="n">
        <v>6</v>
      </c>
      <c r="Z1883" t="n">
        <v>5</v>
      </c>
      <c r="AA1883" t="n">
        <v>10</v>
      </c>
      <c r="AB1883" t="n">
        <v>1</v>
      </c>
      <c r="AC1883" t="n">
        <v>1</v>
      </c>
      <c r="AD1883" t="n">
        <v>0</v>
      </c>
      <c r="AE1883" t="n">
        <v>0</v>
      </c>
      <c r="AF1883" t="n">
        <v>0</v>
      </c>
      <c r="AG1883" t="n">
        <v>0</v>
      </c>
      <c r="AH1883" t="n">
        <v>0</v>
      </c>
      <c r="AI1883" t="n">
        <v>0</v>
      </c>
      <c r="AJ1883" t="n">
        <v>0</v>
      </c>
      <c r="AK1883" t="n">
        <v>0</v>
      </c>
      <c r="AL1883" t="n">
        <v>0</v>
      </c>
      <c r="AM1883" t="n">
        <v>0</v>
      </c>
      <c r="AN1883" t="n">
        <v>0</v>
      </c>
      <c r="AO1883" t="n">
        <v>0</v>
      </c>
      <c r="AP1883" t="inlineStr">
        <is>
          <t>No</t>
        </is>
      </c>
      <c r="AQ1883" t="inlineStr">
        <is>
          <t>No</t>
        </is>
      </c>
      <c r="AS1883">
        <f>HYPERLINK("https://creighton-primo.hosted.exlibrisgroup.com/primo-explore/search?tab=default_tab&amp;search_scope=EVERYTHING&amp;vid=01CRU&amp;lang=en_US&amp;offset=0&amp;query=any,contains,991005074709702656","Catalog Record")</f>
        <v/>
      </c>
      <c r="AT1883">
        <f>HYPERLINK("http://www.worldcat.org/oclc/55501836","WorldCat Record")</f>
        <v/>
      </c>
      <c r="AU1883" t="inlineStr">
        <is>
          <t>3374263996:chi</t>
        </is>
      </c>
      <c r="AV1883" t="inlineStr">
        <is>
          <t>55501836</t>
        </is>
      </c>
      <c r="AW1883" t="inlineStr">
        <is>
          <t>991005074709702656</t>
        </is>
      </c>
      <c r="AX1883" t="inlineStr">
        <is>
          <t>991005074709702656</t>
        </is>
      </c>
      <c r="AY1883" t="inlineStr">
        <is>
          <t>2267792700002656</t>
        </is>
      </c>
      <c r="AZ1883" t="inlineStr">
        <is>
          <t>BOOK</t>
        </is>
      </c>
      <c r="BB1883" t="inlineStr">
        <is>
          <t>9787536344044</t>
        </is>
      </c>
      <c r="BC1883" t="inlineStr">
        <is>
          <t>32285005288864</t>
        </is>
      </c>
      <c r="BD1883" t="inlineStr">
        <is>
          <t>893870472</t>
        </is>
      </c>
    </row>
    <row r="1884">
      <c r="A1884" t="inlineStr">
        <is>
          <t>No</t>
        </is>
      </c>
      <c r="B1884" t="inlineStr">
        <is>
          <t>DS706.7 .L44 1993</t>
        </is>
      </c>
      <c r="C1884" t="inlineStr">
        <is>
          <t>0                      DS 0706700L  44          1993</t>
        </is>
      </c>
      <c r="D1884" t="inlineStr">
        <is>
          <t>The changing geography of China / Frank Leeming.</t>
        </is>
      </c>
      <c r="F1884" t="inlineStr">
        <is>
          <t>No</t>
        </is>
      </c>
      <c r="G1884" t="inlineStr">
        <is>
          <t>1</t>
        </is>
      </c>
      <c r="H1884" t="inlineStr">
        <is>
          <t>No</t>
        </is>
      </c>
      <c r="I1884" t="inlineStr">
        <is>
          <t>No</t>
        </is>
      </c>
      <c r="J1884" t="inlineStr">
        <is>
          <t>0</t>
        </is>
      </c>
      <c r="K1884" t="inlineStr">
        <is>
          <t>Leeming, Frank.</t>
        </is>
      </c>
      <c r="L1884" t="inlineStr">
        <is>
          <t>Oxford ; Cambridge, Mass. : Blackwell, 1993.</t>
        </is>
      </c>
      <c r="M1884" t="inlineStr">
        <is>
          <t>1993</t>
        </is>
      </c>
      <c r="O1884" t="inlineStr">
        <is>
          <t>eng</t>
        </is>
      </c>
      <c r="P1884" t="inlineStr">
        <is>
          <t>enk</t>
        </is>
      </c>
      <c r="Q1884" t="inlineStr">
        <is>
          <t>IBG studies in geography</t>
        </is>
      </c>
      <c r="R1884" t="inlineStr">
        <is>
          <t xml:space="preserve">DS </t>
        </is>
      </c>
      <c r="S1884" t="n">
        <v>6</v>
      </c>
      <c r="T1884" t="n">
        <v>6</v>
      </c>
      <c r="U1884" t="inlineStr">
        <is>
          <t>1997-10-04</t>
        </is>
      </c>
      <c r="V1884" t="inlineStr">
        <is>
          <t>1997-10-04</t>
        </is>
      </c>
      <c r="W1884" t="inlineStr">
        <is>
          <t>1993-08-30</t>
        </is>
      </c>
      <c r="X1884" t="inlineStr">
        <is>
          <t>1993-08-30</t>
        </is>
      </c>
      <c r="Y1884" t="n">
        <v>467</v>
      </c>
      <c r="Z1884" t="n">
        <v>320</v>
      </c>
      <c r="AA1884" t="n">
        <v>350</v>
      </c>
      <c r="AB1884" t="n">
        <v>4</v>
      </c>
      <c r="AC1884" t="n">
        <v>4</v>
      </c>
      <c r="AD1884" t="n">
        <v>19</v>
      </c>
      <c r="AE1884" t="n">
        <v>20</v>
      </c>
      <c r="AF1884" t="n">
        <v>6</v>
      </c>
      <c r="AG1884" t="n">
        <v>7</v>
      </c>
      <c r="AH1884" t="n">
        <v>5</v>
      </c>
      <c r="AI1884" t="n">
        <v>5</v>
      </c>
      <c r="AJ1884" t="n">
        <v>9</v>
      </c>
      <c r="AK1884" t="n">
        <v>10</v>
      </c>
      <c r="AL1884" t="n">
        <v>3</v>
      </c>
      <c r="AM1884" t="n">
        <v>3</v>
      </c>
      <c r="AN1884" t="n">
        <v>0</v>
      </c>
      <c r="AO1884" t="n">
        <v>0</v>
      </c>
      <c r="AP1884" t="inlineStr">
        <is>
          <t>No</t>
        </is>
      </c>
      <c r="AQ1884" t="inlineStr">
        <is>
          <t>No</t>
        </is>
      </c>
      <c r="AS1884">
        <f>HYPERLINK("https://creighton-primo.hosted.exlibrisgroup.com/primo-explore/search?tab=default_tab&amp;search_scope=EVERYTHING&amp;vid=01CRU&amp;lang=en_US&amp;offset=0&amp;query=any,contains,991002031699702656","Catalog Record")</f>
        <v/>
      </c>
      <c r="AT1884">
        <f>HYPERLINK("http://www.worldcat.org/oclc/25872550","WorldCat Record")</f>
        <v/>
      </c>
      <c r="AU1884" t="inlineStr">
        <is>
          <t>345104:eng</t>
        </is>
      </c>
      <c r="AV1884" t="inlineStr">
        <is>
          <t>25872550</t>
        </is>
      </c>
      <c r="AW1884" t="inlineStr">
        <is>
          <t>991002031699702656</t>
        </is>
      </c>
      <c r="AX1884" t="inlineStr">
        <is>
          <t>991002031699702656</t>
        </is>
      </c>
      <c r="AY1884" t="inlineStr">
        <is>
          <t>2270850860002656</t>
        </is>
      </c>
      <c r="AZ1884" t="inlineStr">
        <is>
          <t>BOOK</t>
        </is>
      </c>
      <c r="BB1884" t="inlineStr">
        <is>
          <t>9780631176756</t>
        </is>
      </c>
      <c r="BC1884" t="inlineStr">
        <is>
          <t>32285001729192</t>
        </is>
      </c>
      <c r="BD1884" t="inlineStr">
        <is>
          <t>893590845</t>
        </is>
      </c>
    </row>
    <row r="1885">
      <c r="A1885" t="inlineStr">
        <is>
          <t>No</t>
        </is>
      </c>
      <c r="B1885" t="inlineStr">
        <is>
          <t>DS706.7 .S65 1991</t>
        </is>
      </c>
      <c r="C1885" t="inlineStr">
        <is>
          <t>0                      DS 0706700S  65          1991</t>
        </is>
      </c>
      <c r="D1885" t="inlineStr">
        <is>
          <t>China : people and places in the land of one billion / Christopher J. Smith.</t>
        </is>
      </c>
      <c r="F1885" t="inlineStr">
        <is>
          <t>No</t>
        </is>
      </c>
      <c r="G1885" t="inlineStr">
        <is>
          <t>1</t>
        </is>
      </c>
      <c r="H1885" t="inlineStr">
        <is>
          <t>No</t>
        </is>
      </c>
      <c r="I1885" t="inlineStr">
        <is>
          <t>No</t>
        </is>
      </c>
      <c r="J1885" t="inlineStr">
        <is>
          <t>0</t>
        </is>
      </c>
      <c r="K1885" t="inlineStr">
        <is>
          <t>Smith, Christopher J.</t>
        </is>
      </c>
      <c r="L1885" t="inlineStr">
        <is>
          <t>Boulder : Westview Press, 1991.</t>
        </is>
      </c>
      <c r="M1885" t="inlineStr">
        <is>
          <t>1991</t>
        </is>
      </c>
      <c r="O1885" t="inlineStr">
        <is>
          <t>eng</t>
        </is>
      </c>
      <c r="P1885" t="inlineStr">
        <is>
          <t>cou</t>
        </is>
      </c>
      <c r="R1885" t="inlineStr">
        <is>
          <t xml:space="preserve">DS </t>
        </is>
      </c>
      <c r="S1885" t="n">
        <v>11</v>
      </c>
      <c r="T1885" t="n">
        <v>11</v>
      </c>
      <c r="U1885" t="inlineStr">
        <is>
          <t>1997-10-04</t>
        </is>
      </c>
      <c r="V1885" t="inlineStr">
        <is>
          <t>1997-10-04</t>
        </is>
      </c>
      <c r="W1885" t="inlineStr">
        <is>
          <t>1991-04-10</t>
        </is>
      </c>
      <c r="X1885" t="inlineStr">
        <is>
          <t>1991-04-10</t>
        </is>
      </c>
      <c r="Y1885" t="n">
        <v>427</v>
      </c>
      <c r="Z1885" t="n">
        <v>329</v>
      </c>
      <c r="AA1885" t="n">
        <v>335</v>
      </c>
      <c r="AB1885" t="n">
        <v>5</v>
      </c>
      <c r="AC1885" t="n">
        <v>5</v>
      </c>
      <c r="AD1885" t="n">
        <v>15</v>
      </c>
      <c r="AE1885" t="n">
        <v>15</v>
      </c>
      <c r="AF1885" t="n">
        <v>4</v>
      </c>
      <c r="AG1885" t="n">
        <v>4</v>
      </c>
      <c r="AH1885" t="n">
        <v>4</v>
      </c>
      <c r="AI1885" t="n">
        <v>4</v>
      </c>
      <c r="AJ1885" t="n">
        <v>6</v>
      </c>
      <c r="AK1885" t="n">
        <v>6</v>
      </c>
      <c r="AL1885" t="n">
        <v>4</v>
      </c>
      <c r="AM1885" t="n">
        <v>4</v>
      </c>
      <c r="AN1885" t="n">
        <v>0</v>
      </c>
      <c r="AO1885" t="n">
        <v>0</v>
      </c>
      <c r="AP1885" t="inlineStr">
        <is>
          <t>No</t>
        </is>
      </c>
      <c r="AQ1885" t="inlineStr">
        <is>
          <t>Yes</t>
        </is>
      </c>
      <c r="AR1885">
        <f>HYPERLINK("http://catalog.hathitrust.org/Record/002439501","HathiTrust Record")</f>
        <v/>
      </c>
      <c r="AS1885">
        <f>HYPERLINK("https://creighton-primo.hosted.exlibrisgroup.com/primo-explore/search?tab=default_tab&amp;search_scope=EVERYTHING&amp;vid=01CRU&amp;lang=en_US&amp;offset=0&amp;query=any,contains,991001773009702656","Catalog Record")</f>
        <v/>
      </c>
      <c r="AT1885">
        <f>HYPERLINK("http://www.worldcat.org/oclc/22386903","WorldCat Record")</f>
        <v/>
      </c>
      <c r="AU1885" t="inlineStr">
        <is>
          <t>233371636:eng</t>
        </is>
      </c>
      <c r="AV1885" t="inlineStr">
        <is>
          <t>22386903</t>
        </is>
      </c>
      <c r="AW1885" t="inlineStr">
        <is>
          <t>991001773009702656</t>
        </is>
      </c>
      <c r="AX1885" t="inlineStr">
        <is>
          <t>991001773009702656</t>
        </is>
      </c>
      <c r="AY1885" t="inlineStr">
        <is>
          <t>2265705830002656</t>
        </is>
      </c>
      <c r="AZ1885" t="inlineStr">
        <is>
          <t>BOOK</t>
        </is>
      </c>
      <c r="BB1885" t="inlineStr">
        <is>
          <t>9780813308548</t>
        </is>
      </c>
      <c r="BC1885" t="inlineStr">
        <is>
          <t>32285000567171</t>
        </is>
      </c>
      <c r="BD1885" t="inlineStr">
        <is>
          <t>893697023</t>
        </is>
      </c>
    </row>
    <row r="1886">
      <c r="A1886" t="inlineStr">
        <is>
          <t>No</t>
        </is>
      </c>
      <c r="B1886" t="inlineStr">
        <is>
          <t>DS709 .D3 1972</t>
        </is>
      </c>
      <c r="C1886" t="inlineStr">
        <is>
          <t>0                      DS 0709000D  3           1972</t>
        </is>
      </c>
      <c r="D1886" t="inlineStr">
        <is>
          <t>The Chinese: a general description of the empire of China and its inhabitants.</t>
        </is>
      </c>
      <c r="E1886" t="inlineStr">
        <is>
          <t>V.2</t>
        </is>
      </c>
      <c r="F1886" t="inlineStr">
        <is>
          <t>Yes</t>
        </is>
      </c>
      <c r="G1886" t="inlineStr">
        <is>
          <t>1</t>
        </is>
      </c>
      <c r="H1886" t="inlineStr">
        <is>
          <t>No</t>
        </is>
      </c>
      <c r="I1886" t="inlineStr">
        <is>
          <t>No</t>
        </is>
      </c>
      <c r="J1886" t="inlineStr">
        <is>
          <t>0</t>
        </is>
      </c>
      <c r="K1886" t="inlineStr">
        <is>
          <t>Davis, John Francis, Sir, 1795-1890.</t>
        </is>
      </c>
      <c r="L1886" t="inlineStr">
        <is>
          <t>Wilmington, Del., Scholarly Resources [1972]</t>
        </is>
      </c>
      <c r="M1886" t="inlineStr">
        <is>
          <t>1972</t>
        </is>
      </c>
      <c r="O1886" t="inlineStr">
        <is>
          <t>eng</t>
        </is>
      </c>
      <c r="P1886" t="inlineStr">
        <is>
          <t>deu</t>
        </is>
      </c>
      <c r="R1886" t="inlineStr">
        <is>
          <t xml:space="preserve">DS </t>
        </is>
      </c>
      <c r="S1886" t="n">
        <v>2</v>
      </c>
      <c r="T1886" t="n">
        <v>4</v>
      </c>
      <c r="U1886" t="inlineStr">
        <is>
          <t>1999-06-14</t>
        </is>
      </c>
      <c r="V1886" t="inlineStr">
        <is>
          <t>1999-06-14</t>
        </is>
      </c>
      <c r="W1886" t="inlineStr">
        <is>
          <t>1997-03-11</t>
        </is>
      </c>
      <c r="X1886" t="inlineStr">
        <is>
          <t>1997-03-11</t>
        </is>
      </c>
      <c r="Y1886" t="n">
        <v>106</v>
      </c>
      <c r="Z1886" t="n">
        <v>85</v>
      </c>
      <c r="AA1886" t="n">
        <v>369</v>
      </c>
      <c r="AB1886" t="n">
        <v>2</v>
      </c>
      <c r="AC1886" t="n">
        <v>3</v>
      </c>
      <c r="AD1886" t="n">
        <v>2</v>
      </c>
      <c r="AE1886" t="n">
        <v>21</v>
      </c>
      <c r="AF1886" t="n">
        <v>0</v>
      </c>
      <c r="AG1886" t="n">
        <v>6</v>
      </c>
      <c r="AH1886" t="n">
        <v>1</v>
      </c>
      <c r="AI1886" t="n">
        <v>7</v>
      </c>
      <c r="AJ1886" t="n">
        <v>0</v>
      </c>
      <c r="AK1886" t="n">
        <v>11</v>
      </c>
      <c r="AL1886" t="n">
        <v>1</v>
      </c>
      <c r="AM1886" t="n">
        <v>2</v>
      </c>
      <c r="AN1886" t="n">
        <v>0</v>
      </c>
      <c r="AO1886" t="n">
        <v>0</v>
      </c>
      <c r="AP1886" t="inlineStr">
        <is>
          <t>No</t>
        </is>
      </c>
      <c r="AQ1886" t="inlineStr">
        <is>
          <t>Yes</t>
        </is>
      </c>
      <c r="AR1886">
        <f>HYPERLINK("http://catalog.hathitrust.org/Record/100783755","HathiTrust Record")</f>
        <v/>
      </c>
      <c r="AS1886">
        <f>HYPERLINK("https://creighton-primo.hosted.exlibrisgroup.com/primo-explore/search?tab=default_tab&amp;search_scope=EVERYTHING&amp;vid=01CRU&amp;lang=en_US&amp;offset=0&amp;query=any,contains,991003271069702656","Catalog Record")</f>
        <v/>
      </c>
      <c r="AT1886">
        <f>HYPERLINK("http://www.worldcat.org/oclc/796857","WorldCat Record")</f>
        <v/>
      </c>
      <c r="AU1886" t="inlineStr">
        <is>
          <t>193519435:eng</t>
        </is>
      </c>
      <c r="AV1886" t="inlineStr">
        <is>
          <t>796857</t>
        </is>
      </c>
      <c r="AW1886" t="inlineStr">
        <is>
          <t>991003271069702656</t>
        </is>
      </c>
      <c r="AX1886" t="inlineStr">
        <is>
          <t>991003271069702656</t>
        </is>
      </c>
      <c r="AY1886" t="inlineStr">
        <is>
          <t>2260601140002656</t>
        </is>
      </c>
      <c r="AZ1886" t="inlineStr">
        <is>
          <t>BOOK</t>
        </is>
      </c>
      <c r="BB1886" t="inlineStr">
        <is>
          <t>9780842013529</t>
        </is>
      </c>
      <c r="BC1886" t="inlineStr">
        <is>
          <t>32285002445921</t>
        </is>
      </c>
      <c r="BD1886" t="inlineStr">
        <is>
          <t>893410114</t>
        </is>
      </c>
    </row>
    <row r="1887">
      <c r="A1887" t="inlineStr">
        <is>
          <t>No</t>
        </is>
      </c>
      <c r="B1887" t="inlineStr">
        <is>
          <t>DS709 .D3 1972</t>
        </is>
      </c>
      <c r="C1887" t="inlineStr">
        <is>
          <t>0                      DS 0709000D  3           1972</t>
        </is>
      </c>
      <c r="D1887" t="inlineStr">
        <is>
          <t>The Chinese: a general description of the empire of China and its inhabitants.</t>
        </is>
      </c>
      <c r="E1887" t="inlineStr">
        <is>
          <t>V.1</t>
        </is>
      </c>
      <c r="F1887" t="inlineStr">
        <is>
          <t>Yes</t>
        </is>
      </c>
      <c r="G1887" t="inlineStr">
        <is>
          <t>1</t>
        </is>
      </c>
      <c r="H1887" t="inlineStr">
        <is>
          <t>No</t>
        </is>
      </c>
      <c r="I1887" t="inlineStr">
        <is>
          <t>No</t>
        </is>
      </c>
      <c r="J1887" t="inlineStr">
        <is>
          <t>0</t>
        </is>
      </c>
      <c r="K1887" t="inlineStr">
        <is>
          <t>Davis, John Francis, Sir, 1795-1890.</t>
        </is>
      </c>
      <c r="L1887" t="inlineStr">
        <is>
          <t>Wilmington, Del., Scholarly Resources [1972]</t>
        </is>
      </c>
      <c r="M1887" t="inlineStr">
        <is>
          <t>1972</t>
        </is>
      </c>
      <c r="O1887" t="inlineStr">
        <is>
          <t>eng</t>
        </is>
      </c>
      <c r="P1887" t="inlineStr">
        <is>
          <t>deu</t>
        </is>
      </c>
      <c r="R1887" t="inlineStr">
        <is>
          <t xml:space="preserve">DS </t>
        </is>
      </c>
      <c r="S1887" t="n">
        <v>2</v>
      </c>
      <c r="T1887" t="n">
        <v>4</v>
      </c>
      <c r="U1887" t="inlineStr">
        <is>
          <t>1999-06-14</t>
        </is>
      </c>
      <c r="V1887" t="inlineStr">
        <is>
          <t>1999-06-14</t>
        </is>
      </c>
      <c r="W1887" t="inlineStr">
        <is>
          <t>1997-03-11</t>
        </is>
      </c>
      <c r="X1887" t="inlineStr">
        <is>
          <t>1997-03-11</t>
        </is>
      </c>
      <c r="Y1887" t="n">
        <v>106</v>
      </c>
      <c r="Z1887" t="n">
        <v>85</v>
      </c>
      <c r="AA1887" t="n">
        <v>369</v>
      </c>
      <c r="AB1887" t="n">
        <v>2</v>
      </c>
      <c r="AC1887" t="n">
        <v>3</v>
      </c>
      <c r="AD1887" t="n">
        <v>2</v>
      </c>
      <c r="AE1887" t="n">
        <v>21</v>
      </c>
      <c r="AF1887" t="n">
        <v>0</v>
      </c>
      <c r="AG1887" t="n">
        <v>6</v>
      </c>
      <c r="AH1887" t="n">
        <v>1</v>
      </c>
      <c r="AI1887" t="n">
        <v>7</v>
      </c>
      <c r="AJ1887" t="n">
        <v>0</v>
      </c>
      <c r="AK1887" t="n">
        <v>11</v>
      </c>
      <c r="AL1887" t="n">
        <v>1</v>
      </c>
      <c r="AM1887" t="n">
        <v>2</v>
      </c>
      <c r="AN1887" t="n">
        <v>0</v>
      </c>
      <c r="AO1887" t="n">
        <v>0</v>
      </c>
      <c r="AP1887" t="inlineStr">
        <is>
          <t>No</t>
        </is>
      </c>
      <c r="AQ1887" t="inlineStr">
        <is>
          <t>Yes</t>
        </is>
      </c>
      <c r="AR1887">
        <f>HYPERLINK("http://catalog.hathitrust.org/Record/100783755","HathiTrust Record")</f>
        <v/>
      </c>
      <c r="AS1887">
        <f>HYPERLINK("https://creighton-primo.hosted.exlibrisgroup.com/primo-explore/search?tab=default_tab&amp;search_scope=EVERYTHING&amp;vid=01CRU&amp;lang=en_US&amp;offset=0&amp;query=any,contains,991003271069702656","Catalog Record")</f>
        <v/>
      </c>
      <c r="AT1887">
        <f>HYPERLINK("http://www.worldcat.org/oclc/796857","WorldCat Record")</f>
        <v/>
      </c>
      <c r="AU1887" t="inlineStr">
        <is>
          <t>193519435:eng</t>
        </is>
      </c>
      <c r="AV1887" t="inlineStr">
        <is>
          <t>796857</t>
        </is>
      </c>
      <c r="AW1887" t="inlineStr">
        <is>
          <t>991003271069702656</t>
        </is>
      </c>
      <c r="AX1887" t="inlineStr">
        <is>
          <t>991003271069702656</t>
        </is>
      </c>
      <c r="AY1887" t="inlineStr">
        <is>
          <t>2260601140002656</t>
        </is>
      </c>
      <c r="AZ1887" t="inlineStr">
        <is>
          <t>BOOK</t>
        </is>
      </c>
      <c r="BB1887" t="inlineStr">
        <is>
          <t>9780842013529</t>
        </is>
      </c>
      <c r="BC1887" t="inlineStr">
        <is>
          <t>32285002445913</t>
        </is>
      </c>
      <c r="BD1887" t="inlineStr">
        <is>
          <t>893434825</t>
        </is>
      </c>
    </row>
    <row r="1888">
      <c r="A1888" t="inlineStr">
        <is>
          <t>No</t>
        </is>
      </c>
      <c r="B1888" t="inlineStr">
        <is>
          <t>DS709 .F64 1996</t>
        </is>
      </c>
      <c r="C1888" t="inlineStr">
        <is>
          <t>0                      DS 0709000F  64          1996</t>
        </is>
      </c>
      <c r="D1888" t="inlineStr">
        <is>
          <t>The literature of travel in the Japanese rediscovery of China, 1862-1945 / Joshua A. Fogel.</t>
        </is>
      </c>
      <c r="F1888" t="inlineStr">
        <is>
          <t>No</t>
        </is>
      </c>
      <c r="G1888" t="inlineStr">
        <is>
          <t>1</t>
        </is>
      </c>
      <c r="H1888" t="inlineStr">
        <is>
          <t>No</t>
        </is>
      </c>
      <c r="I1888" t="inlineStr">
        <is>
          <t>No</t>
        </is>
      </c>
      <c r="J1888" t="inlineStr">
        <is>
          <t>0</t>
        </is>
      </c>
      <c r="K1888" t="inlineStr">
        <is>
          <t>Fogel, Joshua A., 1950-</t>
        </is>
      </c>
      <c r="L1888" t="inlineStr">
        <is>
          <t>Stanford, Calif. : Stanford University Press, c1996.</t>
        </is>
      </c>
      <c r="M1888" t="inlineStr">
        <is>
          <t>1996</t>
        </is>
      </c>
      <c r="O1888" t="inlineStr">
        <is>
          <t>eng</t>
        </is>
      </c>
      <c r="P1888" t="inlineStr">
        <is>
          <t>cau</t>
        </is>
      </c>
      <c r="R1888" t="inlineStr">
        <is>
          <t xml:space="preserve">DS </t>
        </is>
      </c>
      <c r="S1888" t="n">
        <v>2</v>
      </c>
      <c r="T1888" t="n">
        <v>2</v>
      </c>
      <c r="U1888" t="inlineStr">
        <is>
          <t>1999-11-03</t>
        </is>
      </c>
      <c r="V1888" t="inlineStr">
        <is>
          <t>1999-11-03</t>
        </is>
      </c>
      <c r="W1888" t="inlineStr">
        <is>
          <t>1999-10-11</t>
        </is>
      </c>
      <c r="X1888" t="inlineStr">
        <is>
          <t>1999-10-11</t>
        </is>
      </c>
      <c r="Y1888" t="n">
        <v>324</v>
      </c>
      <c r="Z1888" t="n">
        <v>233</v>
      </c>
      <c r="AA1888" t="n">
        <v>233</v>
      </c>
      <c r="AB1888" t="n">
        <v>3</v>
      </c>
      <c r="AC1888" t="n">
        <v>3</v>
      </c>
      <c r="AD1888" t="n">
        <v>13</v>
      </c>
      <c r="AE1888" t="n">
        <v>13</v>
      </c>
      <c r="AF1888" t="n">
        <v>2</v>
      </c>
      <c r="AG1888" t="n">
        <v>2</v>
      </c>
      <c r="AH1888" t="n">
        <v>6</v>
      </c>
      <c r="AI1888" t="n">
        <v>6</v>
      </c>
      <c r="AJ1888" t="n">
        <v>6</v>
      </c>
      <c r="AK1888" t="n">
        <v>6</v>
      </c>
      <c r="AL1888" t="n">
        <v>2</v>
      </c>
      <c r="AM1888" t="n">
        <v>2</v>
      </c>
      <c r="AN1888" t="n">
        <v>0</v>
      </c>
      <c r="AO1888" t="n">
        <v>0</v>
      </c>
      <c r="AP1888" t="inlineStr">
        <is>
          <t>No</t>
        </is>
      </c>
      <c r="AQ1888" t="inlineStr">
        <is>
          <t>No</t>
        </is>
      </c>
      <c r="AS1888">
        <f>HYPERLINK("https://creighton-primo.hosted.exlibrisgroup.com/primo-explore/search?tab=default_tab&amp;search_scope=EVERYTHING&amp;vid=01CRU&amp;lang=en_US&amp;offset=0&amp;query=any,contains,991002509609702656","Catalog Record")</f>
        <v/>
      </c>
      <c r="AT1888">
        <f>HYPERLINK("http://www.worldcat.org/oclc/32626862","WorldCat Record")</f>
        <v/>
      </c>
      <c r="AU1888" t="inlineStr">
        <is>
          <t>36758064:eng</t>
        </is>
      </c>
      <c r="AV1888" t="inlineStr">
        <is>
          <t>32626862</t>
        </is>
      </c>
      <c r="AW1888" t="inlineStr">
        <is>
          <t>991002509609702656</t>
        </is>
      </c>
      <c r="AX1888" t="inlineStr">
        <is>
          <t>991002509609702656</t>
        </is>
      </c>
      <c r="AY1888" t="inlineStr">
        <is>
          <t>2267243410002656</t>
        </is>
      </c>
      <c r="AZ1888" t="inlineStr">
        <is>
          <t>BOOK</t>
        </is>
      </c>
      <c r="BB1888" t="inlineStr">
        <is>
          <t>9780804725675</t>
        </is>
      </c>
      <c r="BC1888" t="inlineStr">
        <is>
          <t>32285003594339</t>
        </is>
      </c>
      <c r="BD1888" t="inlineStr">
        <is>
          <t>893892648</t>
        </is>
      </c>
    </row>
    <row r="1889">
      <c r="A1889" t="inlineStr">
        <is>
          <t>No</t>
        </is>
      </c>
      <c r="B1889" t="inlineStr">
        <is>
          <t>DS709 .F76 1972</t>
        </is>
      </c>
      <c r="C1889" t="inlineStr">
        <is>
          <t>0                      DS 0709000F  76          1972</t>
        </is>
      </c>
      <c r="D1889" t="inlineStr">
        <is>
          <t>A residence among the Chinese: inland, on the coast, and at sea. Being a narrative of scenes and adventures during a third visit to China, from 1853 to 1856, including notices of many natural productions and works of art, the culture of silk, &amp;c; with suggestions on the present war.</t>
        </is>
      </c>
      <c r="F1889" t="inlineStr">
        <is>
          <t>No</t>
        </is>
      </c>
      <c r="G1889" t="inlineStr">
        <is>
          <t>1</t>
        </is>
      </c>
      <c r="H1889" t="inlineStr">
        <is>
          <t>No</t>
        </is>
      </c>
      <c r="I1889" t="inlineStr">
        <is>
          <t>No</t>
        </is>
      </c>
      <c r="J1889" t="inlineStr">
        <is>
          <t>0</t>
        </is>
      </c>
      <c r="K1889" t="inlineStr">
        <is>
          <t>Fortune, Robert, 1813-1880.</t>
        </is>
      </c>
      <c r="L1889" t="inlineStr">
        <is>
          <t>Wilmington, Del., Scholarly Resources [1972]</t>
        </is>
      </c>
      <c r="M1889" t="inlineStr">
        <is>
          <t>1972</t>
        </is>
      </c>
      <c r="O1889" t="inlineStr">
        <is>
          <t>eng</t>
        </is>
      </c>
      <c r="P1889" t="inlineStr">
        <is>
          <t>deu</t>
        </is>
      </c>
      <c r="R1889" t="inlineStr">
        <is>
          <t xml:space="preserve">DS </t>
        </is>
      </c>
      <c r="S1889" t="n">
        <v>3</v>
      </c>
      <c r="T1889" t="n">
        <v>3</v>
      </c>
      <c r="U1889" t="inlineStr">
        <is>
          <t>1997-11-10</t>
        </is>
      </c>
      <c r="V1889" t="inlineStr">
        <is>
          <t>1997-11-10</t>
        </is>
      </c>
      <c r="W1889" t="inlineStr">
        <is>
          <t>1997-03-11</t>
        </is>
      </c>
      <c r="X1889" t="inlineStr">
        <is>
          <t>1997-03-11</t>
        </is>
      </c>
      <c r="Y1889" t="n">
        <v>77</v>
      </c>
      <c r="Z1889" t="n">
        <v>70</v>
      </c>
      <c r="AA1889" t="n">
        <v>129</v>
      </c>
      <c r="AB1889" t="n">
        <v>1</v>
      </c>
      <c r="AC1889" t="n">
        <v>1</v>
      </c>
      <c r="AD1889" t="n">
        <v>2</v>
      </c>
      <c r="AE1889" t="n">
        <v>6</v>
      </c>
      <c r="AF1889" t="n">
        <v>0</v>
      </c>
      <c r="AG1889" t="n">
        <v>1</v>
      </c>
      <c r="AH1889" t="n">
        <v>2</v>
      </c>
      <c r="AI1889" t="n">
        <v>3</v>
      </c>
      <c r="AJ1889" t="n">
        <v>1</v>
      </c>
      <c r="AK1889" t="n">
        <v>4</v>
      </c>
      <c r="AL1889" t="n">
        <v>0</v>
      </c>
      <c r="AM1889" t="n">
        <v>0</v>
      </c>
      <c r="AN1889" t="n">
        <v>0</v>
      </c>
      <c r="AO1889" t="n">
        <v>0</v>
      </c>
      <c r="AP1889" t="inlineStr">
        <is>
          <t>No</t>
        </is>
      </c>
      <c r="AQ1889" t="inlineStr">
        <is>
          <t>Yes</t>
        </is>
      </c>
      <c r="AR1889">
        <f>HYPERLINK("http://catalog.hathitrust.org/Record/012503526","HathiTrust Record")</f>
        <v/>
      </c>
      <c r="AS1889">
        <f>HYPERLINK("https://creighton-primo.hosted.exlibrisgroup.com/primo-explore/search?tab=default_tab&amp;search_scope=EVERYTHING&amp;vid=01CRU&amp;lang=en_US&amp;offset=0&amp;query=any,contains,991004202529702656","Catalog Record")</f>
        <v/>
      </c>
      <c r="AT1889">
        <f>HYPERLINK("http://www.worldcat.org/oclc/2656172","WorldCat Record")</f>
        <v/>
      </c>
      <c r="AU1889" t="inlineStr">
        <is>
          <t>3300045:eng</t>
        </is>
      </c>
      <c r="AV1889" t="inlineStr">
        <is>
          <t>2656172</t>
        </is>
      </c>
      <c r="AW1889" t="inlineStr">
        <is>
          <t>991004202529702656</t>
        </is>
      </c>
      <c r="AX1889" t="inlineStr">
        <is>
          <t>991004202529702656</t>
        </is>
      </c>
      <c r="AY1889" t="inlineStr">
        <is>
          <t>2258604370002656</t>
        </is>
      </c>
      <c r="AZ1889" t="inlineStr">
        <is>
          <t>BOOK</t>
        </is>
      </c>
      <c r="BB1889" t="inlineStr">
        <is>
          <t>9780842013635</t>
        </is>
      </c>
      <c r="BC1889" t="inlineStr">
        <is>
          <t>32285002445939</t>
        </is>
      </c>
      <c r="BD1889" t="inlineStr">
        <is>
          <t>893718618</t>
        </is>
      </c>
    </row>
    <row r="1890">
      <c r="A1890" t="inlineStr">
        <is>
          <t>No</t>
        </is>
      </c>
      <c r="B1890" t="inlineStr">
        <is>
          <t>DS709 .M47</t>
        </is>
      </c>
      <c r="C1890" t="inlineStr">
        <is>
          <t>0                      DS 0709000M  47</t>
        </is>
      </c>
      <c r="D1890" t="inlineStr">
        <is>
          <t>China : its state and prospects.</t>
        </is>
      </c>
      <c r="F1890" t="inlineStr">
        <is>
          <t>No</t>
        </is>
      </c>
      <c r="G1890" t="inlineStr">
        <is>
          <t>1</t>
        </is>
      </c>
      <c r="H1890" t="inlineStr">
        <is>
          <t>No</t>
        </is>
      </c>
      <c r="I1890" t="inlineStr">
        <is>
          <t>No</t>
        </is>
      </c>
      <c r="J1890" t="inlineStr">
        <is>
          <t>0</t>
        </is>
      </c>
      <c r="K1890" t="inlineStr">
        <is>
          <t>Medhurst, Walter Henry, 1796-1857.</t>
        </is>
      </c>
      <c r="L1890" t="inlineStr">
        <is>
          <t>Wilmington, Del., Scholarly Resources [1973]</t>
        </is>
      </c>
      <c r="M1890" t="inlineStr">
        <is>
          <t>1973</t>
        </is>
      </c>
      <c r="O1890" t="inlineStr">
        <is>
          <t>eng</t>
        </is>
      </c>
      <c r="P1890" t="inlineStr">
        <is>
          <t>deu</t>
        </is>
      </c>
      <c r="R1890" t="inlineStr">
        <is>
          <t xml:space="preserve">DS </t>
        </is>
      </c>
      <c r="S1890" t="n">
        <v>4</v>
      </c>
      <c r="T1890" t="n">
        <v>4</v>
      </c>
      <c r="U1890" t="inlineStr">
        <is>
          <t>1996-09-09</t>
        </is>
      </c>
      <c r="V1890" t="inlineStr">
        <is>
          <t>1996-09-09</t>
        </is>
      </c>
      <c r="W1890" t="inlineStr">
        <is>
          <t>1996-08-09</t>
        </is>
      </c>
      <c r="X1890" t="inlineStr">
        <is>
          <t>1996-08-09</t>
        </is>
      </c>
      <c r="Y1890" t="n">
        <v>109</v>
      </c>
      <c r="Z1890" t="n">
        <v>95</v>
      </c>
      <c r="AA1890" t="n">
        <v>108</v>
      </c>
      <c r="AB1890" t="n">
        <v>1</v>
      </c>
      <c r="AC1890" t="n">
        <v>1</v>
      </c>
      <c r="AD1890" t="n">
        <v>3</v>
      </c>
      <c r="AE1890" t="n">
        <v>3</v>
      </c>
      <c r="AF1890" t="n">
        <v>1</v>
      </c>
      <c r="AG1890" t="n">
        <v>1</v>
      </c>
      <c r="AH1890" t="n">
        <v>2</v>
      </c>
      <c r="AI1890" t="n">
        <v>2</v>
      </c>
      <c r="AJ1890" t="n">
        <v>1</v>
      </c>
      <c r="AK1890" t="n">
        <v>1</v>
      </c>
      <c r="AL1890" t="n">
        <v>0</v>
      </c>
      <c r="AM1890" t="n">
        <v>0</v>
      </c>
      <c r="AN1890" t="n">
        <v>0</v>
      </c>
      <c r="AO1890" t="n">
        <v>0</v>
      </c>
      <c r="AP1890" t="inlineStr">
        <is>
          <t>No</t>
        </is>
      </c>
      <c r="AQ1890" t="inlineStr">
        <is>
          <t>Yes</t>
        </is>
      </c>
      <c r="AR1890">
        <f>HYPERLINK("http://catalog.hathitrust.org/Record/102074403","HathiTrust Record")</f>
        <v/>
      </c>
      <c r="AS1890">
        <f>HYPERLINK("https://creighton-primo.hosted.exlibrisgroup.com/primo-explore/search?tab=default_tab&amp;search_scope=EVERYTHING&amp;vid=01CRU&amp;lang=en_US&amp;offset=0&amp;query=any,contains,991003271999702656","Catalog Record")</f>
        <v/>
      </c>
      <c r="AT1890">
        <f>HYPERLINK("http://www.worldcat.org/oclc/797638","WorldCat Record")</f>
        <v/>
      </c>
      <c r="AU1890" t="inlineStr">
        <is>
          <t>5378201625:eng</t>
        </is>
      </c>
      <c r="AV1890" t="inlineStr">
        <is>
          <t>797638</t>
        </is>
      </c>
      <c r="AW1890" t="inlineStr">
        <is>
          <t>991003271999702656</t>
        </is>
      </c>
      <c r="AX1890" t="inlineStr">
        <is>
          <t>991003271999702656</t>
        </is>
      </c>
      <c r="AY1890" t="inlineStr">
        <is>
          <t>2258289790002656</t>
        </is>
      </c>
      <c r="AZ1890" t="inlineStr">
        <is>
          <t>BOOK</t>
        </is>
      </c>
      <c r="BB1890" t="inlineStr">
        <is>
          <t>9780842013796</t>
        </is>
      </c>
      <c r="BC1890" t="inlineStr">
        <is>
          <t>32285002273539</t>
        </is>
      </c>
      <c r="BD1890" t="inlineStr">
        <is>
          <t>893893556</t>
        </is>
      </c>
    </row>
    <row r="1891">
      <c r="A1891" t="inlineStr">
        <is>
          <t>No</t>
        </is>
      </c>
      <c r="B1891" t="inlineStr">
        <is>
          <t>DS709 .M645 1900</t>
        </is>
      </c>
      <c r="C1891" t="inlineStr">
        <is>
          <t>0                      DS 0709000M  645         1900</t>
        </is>
      </c>
      <c r="D1891" t="inlineStr">
        <is>
          <t>The story of China past and present : a history of the Chinese empire from the dawn of civilization to the present time / by J. Martin Miller ; illustrated with reproductions of original photographs, many of which were taken by the author.</t>
        </is>
      </c>
      <c r="F1891" t="inlineStr">
        <is>
          <t>No</t>
        </is>
      </c>
      <c r="G1891" t="inlineStr">
        <is>
          <t>1</t>
        </is>
      </c>
      <c r="H1891" t="inlineStr">
        <is>
          <t>No</t>
        </is>
      </c>
      <c r="I1891" t="inlineStr">
        <is>
          <t>No</t>
        </is>
      </c>
      <c r="J1891" t="inlineStr">
        <is>
          <t>0</t>
        </is>
      </c>
      <c r="K1891" t="inlineStr">
        <is>
          <t>Miller, J. Martin (James Martin), 1859-1939.</t>
        </is>
      </c>
      <c r="L1891" t="inlineStr">
        <is>
          <t>Chicago : A. B. Kuhlman, [1900]</t>
        </is>
      </c>
      <c r="M1891" t="inlineStr">
        <is>
          <t>1900</t>
        </is>
      </c>
      <c r="O1891" t="inlineStr">
        <is>
          <t>eng</t>
        </is>
      </c>
      <c r="P1891" t="inlineStr">
        <is>
          <t>ilu</t>
        </is>
      </c>
      <c r="R1891" t="inlineStr">
        <is>
          <t xml:space="preserve">DS </t>
        </is>
      </c>
      <c r="S1891" t="n">
        <v>13</v>
      </c>
      <c r="T1891" t="n">
        <v>13</v>
      </c>
      <c r="U1891" t="inlineStr">
        <is>
          <t>2002-03-04</t>
        </is>
      </c>
      <c r="V1891" t="inlineStr">
        <is>
          <t>2002-03-04</t>
        </is>
      </c>
      <c r="W1891" t="inlineStr">
        <is>
          <t>1995-11-28</t>
        </is>
      </c>
      <c r="X1891" t="inlineStr">
        <is>
          <t>1995-11-28</t>
        </is>
      </c>
      <c r="Y1891" t="n">
        <v>13</v>
      </c>
      <c r="Z1891" t="n">
        <v>12</v>
      </c>
      <c r="AA1891" t="n">
        <v>20</v>
      </c>
      <c r="AB1891" t="n">
        <v>1</v>
      </c>
      <c r="AC1891" t="n">
        <v>1</v>
      </c>
      <c r="AD1891" t="n">
        <v>0</v>
      </c>
      <c r="AE1891" t="n">
        <v>0</v>
      </c>
      <c r="AF1891" t="n">
        <v>0</v>
      </c>
      <c r="AG1891" t="n">
        <v>0</v>
      </c>
      <c r="AH1891" t="n">
        <v>0</v>
      </c>
      <c r="AI1891" t="n">
        <v>0</v>
      </c>
      <c r="AJ1891" t="n">
        <v>0</v>
      </c>
      <c r="AK1891" t="n">
        <v>0</v>
      </c>
      <c r="AL1891" t="n">
        <v>0</v>
      </c>
      <c r="AM1891" t="n">
        <v>0</v>
      </c>
      <c r="AN1891" t="n">
        <v>0</v>
      </c>
      <c r="AO1891" t="n">
        <v>0</v>
      </c>
      <c r="AP1891" t="inlineStr">
        <is>
          <t>Yes</t>
        </is>
      </c>
      <c r="AQ1891" t="inlineStr">
        <is>
          <t>No</t>
        </is>
      </c>
      <c r="AR1891">
        <f>HYPERLINK("http://catalog.hathitrust.org/Record/001871623","HathiTrust Record")</f>
        <v/>
      </c>
      <c r="AS1891">
        <f>HYPERLINK("https://creighton-primo.hosted.exlibrisgroup.com/primo-explore/search?tab=default_tab&amp;search_scope=EVERYTHING&amp;vid=01CRU&amp;lang=en_US&amp;offset=0&amp;query=any,contains,991000180889702656","Catalog Record")</f>
        <v/>
      </c>
      <c r="AT1891">
        <f>HYPERLINK("http://www.worldcat.org/oclc/9375822","WorldCat Record")</f>
        <v/>
      </c>
      <c r="AU1891" t="inlineStr">
        <is>
          <t>8086821:eng</t>
        </is>
      </c>
      <c r="AV1891" t="inlineStr">
        <is>
          <t>9375822</t>
        </is>
      </c>
      <c r="AW1891" t="inlineStr">
        <is>
          <t>991000180889702656</t>
        </is>
      </c>
      <c r="AX1891" t="inlineStr">
        <is>
          <t>991000180889702656</t>
        </is>
      </c>
      <c r="AY1891" t="inlineStr">
        <is>
          <t>2269712890002656</t>
        </is>
      </c>
      <c r="AZ1891" t="inlineStr">
        <is>
          <t>BOOK</t>
        </is>
      </c>
      <c r="BC1891" t="inlineStr">
        <is>
          <t>32285002120243</t>
        </is>
      </c>
      <c r="BD1891" t="inlineStr">
        <is>
          <t>893502317</t>
        </is>
      </c>
    </row>
    <row r="1892">
      <c r="A1892" t="inlineStr">
        <is>
          <t>No</t>
        </is>
      </c>
      <c r="B1892" t="inlineStr">
        <is>
          <t>DS709 .W723 1895</t>
        </is>
      </c>
      <c r="C1892" t="inlineStr">
        <is>
          <t>0                      DS 0709000W  723         1895</t>
        </is>
      </c>
      <c r="D1892" t="inlineStr">
        <is>
          <t>The Middle kingdom. A survey of the geography, government, literature, social life, arts, and history of the Chinese empire and its inhabitants. By S. Wells Williams.</t>
        </is>
      </c>
      <c r="E1892" t="inlineStr">
        <is>
          <t>V.1</t>
        </is>
      </c>
      <c r="F1892" t="inlineStr">
        <is>
          <t>Yes</t>
        </is>
      </c>
      <c r="G1892" t="inlineStr">
        <is>
          <t>1</t>
        </is>
      </c>
      <c r="H1892" t="inlineStr">
        <is>
          <t>No</t>
        </is>
      </c>
      <c r="I1892" t="inlineStr">
        <is>
          <t>No</t>
        </is>
      </c>
      <c r="J1892" t="inlineStr">
        <is>
          <t>0</t>
        </is>
      </c>
      <c r="K1892" t="inlineStr">
        <is>
          <t>Williams, S. Wells (Samuel Wells), 1812-1884.</t>
        </is>
      </c>
      <c r="L1892" t="inlineStr">
        <is>
          <t>New York, C. Scribner's sons, 1895 [c1882]</t>
        </is>
      </c>
      <c r="M1892" t="inlineStr">
        <is>
          <t>1895</t>
        </is>
      </c>
      <c r="N1892" t="inlineStr">
        <is>
          <t>Rev. ed.</t>
        </is>
      </c>
      <c r="O1892" t="inlineStr">
        <is>
          <t>eng</t>
        </is>
      </c>
      <c r="P1892" t="inlineStr">
        <is>
          <t>nyu</t>
        </is>
      </c>
      <c r="R1892" t="inlineStr">
        <is>
          <t xml:space="preserve">DS </t>
        </is>
      </c>
      <c r="S1892" t="n">
        <v>0</v>
      </c>
      <c r="T1892" t="n">
        <v>2</v>
      </c>
      <c r="V1892" t="inlineStr">
        <is>
          <t>2004-12-08</t>
        </is>
      </c>
      <c r="W1892" t="inlineStr">
        <is>
          <t>1997-03-11</t>
        </is>
      </c>
      <c r="X1892" t="inlineStr">
        <is>
          <t>1997-03-11</t>
        </is>
      </c>
      <c r="Y1892" t="n">
        <v>56</v>
      </c>
      <c r="Z1892" t="n">
        <v>54</v>
      </c>
      <c r="AA1892" t="n">
        <v>88</v>
      </c>
      <c r="AB1892" t="n">
        <v>1</v>
      </c>
      <c r="AC1892" t="n">
        <v>1</v>
      </c>
      <c r="AD1892" t="n">
        <v>4</v>
      </c>
      <c r="AE1892" t="n">
        <v>4</v>
      </c>
      <c r="AF1892" t="n">
        <v>1</v>
      </c>
      <c r="AG1892" t="n">
        <v>1</v>
      </c>
      <c r="AH1892" t="n">
        <v>4</v>
      </c>
      <c r="AI1892" t="n">
        <v>4</v>
      </c>
      <c r="AJ1892" t="n">
        <v>1</v>
      </c>
      <c r="AK1892" t="n">
        <v>1</v>
      </c>
      <c r="AL1892" t="n">
        <v>0</v>
      </c>
      <c r="AM1892" t="n">
        <v>0</v>
      </c>
      <c r="AN1892" t="n">
        <v>0</v>
      </c>
      <c r="AO1892" t="n">
        <v>0</v>
      </c>
      <c r="AP1892" t="inlineStr">
        <is>
          <t>No</t>
        </is>
      </c>
      <c r="AQ1892" t="inlineStr">
        <is>
          <t>No</t>
        </is>
      </c>
      <c r="AS1892">
        <f>HYPERLINK("https://creighton-primo.hosted.exlibrisgroup.com/primo-explore/search?tab=default_tab&amp;search_scope=EVERYTHING&amp;vid=01CRU&amp;lang=en_US&amp;offset=0&amp;query=any,contains,991004217079702656","Catalog Record")</f>
        <v/>
      </c>
      <c r="AT1892">
        <f>HYPERLINK("http://www.worldcat.org/oclc/2700557","WorldCat Record")</f>
        <v/>
      </c>
      <c r="AU1892" t="inlineStr">
        <is>
          <t>10178148371:eng</t>
        </is>
      </c>
      <c r="AV1892" t="inlineStr">
        <is>
          <t>2700557</t>
        </is>
      </c>
      <c r="AW1892" t="inlineStr">
        <is>
          <t>991004217079702656</t>
        </is>
      </c>
      <c r="AX1892" t="inlineStr">
        <is>
          <t>991004217079702656</t>
        </is>
      </c>
      <c r="AY1892" t="inlineStr">
        <is>
          <t>2257781320002656</t>
        </is>
      </c>
      <c r="AZ1892" t="inlineStr">
        <is>
          <t>BOOK</t>
        </is>
      </c>
      <c r="BC1892" t="inlineStr">
        <is>
          <t>32285002446002</t>
        </is>
      </c>
      <c r="BD1892" t="inlineStr">
        <is>
          <t>893593424</t>
        </is>
      </c>
    </row>
    <row r="1893">
      <c r="A1893" t="inlineStr">
        <is>
          <t>No</t>
        </is>
      </c>
      <c r="B1893" t="inlineStr">
        <is>
          <t>DS709 .W723 1895</t>
        </is>
      </c>
      <c r="C1893" t="inlineStr">
        <is>
          <t>0                      DS 0709000W  723         1895</t>
        </is>
      </c>
      <c r="D1893" t="inlineStr">
        <is>
          <t>The Middle kingdom. A survey of the geography, government, literature, social life, arts, and history of the Chinese empire and its inhabitants. By S. Wells Williams.</t>
        </is>
      </c>
      <c r="E1893" t="inlineStr">
        <is>
          <t>V.2</t>
        </is>
      </c>
      <c r="F1893" t="inlineStr">
        <is>
          <t>Yes</t>
        </is>
      </c>
      <c r="G1893" t="inlineStr">
        <is>
          <t>1</t>
        </is>
      </c>
      <c r="H1893" t="inlineStr">
        <is>
          <t>No</t>
        </is>
      </c>
      <c r="I1893" t="inlineStr">
        <is>
          <t>No</t>
        </is>
      </c>
      <c r="J1893" t="inlineStr">
        <is>
          <t>0</t>
        </is>
      </c>
      <c r="K1893" t="inlineStr">
        <is>
          <t>Williams, S. Wells (Samuel Wells), 1812-1884.</t>
        </is>
      </c>
      <c r="L1893" t="inlineStr">
        <is>
          <t>New York, C. Scribner's sons, 1895 [c1882]</t>
        </is>
      </c>
      <c r="M1893" t="inlineStr">
        <is>
          <t>1895</t>
        </is>
      </c>
      <c r="N1893" t="inlineStr">
        <is>
          <t>Rev. ed.</t>
        </is>
      </c>
      <c r="O1893" t="inlineStr">
        <is>
          <t>eng</t>
        </is>
      </c>
      <c r="P1893" t="inlineStr">
        <is>
          <t>nyu</t>
        </is>
      </c>
      <c r="R1893" t="inlineStr">
        <is>
          <t xml:space="preserve">DS </t>
        </is>
      </c>
      <c r="S1893" t="n">
        <v>2</v>
      </c>
      <c r="T1893" t="n">
        <v>2</v>
      </c>
      <c r="U1893" t="inlineStr">
        <is>
          <t>2004-12-08</t>
        </is>
      </c>
      <c r="V1893" t="inlineStr">
        <is>
          <t>2004-12-08</t>
        </is>
      </c>
      <c r="W1893" t="inlineStr">
        <is>
          <t>1997-03-11</t>
        </is>
      </c>
      <c r="X1893" t="inlineStr">
        <is>
          <t>1997-03-11</t>
        </is>
      </c>
      <c r="Y1893" t="n">
        <v>56</v>
      </c>
      <c r="Z1893" t="n">
        <v>54</v>
      </c>
      <c r="AA1893" t="n">
        <v>88</v>
      </c>
      <c r="AB1893" t="n">
        <v>1</v>
      </c>
      <c r="AC1893" t="n">
        <v>1</v>
      </c>
      <c r="AD1893" t="n">
        <v>4</v>
      </c>
      <c r="AE1893" t="n">
        <v>4</v>
      </c>
      <c r="AF1893" t="n">
        <v>1</v>
      </c>
      <c r="AG1893" t="n">
        <v>1</v>
      </c>
      <c r="AH1893" t="n">
        <v>4</v>
      </c>
      <c r="AI1893" t="n">
        <v>4</v>
      </c>
      <c r="AJ1893" t="n">
        <v>1</v>
      </c>
      <c r="AK1893" t="n">
        <v>1</v>
      </c>
      <c r="AL1893" t="n">
        <v>0</v>
      </c>
      <c r="AM1893" t="n">
        <v>0</v>
      </c>
      <c r="AN1893" t="n">
        <v>0</v>
      </c>
      <c r="AO1893" t="n">
        <v>0</v>
      </c>
      <c r="AP1893" t="inlineStr">
        <is>
          <t>No</t>
        </is>
      </c>
      <c r="AQ1893" t="inlineStr">
        <is>
          <t>No</t>
        </is>
      </c>
      <c r="AS1893">
        <f>HYPERLINK("https://creighton-primo.hosted.exlibrisgroup.com/primo-explore/search?tab=default_tab&amp;search_scope=EVERYTHING&amp;vid=01CRU&amp;lang=en_US&amp;offset=0&amp;query=any,contains,991004217079702656","Catalog Record")</f>
        <v/>
      </c>
      <c r="AT1893">
        <f>HYPERLINK("http://www.worldcat.org/oclc/2700557","WorldCat Record")</f>
        <v/>
      </c>
      <c r="AU1893" t="inlineStr">
        <is>
          <t>10178148371:eng</t>
        </is>
      </c>
      <c r="AV1893" t="inlineStr">
        <is>
          <t>2700557</t>
        </is>
      </c>
      <c r="AW1893" t="inlineStr">
        <is>
          <t>991004217079702656</t>
        </is>
      </c>
      <c r="AX1893" t="inlineStr">
        <is>
          <t>991004217079702656</t>
        </is>
      </c>
      <c r="AY1893" t="inlineStr">
        <is>
          <t>2257781320002656</t>
        </is>
      </c>
      <c r="AZ1893" t="inlineStr">
        <is>
          <t>BOOK</t>
        </is>
      </c>
      <c r="BC1893" t="inlineStr">
        <is>
          <t>32285002446010</t>
        </is>
      </c>
      <c r="BD1893" t="inlineStr">
        <is>
          <t>893593423</t>
        </is>
      </c>
    </row>
    <row r="1894">
      <c r="A1894" t="inlineStr">
        <is>
          <t>No</t>
        </is>
      </c>
      <c r="B1894" t="inlineStr">
        <is>
          <t>DS709 .W74 1972</t>
        </is>
      </c>
      <c r="C1894" t="inlineStr">
        <is>
          <t>0                      DS 0709000W  74          1972</t>
        </is>
      </c>
      <c r="D1894" t="inlineStr">
        <is>
          <t>China: travels and investigations in the "Middle Kingdom," a study of its civilization and possibilities, with a glance at Japan.</t>
        </is>
      </c>
      <c r="F1894" t="inlineStr">
        <is>
          <t>No</t>
        </is>
      </c>
      <c r="G1894" t="inlineStr">
        <is>
          <t>1</t>
        </is>
      </c>
      <c r="H1894" t="inlineStr">
        <is>
          <t>No</t>
        </is>
      </c>
      <c r="I1894" t="inlineStr">
        <is>
          <t>No</t>
        </is>
      </c>
      <c r="J1894" t="inlineStr">
        <is>
          <t>0</t>
        </is>
      </c>
      <c r="K1894" t="inlineStr">
        <is>
          <t>Wilson, James Harrison, 1837-1925.</t>
        </is>
      </c>
      <c r="L1894" t="inlineStr">
        <is>
          <t>Wilmington, Del., Scholarly Resources [1972]</t>
        </is>
      </c>
      <c r="M1894" t="inlineStr">
        <is>
          <t>1972</t>
        </is>
      </c>
      <c r="O1894" t="inlineStr">
        <is>
          <t>eng</t>
        </is>
      </c>
      <c r="P1894" t="inlineStr">
        <is>
          <t>deu</t>
        </is>
      </c>
      <c r="R1894" t="inlineStr">
        <is>
          <t xml:space="preserve">DS </t>
        </is>
      </c>
      <c r="S1894" t="n">
        <v>0</v>
      </c>
      <c r="T1894" t="n">
        <v>0</v>
      </c>
      <c r="U1894" t="inlineStr">
        <is>
          <t>2003-01-31</t>
        </is>
      </c>
      <c r="V1894" t="inlineStr">
        <is>
          <t>2003-01-31</t>
        </is>
      </c>
      <c r="W1894" t="inlineStr">
        <is>
          <t>1997-03-11</t>
        </is>
      </c>
      <c r="X1894" t="inlineStr">
        <is>
          <t>1997-03-11</t>
        </is>
      </c>
      <c r="Y1894" t="n">
        <v>115</v>
      </c>
      <c r="Z1894" t="n">
        <v>98</v>
      </c>
      <c r="AA1894" t="n">
        <v>254</v>
      </c>
      <c r="AB1894" t="n">
        <v>1</v>
      </c>
      <c r="AC1894" t="n">
        <v>1</v>
      </c>
      <c r="AD1894" t="n">
        <v>4</v>
      </c>
      <c r="AE1894" t="n">
        <v>12</v>
      </c>
      <c r="AF1894" t="n">
        <v>1</v>
      </c>
      <c r="AG1894" t="n">
        <v>3</v>
      </c>
      <c r="AH1894" t="n">
        <v>3</v>
      </c>
      <c r="AI1894" t="n">
        <v>5</v>
      </c>
      <c r="AJ1894" t="n">
        <v>2</v>
      </c>
      <c r="AK1894" t="n">
        <v>7</v>
      </c>
      <c r="AL1894" t="n">
        <v>0</v>
      </c>
      <c r="AM1894" t="n">
        <v>0</v>
      </c>
      <c r="AN1894" t="n">
        <v>0</v>
      </c>
      <c r="AO1894" t="n">
        <v>0</v>
      </c>
      <c r="AP1894" t="inlineStr">
        <is>
          <t>No</t>
        </is>
      </c>
      <c r="AQ1894" t="inlineStr">
        <is>
          <t>Yes</t>
        </is>
      </c>
      <c r="AR1894">
        <f>HYPERLINK("http://catalog.hathitrust.org/Record/000168120","HathiTrust Record")</f>
        <v/>
      </c>
      <c r="AS1894">
        <f>HYPERLINK("https://creighton-primo.hosted.exlibrisgroup.com/primo-explore/search?tab=default_tab&amp;search_scope=EVERYTHING&amp;vid=01CRU&amp;lang=en_US&amp;offset=0&amp;query=any,contains,991002852869702656","Catalog Record")</f>
        <v/>
      </c>
      <c r="AT1894">
        <f>HYPERLINK("http://www.worldcat.org/oclc/488042","WorldCat Record")</f>
        <v/>
      </c>
      <c r="AU1894" t="inlineStr">
        <is>
          <t>1574659:eng</t>
        </is>
      </c>
      <c r="AV1894" t="inlineStr">
        <is>
          <t>488042</t>
        </is>
      </c>
      <c r="AW1894" t="inlineStr">
        <is>
          <t>991002852869702656</t>
        </is>
      </c>
      <c r="AX1894" t="inlineStr">
        <is>
          <t>991002852869702656</t>
        </is>
      </c>
      <c r="AY1894" t="inlineStr">
        <is>
          <t>2255009490002656</t>
        </is>
      </c>
      <c r="AZ1894" t="inlineStr">
        <is>
          <t>BOOK</t>
        </is>
      </c>
      <c r="BB1894" t="inlineStr">
        <is>
          <t>9780842013642</t>
        </is>
      </c>
      <c r="BC1894" t="inlineStr">
        <is>
          <t>32285002446028</t>
        </is>
      </c>
      <c r="BD1894" t="inlineStr">
        <is>
          <t>893530560</t>
        </is>
      </c>
    </row>
    <row r="1895">
      <c r="A1895" t="inlineStr">
        <is>
          <t>No</t>
        </is>
      </c>
      <c r="B1895" t="inlineStr">
        <is>
          <t>DS71 .O33</t>
        </is>
      </c>
      <c r="C1895" t="inlineStr">
        <is>
          <t>0                      DS 0071000O  33</t>
        </is>
      </c>
      <c r="D1895" t="inlineStr">
        <is>
          <t>Studies in the ancient history of Northern Iraq.</t>
        </is>
      </c>
      <c r="F1895" t="inlineStr">
        <is>
          <t>No</t>
        </is>
      </c>
      <c r="G1895" t="inlineStr">
        <is>
          <t>1</t>
        </is>
      </c>
      <c r="H1895" t="inlineStr">
        <is>
          <t>No</t>
        </is>
      </c>
      <c r="I1895" t="inlineStr">
        <is>
          <t>No</t>
        </is>
      </c>
      <c r="J1895" t="inlineStr">
        <is>
          <t>0</t>
        </is>
      </c>
      <c r="K1895" t="inlineStr">
        <is>
          <t>Oates, David, 1927-2004.</t>
        </is>
      </c>
      <c r="L1895" t="inlineStr">
        <is>
          <t>London, published for the British Academy by Oxford, U.P., 1968.</t>
        </is>
      </c>
      <c r="M1895" t="inlineStr">
        <is>
          <t>1968</t>
        </is>
      </c>
      <c r="O1895" t="inlineStr">
        <is>
          <t>eng</t>
        </is>
      </c>
      <c r="P1895" t="inlineStr">
        <is>
          <t>enk</t>
        </is>
      </c>
      <c r="R1895" t="inlineStr">
        <is>
          <t xml:space="preserve">DS </t>
        </is>
      </c>
      <c r="S1895" t="n">
        <v>3</v>
      </c>
      <c r="T1895" t="n">
        <v>3</v>
      </c>
      <c r="U1895" t="inlineStr">
        <is>
          <t>1999-12-05</t>
        </is>
      </c>
      <c r="V1895" t="inlineStr">
        <is>
          <t>1999-12-05</t>
        </is>
      </c>
      <c r="W1895" t="inlineStr">
        <is>
          <t>1997-02-24</t>
        </is>
      </c>
      <c r="X1895" t="inlineStr">
        <is>
          <t>1997-02-24</t>
        </is>
      </c>
      <c r="Y1895" t="n">
        <v>331</v>
      </c>
      <c r="Z1895" t="n">
        <v>260</v>
      </c>
      <c r="AA1895" t="n">
        <v>287</v>
      </c>
      <c r="AB1895" t="n">
        <v>3</v>
      </c>
      <c r="AC1895" t="n">
        <v>3</v>
      </c>
      <c r="AD1895" t="n">
        <v>10</v>
      </c>
      <c r="AE1895" t="n">
        <v>11</v>
      </c>
      <c r="AF1895" t="n">
        <v>0</v>
      </c>
      <c r="AG1895" t="n">
        <v>0</v>
      </c>
      <c r="AH1895" t="n">
        <v>2</v>
      </c>
      <c r="AI1895" t="n">
        <v>3</v>
      </c>
      <c r="AJ1895" t="n">
        <v>7</v>
      </c>
      <c r="AK1895" t="n">
        <v>7</v>
      </c>
      <c r="AL1895" t="n">
        <v>2</v>
      </c>
      <c r="AM1895" t="n">
        <v>2</v>
      </c>
      <c r="AN1895" t="n">
        <v>0</v>
      </c>
      <c r="AO1895" t="n">
        <v>0</v>
      </c>
      <c r="AP1895" t="inlineStr">
        <is>
          <t>No</t>
        </is>
      </c>
      <c r="AQ1895" t="inlineStr">
        <is>
          <t>No</t>
        </is>
      </c>
      <c r="AS1895">
        <f>HYPERLINK("https://creighton-primo.hosted.exlibrisgroup.com/primo-explore/search?tab=default_tab&amp;search_scope=EVERYTHING&amp;vid=01CRU&amp;lang=en_US&amp;offset=0&amp;query=any,contains,991002815679702656","Catalog Record")</f>
        <v/>
      </c>
      <c r="AT1895">
        <f>HYPERLINK("http://www.worldcat.org/oclc/458715","WorldCat Record")</f>
        <v/>
      </c>
      <c r="AU1895" t="inlineStr">
        <is>
          <t>1480938:eng</t>
        </is>
      </c>
      <c r="AV1895" t="inlineStr">
        <is>
          <t>458715</t>
        </is>
      </c>
      <c r="AW1895" t="inlineStr">
        <is>
          <t>991002815679702656</t>
        </is>
      </c>
      <c r="AX1895" t="inlineStr">
        <is>
          <t>991002815679702656</t>
        </is>
      </c>
      <c r="AY1895" t="inlineStr">
        <is>
          <t>2265952640002656</t>
        </is>
      </c>
      <c r="AZ1895" t="inlineStr">
        <is>
          <t>BOOK</t>
        </is>
      </c>
      <c r="BC1895" t="inlineStr">
        <is>
          <t>32285002460292</t>
        </is>
      </c>
      <c r="BD1895" t="inlineStr">
        <is>
          <t>893511227</t>
        </is>
      </c>
    </row>
    <row r="1896">
      <c r="A1896" t="inlineStr">
        <is>
          <t>No</t>
        </is>
      </c>
      <c r="B1896" t="inlineStr">
        <is>
          <t>DS71 .R34</t>
        </is>
      </c>
      <c r="C1896" t="inlineStr">
        <is>
          <t>0                      DS 0071000R  34</t>
        </is>
      </c>
      <c r="D1896" t="inlineStr">
        <is>
          <t>Assyria : from the rise of the empire to the fall of Nineveh ; continued from the story of Chaldea / by Zénaïde A. Ragozin.</t>
        </is>
      </c>
      <c r="F1896" t="inlineStr">
        <is>
          <t>No</t>
        </is>
      </c>
      <c r="G1896" t="inlineStr">
        <is>
          <t>1</t>
        </is>
      </c>
      <c r="H1896" t="inlineStr">
        <is>
          <t>No</t>
        </is>
      </c>
      <c r="I1896" t="inlineStr">
        <is>
          <t>No</t>
        </is>
      </c>
      <c r="J1896" t="inlineStr">
        <is>
          <t>0</t>
        </is>
      </c>
      <c r="K1896" t="inlineStr">
        <is>
          <t>Ragozin, Zénaïde A. (Zénaïde Alexeïevna), 1835-1924.</t>
        </is>
      </c>
      <c r="L1896" t="inlineStr">
        <is>
          <t>New York : G. P. Putnam's sons, 1901.</t>
        </is>
      </c>
      <c r="M1896" t="inlineStr">
        <is>
          <t>1901</t>
        </is>
      </c>
      <c r="O1896" t="inlineStr">
        <is>
          <t>eng</t>
        </is>
      </c>
      <c r="P1896" t="inlineStr">
        <is>
          <t>nyu</t>
        </is>
      </c>
      <c r="Q1896" t="inlineStr">
        <is>
          <t>The story of the nations.</t>
        </is>
      </c>
      <c r="R1896" t="inlineStr">
        <is>
          <t xml:space="preserve">DS </t>
        </is>
      </c>
      <c r="S1896" t="n">
        <v>4</v>
      </c>
      <c r="T1896" t="n">
        <v>4</v>
      </c>
      <c r="U1896" t="inlineStr">
        <is>
          <t>1999-12-05</t>
        </is>
      </c>
      <c r="V1896" t="inlineStr">
        <is>
          <t>1999-12-05</t>
        </is>
      </c>
      <c r="W1896" t="inlineStr">
        <is>
          <t>1996-05-22</t>
        </is>
      </c>
      <c r="X1896" t="inlineStr">
        <is>
          <t>1996-05-22</t>
        </is>
      </c>
      <c r="Y1896" t="n">
        <v>13</v>
      </c>
      <c r="Z1896" t="n">
        <v>13</v>
      </c>
      <c r="AA1896" t="n">
        <v>97</v>
      </c>
      <c r="AB1896" t="n">
        <v>1</v>
      </c>
      <c r="AC1896" t="n">
        <v>2</v>
      </c>
      <c r="AD1896" t="n">
        <v>1</v>
      </c>
      <c r="AE1896" t="n">
        <v>6</v>
      </c>
      <c r="AF1896" t="n">
        <v>0</v>
      </c>
      <c r="AG1896" t="n">
        <v>1</v>
      </c>
      <c r="AH1896" t="n">
        <v>0</v>
      </c>
      <c r="AI1896" t="n">
        <v>1</v>
      </c>
      <c r="AJ1896" t="n">
        <v>1</v>
      </c>
      <c r="AK1896" t="n">
        <v>3</v>
      </c>
      <c r="AL1896" t="n">
        <v>0</v>
      </c>
      <c r="AM1896" t="n">
        <v>1</v>
      </c>
      <c r="AN1896" t="n">
        <v>0</v>
      </c>
      <c r="AO1896" t="n">
        <v>0</v>
      </c>
      <c r="AP1896" t="inlineStr">
        <is>
          <t>No</t>
        </is>
      </c>
      <c r="AQ1896" t="inlineStr">
        <is>
          <t>No</t>
        </is>
      </c>
      <c r="AS1896">
        <f>HYPERLINK("https://creighton-primo.hosted.exlibrisgroup.com/primo-explore/search?tab=default_tab&amp;search_scope=EVERYTHING&amp;vid=01CRU&amp;lang=en_US&amp;offset=0&amp;query=any,contains,991000899339702656","Catalog Record")</f>
        <v/>
      </c>
      <c r="AT1896">
        <f>HYPERLINK("http://www.worldcat.org/oclc/14013189","WorldCat Record")</f>
        <v/>
      </c>
      <c r="AU1896" t="inlineStr">
        <is>
          <t>905397208:eng</t>
        </is>
      </c>
      <c r="AV1896" t="inlineStr">
        <is>
          <t>14013189</t>
        </is>
      </c>
      <c r="AW1896" t="inlineStr">
        <is>
          <t>991000899339702656</t>
        </is>
      </c>
      <c r="AX1896" t="inlineStr">
        <is>
          <t>991000899339702656</t>
        </is>
      </c>
      <c r="AY1896" t="inlineStr">
        <is>
          <t>2259110600002656</t>
        </is>
      </c>
      <c r="AZ1896" t="inlineStr">
        <is>
          <t>BOOK</t>
        </is>
      </c>
      <c r="BC1896" t="inlineStr">
        <is>
          <t>32285002121217</t>
        </is>
      </c>
      <c r="BD1896" t="inlineStr">
        <is>
          <t>893772089</t>
        </is>
      </c>
    </row>
    <row r="1897">
      <c r="A1897" t="inlineStr">
        <is>
          <t>No</t>
        </is>
      </c>
      <c r="B1897" t="inlineStr">
        <is>
          <t>DS71 .R78 1980</t>
        </is>
      </c>
      <c r="C1897" t="inlineStr">
        <is>
          <t>0                      DS 0071000R  78          1980</t>
        </is>
      </c>
      <c r="D1897" t="inlineStr">
        <is>
          <t>Ancient Iraq / Georges Roux.</t>
        </is>
      </c>
      <c r="F1897" t="inlineStr">
        <is>
          <t>No</t>
        </is>
      </c>
      <c r="G1897" t="inlineStr">
        <is>
          <t>1</t>
        </is>
      </c>
      <c r="H1897" t="inlineStr">
        <is>
          <t>No</t>
        </is>
      </c>
      <c r="I1897" t="inlineStr">
        <is>
          <t>No</t>
        </is>
      </c>
      <c r="J1897" t="inlineStr">
        <is>
          <t>0</t>
        </is>
      </c>
      <c r="K1897" t="inlineStr">
        <is>
          <t>Roux, Georges, 1914-</t>
        </is>
      </c>
      <c r="L1897" t="inlineStr">
        <is>
          <t>Harmondsworth, Middlesex, Eng. : Penguin Books, 1980.</t>
        </is>
      </c>
      <c r="M1897" t="inlineStr">
        <is>
          <t>1980</t>
        </is>
      </c>
      <c r="N1897" t="inlineStr">
        <is>
          <t>2d ed.</t>
        </is>
      </c>
      <c r="O1897" t="inlineStr">
        <is>
          <t>eng</t>
        </is>
      </c>
      <c r="P1897" t="inlineStr">
        <is>
          <t>enk</t>
        </is>
      </c>
      <c r="Q1897" t="inlineStr">
        <is>
          <t>Pelican books</t>
        </is>
      </c>
      <c r="R1897" t="inlineStr">
        <is>
          <t xml:space="preserve">DS </t>
        </is>
      </c>
      <c r="S1897" t="n">
        <v>4</v>
      </c>
      <c r="T1897" t="n">
        <v>4</v>
      </c>
      <c r="U1897" t="inlineStr">
        <is>
          <t>1999-12-05</t>
        </is>
      </c>
      <c r="V1897" t="inlineStr">
        <is>
          <t>1999-12-05</t>
        </is>
      </c>
      <c r="W1897" t="inlineStr">
        <is>
          <t>1991-06-13</t>
        </is>
      </c>
      <c r="X1897" t="inlineStr">
        <is>
          <t>1991-06-13</t>
        </is>
      </c>
      <c r="Y1897" t="n">
        <v>313</v>
      </c>
      <c r="Z1897" t="n">
        <v>233</v>
      </c>
      <c r="AA1897" t="n">
        <v>1411</v>
      </c>
      <c r="AB1897" t="n">
        <v>2</v>
      </c>
      <c r="AC1897" t="n">
        <v>10</v>
      </c>
      <c r="AD1897" t="n">
        <v>10</v>
      </c>
      <c r="AE1897" t="n">
        <v>43</v>
      </c>
      <c r="AF1897" t="n">
        <v>4</v>
      </c>
      <c r="AG1897" t="n">
        <v>17</v>
      </c>
      <c r="AH1897" t="n">
        <v>1</v>
      </c>
      <c r="AI1897" t="n">
        <v>7</v>
      </c>
      <c r="AJ1897" t="n">
        <v>5</v>
      </c>
      <c r="AK1897" t="n">
        <v>21</v>
      </c>
      <c r="AL1897" t="n">
        <v>1</v>
      </c>
      <c r="AM1897" t="n">
        <v>7</v>
      </c>
      <c r="AN1897" t="n">
        <v>0</v>
      </c>
      <c r="AO1897" t="n">
        <v>0</v>
      </c>
      <c r="AP1897" t="inlineStr">
        <is>
          <t>No</t>
        </is>
      </c>
      <c r="AQ1897" t="inlineStr">
        <is>
          <t>Yes</t>
        </is>
      </c>
      <c r="AR1897">
        <f>HYPERLINK("http://catalog.hathitrust.org/Record/007116245","HathiTrust Record")</f>
        <v/>
      </c>
      <c r="AS1897">
        <f>HYPERLINK("https://creighton-primo.hosted.exlibrisgroup.com/primo-explore/search?tab=default_tab&amp;search_scope=EVERYTHING&amp;vid=01CRU&amp;lang=en_US&amp;offset=0&amp;query=any,contains,991005056239702656","Catalog Record")</f>
        <v/>
      </c>
      <c r="AT1897">
        <f>HYPERLINK("http://www.worldcat.org/oclc/6896516","WorldCat Record")</f>
        <v/>
      </c>
      <c r="AU1897" t="inlineStr">
        <is>
          <t>12372978:eng</t>
        </is>
      </c>
      <c r="AV1897" t="inlineStr">
        <is>
          <t>6896516</t>
        </is>
      </c>
      <c r="AW1897" t="inlineStr">
        <is>
          <t>991005056239702656</t>
        </is>
      </c>
      <c r="AX1897" t="inlineStr">
        <is>
          <t>991005056239702656</t>
        </is>
      </c>
      <c r="AY1897" t="inlineStr">
        <is>
          <t>2272525810002656</t>
        </is>
      </c>
      <c r="AZ1897" t="inlineStr">
        <is>
          <t>BOOK</t>
        </is>
      </c>
      <c r="BB1897" t="inlineStr">
        <is>
          <t>9780140208283</t>
        </is>
      </c>
      <c r="BC1897" t="inlineStr">
        <is>
          <t>32285000655638</t>
        </is>
      </c>
      <c r="BD1897" t="inlineStr">
        <is>
          <t>893242128</t>
        </is>
      </c>
    </row>
    <row r="1898">
      <c r="A1898" t="inlineStr">
        <is>
          <t>No</t>
        </is>
      </c>
      <c r="B1898" t="inlineStr">
        <is>
          <t>DS71 .S24 1995b</t>
        </is>
      </c>
      <c r="C1898" t="inlineStr">
        <is>
          <t>0                      DS 0071000S  24          1995b</t>
        </is>
      </c>
      <c r="D1898" t="inlineStr">
        <is>
          <t>Babylonians / H.W.F. Saggs.</t>
        </is>
      </c>
      <c r="F1898" t="inlineStr">
        <is>
          <t>No</t>
        </is>
      </c>
      <c r="G1898" t="inlineStr">
        <is>
          <t>1</t>
        </is>
      </c>
      <c r="H1898" t="inlineStr">
        <is>
          <t>No</t>
        </is>
      </c>
      <c r="I1898" t="inlineStr">
        <is>
          <t>No</t>
        </is>
      </c>
      <c r="J1898" t="inlineStr">
        <is>
          <t>0</t>
        </is>
      </c>
      <c r="K1898" t="inlineStr">
        <is>
          <t>Saggs, H. W. F.</t>
        </is>
      </c>
      <c r="L1898" t="inlineStr">
        <is>
          <t>Norman : University of Oklahoma Press, c1995.</t>
        </is>
      </c>
      <c r="M1898" t="inlineStr">
        <is>
          <t>1995</t>
        </is>
      </c>
      <c r="O1898" t="inlineStr">
        <is>
          <t>eng</t>
        </is>
      </c>
      <c r="P1898" t="inlineStr">
        <is>
          <t>oku</t>
        </is>
      </c>
      <c r="Q1898" t="inlineStr">
        <is>
          <t>Peoples of the past ; v. 1</t>
        </is>
      </c>
      <c r="R1898" t="inlineStr">
        <is>
          <t xml:space="preserve">DS </t>
        </is>
      </c>
      <c r="S1898" t="n">
        <v>2</v>
      </c>
      <c r="T1898" t="n">
        <v>2</v>
      </c>
      <c r="U1898" t="inlineStr">
        <is>
          <t>1997-10-19</t>
        </is>
      </c>
      <c r="V1898" t="inlineStr">
        <is>
          <t>1997-10-19</t>
        </is>
      </c>
      <c r="W1898" t="inlineStr">
        <is>
          <t>1997-10-02</t>
        </is>
      </c>
      <c r="X1898" t="inlineStr">
        <is>
          <t>1997-10-02</t>
        </is>
      </c>
      <c r="Y1898" t="n">
        <v>482</v>
      </c>
      <c r="Z1898" t="n">
        <v>442</v>
      </c>
      <c r="AA1898" t="n">
        <v>675</v>
      </c>
      <c r="AB1898" t="n">
        <v>2</v>
      </c>
      <c r="AC1898" t="n">
        <v>5</v>
      </c>
      <c r="AD1898" t="n">
        <v>15</v>
      </c>
      <c r="AE1898" t="n">
        <v>23</v>
      </c>
      <c r="AF1898" t="n">
        <v>7</v>
      </c>
      <c r="AG1898" t="n">
        <v>9</v>
      </c>
      <c r="AH1898" t="n">
        <v>4</v>
      </c>
      <c r="AI1898" t="n">
        <v>6</v>
      </c>
      <c r="AJ1898" t="n">
        <v>10</v>
      </c>
      <c r="AK1898" t="n">
        <v>12</v>
      </c>
      <c r="AL1898" t="n">
        <v>0</v>
      </c>
      <c r="AM1898" t="n">
        <v>3</v>
      </c>
      <c r="AN1898" t="n">
        <v>0</v>
      </c>
      <c r="AO1898" t="n">
        <v>0</v>
      </c>
      <c r="AP1898" t="inlineStr">
        <is>
          <t>No</t>
        </is>
      </c>
      <c r="AQ1898" t="inlineStr">
        <is>
          <t>No</t>
        </is>
      </c>
      <c r="AS1898">
        <f>HYPERLINK("https://creighton-primo.hosted.exlibrisgroup.com/primo-explore/search?tab=default_tab&amp;search_scope=EVERYTHING&amp;vid=01CRU&amp;lang=en_US&amp;offset=0&amp;query=any,contains,991002452419702656","Catalog Record")</f>
        <v/>
      </c>
      <c r="AT1898">
        <f>HYPERLINK("http://www.worldcat.org/oclc/31971453","WorldCat Record")</f>
        <v/>
      </c>
      <c r="AU1898" t="inlineStr">
        <is>
          <t>33871476:eng</t>
        </is>
      </c>
      <c r="AV1898" t="inlineStr">
        <is>
          <t>31971453</t>
        </is>
      </c>
      <c r="AW1898" t="inlineStr">
        <is>
          <t>991002452419702656</t>
        </is>
      </c>
      <c r="AX1898" t="inlineStr">
        <is>
          <t>991002452419702656</t>
        </is>
      </c>
      <c r="AY1898" t="inlineStr">
        <is>
          <t>2266994900002656</t>
        </is>
      </c>
      <c r="AZ1898" t="inlineStr">
        <is>
          <t>BOOK</t>
        </is>
      </c>
      <c r="BB1898" t="inlineStr">
        <is>
          <t>9780806127651</t>
        </is>
      </c>
      <c r="BC1898" t="inlineStr">
        <is>
          <t>32285003252276</t>
        </is>
      </c>
      <c r="BD1898" t="inlineStr">
        <is>
          <t>893510753</t>
        </is>
      </c>
    </row>
    <row r="1899">
      <c r="A1899" t="inlineStr">
        <is>
          <t>No</t>
        </is>
      </c>
      <c r="B1899" t="inlineStr">
        <is>
          <t>DS71 .V35 1999</t>
        </is>
      </c>
      <c r="C1899" t="inlineStr">
        <is>
          <t>0                      DS 0071000V  35          1999</t>
        </is>
      </c>
      <c r="D1899" t="inlineStr">
        <is>
          <t>Cuneiform texts and the writing of history / Marc Van de Mieroop.</t>
        </is>
      </c>
      <c r="F1899" t="inlineStr">
        <is>
          <t>No</t>
        </is>
      </c>
      <c r="G1899" t="inlineStr">
        <is>
          <t>1</t>
        </is>
      </c>
      <c r="H1899" t="inlineStr">
        <is>
          <t>No</t>
        </is>
      </c>
      <c r="I1899" t="inlineStr">
        <is>
          <t>No</t>
        </is>
      </c>
      <c r="J1899" t="inlineStr">
        <is>
          <t>0</t>
        </is>
      </c>
      <c r="K1899" t="inlineStr">
        <is>
          <t>Van de Mieroop, Marc.</t>
        </is>
      </c>
      <c r="L1899" t="inlineStr">
        <is>
          <t>London ; New York : Routledge, 1999.</t>
        </is>
      </c>
      <c r="M1899" t="inlineStr">
        <is>
          <t>1999</t>
        </is>
      </c>
      <c r="O1899" t="inlineStr">
        <is>
          <t>eng</t>
        </is>
      </c>
      <c r="P1899" t="inlineStr">
        <is>
          <t>enk</t>
        </is>
      </c>
      <c r="Q1899" t="inlineStr">
        <is>
          <t>Approaching the ancient world</t>
        </is>
      </c>
      <c r="R1899" t="inlineStr">
        <is>
          <t xml:space="preserve">DS </t>
        </is>
      </c>
      <c r="S1899" t="n">
        <v>3</v>
      </c>
      <c r="T1899" t="n">
        <v>3</v>
      </c>
      <c r="U1899" t="inlineStr">
        <is>
          <t>2003-09-22</t>
        </is>
      </c>
      <c r="V1899" t="inlineStr">
        <is>
          <t>2003-09-22</t>
        </is>
      </c>
      <c r="W1899" t="inlineStr">
        <is>
          <t>2003-08-19</t>
        </is>
      </c>
      <c r="X1899" t="inlineStr">
        <is>
          <t>2003-08-19</t>
        </is>
      </c>
      <c r="Y1899" t="n">
        <v>353</v>
      </c>
      <c r="Z1899" t="n">
        <v>240</v>
      </c>
      <c r="AA1899" t="n">
        <v>267</v>
      </c>
      <c r="AB1899" t="n">
        <v>1</v>
      </c>
      <c r="AC1899" t="n">
        <v>1</v>
      </c>
      <c r="AD1899" t="n">
        <v>12</v>
      </c>
      <c r="AE1899" t="n">
        <v>12</v>
      </c>
      <c r="AF1899" t="n">
        <v>3</v>
      </c>
      <c r="AG1899" t="n">
        <v>3</v>
      </c>
      <c r="AH1899" t="n">
        <v>3</v>
      </c>
      <c r="AI1899" t="n">
        <v>3</v>
      </c>
      <c r="AJ1899" t="n">
        <v>9</v>
      </c>
      <c r="AK1899" t="n">
        <v>9</v>
      </c>
      <c r="AL1899" t="n">
        <v>0</v>
      </c>
      <c r="AM1899" t="n">
        <v>0</v>
      </c>
      <c r="AN1899" t="n">
        <v>0</v>
      </c>
      <c r="AO1899" t="n">
        <v>0</v>
      </c>
      <c r="AP1899" t="inlineStr">
        <is>
          <t>No</t>
        </is>
      </c>
      <c r="AQ1899" t="inlineStr">
        <is>
          <t>No</t>
        </is>
      </c>
      <c r="AS1899">
        <f>HYPERLINK("https://creighton-primo.hosted.exlibrisgroup.com/primo-explore/search?tab=default_tab&amp;search_scope=EVERYTHING&amp;vid=01CRU&amp;lang=en_US&amp;offset=0&amp;query=any,contains,991004099249702656","Catalog Record")</f>
        <v/>
      </c>
      <c r="AT1899">
        <f>HYPERLINK("http://www.worldcat.org/oclc/40180227","WorldCat Record")</f>
        <v/>
      </c>
      <c r="AU1899" t="inlineStr">
        <is>
          <t>2527903:eng</t>
        </is>
      </c>
      <c r="AV1899" t="inlineStr">
        <is>
          <t>40180227</t>
        </is>
      </c>
      <c r="AW1899" t="inlineStr">
        <is>
          <t>991004099249702656</t>
        </is>
      </c>
      <c r="AX1899" t="inlineStr">
        <is>
          <t>991004099249702656</t>
        </is>
      </c>
      <c r="AY1899" t="inlineStr">
        <is>
          <t>2262528750002656</t>
        </is>
      </c>
      <c r="AZ1899" t="inlineStr">
        <is>
          <t>BOOK</t>
        </is>
      </c>
      <c r="BB1899" t="inlineStr">
        <is>
          <t>9780415195324</t>
        </is>
      </c>
      <c r="BC1899" t="inlineStr">
        <is>
          <t>32285004759873</t>
        </is>
      </c>
      <c r="BD1899" t="inlineStr">
        <is>
          <t>893687365</t>
        </is>
      </c>
    </row>
    <row r="1900">
      <c r="A1900" t="inlineStr">
        <is>
          <t>No</t>
        </is>
      </c>
      <c r="B1900" t="inlineStr">
        <is>
          <t>DS71.S29 A8</t>
        </is>
      </c>
      <c r="C1900" t="inlineStr">
        <is>
          <t>0                      DS 0071000S  29                 A  8</t>
        </is>
      </c>
      <c r="D1900" t="inlineStr">
        <is>
          <t>Assyria : its princes, priests and people / by A.H. Sayce.</t>
        </is>
      </c>
      <c r="F1900" t="inlineStr">
        <is>
          <t>No</t>
        </is>
      </c>
      <c r="G1900" t="inlineStr">
        <is>
          <t>1</t>
        </is>
      </c>
      <c r="H1900" t="inlineStr">
        <is>
          <t>No</t>
        </is>
      </c>
      <c r="I1900" t="inlineStr">
        <is>
          <t>No</t>
        </is>
      </c>
      <c r="J1900" t="inlineStr">
        <is>
          <t>0</t>
        </is>
      </c>
      <c r="K1900" t="inlineStr">
        <is>
          <t>Sayce, A. H. (Archibald Henry), 1845-1933.</t>
        </is>
      </c>
      <c r="L1900" t="inlineStr">
        <is>
          <t>New York : Revell ; London : Religious tract society, 1895.</t>
        </is>
      </c>
      <c r="M1900" t="inlineStr">
        <is>
          <t>1895</t>
        </is>
      </c>
      <c r="O1900" t="inlineStr">
        <is>
          <t>eng</t>
        </is>
      </c>
      <c r="P1900" t="inlineStr">
        <is>
          <t>nyu</t>
        </is>
      </c>
      <c r="Q1900" t="inlineStr">
        <is>
          <t>By-paths of Bible knowledge ; v. 7</t>
        </is>
      </c>
      <c r="R1900" t="inlineStr">
        <is>
          <t xml:space="preserve">DS </t>
        </is>
      </c>
      <c r="S1900" t="n">
        <v>3</v>
      </c>
      <c r="T1900" t="n">
        <v>3</v>
      </c>
      <c r="U1900" t="inlineStr">
        <is>
          <t>1999-12-05</t>
        </is>
      </c>
      <c r="V1900" t="inlineStr">
        <is>
          <t>1999-12-05</t>
        </is>
      </c>
      <c r="W1900" t="inlineStr">
        <is>
          <t>1994-10-05</t>
        </is>
      </c>
      <c r="X1900" t="inlineStr">
        <is>
          <t>1994-10-05</t>
        </is>
      </c>
      <c r="Y1900" t="n">
        <v>12</v>
      </c>
      <c r="Z1900" t="n">
        <v>12</v>
      </c>
      <c r="AA1900" t="n">
        <v>54</v>
      </c>
      <c r="AB1900" t="n">
        <v>1</v>
      </c>
      <c r="AC1900" t="n">
        <v>3</v>
      </c>
      <c r="AD1900" t="n">
        <v>0</v>
      </c>
      <c r="AE1900" t="n">
        <v>3</v>
      </c>
      <c r="AF1900" t="n">
        <v>0</v>
      </c>
      <c r="AG1900" t="n">
        <v>0</v>
      </c>
      <c r="AH1900" t="n">
        <v>0</v>
      </c>
      <c r="AI1900" t="n">
        <v>1</v>
      </c>
      <c r="AJ1900" t="n">
        <v>0</v>
      </c>
      <c r="AK1900" t="n">
        <v>0</v>
      </c>
      <c r="AL1900" t="n">
        <v>0</v>
      </c>
      <c r="AM1900" t="n">
        <v>2</v>
      </c>
      <c r="AN1900" t="n">
        <v>0</v>
      </c>
      <c r="AO1900" t="n">
        <v>0</v>
      </c>
      <c r="AP1900" t="inlineStr">
        <is>
          <t>Yes</t>
        </is>
      </c>
      <c r="AQ1900" t="inlineStr">
        <is>
          <t>No</t>
        </is>
      </c>
      <c r="AR1900">
        <f>HYPERLINK("http://catalog.hathitrust.org/Record/100495053","HathiTrust Record")</f>
        <v/>
      </c>
      <c r="AS1900">
        <f>HYPERLINK("https://creighton-primo.hosted.exlibrisgroup.com/primo-explore/search?tab=default_tab&amp;search_scope=EVERYTHING&amp;vid=01CRU&amp;lang=en_US&amp;offset=0&amp;query=any,contains,991001891829702656","Catalog Record")</f>
        <v/>
      </c>
      <c r="AT1900">
        <f>HYPERLINK("http://www.worldcat.org/oclc/23887418","WorldCat Record")</f>
        <v/>
      </c>
      <c r="AU1900" t="inlineStr">
        <is>
          <t>10628100605:eng</t>
        </is>
      </c>
      <c r="AV1900" t="inlineStr">
        <is>
          <t>23887418</t>
        </is>
      </c>
      <c r="AW1900" t="inlineStr">
        <is>
          <t>991001891829702656</t>
        </is>
      </c>
      <c r="AX1900" t="inlineStr">
        <is>
          <t>991001891829702656</t>
        </is>
      </c>
      <c r="AY1900" t="inlineStr">
        <is>
          <t>2272582410002656</t>
        </is>
      </c>
      <c r="AZ1900" t="inlineStr">
        <is>
          <t>BOOK</t>
        </is>
      </c>
      <c r="BC1900" t="inlineStr">
        <is>
          <t>32285001953826</t>
        </is>
      </c>
      <c r="BD1900" t="inlineStr">
        <is>
          <t>893779167</t>
        </is>
      </c>
    </row>
    <row r="1901">
      <c r="A1901" t="inlineStr">
        <is>
          <t>No</t>
        </is>
      </c>
      <c r="B1901" t="inlineStr">
        <is>
          <t>DS711 .G7 1973</t>
        </is>
      </c>
      <c r="C1901" t="inlineStr">
        <is>
          <t>0                      DS 0711000G  7           1973</t>
        </is>
      </c>
      <c r="D1901" t="inlineStr">
        <is>
          <t>Awakened China: the country Americans don't know.</t>
        </is>
      </c>
      <c r="F1901" t="inlineStr">
        <is>
          <t>No</t>
        </is>
      </c>
      <c r="G1901" t="inlineStr">
        <is>
          <t>1</t>
        </is>
      </c>
      <c r="H1901" t="inlineStr">
        <is>
          <t>No</t>
        </is>
      </c>
      <c r="I1901" t="inlineStr">
        <is>
          <t>No</t>
        </is>
      </c>
      <c r="J1901" t="inlineStr">
        <is>
          <t>0</t>
        </is>
      </c>
      <c r="K1901" t="inlineStr">
        <is>
          <t>Greene, Felix.</t>
        </is>
      </c>
      <c r="L1901" t="inlineStr">
        <is>
          <t>Westport, Conn., Greenwood Press [1973, c1961]</t>
        </is>
      </c>
      <c r="M1901" t="inlineStr">
        <is>
          <t>1973</t>
        </is>
      </c>
      <c r="O1901" t="inlineStr">
        <is>
          <t>eng</t>
        </is>
      </c>
      <c r="P1901" t="inlineStr">
        <is>
          <t>ctu</t>
        </is>
      </c>
      <c r="R1901" t="inlineStr">
        <is>
          <t xml:space="preserve">DS </t>
        </is>
      </c>
      <c r="S1901" t="n">
        <v>2</v>
      </c>
      <c r="T1901" t="n">
        <v>2</v>
      </c>
      <c r="U1901" t="inlineStr">
        <is>
          <t>1997-10-29</t>
        </is>
      </c>
      <c r="V1901" t="inlineStr">
        <is>
          <t>1997-10-29</t>
        </is>
      </c>
      <c r="W1901" t="inlineStr">
        <is>
          <t>1997-03-11</t>
        </is>
      </c>
      <c r="X1901" t="inlineStr">
        <is>
          <t>1997-03-11</t>
        </is>
      </c>
      <c r="Y1901" t="n">
        <v>97</v>
      </c>
      <c r="Z1901" t="n">
        <v>77</v>
      </c>
      <c r="AA1901" t="n">
        <v>712</v>
      </c>
      <c r="AB1901" t="n">
        <v>1</v>
      </c>
      <c r="AC1901" t="n">
        <v>2</v>
      </c>
      <c r="AD1901" t="n">
        <v>3</v>
      </c>
      <c r="AE1901" t="n">
        <v>22</v>
      </c>
      <c r="AF1901" t="n">
        <v>2</v>
      </c>
      <c r="AG1901" t="n">
        <v>10</v>
      </c>
      <c r="AH1901" t="n">
        <v>1</v>
      </c>
      <c r="AI1901" t="n">
        <v>7</v>
      </c>
      <c r="AJ1901" t="n">
        <v>1</v>
      </c>
      <c r="AK1901" t="n">
        <v>11</v>
      </c>
      <c r="AL1901" t="n">
        <v>0</v>
      </c>
      <c r="AM1901" t="n">
        <v>1</v>
      </c>
      <c r="AN1901" t="n">
        <v>0</v>
      </c>
      <c r="AO1901" t="n">
        <v>0</v>
      </c>
      <c r="AP1901" t="inlineStr">
        <is>
          <t>No</t>
        </is>
      </c>
      <c r="AQ1901" t="inlineStr">
        <is>
          <t>No</t>
        </is>
      </c>
      <c r="AS1901">
        <f>HYPERLINK("https://creighton-primo.hosted.exlibrisgroup.com/primo-explore/search?tab=default_tab&amp;search_scope=EVERYTHING&amp;vid=01CRU&amp;lang=en_US&amp;offset=0&amp;query=any,contains,991003011949702656","Catalog Record")</f>
        <v/>
      </c>
      <c r="AT1901">
        <f>HYPERLINK("http://www.worldcat.org/oclc/578765","WorldCat Record")</f>
        <v/>
      </c>
      <c r="AU1901" t="inlineStr">
        <is>
          <t>500695:eng</t>
        </is>
      </c>
      <c r="AV1901" t="inlineStr">
        <is>
          <t>578765</t>
        </is>
      </c>
      <c r="AW1901" t="inlineStr">
        <is>
          <t>991003011949702656</t>
        </is>
      </c>
      <c r="AX1901" t="inlineStr">
        <is>
          <t>991003011949702656</t>
        </is>
      </c>
      <c r="AY1901" t="inlineStr">
        <is>
          <t>2258725850002656</t>
        </is>
      </c>
      <c r="AZ1901" t="inlineStr">
        <is>
          <t>BOOK</t>
        </is>
      </c>
      <c r="BB1901" t="inlineStr">
        <is>
          <t>9780837167732</t>
        </is>
      </c>
      <c r="BC1901" t="inlineStr">
        <is>
          <t>32285002446101</t>
        </is>
      </c>
      <c r="BD1901" t="inlineStr">
        <is>
          <t>893434562</t>
        </is>
      </c>
    </row>
    <row r="1902">
      <c r="A1902" t="inlineStr">
        <is>
          <t>No</t>
        </is>
      </c>
      <c r="B1902" t="inlineStr">
        <is>
          <t>DS711 .L58</t>
        </is>
      </c>
      <c r="C1902" t="inlineStr">
        <is>
          <t>0                      DS 0711000L  58</t>
        </is>
      </c>
      <c r="D1902" t="inlineStr">
        <is>
          <t>China's largest river / by Jiang Liu.</t>
        </is>
      </c>
      <c r="F1902" t="inlineStr">
        <is>
          <t>No</t>
        </is>
      </c>
      <c r="G1902" t="inlineStr">
        <is>
          <t>1</t>
        </is>
      </c>
      <c r="H1902" t="inlineStr">
        <is>
          <t>No</t>
        </is>
      </c>
      <c r="I1902" t="inlineStr">
        <is>
          <t>No</t>
        </is>
      </c>
      <c r="J1902" t="inlineStr">
        <is>
          <t>0</t>
        </is>
      </c>
      <c r="K1902" t="inlineStr">
        <is>
          <t>Liu, Jiang.</t>
        </is>
      </c>
      <c r="L1902" t="inlineStr">
        <is>
          <t>Beijung : Foreign Languages Press, 1980.</t>
        </is>
      </c>
      <c r="M1902" t="inlineStr">
        <is>
          <t>1980</t>
        </is>
      </c>
      <c r="O1902" t="inlineStr">
        <is>
          <t>eng</t>
        </is>
      </c>
      <c r="P1902" t="inlineStr">
        <is>
          <t xml:space="preserve">ch </t>
        </is>
      </c>
      <c r="R1902" t="inlineStr">
        <is>
          <t xml:space="preserve">DS </t>
        </is>
      </c>
      <c r="S1902" t="n">
        <v>3</v>
      </c>
      <c r="T1902" t="n">
        <v>3</v>
      </c>
      <c r="U1902" t="inlineStr">
        <is>
          <t>2001-03-25</t>
        </is>
      </c>
      <c r="V1902" t="inlineStr">
        <is>
          <t>2001-03-25</t>
        </is>
      </c>
      <c r="W1902" t="inlineStr">
        <is>
          <t>1990-10-11</t>
        </is>
      </c>
      <c r="X1902" t="inlineStr">
        <is>
          <t>1990-10-11</t>
        </is>
      </c>
      <c r="Y1902" t="n">
        <v>154</v>
      </c>
      <c r="Z1902" t="n">
        <v>122</v>
      </c>
      <c r="AA1902" t="n">
        <v>137</v>
      </c>
      <c r="AB1902" t="n">
        <v>2</v>
      </c>
      <c r="AC1902" t="n">
        <v>2</v>
      </c>
      <c r="AD1902" t="n">
        <v>5</v>
      </c>
      <c r="AE1902" t="n">
        <v>6</v>
      </c>
      <c r="AF1902" t="n">
        <v>0</v>
      </c>
      <c r="AG1902" t="n">
        <v>1</v>
      </c>
      <c r="AH1902" t="n">
        <v>3</v>
      </c>
      <c r="AI1902" t="n">
        <v>3</v>
      </c>
      <c r="AJ1902" t="n">
        <v>1</v>
      </c>
      <c r="AK1902" t="n">
        <v>1</v>
      </c>
      <c r="AL1902" t="n">
        <v>1</v>
      </c>
      <c r="AM1902" t="n">
        <v>1</v>
      </c>
      <c r="AN1902" t="n">
        <v>0</v>
      </c>
      <c r="AO1902" t="n">
        <v>0</v>
      </c>
      <c r="AP1902" t="inlineStr">
        <is>
          <t>No</t>
        </is>
      </c>
      <c r="AQ1902" t="inlineStr">
        <is>
          <t>No</t>
        </is>
      </c>
      <c r="AS1902">
        <f>HYPERLINK("https://creighton-primo.hosted.exlibrisgroup.com/primo-explore/search?tab=default_tab&amp;search_scope=EVERYTHING&amp;vid=01CRU&amp;lang=en_US&amp;offset=0&amp;query=any,contains,991005149099702656","Catalog Record")</f>
        <v/>
      </c>
      <c r="AT1902">
        <f>HYPERLINK("http://www.worldcat.org/oclc/10857263","WorldCat Record")</f>
        <v/>
      </c>
      <c r="AU1902" t="inlineStr">
        <is>
          <t>2987881:eng</t>
        </is>
      </c>
      <c r="AV1902" t="inlineStr">
        <is>
          <t>10857263</t>
        </is>
      </c>
      <c r="AW1902" t="inlineStr">
        <is>
          <t>991005149099702656</t>
        </is>
      </c>
      <c r="AX1902" t="inlineStr">
        <is>
          <t>991005149099702656</t>
        </is>
      </c>
      <c r="AY1902" t="inlineStr">
        <is>
          <t>2261410100002656</t>
        </is>
      </c>
      <c r="AZ1902" t="inlineStr">
        <is>
          <t>BOOK</t>
        </is>
      </c>
      <c r="BC1902" t="inlineStr">
        <is>
          <t>32285000338003</t>
        </is>
      </c>
      <c r="BD1902" t="inlineStr">
        <is>
          <t>893619541</t>
        </is>
      </c>
    </row>
    <row r="1903">
      <c r="A1903" t="inlineStr">
        <is>
          <t>No</t>
        </is>
      </c>
      <c r="B1903" t="inlineStr">
        <is>
          <t>DS711 .S245 1973</t>
        </is>
      </c>
      <c r="C1903" t="inlineStr">
        <is>
          <t>0                      DS 0711000S  245         1973</t>
        </is>
      </c>
      <c r="D1903" t="inlineStr">
        <is>
          <t>To Peking-and beyond : a report on the new Asia / by Harrison E. Salisbury.</t>
        </is>
      </c>
      <c r="F1903" t="inlineStr">
        <is>
          <t>No</t>
        </is>
      </c>
      <c r="G1903" t="inlineStr">
        <is>
          <t>1</t>
        </is>
      </c>
      <c r="H1903" t="inlineStr">
        <is>
          <t>No</t>
        </is>
      </c>
      <c r="I1903" t="inlineStr">
        <is>
          <t>No</t>
        </is>
      </c>
      <c r="J1903" t="inlineStr">
        <is>
          <t>0</t>
        </is>
      </c>
      <c r="K1903" t="inlineStr">
        <is>
          <t>Salisbury, Harrison E. (Harrison Evans), 1908-1993.</t>
        </is>
      </c>
      <c r="L1903" t="inlineStr">
        <is>
          <t>[New York] : Quadrangle, [1973]</t>
        </is>
      </c>
      <c r="M1903" t="inlineStr">
        <is>
          <t>1973</t>
        </is>
      </c>
      <c r="O1903" t="inlineStr">
        <is>
          <t>eng</t>
        </is>
      </c>
      <c r="P1903" t="inlineStr">
        <is>
          <t>nyu</t>
        </is>
      </c>
      <c r="R1903" t="inlineStr">
        <is>
          <t xml:space="preserve">DS </t>
        </is>
      </c>
      <c r="S1903" t="n">
        <v>3</v>
      </c>
      <c r="T1903" t="n">
        <v>3</v>
      </c>
      <c r="U1903" t="inlineStr">
        <is>
          <t>1999-03-11</t>
        </is>
      </c>
      <c r="V1903" t="inlineStr">
        <is>
          <t>1999-03-11</t>
        </is>
      </c>
      <c r="W1903" t="inlineStr">
        <is>
          <t>1990-10-11</t>
        </is>
      </c>
      <c r="X1903" t="inlineStr">
        <is>
          <t>1990-10-11</t>
        </is>
      </c>
      <c r="Y1903" t="n">
        <v>982</v>
      </c>
      <c r="Z1903" t="n">
        <v>889</v>
      </c>
      <c r="AA1903" t="n">
        <v>946</v>
      </c>
      <c r="AB1903" t="n">
        <v>6</v>
      </c>
      <c r="AC1903" t="n">
        <v>6</v>
      </c>
      <c r="AD1903" t="n">
        <v>32</v>
      </c>
      <c r="AE1903" t="n">
        <v>34</v>
      </c>
      <c r="AF1903" t="n">
        <v>13</v>
      </c>
      <c r="AG1903" t="n">
        <v>14</v>
      </c>
      <c r="AH1903" t="n">
        <v>8</v>
      </c>
      <c r="AI1903" t="n">
        <v>8</v>
      </c>
      <c r="AJ1903" t="n">
        <v>17</v>
      </c>
      <c r="AK1903" t="n">
        <v>18</v>
      </c>
      <c r="AL1903" t="n">
        <v>5</v>
      </c>
      <c r="AM1903" t="n">
        <v>5</v>
      </c>
      <c r="AN1903" t="n">
        <v>0</v>
      </c>
      <c r="AO1903" t="n">
        <v>0</v>
      </c>
      <c r="AP1903" t="inlineStr">
        <is>
          <t>No</t>
        </is>
      </c>
      <c r="AQ1903" t="inlineStr">
        <is>
          <t>Yes</t>
        </is>
      </c>
      <c r="AR1903">
        <f>HYPERLINK("http://catalog.hathitrust.org/Record/001257399","HathiTrust Record")</f>
        <v/>
      </c>
      <c r="AS1903">
        <f>HYPERLINK("https://creighton-primo.hosted.exlibrisgroup.com/primo-explore/search?tab=default_tab&amp;search_scope=EVERYTHING&amp;vid=01CRU&amp;lang=en_US&amp;offset=0&amp;query=any,contains,991003033019702656","Catalog Record")</f>
        <v/>
      </c>
      <c r="AT1903">
        <f>HYPERLINK("http://www.worldcat.org/oclc/595471","WorldCat Record")</f>
        <v/>
      </c>
      <c r="AU1903" t="inlineStr">
        <is>
          <t>283210965:eng</t>
        </is>
      </c>
      <c r="AV1903" t="inlineStr">
        <is>
          <t>595471</t>
        </is>
      </c>
      <c r="AW1903" t="inlineStr">
        <is>
          <t>991003033019702656</t>
        </is>
      </c>
      <c r="AX1903" t="inlineStr">
        <is>
          <t>991003033019702656</t>
        </is>
      </c>
      <c r="AY1903" t="inlineStr">
        <is>
          <t>2272329540002656</t>
        </is>
      </c>
      <c r="AZ1903" t="inlineStr">
        <is>
          <t>BOOK</t>
        </is>
      </c>
      <c r="BB1903" t="inlineStr">
        <is>
          <t>9780812903331</t>
        </is>
      </c>
      <c r="BC1903" t="inlineStr">
        <is>
          <t>32285000338011</t>
        </is>
      </c>
      <c r="BD1903" t="inlineStr">
        <is>
          <t>893434589</t>
        </is>
      </c>
    </row>
    <row r="1904">
      <c r="A1904" t="inlineStr">
        <is>
          <t>No</t>
        </is>
      </c>
      <c r="B1904" t="inlineStr">
        <is>
          <t>DS711 .S57</t>
        </is>
      </c>
      <c r="C1904" t="inlineStr">
        <is>
          <t>0                      DS 0711000S  57</t>
        </is>
      </c>
      <c r="D1904" t="inlineStr">
        <is>
          <t>The long revolution.</t>
        </is>
      </c>
      <c r="F1904" t="inlineStr">
        <is>
          <t>No</t>
        </is>
      </c>
      <c r="G1904" t="inlineStr">
        <is>
          <t>1</t>
        </is>
      </c>
      <c r="H1904" t="inlineStr">
        <is>
          <t>No</t>
        </is>
      </c>
      <c r="I1904" t="inlineStr">
        <is>
          <t>No</t>
        </is>
      </c>
      <c r="J1904" t="inlineStr">
        <is>
          <t>0</t>
        </is>
      </c>
      <c r="K1904" t="inlineStr">
        <is>
          <t>Snow, Edgar, 1905-1972.</t>
        </is>
      </c>
      <c r="L1904" t="inlineStr">
        <is>
          <t>New York, Random House [1972]</t>
        </is>
      </c>
      <c r="M1904" t="inlineStr">
        <is>
          <t>1972</t>
        </is>
      </c>
      <c r="N1904" t="inlineStr">
        <is>
          <t>[1st ed.]</t>
        </is>
      </c>
      <c r="O1904" t="inlineStr">
        <is>
          <t>eng</t>
        </is>
      </c>
      <c r="P1904" t="inlineStr">
        <is>
          <t>nyu</t>
        </is>
      </c>
      <c r="R1904" t="inlineStr">
        <is>
          <t xml:space="preserve">DS </t>
        </is>
      </c>
      <c r="S1904" t="n">
        <v>1</v>
      </c>
      <c r="T1904" t="n">
        <v>1</v>
      </c>
      <c r="U1904" t="inlineStr">
        <is>
          <t>2006-10-30</t>
        </is>
      </c>
      <c r="V1904" t="inlineStr">
        <is>
          <t>2006-10-30</t>
        </is>
      </c>
      <c r="W1904" t="inlineStr">
        <is>
          <t>1997-03-11</t>
        </is>
      </c>
      <c r="X1904" t="inlineStr">
        <is>
          <t>1997-03-11</t>
        </is>
      </c>
      <c r="Y1904" t="n">
        <v>1210</v>
      </c>
      <c r="Z1904" t="n">
        <v>1102</v>
      </c>
      <c r="AA1904" t="n">
        <v>1225</v>
      </c>
      <c r="AB1904" t="n">
        <v>7</v>
      </c>
      <c r="AC1904" t="n">
        <v>7</v>
      </c>
      <c r="AD1904" t="n">
        <v>32</v>
      </c>
      <c r="AE1904" t="n">
        <v>35</v>
      </c>
      <c r="AF1904" t="n">
        <v>11</v>
      </c>
      <c r="AG1904" t="n">
        <v>13</v>
      </c>
      <c r="AH1904" t="n">
        <v>7</v>
      </c>
      <c r="AI1904" t="n">
        <v>9</v>
      </c>
      <c r="AJ1904" t="n">
        <v>17</v>
      </c>
      <c r="AK1904" t="n">
        <v>18</v>
      </c>
      <c r="AL1904" t="n">
        <v>5</v>
      </c>
      <c r="AM1904" t="n">
        <v>5</v>
      </c>
      <c r="AN1904" t="n">
        <v>0</v>
      </c>
      <c r="AO1904" t="n">
        <v>0</v>
      </c>
      <c r="AP1904" t="inlineStr">
        <is>
          <t>No</t>
        </is>
      </c>
      <c r="AQ1904" t="inlineStr">
        <is>
          <t>Yes</t>
        </is>
      </c>
      <c r="AR1904">
        <f>HYPERLINK("http://catalog.hathitrust.org/Record/000223594","HathiTrust Record")</f>
        <v/>
      </c>
      <c r="AS1904">
        <f>HYPERLINK("https://creighton-primo.hosted.exlibrisgroup.com/primo-explore/search?tab=default_tab&amp;search_scope=EVERYTHING&amp;vid=01CRU&amp;lang=en_US&amp;offset=0&amp;query=any,contains,991002412959702656","Catalog Record")</f>
        <v/>
      </c>
      <c r="AT1904">
        <f>HYPERLINK("http://www.worldcat.org/oclc/340479","WorldCat Record")</f>
        <v/>
      </c>
      <c r="AU1904" t="inlineStr">
        <is>
          <t>3901047996:eng</t>
        </is>
      </c>
      <c r="AV1904" t="inlineStr">
        <is>
          <t>340479</t>
        </is>
      </c>
      <c r="AW1904" t="inlineStr">
        <is>
          <t>991002412959702656</t>
        </is>
      </c>
      <c r="AX1904" t="inlineStr">
        <is>
          <t>991002412959702656</t>
        </is>
      </c>
      <c r="AY1904" t="inlineStr">
        <is>
          <t>2262608910002656</t>
        </is>
      </c>
      <c r="AZ1904" t="inlineStr">
        <is>
          <t>BOOK</t>
        </is>
      </c>
      <c r="BB1904" t="inlineStr">
        <is>
          <t>9780394468594</t>
        </is>
      </c>
      <c r="BC1904" t="inlineStr">
        <is>
          <t>32285002446176</t>
        </is>
      </c>
      <c r="BD1904" t="inlineStr">
        <is>
          <t>893238998</t>
        </is>
      </c>
    </row>
    <row r="1905">
      <c r="A1905" t="inlineStr">
        <is>
          <t>No</t>
        </is>
      </c>
      <c r="B1905" t="inlineStr">
        <is>
          <t>DS711 .T68 1966</t>
        </is>
      </c>
      <c r="C1905" t="inlineStr">
        <is>
          <t>0                      DS 0711000T  68          1966</t>
        </is>
      </c>
      <c r="D1905" t="inlineStr">
        <is>
          <t>A geography of China, by T. R. Tregear.</t>
        </is>
      </c>
      <c r="F1905" t="inlineStr">
        <is>
          <t>No</t>
        </is>
      </c>
      <c r="G1905" t="inlineStr">
        <is>
          <t>1</t>
        </is>
      </c>
      <c r="H1905" t="inlineStr">
        <is>
          <t>No</t>
        </is>
      </c>
      <c r="I1905" t="inlineStr">
        <is>
          <t>No</t>
        </is>
      </c>
      <c r="J1905" t="inlineStr">
        <is>
          <t>0</t>
        </is>
      </c>
      <c r="K1905" t="inlineStr">
        <is>
          <t>Tregear, T. R. (Thomas R.)</t>
        </is>
      </c>
      <c r="L1905" t="inlineStr">
        <is>
          <t>Chicago, Aldine Pub. Co. [1966, c1965]</t>
        </is>
      </c>
      <c r="M1905" t="inlineStr">
        <is>
          <t>1966</t>
        </is>
      </c>
      <c r="O1905" t="inlineStr">
        <is>
          <t>eng</t>
        </is>
      </c>
      <c r="P1905" t="inlineStr">
        <is>
          <t>ilu</t>
        </is>
      </c>
      <c r="R1905" t="inlineStr">
        <is>
          <t xml:space="preserve">DS </t>
        </is>
      </c>
      <c r="S1905" t="n">
        <v>1</v>
      </c>
      <c r="T1905" t="n">
        <v>1</v>
      </c>
      <c r="U1905" t="inlineStr">
        <is>
          <t>2010-09-16</t>
        </is>
      </c>
      <c r="V1905" t="inlineStr">
        <is>
          <t>2010-09-16</t>
        </is>
      </c>
      <c r="W1905" t="inlineStr">
        <is>
          <t>1997-03-11</t>
        </is>
      </c>
      <c r="X1905" t="inlineStr">
        <is>
          <t>1997-03-11</t>
        </is>
      </c>
      <c r="Y1905" t="n">
        <v>647</v>
      </c>
      <c r="Z1905" t="n">
        <v>612</v>
      </c>
      <c r="AA1905" t="n">
        <v>830</v>
      </c>
      <c r="AB1905" t="n">
        <v>7</v>
      </c>
      <c r="AC1905" t="n">
        <v>8</v>
      </c>
      <c r="AD1905" t="n">
        <v>25</v>
      </c>
      <c r="AE1905" t="n">
        <v>35</v>
      </c>
      <c r="AF1905" t="n">
        <v>10</v>
      </c>
      <c r="AG1905" t="n">
        <v>14</v>
      </c>
      <c r="AH1905" t="n">
        <v>3</v>
      </c>
      <c r="AI1905" t="n">
        <v>5</v>
      </c>
      <c r="AJ1905" t="n">
        <v>9</v>
      </c>
      <c r="AK1905" t="n">
        <v>15</v>
      </c>
      <c r="AL1905" t="n">
        <v>5</v>
      </c>
      <c r="AM1905" t="n">
        <v>6</v>
      </c>
      <c r="AN1905" t="n">
        <v>0</v>
      </c>
      <c r="AO1905" t="n">
        <v>0</v>
      </c>
      <c r="AP1905" t="inlineStr">
        <is>
          <t>No</t>
        </is>
      </c>
      <c r="AQ1905" t="inlineStr">
        <is>
          <t>No</t>
        </is>
      </c>
      <c r="AS1905">
        <f>HYPERLINK("https://creighton-primo.hosted.exlibrisgroup.com/primo-explore/search?tab=default_tab&amp;search_scope=EVERYTHING&amp;vid=01CRU&amp;lang=en_US&amp;offset=0&amp;query=any,contains,991001931409702656","Catalog Record")</f>
        <v/>
      </c>
      <c r="AT1905">
        <f>HYPERLINK("http://www.worldcat.org/oclc/248972","WorldCat Record")</f>
        <v/>
      </c>
      <c r="AU1905" t="inlineStr">
        <is>
          <t>1410162:eng</t>
        </is>
      </c>
      <c r="AV1905" t="inlineStr">
        <is>
          <t>248972</t>
        </is>
      </c>
      <c r="AW1905" t="inlineStr">
        <is>
          <t>991001931409702656</t>
        </is>
      </c>
      <c r="AX1905" t="inlineStr">
        <is>
          <t>991001931409702656</t>
        </is>
      </c>
      <c r="AY1905" t="inlineStr">
        <is>
          <t>2258637400002656</t>
        </is>
      </c>
      <c r="AZ1905" t="inlineStr">
        <is>
          <t>BOOK</t>
        </is>
      </c>
      <c r="BC1905" t="inlineStr">
        <is>
          <t>32285002446218</t>
        </is>
      </c>
      <c r="BD1905" t="inlineStr">
        <is>
          <t>893773035</t>
        </is>
      </c>
    </row>
    <row r="1906">
      <c r="A1906" t="inlineStr">
        <is>
          <t>No</t>
        </is>
      </c>
      <c r="B1906" t="inlineStr">
        <is>
          <t>DS712 .B68 1997</t>
        </is>
      </c>
      <c r="C1906" t="inlineStr">
        <is>
          <t>0                      DS 0712000B  68          1997</t>
        </is>
      </c>
      <c r="D1906" t="inlineStr">
        <is>
          <t>Yak butter &amp; black tea : a journey into forbidden China / Wade Brackenbury.</t>
        </is>
      </c>
      <c r="F1906" t="inlineStr">
        <is>
          <t>No</t>
        </is>
      </c>
      <c r="G1906" t="inlineStr">
        <is>
          <t>1</t>
        </is>
      </c>
      <c r="H1906" t="inlineStr">
        <is>
          <t>No</t>
        </is>
      </c>
      <c r="I1906" t="inlineStr">
        <is>
          <t>No</t>
        </is>
      </c>
      <c r="J1906" t="inlineStr">
        <is>
          <t>0</t>
        </is>
      </c>
      <c r="K1906" t="inlineStr">
        <is>
          <t>Brackenbury, Wade, 1964-</t>
        </is>
      </c>
      <c r="L1906" t="inlineStr">
        <is>
          <t>Chapel Hill, N.C. : Algonquin Books of Chapel Hill, 1997.</t>
        </is>
      </c>
      <c r="M1906" t="inlineStr">
        <is>
          <t>1997</t>
        </is>
      </c>
      <c r="N1906" t="inlineStr">
        <is>
          <t>1st ed.</t>
        </is>
      </c>
      <c r="O1906" t="inlineStr">
        <is>
          <t>eng</t>
        </is>
      </c>
      <c r="P1906" t="inlineStr">
        <is>
          <t>ncu</t>
        </is>
      </c>
      <c r="R1906" t="inlineStr">
        <is>
          <t xml:space="preserve">DS </t>
        </is>
      </c>
      <c r="S1906" t="n">
        <v>2</v>
      </c>
      <c r="T1906" t="n">
        <v>2</v>
      </c>
      <c r="U1906" t="inlineStr">
        <is>
          <t>1999-10-14</t>
        </is>
      </c>
      <c r="V1906" t="inlineStr">
        <is>
          <t>1999-10-14</t>
        </is>
      </c>
      <c r="W1906" t="inlineStr">
        <is>
          <t>1997-03-14</t>
        </is>
      </c>
      <c r="X1906" t="inlineStr">
        <is>
          <t>1997-03-14</t>
        </is>
      </c>
      <c r="Y1906" t="n">
        <v>400</v>
      </c>
      <c r="Z1906" t="n">
        <v>359</v>
      </c>
      <c r="AA1906" t="n">
        <v>365</v>
      </c>
      <c r="AB1906" t="n">
        <v>3</v>
      </c>
      <c r="AC1906" t="n">
        <v>3</v>
      </c>
      <c r="AD1906" t="n">
        <v>7</v>
      </c>
      <c r="AE1906" t="n">
        <v>7</v>
      </c>
      <c r="AF1906" t="n">
        <v>0</v>
      </c>
      <c r="AG1906" t="n">
        <v>0</v>
      </c>
      <c r="AH1906" t="n">
        <v>3</v>
      </c>
      <c r="AI1906" t="n">
        <v>3</v>
      </c>
      <c r="AJ1906" t="n">
        <v>3</v>
      </c>
      <c r="AK1906" t="n">
        <v>3</v>
      </c>
      <c r="AL1906" t="n">
        <v>2</v>
      </c>
      <c r="AM1906" t="n">
        <v>2</v>
      </c>
      <c r="AN1906" t="n">
        <v>0</v>
      </c>
      <c r="AO1906" t="n">
        <v>0</v>
      </c>
      <c r="AP1906" t="inlineStr">
        <is>
          <t>No</t>
        </is>
      </c>
      <c r="AQ1906" t="inlineStr">
        <is>
          <t>Yes</t>
        </is>
      </c>
      <c r="AR1906">
        <f>HYPERLINK("http://catalog.hathitrust.org/Record/003137779","HathiTrust Record")</f>
        <v/>
      </c>
      <c r="AS1906">
        <f>HYPERLINK("https://creighton-primo.hosted.exlibrisgroup.com/primo-explore/search?tab=default_tab&amp;search_scope=EVERYTHING&amp;vid=01CRU&amp;lang=en_US&amp;offset=0&amp;query=any,contains,991002694839702656","Catalog Record")</f>
        <v/>
      </c>
      <c r="AT1906">
        <f>HYPERLINK("http://www.worldcat.org/oclc/35192194","WorldCat Record")</f>
        <v/>
      </c>
      <c r="AU1906" t="inlineStr">
        <is>
          <t>897717034:eng</t>
        </is>
      </c>
      <c r="AV1906" t="inlineStr">
        <is>
          <t>35192194</t>
        </is>
      </c>
      <c r="AW1906" t="inlineStr">
        <is>
          <t>991002694839702656</t>
        </is>
      </c>
      <c r="AX1906" t="inlineStr">
        <is>
          <t>991002694839702656</t>
        </is>
      </c>
      <c r="AY1906" t="inlineStr">
        <is>
          <t>2256353770002656</t>
        </is>
      </c>
      <c r="AZ1906" t="inlineStr">
        <is>
          <t>BOOK</t>
        </is>
      </c>
      <c r="BB1906" t="inlineStr">
        <is>
          <t>9781565121485</t>
        </is>
      </c>
      <c r="BC1906" t="inlineStr">
        <is>
          <t>32285002443231</t>
        </is>
      </c>
      <c r="BD1906" t="inlineStr">
        <is>
          <t>893798891</t>
        </is>
      </c>
    </row>
    <row r="1907">
      <c r="A1907" t="inlineStr">
        <is>
          <t>No</t>
        </is>
      </c>
      <c r="B1907" t="inlineStr">
        <is>
          <t>DS712 .D39 1989</t>
        </is>
      </c>
      <c r="C1907" t="inlineStr">
        <is>
          <t>0                      DS 0712000D  39          1989</t>
        </is>
      </c>
      <c r="D1907" t="inlineStr">
        <is>
          <t>A Day in the life of China / photographed by 90 of the world's leading photojournalists on one day, April 15, 1989 ; [project director, David Cohen ; art director, Jennifer Barry].</t>
        </is>
      </c>
      <c r="F1907" t="inlineStr">
        <is>
          <t>No</t>
        </is>
      </c>
      <c r="G1907" t="inlineStr">
        <is>
          <t>1</t>
        </is>
      </c>
      <c r="H1907" t="inlineStr">
        <is>
          <t>No</t>
        </is>
      </c>
      <c r="I1907" t="inlineStr">
        <is>
          <t>No</t>
        </is>
      </c>
      <c r="J1907" t="inlineStr">
        <is>
          <t>0</t>
        </is>
      </c>
      <c r="L1907" t="inlineStr">
        <is>
          <t>San Francisco : Collins, 1989.</t>
        </is>
      </c>
      <c r="M1907" t="inlineStr">
        <is>
          <t>1989</t>
        </is>
      </c>
      <c r="O1907" t="inlineStr">
        <is>
          <t>eng</t>
        </is>
      </c>
      <c r="P1907" t="inlineStr">
        <is>
          <t>cau</t>
        </is>
      </c>
      <c r="R1907" t="inlineStr">
        <is>
          <t xml:space="preserve">DS </t>
        </is>
      </c>
      <c r="S1907" t="n">
        <v>16</v>
      </c>
      <c r="T1907" t="n">
        <v>16</v>
      </c>
      <c r="U1907" t="inlineStr">
        <is>
          <t>1996-07-15</t>
        </is>
      </c>
      <c r="V1907" t="inlineStr">
        <is>
          <t>1996-07-15</t>
        </is>
      </c>
      <c r="W1907" t="inlineStr">
        <is>
          <t>1989-10-23</t>
        </is>
      </c>
      <c r="X1907" t="inlineStr">
        <is>
          <t>1989-10-23</t>
        </is>
      </c>
      <c r="Y1907" t="n">
        <v>1017</v>
      </c>
      <c r="Z1907" t="n">
        <v>956</v>
      </c>
      <c r="AA1907" t="n">
        <v>966</v>
      </c>
      <c r="AB1907" t="n">
        <v>8</v>
      </c>
      <c r="AC1907" t="n">
        <v>8</v>
      </c>
      <c r="AD1907" t="n">
        <v>17</v>
      </c>
      <c r="AE1907" t="n">
        <v>17</v>
      </c>
      <c r="AF1907" t="n">
        <v>6</v>
      </c>
      <c r="AG1907" t="n">
        <v>6</v>
      </c>
      <c r="AH1907" t="n">
        <v>3</v>
      </c>
      <c r="AI1907" t="n">
        <v>3</v>
      </c>
      <c r="AJ1907" t="n">
        <v>8</v>
      </c>
      <c r="AK1907" t="n">
        <v>8</v>
      </c>
      <c r="AL1907" t="n">
        <v>3</v>
      </c>
      <c r="AM1907" t="n">
        <v>3</v>
      </c>
      <c r="AN1907" t="n">
        <v>0</v>
      </c>
      <c r="AO1907" t="n">
        <v>0</v>
      </c>
      <c r="AP1907" t="inlineStr">
        <is>
          <t>No</t>
        </is>
      </c>
      <c r="AQ1907" t="inlineStr">
        <is>
          <t>Yes</t>
        </is>
      </c>
      <c r="AR1907">
        <f>HYPERLINK("http://catalog.hathitrust.org/Record/002218240","HathiTrust Record")</f>
        <v/>
      </c>
      <c r="AS1907">
        <f>HYPERLINK("https://creighton-primo.hosted.exlibrisgroup.com/primo-explore/search?tab=default_tab&amp;search_scope=EVERYTHING&amp;vid=01CRU&amp;lang=en_US&amp;offset=0&amp;query=any,contains,991001505749702656","Catalog Record")</f>
        <v/>
      </c>
      <c r="AT1907">
        <f>HYPERLINK("http://www.worldcat.org/oclc/19845449","WorldCat Record")</f>
        <v/>
      </c>
      <c r="AU1907" t="inlineStr">
        <is>
          <t>55223823:eng</t>
        </is>
      </c>
      <c r="AV1907" t="inlineStr">
        <is>
          <t>19845449</t>
        </is>
      </c>
      <c r="AW1907" t="inlineStr">
        <is>
          <t>991001505749702656</t>
        </is>
      </c>
      <c r="AX1907" t="inlineStr">
        <is>
          <t>991001505749702656</t>
        </is>
      </c>
      <c r="AY1907" t="inlineStr">
        <is>
          <t>2268481300002656</t>
        </is>
      </c>
      <c r="AZ1907" t="inlineStr">
        <is>
          <t>BOOK</t>
        </is>
      </c>
      <c r="BB1907" t="inlineStr">
        <is>
          <t>9780002153225</t>
        </is>
      </c>
      <c r="BC1907" t="inlineStr">
        <is>
          <t>32285000004647</t>
        </is>
      </c>
      <c r="BD1907" t="inlineStr">
        <is>
          <t>893256288</t>
        </is>
      </c>
    </row>
    <row r="1908">
      <c r="A1908" t="inlineStr">
        <is>
          <t>No</t>
        </is>
      </c>
      <c r="B1908" t="inlineStr">
        <is>
          <t>DS712 .P36 2003</t>
        </is>
      </c>
      <c r="C1908" t="inlineStr">
        <is>
          <t>0                      DS 0712000P  36          2003</t>
        </is>
      </c>
      <c r="D1908" t="inlineStr">
        <is>
          <t>Zhongguo lü you di li = Zhongguo luyou dili / Pang Guiquan bian zhu.</t>
        </is>
      </c>
      <c r="F1908" t="inlineStr">
        <is>
          <t>No</t>
        </is>
      </c>
      <c r="G1908" t="inlineStr">
        <is>
          <t>1</t>
        </is>
      </c>
      <c r="H1908" t="inlineStr">
        <is>
          <t>No</t>
        </is>
      </c>
      <c r="I1908" t="inlineStr">
        <is>
          <t>No</t>
        </is>
      </c>
      <c r="J1908" t="inlineStr">
        <is>
          <t>0</t>
        </is>
      </c>
      <c r="K1908" t="inlineStr">
        <is>
          <t>Pang, Guiquan.</t>
        </is>
      </c>
      <c r="L1908" t="inlineStr">
        <is>
          <t>Beijing Shi : Lü you jiao yu chu ban she, 2003.</t>
        </is>
      </c>
      <c r="M1908" t="inlineStr">
        <is>
          <t>2003</t>
        </is>
      </c>
      <c r="N1908" t="inlineStr">
        <is>
          <t>Di 1 ban.</t>
        </is>
      </c>
      <c r="O1908" t="inlineStr">
        <is>
          <t>chi</t>
        </is>
      </c>
      <c r="P1908" t="inlineStr">
        <is>
          <t xml:space="preserve">cc </t>
        </is>
      </c>
      <c r="Q1908" t="inlineStr">
        <is>
          <t>Quan guo lü you zhuan ye xi lie jiao cai</t>
        </is>
      </c>
      <c r="R1908" t="inlineStr">
        <is>
          <t xml:space="preserve">DS </t>
        </is>
      </c>
      <c r="S1908" t="n">
        <v>1</v>
      </c>
      <c r="T1908" t="n">
        <v>1</v>
      </c>
      <c r="U1908" t="inlineStr">
        <is>
          <t>2007-04-19</t>
        </is>
      </c>
      <c r="V1908" t="inlineStr">
        <is>
          <t>2007-04-19</t>
        </is>
      </c>
      <c r="W1908" t="inlineStr">
        <is>
          <t>2007-04-19</t>
        </is>
      </c>
      <c r="X1908" t="inlineStr">
        <is>
          <t>2007-04-19</t>
        </is>
      </c>
      <c r="Y1908" t="n">
        <v>3</v>
      </c>
      <c r="Z1908" t="n">
        <v>1</v>
      </c>
      <c r="AA1908" t="n">
        <v>8</v>
      </c>
      <c r="AB1908" t="n">
        <v>1</v>
      </c>
      <c r="AC1908" t="n">
        <v>1</v>
      </c>
      <c r="AD1908" t="n">
        <v>0</v>
      </c>
      <c r="AE1908" t="n">
        <v>0</v>
      </c>
      <c r="AF1908" t="n">
        <v>0</v>
      </c>
      <c r="AG1908" t="n">
        <v>0</v>
      </c>
      <c r="AH1908" t="n">
        <v>0</v>
      </c>
      <c r="AI1908" t="n">
        <v>0</v>
      </c>
      <c r="AJ1908" t="n">
        <v>0</v>
      </c>
      <c r="AK1908" t="n">
        <v>0</v>
      </c>
      <c r="AL1908" t="n">
        <v>0</v>
      </c>
      <c r="AM1908" t="n">
        <v>0</v>
      </c>
      <c r="AN1908" t="n">
        <v>0</v>
      </c>
      <c r="AO1908" t="n">
        <v>0</v>
      </c>
      <c r="AP1908" t="inlineStr">
        <is>
          <t>No</t>
        </is>
      </c>
      <c r="AQ1908" t="inlineStr">
        <is>
          <t>No</t>
        </is>
      </c>
      <c r="AS1908">
        <f>HYPERLINK("https://creighton-primo.hosted.exlibrisgroup.com/primo-explore/search?tab=default_tab&amp;search_scope=EVERYTHING&amp;vid=01CRU&amp;lang=en_US&amp;offset=0&amp;query=any,contains,991005074559702656","Catalog Record")</f>
        <v/>
      </c>
      <c r="AT1908">
        <f>HYPERLINK("http://www.worldcat.org/oclc/71289316","WorldCat Record")</f>
        <v/>
      </c>
      <c r="AU1908" t="inlineStr">
        <is>
          <t>4020247587:chi</t>
        </is>
      </c>
      <c r="AV1908" t="inlineStr">
        <is>
          <t>71289316</t>
        </is>
      </c>
      <c r="AW1908" t="inlineStr">
        <is>
          <t>991005074559702656</t>
        </is>
      </c>
      <c r="AX1908" t="inlineStr">
        <is>
          <t>991005074559702656</t>
        </is>
      </c>
      <c r="AY1908" t="inlineStr">
        <is>
          <t>2267417070002656</t>
        </is>
      </c>
      <c r="AZ1908" t="inlineStr">
        <is>
          <t>BOOK</t>
        </is>
      </c>
      <c r="BB1908" t="inlineStr">
        <is>
          <t>9787563711222</t>
        </is>
      </c>
      <c r="BC1908" t="inlineStr">
        <is>
          <t>32285005288773</t>
        </is>
      </c>
      <c r="BD1908" t="inlineStr">
        <is>
          <t>893513990</t>
        </is>
      </c>
    </row>
    <row r="1909">
      <c r="A1909" t="inlineStr">
        <is>
          <t>No</t>
        </is>
      </c>
      <c r="B1909" t="inlineStr">
        <is>
          <t>DS712 .S245 1986</t>
        </is>
      </c>
      <c r="C1909" t="inlineStr">
        <is>
          <t>0                      DS 0712000S  245         1986</t>
        </is>
      </c>
      <c r="D1909" t="inlineStr">
        <is>
          <t>Iron &amp; silk / Mark Salzman.</t>
        </is>
      </c>
      <c r="F1909" t="inlineStr">
        <is>
          <t>No</t>
        </is>
      </c>
      <c r="G1909" t="inlineStr">
        <is>
          <t>1</t>
        </is>
      </c>
      <c r="H1909" t="inlineStr">
        <is>
          <t>No</t>
        </is>
      </c>
      <c r="I1909" t="inlineStr">
        <is>
          <t>No</t>
        </is>
      </c>
      <c r="J1909" t="inlineStr">
        <is>
          <t>0</t>
        </is>
      </c>
      <c r="K1909" t="inlineStr">
        <is>
          <t>Salzman, Mark.</t>
        </is>
      </c>
      <c r="L1909" t="inlineStr">
        <is>
          <t>New York : Random House, c1986.</t>
        </is>
      </c>
      <c r="M1909" t="inlineStr">
        <is>
          <t>1986</t>
        </is>
      </c>
      <c r="N1909" t="inlineStr">
        <is>
          <t>1st ed.</t>
        </is>
      </c>
      <c r="O1909" t="inlineStr">
        <is>
          <t>eng</t>
        </is>
      </c>
      <c r="P1909" t="inlineStr">
        <is>
          <t>nyu</t>
        </is>
      </c>
      <c r="R1909" t="inlineStr">
        <is>
          <t xml:space="preserve">DS </t>
        </is>
      </c>
      <c r="S1909" t="n">
        <v>16</v>
      </c>
      <c r="T1909" t="n">
        <v>16</v>
      </c>
      <c r="U1909" t="inlineStr">
        <is>
          <t>2003-09-28</t>
        </is>
      </c>
      <c r="V1909" t="inlineStr">
        <is>
          <t>2003-09-28</t>
        </is>
      </c>
      <c r="W1909" t="inlineStr">
        <is>
          <t>1990-10-11</t>
        </is>
      </c>
      <c r="X1909" t="inlineStr">
        <is>
          <t>1990-10-11</t>
        </is>
      </c>
      <c r="Y1909" t="n">
        <v>1171</v>
      </c>
      <c r="Z1909" t="n">
        <v>1118</v>
      </c>
      <c r="AA1909" t="n">
        <v>1679</v>
      </c>
      <c r="AB1909" t="n">
        <v>6</v>
      </c>
      <c r="AC1909" t="n">
        <v>10</v>
      </c>
      <c r="AD1909" t="n">
        <v>20</v>
      </c>
      <c r="AE1909" t="n">
        <v>29</v>
      </c>
      <c r="AF1909" t="n">
        <v>9</v>
      </c>
      <c r="AG1909" t="n">
        <v>13</v>
      </c>
      <c r="AH1909" t="n">
        <v>4</v>
      </c>
      <c r="AI1909" t="n">
        <v>5</v>
      </c>
      <c r="AJ1909" t="n">
        <v>10</v>
      </c>
      <c r="AK1909" t="n">
        <v>14</v>
      </c>
      <c r="AL1909" t="n">
        <v>1</v>
      </c>
      <c r="AM1909" t="n">
        <v>4</v>
      </c>
      <c r="AN1909" t="n">
        <v>1</v>
      </c>
      <c r="AO1909" t="n">
        <v>1</v>
      </c>
      <c r="AP1909" t="inlineStr">
        <is>
          <t>No</t>
        </is>
      </c>
      <c r="AQ1909" t="inlineStr">
        <is>
          <t>Yes</t>
        </is>
      </c>
      <c r="AR1909">
        <f>HYPERLINK("http://catalog.hathitrust.org/Record/000444701","HathiTrust Record")</f>
        <v/>
      </c>
      <c r="AS1909">
        <f>HYPERLINK("https://creighton-primo.hosted.exlibrisgroup.com/primo-explore/search?tab=default_tab&amp;search_scope=EVERYTHING&amp;vid=01CRU&amp;lang=en_US&amp;offset=0&amp;query=any,contains,991000848609702656","Catalog Record")</f>
        <v/>
      </c>
      <c r="AT1909">
        <f>HYPERLINK("http://www.worldcat.org/oclc/13580691","WorldCat Record")</f>
        <v/>
      </c>
      <c r="AU1909" t="inlineStr">
        <is>
          <t>10557186:eng</t>
        </is>
      </c>
      <c r="AV1909" t="inlineStr">
        <is>
          <t>13580691</t>
        </is>
      </c>
      <c r="AW1909" t="inlineStr">
        <is>
          <t>991000848609702656</t>
        </is>
      </c>
      <c r="AX1909" t="inlineStr">
        <is>
          <t>991000848609702656</t>
        </is>
      </c>
      <c r="AY1909" t="inlineStr">
        <is>
          <t>2257552100002656</t>
        </is>
      </c>
      <c r="AZ1909" t="inlineStr">
        <is>
          <t>BOOK</t>
        </is>
      </c>
      <c r="BB1909" t="inlineStr">
        <is>
          <t>9780394551562</t>
        </is>
      </c>
      <c r="BC1909" t="inlineStr">
        <is>
          <t>32285000338078</t>
        </is>
      </c>
      <c r="BD1909" t="inlineStr">
        <is>
          <t>893797038</t>
        </is>
      </c>
    </row>
    <row r="1910">
      <c r="A1910" t="inlineStr">
        <is>
          <t>No</t>
        </is>
      </c>
      <c r="B1910" t="inlineStr">
        <is>
          <t>DS72 .K6 1968</t>
        </is>
      </c>
      <c r="C1910" t="inlineStr">
        <is>
          <t>0                      DS 0072000K  6           1968</t>
        </is>
      </c>
      <c r="D1910" t="inlineStr">
        <is>
          <t>A history of Sumer and Akkad; an account of the early races of Babylonia from prehistoric times to the foundation of the Babylonian monarchy.</t>
        </is>
      </c>
      <c r="F1910" t="inlineStr">
        <is>
          <t>No</t>
        </is>
      </c>
      <c r="G1910" t="inlineStr">
        <is>
          <t>1</t>
        </is>
      </c>
      <c r="H1910" t="inlineStr">
        <is>
          <t>No</t>
        </is>
      </c>
      <c r="I1910" t="inlineStr">
        <is>
          <t>No</t>
        </is>
      </c>
      <c r="J1910" t="inlineStr">
        <is>
          <t>0</t>
        </is>
      </c>
      <c r="K1910" t="inlineStr">
        <is>
          <t>King, L. W. (Leonard William), 1869-1919.</t>
        </is>
      </c>
      <c r="L1910" t="inlineStr">
        <is>
          <t>New York, Greenwood Press [1968]</t>
        </is>
      </c>
      <c r="M1910" t="inlineStr">
        <is>
          <t>1968</t>
        </is>
      </c>
      <c r="O1910" t="inlineStr">
        <is>
          <t>eng</t>
        </is>
      </c>
      <c r="P1910" t="inlineStr">
        <is>
          <t>nyu</t>
        </is>
      </c>
      <c r="R1910" t="inlineStr">
        <is>
          <t xml:space="preserve">DS </t>
        </is>
      </c>
      <c r="S1910" t="n">
        <v>3</v>
      </c>
      <c r="T1910" t="n">
        <v>3</v>
      </c>
      <c r="U1910" t="inlineStr">
        <is>
          <t>1996-08-26</t>
        </is>
      </c>
      <c r="V1910" t="inlineStr">
        <is>
          <t>1996-08-26</t>
        </is>
      </c>
      <c r="W1910" t="inlineStr">
        <is>
          <t>1992-05-04</t>
        </is>
      </c>
      <c r="X1910" t="inlineStr">
        <is>
          <t>1992-05-04</t>
        </is>
      </c>
      <c r="Y1910" t="n">
        <v>239</v>
      </c>
      <c r="Z1910" t="n">
        <v>219</v>
      </c>
      <c r="AA1910" t="n">
        <v>413</v>
      </c>
      <c r="AB1910" t="n">
        <v>2</v>
      </c>
      <c r="AC1910" t="n">
        <v>3</v>
      </c>
      <c r="AD1910" t="n">
        <v>12</v>
      </c>
      <c r="AE1910" t="n">
        <v>15</v>
      </c>
      <c r="AF1910" t="n">
        <v>4</v>
      </c>
      <c r="AG1910" t="n">
        <v>4</v>
      </c>
      <c r="AH1910" t="n">
        <v>4</v>
      </c>
      <c r="AI1910" t="n">
        <v>6</v>
      </c>
      <c r="AJ1910" t="n">
        <v>6</v>
      </c>
      <c r="AK1910" t="n">
        <v>6</v>
      </c>
      <c r="AL1910" t="n">
        <v>1</v>
      </c>
      <c r="AM1910" t="n">
        <v>2</v>
      </c>
      <c r="AN1910" t="n">
        <v>0</v>
      </c>
      <c r="AO1910" t="n">
        <v>0</v>
      </c>
      <c r="AP1910" t="inlineStr">
        <is>
          <t>No</t>
        </is>
      </c>
      <c r="AQ1910" t="inlineStr">
        <is>
          <t>No</t>
        </is>
      </c>
      <c r="AS1910">
        <f>HYPERLINK("https://creighton-primo.hosted.exlibrisgroup.com/primo-explore/search?tab=default_tab&amp;search_scope=EVERYTHING&amp;vid=01CRU&amp;lang=en_US&amp;offset=0&amp;query=any,contains,991000051369702656","Catalog Record")</f>
        <v/>
      </c>
      <c r="AT1910">
        <f>HYPERLINK("http://www.worldcat.org/oclc/22873","WorldCat Record")</f>
        <v/>
      </c>
      <c r="AU1910" t="inlineStr">
        <is>
          <t>3768452371:eng</t>
        </is>
      </c>
      <c r="AV1910" t="inlineStr">
        <is>
          <t>22873</t>
        </is>
      </c>
      <c r="AW1910" t="inlineStr">
        <is>
          <t>991000051369702656</t>
        </is>
      </c>
      <c r="AX1910" t="inlineStr">
        <is>
          <t>991000051369702656</t>
        </is>
      </c>
      <c r="AY1910" t="inlineStr">
        <is>
          <t>2268194110002656</t>
        </is>
      </c>
      <c r="AZ1910" t="inlineStr">
        <is>
          <t>BOOK</t>
        </is>
      </c>
      <c r="BC1910" t="inlineStr">
        <is>
          <t>32285001120186</t>
        </is>
      </c>
      <c r="BD1910" t="inlineStr">
        <is>
          <t>893877750</t>
        </is>
      </c>
    </row>
    <row r="1911">
      <c r="A1911" t="inlineStr">
        <is>
          <t>No</t>
        </is>
      </c>
      <c r="B1911" t="inlineStr">
        <is>
          <t>DS721 .B213</t>
        </is>
      </c>
      <c r="C1911" t="inlineStr">
        <is>
          <t>0                      DS 0721000B  213</t>
        </is>
      </c>
      <c r="D1911" t="inlineStr">
        <is>
          <t>Chinese civilization and bureaucracy : variations on a theme / translated by H.M. Wright. Edited by Arthur F. Wright.</t>
        </is>
      </c>
      <c r="F1911" t="inlineStr">
        <is>
          <t>No</t>
        </is>
      </c>
      <c r="G1911" t="inlineStr">
        <is>
          <t>1</t>
        </is>
      </c>
      <c r="H1911" t="inlineStr">
        <is>
          <t>No</t>
        </is>
      </c>
      <c r="I1911" t="inlineStr">
        <is>
          <t>No</t>
        </is>
      </c>
      <c r="J1911" t="inlineStr">
        <is>
          <t>0</t>
        </is>
      </c>
      <c r="K1911" t="inlineStr">
        <is>
          <t>Balazs, Etienne, 1905-1963.</t>
        </is>
      </c>
      <c r="L1911" t="inlineStr">
        <is>
          <t>New Haven : Yale University Press, 1964.</t>
        </is>
      </c>
      <c r="M1911" t="inlineStr">
        <is>
          <t>1964</t>
        </is>
      </c>
      <c r="O1911" t="inlineStr">
        <is>
          <t>eng</t>
        </is>
      </c>
      <c r="P1911" t="inlineStr">
        <is>
          <t>ctu</t>
        </is>
      </c>
      <c r="R1911" t="inlineStr">
        <is>
          <t xml:space="preserve">DS </t>
        </is>
      </c>
      <c r="S1911" t="n">
        <v>4</v>
      </c>
      <c r="T1911" t="n">
        <v>4</v>
      </c>
      <c r="U1911" t="inlineStr">
        <is>
          <t>2008-06-22</t>
        </is>
      </c>
      <c r="V1911" t="inlineStr">
        <is>
          <t>2008-06-22</t>
        </is>
      </c>
      <c r="W1911" t="inlineStr">
        <is>
          <t>1992-01-17</t>
        </is>
      </c>
      <c r="X1911" t="inlineStr">
        <is>
          <t>1992-01-17</t>
        </is>
      </c>
      <c r="Y1911" t="n">
        <v>962</v>
      </c>
      <c r="Z1911" t="n">
        <v>795</v>
      </c>
      <c r="AA1911" t="n">
        <v>866</v>
      </c>
      <c r="AB1911" t="n">
        <v>3</v>
      </c>
      <c r="AC1911" t="n">
        <v>3</v>
      </c>
      <c r="AD1911" t="n">
        <v>33</v>
      </c>
      <c r="AE1911" t="n">
        <v>35</v>
      </c>
      <c r="AF1911" t="n">
        <v>13</v>
      </c>
      <c r="AG1911" t="n">
        <v>14</v>
      </c>
      <c r="AH1911" t="n">
        <v>7</v>
      </c>
      <c r="AI1911" t="n">
        <v>8</v>
      </c>
      <c r="AJ1911" t="n">
        <v>19</v>
      </c>
      <c r="AK1911" t="n">
        <v>20</v>
      </c>
      <c r="AL1911" t="n">
        <v>2</v>
      </c>
      <c r="AM1911" t="n">
        <v>2</v>
      </c>
      <c r="AN1911" t="n">
        <v>1</v>
      </c>
      <c r="AO1911" t="n">
        <v>1</v>
      </c>
      <c r="AP1911" t="inlineStr">
        <is>
          <t>No</t>
        </is>
      </c>
      <c r="AQ1911" t="inlineStr">
        <is>
          <t>Yes</t>
        </is>
      </c>
      <c r="AR1911">
        <f>HYPERLINK("http://catalog.hathitrust.org/Record/001871478","HathiTrust Record")</f>
        <v/>
      </c>
      <c r="AS1911">
        <f>HYPERLINK("https://creighton-primo.hosted.exlibrisgroup.com/primo-explore/search?tab=default_tab&amp;search_scope=EVERYTHING&amp;vid=01CRU&amp;lang=en_US&amp;offset=0&amp;query=any,contains,991001045939702656","Catalog Record")</f>
        <v/>
      </c>
      <c r="AT1911">
        <f>HYPERLINK("http://www.worldcat.org/oclc/176109","WorldCat Record")</f>
        <v/>
      </c>
      <c r="AU1911" t="inlineStr">
        <is>
          <t>1310278:eng</t>
        </is>
      </c>
      <c r="AV1911" t="inlineStr">
        <is>
          <t>176109</t>
        </is>
      </c>
      <c r="AW1911" t="inlineStr">
        <is>
          <t>991001045939702656</t>
        </is>
      </c>
      <c r="AX1911" t="inlineStr">
        <is>
          <t>991001045939702656</t>
        </is>
      </c>
      <c r="AY1911" t="inlineStr">
        <is>
          <t>2267731870002656</t>
        </is>
      </c>
      <c r="AZ1911" t="inlineStr">
        <is>
          <t>BOOK</t>
        </is>
      </c>
      <c r="BC1911" t="inlineStr">
        <is>
          <t>32285000914910</t>
        </is>
      </c>
      <c r="BD1911" t="inlineStr">
        <is>
          <t>893231655</t>
        </is>
      </c>
    </row>
    <row r="1912">
      <c r="A1912" t="inlineStr">
        <is>
          <t>No</t>
        </is>
      </c>
      <c r="B1912" t="inlineStr">
        <is>
          <t>DS721 .B59 1983</t>
        </is>
      </c>
      <c r="C1912" t="inlineStr">
        <is>
          <t>0                      DS 0721000B  59          1983</t>
        </is>
      </c>
      <c r="D1912" t="inlineStr">
        <is>
          <t>Cultural atlas of China / by Caroline Blunden and Mark Elvin.</t>
        </is>
      </c>
      <c r="F1912" t="inlineStr">
        <is>
          <t>No</t>
        </is>
      </c>
      <c r="G1912" t="inlineStr">
        <is>
          <t>1</t>
        </is>
      </c>
      <c r="H1912" t="inlineStr">
        <is>
          <t>No</t>
        </is>
      </c>
      <c r="I1912" t="inlineStr">
        <is>
          <t>No</t>
        </is>
      </c>
      <c r="J1912" t="inlineStr">
        <is>
          <t>0</t>
        </is>
      </c>
      <c r="K1912" t="inlineStr">
        <is>
          <t>Blunden, Caroline.</t>
        </is>
      </c>
      <c r="L1912" t="inlineStr">
        <is>
          <t>New York : Facts on File Inc., c1983.</t>
        </is>
      </c>
      <c r="M1912" t="inlineStr">
        <is>
          <t>1983</t>
        </is>
      </c>
      <c r="O1912" t="inlineStr">
        <is>
          <t>eng</t>
        </is>
      </c>
      <c r="P1912" t="inlineStr">
        <is>
          <t>nyu</t>
        </is>
      </c>
      <c r="R1912" t="inlineStr">
        <is>
          <t xml:space="preserve">DS </t>
        </is>
      </c>
      <c r="S1912" t="n">
        <v>9</v>
      </c>
      <c r="T1912" t="n">
        <v>9</v>
      </c>
      <c r="U1912" t="inlineStr">
        <is>
          <t>2007-04-04</t>
        </is>
      </c>
      <c r="V1912" t="inlineStr">
        <is>
          <t>2007-04-04</t>
        </is>
      </c>
      <c r="W1912" t="inlineStr">
        <is>
          <t>1990-07-02</t>
        </is>
      </c>
      <c r="X1912" t="inlineStr">
        <is>
          <t>1990-07-02</t>
        </is>
      </c>
      <c r="Y1912" t="n">
        <v>1481</v>
      </c>
      <c r="Z1912" t="n">
        <v>1401</v>
      </c>
      <c r="AA1912" t="n">
        <v>1463</v>
      </c>
      <c r="AB1912" t="n">
        <v>10</v>
      </c>
      <c r="AC1912" t="n">
        <v>10</v>
      </c>
      <c r="AD1912" t="n">
        <v>31</v>
      </c>
      <c r="AE1912" t="n">
        <v>33</v>
      </c>
      <c r="AF1912" t="n">
        <v>13</v>
      </c>
      <c r="AG1912" t="n">
        <v>15</v>
      </c>
      <c r="AH1912" t="n">
        <v>6</v>
      </c>
      <c r="AI1912" t="n">
        <v>6</v>
      </c>
      <c r="AJ1912" t="n">
        <v>10</v>
      </c>
      <c r="AK1912" t="n">
        <v>11</v>
      </c>
      <c r="AL1912" t="n">
        <v>7</v>
      </c>
      <c r="AM1912" t="n">
        <v>7</v>
      </c>
      <c r="AN1912" t="n">
        <v>0</v>
      </c>
      <c r="AO1912" t="n">
        <v>0</v>
      </c>
      <c r="AP1912" t="inlineStr">
        <is>
          <t>No</t>
        </is>
      </c>
      <c r="AQ1912" t="inlineStr">
        <is>
          <t>No</t>
        </is>
      </c>
      <c r="AS1912">
        <f>HYPERLINK("https://creighton-primo.hosted.exlibrisgroup.com/primo-explore/search?tab=default_tab&amp;search_scope=EVERYTHING&amp;vid=01CRU&amp;lang=en_US&amp;offset=0&amp;query=any,contains,991000116639702656","Catalog Record")</f>
        <v/>
      </c>
      <c r="AT1912">
        <f>HYPERLINK("http://www.worldcat.org/oclc/9042225","WorldCat Record")</f>
        <v/>
      </c>
      <c r="AU1912" t="inlineStr">
        <is>
          <t>4479196870:eng</t>
        </is>
      </c>
      <c r="AV1912" t="inlineStr">
        <is>
          <t>9042225</t>
        </is>
      </c>
      <c r="AW1912" t="inlineStr">
        <is>
          <t>991000116639702656</t>
        </is>
      </c>
      <c r="AX1912" t="inlineStr">
        <is>
          <t>991000116639702656</t>
        </is>
      </c>
      <c r="AY1912" t="inlineStr">
        <is>
          <t>2265344870002656</t>
        </is>
      </c>
      <c r="AZ1912" t="inlineStr">
        <is>
          <t>BOOK</t>
        </is>
      </c>
      <c r="BB1912" t="inlineStr">
        <is>
          <t>9780871961327</t>
        </is>
      </c>
      <c r="BC1912" t="inlineStr">
        <is>
          <t>32285000220698</t>
        </is>
      </c>
      <c r="BD1912" t="inlineStr">
        <is>
          <t>893345398</t>
        </is>
      </c>
    </row>
    <row r="1913">
      <c r="A1913" t="inlineStr">
        <is>
          <t>No</t>
        </is>
      </c>
      <c r="B1913" t="inlineStr">
        <is>
          <t>DS721 .B615 1994</t>
        </is>
      </c>
      <c r="C1913" t="inlineStr">
        <is>
          <t>0                      DS 0721000B  615         1994</t>
        </is>
      </c>
      <c r="D1913" t="inlineStr">
        <is>
          <t>Body, subject &amp; power in China / edited by Angela Zito and Tani E. Barlow.</t>
        </is>
      </c>
      <c r="F1913" t="inlineStr">
        <is>
          <t>No</t>
        </is>
      </c>
      <c r="G1913" t="inlineStr">
        <is>
          <t>1</t>
        </is>
      </c>
      <c r="H1913" t="inlineStr">
        <is>
          <t>No</t>
        </is>
      </c>
      <c r="I1913" t="inlineStr">
        <is>
          <t>No</t>
        </is>
      </c>
      <c r="J1913" t="inlineStr">
        <is>
          <t>0</t>
        </is>
      </c>
      <c r="L1913" t="inlineStr">
        <is>
          <t>Chicago : University of Chicago Press, c1994.</t>
        </is>
      </c>
      <c r="M1913" t="inlineStr">
        <is>
          <t>1994</t>
        </is>
      </c>
      <c r="O1913" t="inlineStr">
        <is>
          <t>eng</t>
        </is>
      </c>
      <c r="P1913" t="inlineStr">
        <is>
          <t>ilu</t>
        </is>
      </c>
      <c r="R1913" t="inlineStr">
        <is>
          <t xml:space="preserve">DS </t>
        </is>
      </c>
      <c r="S1913" t="n">
        <v>2</v>
      </c>
      <c r="T1913" t="n">
        <v>2</v>
      </c>
      <c r="U1913" t="inlineStr">
        <is>
          <t>2001-09-21</t>
        </is>
      </c>
      <c r="V1913" t="inlineStr">
        <is>
          <t>2001-09-21</t>
        </is>
      </c>
      <c r="W1913" t="inlineStr">
        <is>
          <t>2000-03-23</t>
        </is>
      </c>
      <c r="X1913" t="inlineStr">
        <is>
          <t>2000-03-23</t>
        </is>
      </c>
      <c r="Y1913" t="n">
        <v>450</v>
      </c>
      <c r="Z1913" t="n">
        <v>322</v>
      </c>
      <c r="AA1913" t="n">
        <v>323</v>
      </c>
      <c r="AB1913" t="n">
        <v>3</v>
      </c>
      <c r="AC1913" t="n">
        <v>3</v>
      </c>
      <c r="AD1913" t="n">
        <v>17</v>
      </c>
      <c r="AE1913" t="n">
        <v>17</v>
      </c>
      <c r="AF1913" t="n">
        <v>5</v>
      </c>
      <c r="AG1913" t="n">
        <v>5</v>
      </c>
      <c r="AH1913" t="n">
        <v>5</v>
      </c>
      <c r="AI1913" t="n">
        <v>5</v>
      </c>
      <c r="AJ1913" t="n">
        <v>8</v>
      </c>
      <c r="AK1913" t="n">
        <v>8</v>
      </c>
      <c r="AL1913" t="n">
        <v>2</v>
      </c>
      <c r="AM1913" t="n">
        <v>2</v>
      </c>
      <c r="AN1913" t="n">
        <v>0</v>
      </c>
      <c r="AO1913" t="n">
        <v>0</v>
      </c>
      <c r="AP1913" t="inlineStr">
        <is>
          <t>No</t>
        </is>
      </c>
      <c r="AQ1913" t="inlineStr">
        <is>
          <t>No</t>
        </is>
      </c>
      <c r="AS1913">
        <f>HYPERLINK("https://creighton-primo.hosted.exlibrisgroup.com/primo-explore/search?tab=default_tab&amp;search_scope=EVERYTHING&amp;vid=01CRU&amp;lang=en_US&amp;offset=0&amp;query=any,contains,991002169489702656","Catalog Record")</f>
        <v/>
      </c>
      <c r="AT1913">
        <f>HYPERLINK("http://www.worldcat.org/oclc/27934874","WorldCat Record")</f>
        <v/>
      </c>
      <c r="AU1913" t="inlineStr">
        <is>
          <t>351583364:eng</t>
        </is>
      </c>
      <c r="AV1913" t="inlineStr">
        <is>
          <t>27934874</t>
        </is>
      </c>
      <c r="AW1913" t="inlineStr">
        <is>
          <t>991002169489702656</t>
        </is>
      </c>
      <c r="AX1913" t="inlineStr">
        <is>
          <t>991002169489702656</t>
        </is>
      </c>
      <c r="AY1913" t="inlineStr">
        <is>
          <t>2256332740002656</t>
        </is>
      </c>
      <c r="AZ1913" t="inlineStr">
        <is>
          <t>BOOK</t>
        </is>
      </c>
      <c r="BB1913" t="inlineStr">
        <is>
          <t>9780226987262</t>
        </is>
      </c>
      <c r="BC1913" t="inlineStr">
        <is>
          <t>32285003673695</t>
        </is>
      </c>
      <c r="BD1913" t="inlineStr">
        <is>
          <t>893879574</t>
        </is>
      </c>
    </row>
    <row r="1914">
      <c r="A1914" t="inlineStr">
        <is>
          <t>No</t>
        </is>
      </c>
      <c r="B1914" t="inlineStr">
        <is>
          <t>DS721 .B617 1991</t>
        </is>
      </c>
      <c r="C1914" t="inlineStr">
        <is>
          <t>0                      DS 0721000B  617         1991</t>
        </is>
      </c>
      <c r="D1914" t="inlineStr">
        <is>
          <t>Beyond the Chinese face : insights from psychology / Michael Harris Bond.</t>
        </is>
      </c>
      <c r="F1914" t="inlineStr">
        <is>
          <t>No</t>
        </is>
      </c>
      <c r="G1914" t="inlineStr">
        <is>
          <t>1</t>
        </is>
      </c>
      <c r="H1914" t="inlineStr">
        <is>
          <t>No</t>
        </is>
      </c>
      <c r="I1914" t="inlineStr">
        <is>
          <t>No</t>
        </is>
      </c>
      <c r="J1914" t="inlineStr">
        <is>
          <t>0</t>
        </is>
      </c>
      <c r="K1914" t="inlineStr">
        <is>
          <t>Bond, Michael Harris, 1944-</t>
        </is>
      </c>
      <c r="L1914" t="inlineStr">
        <is>
          <t>Hong Kong ; New York : Oxford University Press, 1991.</t>
        </is>
      </c>
      <c r="M1914" t="inlineStr">
        <is>
          <t>1991</t>
        </is>
      </c>
      <c r="O1914" t="inlineStr">
        <is>
          <t>eng</t>
        </is>
      </c>
      <c r="P1914" t="inlineStr">
        <is>
          <t xml:space="preserve">hk </t>
        </is>
      </c>
      <c r="R1914" t="inlineStr">
        <is>
          <t xml:space="preserve">DS </t>
        </is>
      </c>
      <c r="S1914" t="n">
        <v>10</v>
      </c>
      <c r="T1914" t="n">
        <v>10</v>
      </c>
      <c r="U1914" t="inlineStr">
        <is>
          <t>2008-04-03</t>
        </is>
      </c>
      <c r="V1914" t="inlineStr">
        <is>
          <t>2008-04-03</t>
        </is>
      </c>
      <c r="W1914" t="inlineStr">
        <is>
          <t>1994-12-13</t>
        </is>
      </c>
      <c r="X1914" t="inlineStr">
        <is>
          <t>1994-12-13</t>
        </is>
      </c>
      <c r="Y1914" t="n">
        <v>370</v>
      </c>
      <c r="Z1914" t="n">
        <v>255</v>
      </c>
      <c r="AA1914" t="n">
        <v>259</v>
      </c>
      <c r="AB1914" t="n">
        <v>2</v>
      </c>
      <c r="AC1914" t="n">
        <v>2</v>
      </c>
      <c r="AD1914" t="n">
        <v>14</v>
      </c>
      <c r="AE1914" t="n">
        <v>14</v>
      </c>
      <c r="AF1914" t="n">
        <v>3</v>
      </c>
      <c r="AG1914" t="n">
        <v>3</v>
      </c>
      <c r="AH1914" t="n">
        <v>4</v>
      </c>
      <c r="AI1914" t="n">
        <v>4</v>
      </c>
      <c r="AJ1914" t="n">
        <v>11</v>
      </c>
      <c r="AK1914" t="n">
        <v>11</v>
      </c>
      <c r="AL1914" t="n">
        <v>1</v>
      </c>
      <c r="AM1914" t="n">
        <v>1</v>
      </c>
      <c r="AN1914" t="n">
        <v>0</v>
      </c>
      <c r="AO1914" t="n">
        <v>0</v>
      </c>
      <c r="AP1914" t="inlineStr">
        <is>
          <t>No</t>
        </is>
      </c>
      <c r="AQ1914" t="inlineStr">
        <is>
          <t>Yes</t>
        </is>
      </c>
      <c r="AR1914">
        <f>HYPERLINK("http://catalog.hathitrust.org/Record/002805890","HathiTrust Record")</f>
        <v/>
      </c>
      <c r="AS1914">
        <f>HYPERLINK("https://creighton-primo.hosted.exlibrisgroup.com/primo-explore/search?tab=default_tab&amp;search_scope=EVERYTHING&amp;vid=01CRU&amp;lang=en_US&amp;offset=0&amp;query=any,contains,991001902999702656","Catalog Record")</f>
        <v/>
      </c>
      <c r="AT1914">
        <f>HYPERLINK("http://www.worldcat.org/oclc/24064886","WorldCat Record")</f>
        <v/>
      </c>
      <c r="AU1914" t="inlineStr">
        <is>
          <t>25074165:eng</t>
        </is>
      </c>
      <c r="AV1914" t="inlineStr">
        <is>
          <t>24064886</t>
        </is>
      </c>
      <c r="AW1914" t="inlineStr">
        <is>
          <t>991001902999702656</t>
        </is>
      </c>
      <c r="AX1914" t="inlineStr">
        <is>
          <t>991001902999702656</t>
        </is>
      </c>
      <c r="AY1914" t="inlineStr">
        <is>
          <t>2263542310002656</t>
        </is>
      </c>
      <c r="AZ1914" t="inlineStr">
        <is>
          <t>BOOK</t>
        </is>
      </c>
      <c r="BB1914" t="inlineStr">
        <is>
          <t>9780195851168</t>
        </is>
      </c>
      <c r="BC1914" t="inlineStr">
        <is>
          <t>32285001976983</t>
        </is>
      </c>
      <c r="BD1914" t="inlineStr">
        <is>
          <t>893334697</t>
        </is>
      </c>
    </row>
    <row r="1915">
      <c r="A1915" t="inlineStr">
        <is>
          <t>No</t>
        </is>
      </c>
      <c r="B1915" t="inlineStr">
        <is>
          <t>DS721 .B95 1959a</t>
        </is>
      </c>
      <c r="C1915" t="inlineStr">
        <is>
          <t>0                      DS 0721000B  95          1959a</t>
        </is>
      </c>
      <c r="D1915" t="inlineStr">
        <is>
          <t>Chinese creeds &amp; customs.</t>
        </is>
      </c>
      <c r="E1915" t="inlineStr">
        <is>
          <t>V.3</t>
        </is>
      </c>
      <c r="F1915" t="inlineStr">
        <is>
          <t>Yes</t>
        </is>
      </c>
      <c r="G1915" t="inlineStr">
        <is>
          <t>1</t>
        </is>
      </c>
      <c r="H1915" t="inlineStr">
        <is>
          <t>No</t>
        </is>
      </c>
      <c r="I1915" t="inlineStr">
        <is>
          <t>No</t>
        </is>
      </c>
      <c r="J1915" t="inlineStr">
        <is>
          <t>0</t>
        </is>
      </c>
      <c r="K1915" t="inlineStr">
        <is>
          <t>Burkhardt, V. R. (Valentine Rodolphe), 1884-1967.</t>
        </is>
      </c>
      <c r="L1915" t="inlineStr">
        <is>
          <t>Hong Kong : South China Morning Post, [1959-1960, c1955]</t>
        </is>
      </c>
      <c r="M1915" t="inlineStr">
        <is>
          <t>1959</t>
        </is>
      </c>
      <c r="O1915" t="inlineStr">
        <is>
          <t>eng</t>
        </is>
      </c>
      <c r="P1915" t="inlineStr">
        <is>
          <t xml:space="preserve">hk </t>
        </is>
      </c>
      <c r="R1915" t="inlineStr">
        <is>
          <t xml:space="preserve">DS </t>
        </is>
      </c>
      <c r="S1915" t="n">
        <v>8</v>
      </c>
      <c r="T1915" t="n">
        <v>20</v>
      </c>
      <c r="U1915" t="inlineStr">
        <is>
          <t>1997-11-10</t>
        </is>
      </c>
      <c r="V1915" t="inlineStr">
        <is>
          <t>2008-03-03</t>
        </is>
      </c>
      <c r="W1915" t="inlineStr">
        <is>
          <t>1993-03-23</t>
        </is>
      </c>
      <c r="X1915" t="inlineStr">
        <is>
          <t>1993-03-23</t>
        </is>
      </c>
      <c r="Y1915" t="n">
        <v>21</v>
      </c>
      <c r="Z1915" t="n">
        <v>20</v>
      </c>
      <c r="AA1915" t="n">
        <v>240</v>
      </c>
      <c r="AB1915" t="n">
        <v>1</v>
      </c>
      <c r="AC1915" t="n">
        <v>1</v>
      </c>
      <c r="AD1915" t="n">
        <v>0</v>
      </c>
      <c r="AE1915" t="n">
        <v>4</v>
      </c>
      <c r="AF1915" t="n">
        <v>0</v>
      </c>
      <c r="AG1915" t="n">
        <v>0</v>
      </c>
      <c r="AH1915" t="n">
        <v>0</v>
      </c>
      <c r="AI1915" t="n">
        <v>1</v>
      </c>
      <c r="AJ1915" t="n">
        <v>0</v>
      </c>
      <c r="AK1915" t="n">
        <v>4</v>
      </c>
      <c r="AL1915" t="n">
        <v>0</v>
      </c>
      <c r="AM1915" t="n">
        <v>0</v>
      </c>
      <c r="AN1915" t="n">
        <v>0</v>
      </c>
      <c r="AO1915" t="n">
        <v>0</v>
      </c>
      <c r="AP1915" t="inlineStr">
        <is>
          <t>No</t>
        </is>
      </c>
      <c r="AQ1915" t="inlineStr">
        <is>
          <t>No</t>
        </is>
      </c>
      <c r="AS1915">
        <f>HYPERLINK("https://creighton-primo.hosted.exlibrisgroup.com/primo-explore/search?tab=default_tab&amp;search_scope=EVERYTHING&amp;vid=01CRU&amp;lang=en_US&amp;offset=0&amp;query=any,contains,991000726689702656","Catalog Record")</f>
        <v/>
      </c>
      <c r="AT1915">
        <f>HYPERLINK("http://www.worldcat.org/oclc/12698945","WorldCat Record")</f>
        <v/>
      </c>
      <c r="AU1915" t="inlineStr">
        <is>
          <t>104394289:eng</t>
        </is>
      </c>
      <c r="AV1915" t="inlineStr">
        <is>
          <t>12698945</t>
        </is>
      </c>
      <c r="AW1915" t="inlineStr">
        <is>
          <t>991000726689702656</t>
        </is>
      </c>
      <c r="AX1915" t="inlineStr">
        <is>
          <t>991000726689702656</t>
        </is>
      </c>
      <c r="AY1915" t="inlineStr">
        <is>
          <t>2267285740002656</t>
        </is>
      </c>
      <c r="AZ1915" t="inlineStr">
        <is>
          <t>BOOK</t>
        </is>
      </c>
      <c r="BC1915" t="inlineStr">
        <is>
          <t>32285001578201</t>
        </is>
      </c>
      <c r="BD1915" t="inlineStr">
        <is>
          <t>893521945</t>
        </is>
      </c>
    </row>
    <row r="1916">
      <c r="A1916" t="inlineStr">
        <is>
          <t>No</t>
        </is>
      </c>
      <c r="B1916" t="inlineStr">
        <is>
          <t>DS721 .B95 1959a</t>
        </is>
      </c>
      <c r="C1916" t="inlineStr">
        <is>
          <t>0                      DS 0721000B  95          1959a</t>
        </is>
      </c>
      <c r="D1916" t="inlineStr">
        <is>
          <t>Chinese creeds &amp; customs.</t>
        </is>
      </c>
      <c r="E1916" t="inlineStr">
        <is>
          <t>V.2</t>
        </is>
      </c>
      <c r="F1916" t="inlineStr">
        <is>
          <t>Yes</t>
        </is>
      </c>
      <c r="G1916" t="inlineStr">
        <is>
          <t>1</t>
        </is>
      </c>
      <c r="H1916" t="inlineStr">
        <is>
          <t>No</t>
        </is>
      </c>
      <c r="I1916" t="inlineStr">
        <is>
          <t>No</t>
        </is>
      </c>
      <c r="J1916" t="inlineStr">
        <is>
          <t>0</t>
        </is>
      </c>
      <c r="K1916" t="inlineStr">
        <is>
          <t>Burkhardt, V. R. (Valentine Rodolphe), 1884-1967.</t>
        </is>
      </c>
      <c r="L1916" t="inlineStr">
        <is>
          <t>Hong Kong : South China Morning Post, [1959-1960, c1955]</t>
        </is>
      </c>
      <c r="M1916" t="inlineStr">
        <is>
          <t>1959</t>
        </is>
      </c>
      <c r="O1916" t="inlineStr">
        <is>
          <t>eng</t>
        </is>
      </c>
      <c r="P1916" t="inlineStr">
        <is>
          <t xml:space="preserve">hk </t>
        </is>
      </c>
      <c r="R1916" t="inlineStr">
        <is>
          <t xml:space="preserve">DS </t>
        </is>
      </c>
      <c r="S1916" t="n">
        <v>12</v>
      </c>
      <c r="T1916" t="n">
        <v>20</v>
      </c>
      <c r="U1916" t="inlineStr">
        <is>
          <t>2008-03-03</t>
        </is>
      </c>
      <c r="V1916" t="inlineStr">
        <is>
          <t>2008-03-03</t>
        </is>
      </c>
      <c r="W1916" t="inlineStr">
        <is>
          <t>1993-03-23</t>
        </is>
      </c>
      <c r="X1916" t="inlineStr">
        <is>
          <t>1993-03-23</t>
        </is>
      </c>
      <c r="Y1916" t="n">
        <v>21</v>
      </c>
      <c r="Z1916" t="n">
        <v>20</v>
      </c>
      <c r="AA1916" t="n">
        <v>240</v>
      </c>
      <c r="AB1916" t="n">
        <v>1</v>
      </c>
      <c r="AC1916" t="n">
        <v>1</v>
      </c>
      <c r="AD1916" t="n">
        <v>0</v>
      </c>
      <c r="AE1916" t="n">
        <v>4</v>
      </c>
      <c r="AF1916" t="n">
        <v>0</v>
      </c>
      <c r="AG1916" t="n">
        <v>0</v>
      </c>
      <c r="AH1916" t="n">
        <v>0</v>
      </c>
      <c r="AI1916" t="n">
        <v>1</v>
      </c>
      <c r="AJ1916" t="n">
        <v>0</v>
      </c>
      <c r="AK1916" t="n">
        <v>4</v>
      </c>
      <c r="AL1916" t="n">
        <v>0</v>
      </c>
      <c r="AM1916" t="n">
        <v>0</v>
      </c>
      <c r="AN1916" t="n">
        <v>0</v>
      </c>
      <c r="AO1916" t="n">
        <v>0</v>
      </c>
      <c r="AP1916" t="inlineStr">
        <is>
          <t>No</t>
        </is>
      </c>
      <c r="AQ1916" t="inlineStr">
        <is>
          <t>No</t>
        </is>
      </c>
      <c r="AS1916">
        <f>HYPERLINK("https://creighton-primo.hosted.exlibrisgroup.com/primo-explore/search?tab=default_tab&amp;search_scope=EVERYTHING&amp;vid=01CRU&amp;lang=en_US&amp;offset=0&amp;query=any,contains,991000726689702656","Catalog Record")</f>
        <v/>
      </c>
      <c r="AT1916">
        <f>HYPERLINK("http://www.worldcat.org/oclc/12698945","WorldCat Record")</f>
        <v/>
      </c>
      <c r="AU1916" t="inlineStr">
        <is>
          <t>104394289:eng</t>
        </is>
      </c>
      <c r="AV1916" t="inlineStr">
        <is>
          <t>12698945</t>
        </is>
      </c>
      <c r="AW1916" t="inlineStr">
        <is>
          <t>991000726689702656</t>
        </is>
      </c>
      <c r="AX1916" t="inlineStr">
        <is>
          <t>991000726689702656</t>
        </is>
      </c>
      <c r="AY1916" t="inlineStr">
        <is>
          <t>2267285740002656</t>
        </is>
      </c>
      <c r="AZ1916" t="inlineStr">
        <is>
          <t>BOOK</t>
        </is>
      </c>
      <c r="BC1916" t="inlineStr">
        <is>
          <t>32285001578193</t>
        </is>
      </c>
      <c r="BD1916" t="inlineStr">
        <is>
          <t>893528339</t>
        </is>
      </c>
    </row>
    <row r="1917">
      <c r="A1917" t="inlineStr">
        <is>
          <t>No</t>
        </is>
      </c>
      <c r="B1917" t="inlineStr">
        <is>
          <t>DS721 .C47545</t>
        </is>
      </c>
      <c r="C1917" t="inlineStr">
        <is>
          <t>0                      DS 0721000C  47545</t>
        </is>
      </c>
      <c r="D1917" t="inlineStr">
        <is>
          <t>China and the West : society and culture, 1815-1937 / Jerome Chʻen.</t>
        </is>
      </c>
      <c r="F1917" t="inlineStr">
        <is>
          <t>No</t>
        </is>
      </c>
      <c r="G1917" t="inlineStr">
        <is>
          <t>1</t>
        </is>
      </c>
      <c r="H1917" t="inlineStr">
        <is>
          <t>No</t>
        </is>
      </c>
      <c r="I1917" t="inlineStr">
        <is>
          <t>No</t>
        </is>
      </c>
      <c r="J1917" t="inlineStr">
        <is>
          <t>0</t>
        </is>
      </c>
      <c r="K1917" t="inlineStr">
        <is>
          <t>Chʼên, Jerome, 1919-2019.</t>
        </is>
      </c>
      <c r="L1917" t="inlineStr">
        <is>
          <t>Bloomington : Indiana University Press, c1979.</t>
        </is>
      </c>
      <c r="M1917" t="inlineStr">
        <is>
          <t>1979</t>
        </is>
      </c>
      <c r="O1917" t="inlineStr">
        <is>
          <t>eng</t>
        </is>
      </c>
      <c r="P1917" t="inlineStr">
        <is>
          <t>inu</t>
        </is>
      </c>
      <c r="R1917" t="inlineStr">
        <is>
          <t xml:space="preserve">DS </t>
        </is>
      </c>
      <c r="S1917" t="n">
        <v>8</v>
      </c>
      <c r="T1917" t="n">
        <v>8</v>
      </c>
      <c r="U1917" t="inlineStr">
        <is>
          <t>2006-04-27</t>
        </is>
      </c>
      <c r="V1917" t="inlineStr">
        <is>
          <t>2006-04-27</t>
        </is>
      </c>
      <c r="W1917" t="inlineStr">
        <is>
          <t>1990-10-11</t>
        </is>
      </c>
      <c r="X1917" t="inlineStr">
        <is>
          <t>1990-10-11</t>
        </is>
      </c>
      <c r="Y1917" t="n">
        <v>682</v>
      </c>
      <c r="Z1917" t="n">
        <v>632</v>
      </c>
      <c r="AA1917" t="n">
        <v>685</v>
      </c>
      <c r="AB1917" t="n">
        <v>3</v>
      </c>
      <c r="AC1917" t="n">
        <v>4</v>
      </c>
      <c r="AD1917" t="n">
        <v>27</v>
      </c>
      <c r="AE1917" t="n">
        <v>29</v>
      </c>
      <c r="AF1917" t="n">
        <v>11</v>
      </c>
      <c r="AG1917" t="n">
        <v>11</v>
      </c>
      <c r="AH1917" t="n">
        <v>9</v>
      </c>
      <c r="AI1917" t="n">
        <v>9</v>
      </c>
      <c r="AJ1917" t="n">
        <v>12</v>
      </c>
      <c r="AK1917" t="n">
        <v>13</v>
      </c>
      <c r="AL1917" t="n">
        <v>2</v>
      </c>
      <c r="AM1917" t="n">
        <v>3</v>
      </c>
      <c r="AN1917" t="n">
        <v>1</v>
      </c>
      <c r="AO1917" t="n">
        <v>1</v>
      </c>
      <c r="AP1917" t="inlineStr">
        <is>
          <t>No</t>
        </is>
      </c>
      <c r="AQ1917" t="inlineStr">
        <is>
          <t>Yes</t>
        </is>
      </c>
      <c r="AR1917">
        <f>HYPERLINK("http://catalog.hathitrust.org/Record/000028615","HathiTrust Record")</f>
        <v/>
      </c>
      <c r="AS1917">
        <f>HYPERLINK("https://creighton-primo.hosted.exlibrisgroup.com/primo-explore/search?tab=default_tab&amp;search_scope=EVERYTHING&amp;vid=01CRU&amp;lang=en_US&amp;offset=0&amp;query=any,contains,991004793159702656","Catalog Record")</f>
        <v/>
      </c>
      <c r="AT1917">
        <f>HYPERLINK("http://www.worldcat.org/oclc/5171918","WorldCat Record")</f>
        <v/>
      </c>
      <c r="AU1917" t="inlineStr">
        <is>
          <t>198125698:eng</t>
        </is>
      </c>
      <c r="AV1917" t="inlineStr">
        <is>
          <t>5171918</t>
        </is>
      </c>
      <c r="AW1917" t="inlineStr">
        <is>
          <t>991004793159702656</t>
        </is>
      </c>
      <c r="AX1917" t="inlineStr">
        <is>
          <t>991004793159702656</t>
        </is>
      </c>
      <c r="AY1917" t="inlineStr">
        <is>
          <t>2259052440002656</t>
        </is>
      </c>
      <c r="AZ1917" t="inlineStr">
        <is>
          <t>BOOK</t>
        </is>
      </c>
      <c r="BB1917" t="inlineStr">
        <is>
          <t>9780253120328</t>
        </is>
      </c>
      <c r="BC1917" t="inlineStr">
        <is>
          <t>32285000338094</t>
        </is>
      </c>
      <c r="BD1917" t="inlineStr">
        <is>
          <t>893247984</t>
        </is>
      </c>
    </row>
    <row r="1918">
      <c r="A1918" t="inlineStr">
        <is>
          <t>No</t>
        </is>
      </c>
      <c r="B1918" t="inlineStr">
        <is>
          <t>DS721 .C48757 2007</t>
        </is>
      </c>
      <c r="C1918" t="inlineStr">
        <is>
          <t>0                      DS 0721000C  48757       2007</t>
        </is>
      </c>
      <c r="D1918" t="inlineStr">
        <is>
          <t>China on paper : European and Chinese works from the late sixteenth to the early nineteenth century / edited by Marcia Reed and Paola Demattè.</t>
        </is>
      </c>
      <c r="F1918" t="inlineStr">
        <is>
          <t>No</t>
        </is>
      </c>
      <c r="G1918" t="inlineStr">
        <is>
          <t>1</t>
        </is>
      </c>
      <c r="H1918" t="inlineStr">
        <is>
          <t>No</t>
        </is>
      </c>
      <c r="I1918" t="inlineStr">
        <is>
          <t>No</t>
        </is>
      </c>
      <c r="J1918" t="inlineStr">
        <is>
          <t>0</t>
        </is>
      </c>
      <c r="L1918" t="inlineStr">
        <is>
          <t>Los Angeles, Calif. : Getty Research Institute, c2007.</t>
        </is>
      </c>
      <c r="M1918" t="inlineStr">
        <is>
          <t>2007</t>
        </is>
      </c>
      <c r="O1918" t="inlineStr">
        <is>
          <t>eng</t>
        </is>
      </c>
      <c r="P1918" t="inlineStr">
        <is>
          <t>cau</t>
        </is>
      </c>
      <c r="R1918" t="inlineStr">
        <is>
          <t xml:space="preserve">DS </t>
        </is>
      </c>
      <c r="S1918" t="n">
        <v>5</v>
      </c>
      <c r="T1918" t="n">
        <v>5</v>
      </c>
      <c r="U1918" t="inlineStr">
        <is>
          <t>2010-04-26</t>
        </is>
      </c>
      <c r="V1918" t="inlineStr">
        <is>
          <t>2010-04-26</t>
        </is>
      </c>
      <c r="W1918" t="inlineStr">
        <is>
          <t>2008-11-18</t>
        </is>
      </c>
      <c r="X1918" t="inlineStr">
        <is>
          <t>2008-11-18</t>
        </is>
      </c>
      <c r="Y1918" t="n">
        <v>352</v>
      </c>
      <c r="Z1918" t="n">
        <v>284</v>
      </c>
      <c r="AA1918" t="n">
        <v>286</v>
      </c>
      <c r="AB1918" t="n">
        <v>2</v>
      </c>
      <c r="AC1918" t="n">
        <v>2</v>
      </c>
      <c r="AD1918" t="n">
        <v>15</v>
      </c>
      <c r="AE1918" t="n">
        <v>15</v>
      </c>
      <c r="AF1918" t="n">
        <v>6</v>
      </c>
      <c r="AG1918" t="n">
        <v>6</v>
      </c>
      <c r="AH1918" t="n">
        <v>3</v>
      </c>
      <c r="AI1918" t="n">
        <v>3</v>
      </c>
      <c r="AJ1918" t="n">
        <v>8</v>
      </c>
      <c r="AK1918" t="n">
        <v>8</v>
      </c>
      <c r="AL1918" t="n">
        <v>1</v>
      </c>
      <c r="AM1918" t="n">
        <v>1</v>
      </c>
      <c r="AN1918" t="n">
        <v>0</v>
      </c>
      <c r="AO1918" t="n">
        <v>0</v>
      </c>
      <c r="AP1918" t="inlineStr">
        <is>
          <t>No</t>
        </is>
      </c>
      <c r="AQ1918" t="inlineStr">
        <is>
          <t>No</t>
        </is>
      </c>
      <c r="AS1918">
        <f>HYPERLINK("https://creighton-primo.hosted.exlibrisgroup.com/primo-explore/search?tab=default_tab&amp;search_scope=EVERYTHING&amp;vid=01CRU&amp;lang=en_US&amp;offset=0&amp;query=any,contains,991005272249702656","Catalog Record")</f>
        <v/>
      </c>
      <c r="AT1918">
        <f>HYPERLINK("http://www.worldcat.org/oclc/76937359","WorldCat Record")</f>
        <v/>
      </c>
      <c r="AU1918" t="inlineStr">
        <is>
          <t>890576789:eng</t>
        </is>
      </c>
      <c r="AV1918" t="inlineStr">
        <is>
          <t>76937359</t>
        </is>
      </c>
      <c r="AW1918" t="inlineStr">
        <is>
          <t>991005272249702656</t>
        </is>
      </c>
      <c r="AX1918" t="inlineStr">
        <is>
          <t>991005272249702656</t>
        </is>
      </c>
      <c r="AY1918" t="inlineStr">
        <is>
          <t>2265710430002656</t>
        </is>
      </c>
      <c r="AZ1918" t="inlineStr">
        <is>
          <t>BOOK</t>
        </is>
      </c>
      <c r="BB1918" t="inlineStr">
        <is>
          <t>9780892368693</t>
        </is>
      </c>
      <c r="BC1918" t="inlineStr">
        <is>
          <t>32285005467021</t>
        </is>
      </c>
      <c r="BD1918" t="inlineStr">
        <is>
          <t>893344954</t>
        </is>
      </c>
    </row>
    <row r="1919">
      <c r="A1919" t="inlineStr">
        <is>
          <t>No</t>
        </is>
      </c>
      <c r="B1919" t="inlineStr">
        <is>
          <t>DS721 .C5</t>
        </is>
      </c>
      <c r="C1919" t="inlineStr">
        <is>
          <t>0                      DS 0721000C  5</t>
        </is>
      </c>
      <c r="D1919" t="inlineStr">
        <is>
          <t>Story of China and Japan, embracing their geographical positions, enormous resources, wealth, emperors and courts, governments and people, manners and customs, how the people of these great nations live and die and maintain in oriental splendor the China and Japan of to-day, together with a sketch of Corea and the Coreans, and causes leading to the conflict of 1894, by James Hyde Clark, assisted by Chang Wong and K. Tatoni.</t>
        </is>
      </c>
      <c r="F1919" t="inlineStr">
        <is>
          <t>No</t>
        </is>
      </c>
      <c r="G1919" t="inlineStr">
        <is>
          <t>1</t>
        </is>
      </c>
      <c r="H1919" t="inlineStr">
        <is>
          <t>No</t>
        </is>
      </c>
      <c r="I1919" t="inlineStr">
        <is>
          <t>No</t>
        </is>
      </c>
      <c r="J1919" t="inlineStr">
        <is>
          <t>0</t>
        </is>
      </c>
      <c r="K1919" t="inlineStr">
        <is>
          <t>Clark, James Hyde.</t>
        </is>
      </c>
      <c r="L1919" t="inlineStr">
        <is>
          <t>[n. p.] Oriental Pub. Co. [c1894]</t>
        </is>
      </c>
      <c r="M1919" t="inlineStr">
        <is>
          <t>1894</t>
        </is>
      </c>
      <c r="O1919" t="inlineStr">
        <is>
          <t>eng</t>
        </is>
      </c>
      <c r="P1919" t="inlineStr">
        <is>
          <t xml:space="preserve">xx </t>
        </is>
      </c>
      <c r="R1919" t="inlineStr">
        <is>
          <t xml:space="preserve">DS </t>
        </is>
      </c>
      <c r="S1919" t="n">
        <v>3</v>
      </c>
      <c r="T1919" t="n">
        <v>3</v>
      </c>
      <c r="U1919" t="inlineStr">
        <is>
          <t>2005-11-22</t>
        </is>
      </c>
      <c r="V1919" t="inlineStr">
        <is>
          <t>2005-11-22</t>
        </is>
      </c>
      <c r="W1919" t="inlineStr">
        <is>
          <t>1997-03-11</t>
        </is>
      </c>
      <c r="X1919" t="inlineStr">
        <is>
          <t>1997-03-11</t>
        </is>
      </c>
      <c r="Y1919" t="n">
        <v>47</v>
      </c>
      <c r="Z1919" t="n">
        <v>39</v>
      </c>
      <c r="AA1919" t="n">
        <v>168</v>
      </c>
      <c r="AB1919" t="n">
        <v>1</v>
      </c>
      <c r="AC1919" t="n">
        <v>3</v>
      </c>
      <c r="AD1919" t="n">
        <v>1</v>
      </c>
      <c r="AE1919" t="n">
        <v>12</v>
      </c>
      <c r="AF1919" t="n">
        <v>0</v>
      </c>
      <c r="AG1919" t="n">
        <v>3</v>
      </c>
      <c r="AH1919" t="n">
        <v>1</v>
      </c>
      <c r="AI1919" t="n">
        <v>4</v>
      </c>
      <c r="AJ1919" t="n">
        <v>0</v>
      </c>
      <c r="AK1919" t="n">
        <v>1</v>
      </c>
      <c r="AL1919" t="n">
        <v>0</v>
      </c>
      <c r="AM1919" t="n">
        <v>1</v>
      </c>
      <c r="AN1919" t="n">
        <v>0</v>
      </c>
      <c r="AO1919" t="n">
        <v>5</v>
      </c>
      <c r="AP1919" t="inlineStr">
        <is>
          <t>No</t>
        </is>
      </c>
      <c r="AQ1919" t="inlineStr">
        <is>
          <t>No</t>
        </is>
      </c>
      <c r="AS1919">
        <f>HYPERLINK("https://creighton-primo.hosted.exlibrisgroup.com/primo-explore/search?tab=default_tab&amp;search_scope=EVERYTHING&amp;vid=01CRU&amp;lang=en_US&amp;offset=0&amp;query=any,contains,991003912039702656","Catalog Record")</f>
        <v/>
      </c>
      <c r="AT1919">
        <f>HYPERLINK("http://www.worldcat.org/oclc/1853785","WorldCat Record")</f>
        <v/>
      </c>
      <c r="AU1919" t="inlineStr">
        <is>
          <t>200895345:eng</t>
        </is>
      </c>
      <c r="AV1919" t="inlineStr">
        <is>
          <t>1853785</t>
        </is>
      </c>
      <c r="AW1919" t="inlineStr">
        <is>
          <t>991003912039702656</t>
        </is>
      </c>
      <c r="AX1919" t="inlineStr">
        <is>
          <t>991003912039702656</t>
        </is>
      </c>
      <c r="AY1919" t="inlineStr">
        <is>
          <t>2264686220002656</t>
        </is>
      </c>
      <c r="AZ1919" t="inlineStr">
        <is>
          <t>BOOK</t>
        </is>
      </c>
      <c r="BC1919" t="inlineStr">
        <is>
          <t>32285002446226</t>
        </is>
      </c>
      <c r="BD1919" t="inlineStr">
        <is>
          <t>893330983</t>
        </is>
      </c>
    </row>
    <row r="1920">
      <c r="A1920" t="inlineStr">
        <is>
          <t>No</t>
        </is>
      </c>
      <c r="B1920" t="inlineStr">
        <is>
          <t>DS721 .D36</t>
        </is>
      </c>
      <c r="C1920" t="inlineStr">
        <is>
          <t>0                      DS 0721000D  36</t>
        </is>
      </c>
      <c r="D1920" t="inlineStr">
        <is>
          <t>The legacy of China / edited by Raymond Dawson.</t>
        </is>
      </c>
      <c r="F1920" t="inlineStr">
        <is>
          <t>No</t>
        </is>
      </c>
      <c r="G1920" t="inlineStr">
        <is>
          <t>1</t>
        </is>
      </c>
      <c r="H1920" t="inlineStr">
        <is>
          <t>No</t>
        </is>
      </c>
      <c r="I1920" t="inlineStr">
        <is>
          <t>No</t>
        </is>
      </c>
      <c r="J1920" t="inlineStr">
        <is>
          <t>0</t>
        </is>
      </c>
      <c r="K1920" t="inlineStr">
        <is>
          <t>Dawson, Raymond editor.</t>
        </is>
      </c>
      <c r="L1920" t="inlineStr">
        <is>
          <t>Oxford : Clarendon Press, 1964.</t>
        </is>
      </c>
      <c r="M1920" t="inlineStr">
        <is>
          <t>1964</t>
        </is>
      </c>
      <c r="O1920" t="inlineStr">
        <is>
          <t>eng</t>
        </is>
      </c>
      <c r="P1920" t="inlineStr">
        <is>
          <t>enk</t>
        </is>
      </c>
      <c r="Q1920" t="inlineStr">
        <is>
          <t>The legacy series</t>
        </is>
      </c>
      <c r="R1920" t="inlineStr">
        <is>
          <t xml:space="preserve">DS </t>
        </is>
      </c>
      <c r="S1920" t="n">
        <v>3</v>
      </c>
      <c r="T1920" t="n">
        <v>3</v>
      </c>
      <c r="U1920" t="inlineStr">
        <is>
          <t>2001-04-22</t>
        </is>
      </c>
      <c r="V1920" t="inlineStr">
        <is>
          <t>2001-04-22</t>
        </is>
      </c>
      <c r="W1920" t="inlineStr">
        <is>
          <t>1992-01-17</t>
        </is>
      </c>
      <c r="X1920" t="inlineStr">
        <is>
          <t>1992-01-17</t>
        </is>
      </c>
      <c r="Y1920" t="n">
        <v>1128</v>
      </c>
      <c r="Z1920" t="n">
        <v>944</v>
      </c>
      <c r="AA1920" t="n">
        <v>982</v>
      </c>
      <c r="AB1920" t="n">
        <v>6</v>
      </c>
      <c r="AC1920" t="n">
        <v>6</v>
      </c>
      <c r="AD1920" t="n">
        <v>38</v>
      </c>
      <c r="AE1920" t="n">
        <v>40</v>
      </c>
      <c r="AF1920" t="n">
        <v>14</v>
      </c>
      <c r="AG1920" t="n">
        <v>16</v>
      </c>
      <c r="AH1920" t="n">
        <v>9</v>
      </c>
      <c r="AI1920" t="n">
        <v>9</v>
      </c>
      <c r="AJ1920" t="n">
        <v>19</v>
      </c>
      <c r="AK1920" t="n">
        <v>19</v>
      </c>
      <c r="AL1920" t="n">
        <v>5</v>
      </c>
      <c r="AM1920" t="n">
        <v>5</v>
      </c>
      <c r="AN1920" t="n">
        <v>0</v>
      </c>
      <c r="AO1920" t="n">
        <v>0</v>
      </c>
      <c r="AP1920" t="inlineStr">
        <is>
          <t>No</t>
        </is>
      </c>
      <c r="AQ1920" t="inlineStr">
        <is>
          <t>Yes</t>
        </is>
      </c>
      <c r="AR1920">
        <f>HYPERLINK("http://catalog.hathitrust.org/Record/001257454","HathiTrust Record")</f>
        <v/>
      </c>
      <c r="AS1920">
        <f>HYPERLINK("https://creighton-primo.hosted.exlibrisgroup.com/primo-explore/search?tab=default_tab&amp;search_scope=EVERYTHING&amp;vid=01CRU&amp;lang=en_US&amp;offset=0&amp;query=any,contains,991002262479702656","Catalog Record")</f>
        <v/>
      </c>
      <c r="AT1920">
        <f>HYPERLINK("http://www.worldcat.org/oclc/305061","WorldCat Record")</f>
        <v/>
      </c>
      <c r="AU1920" t="inlineStr">
        <is>
          <t>8861403592:eng</t>
        </is>
      </c>
      <c r="AV1920" t="inlineStr">
        <is>
          <t>305061</t>
        </is>
      </c>
      <c r="AW1920" t="inlineStr">
        <is>
          <t>991002262479702656</t>
        </is>
      </c>
      <c r="AX1920" t="inlineStr">
        <is>
          <t>991002262479702656</t>
        </is>
      </c>
      <c r="AY1920" t="inlineStr">
        <is>
          <t>2262961750002656</t>
        </is>
      </c>
      <c r="AZ1920" t="inlineStr">
        <is>
          <t>BOOK</t>
        </is>
      </c>
      <c r="BC1920" t="inlineStr">
        <is>
          <t>32285000914902</t>
        </is>
      </c>
      <c r="BD1920" t="inlineStr">
        <is>
          <t>893433687</t>
        </is>
      </c>
    </row>
    <row r="1921">
      <c r="A1921" t="inlineStr">
        <is>
          <t>No</t>
        </is>
      </c>
      <c r="B1921" t="inlineStr">
        <is>
          <t>DS721 .E3713 1969b</t>
        </is>
      </c>
      <c r="C1921" t="inlineStr">
        <is>
          <t>0                      DS 0721000E  3713        1969b</t>
        </is>
      </c>
      <c r="D1921" t="inlineStr">
        <is>
          <t>Chinese civilization; an introduction. Translated by Janet Seligman.</t>
        </is>
      </c>
      <c r="F1921" t="inlineStr">
        <is>
          <t>No</t>
        </is>
      </c>
      <c r="G1921" t="inlineStr">
        <is>
          <t>1</t>
        </is>
      </c>
      <c r="H1921" t="inlineStr">
        <is>
          <t>No</t>
        </is>
      </c>
      <c r="I1921" t="inlineStr">
        <is>
          <t>No</t>
        </is>
      </c>
      <c r="J1921" t="inlineStr">
        <is>
          <t>0</t>
        </is>
      </c>
      <c r="K1921" t="inlineStr">
        <is>
          <t>Eichhorn, Werner, 1899-1990.</t>
        </is>
      </c>
      <c r="L1921" t="inlineStr">
        <is>
          <t>New York, Praeger [1969]</t>
        </is>
      </c>
      <c r="M1921" t="inlineStr">
        <is>
          <t>1969</t>
        </is>
      </c>
      <c r="O1921" t="inlineStr">
        <is>
          <t>eng</t>
        </is>
      </c>
      <c r="P1921" t="inlineStr">
        <is>
          <t>nyu</t>
        </is>
      </c>
      <c r="R1921" t="inlineStr">
        <is>
          <t xml:space="preserve">DS </t>
        </is>
      </c>
      <c r="S1921" t="n">
        <v>3</v>
      </c>
      <c r="T1921" t="n">
        <v>3</v>
      </c>
      <c r="U1921" t="inlineStr">
        <is>
          <t>2001-09-04</t>
        </is>
      </c>
      <c r="V1921" t="inlineStr">
        <is>
          <t>2001-09-04</t>
        </is>
      </c>
      <c r="W1921" t="inlineStr">
        <is>
          <t>1997-03-11</t>
        </is>
      </c>
      <c r="X1921" t="inlineStr">
        <is>
          <t>1997-03-11</t>
        </is>
      </c>
      <c r="Y1921" t="n">
        <v>590</v>
      </c>
      <c r="Z1921" t="n">
        <v>552</v>
      </c>
      <c r="AA1921" t="n">
        <v>598</v>
      </c>
      <c r="AB1921" t="n">
        <v>4</v>
      </c>
      <c r="AC1921" t="n">
        <v>4</v>
      </c>
      <c r="AD1921" t="n">
        <v>25</v>
      </c>
      <c r="AE1921" t="n">
        <v>26</v>
      </c>
      <c r="AF1921" t="n">
        <v>11</v>
      </c>
      <c r="AG1921" t="n">
        <v>11</v>
      </c>
      <c r="AH1921" t="n">
        <v>5</v>
      </c>
      <c r="AI1921" t="n">
        <v>5</v>
      </c>
      <c r="AJ1921" t="n">
        <v>12</v>
      </c>
      <c r="AK1921" t="n">
        <v>13</v>
      </c>
      <c r="AL1921" t="n">
        <v>3</v>
      </c>
      <c r="AM1921" t="n">
        <v>3</v>
      </c>
      <c r="AN1921" t="n">
        <v>0</v>
      </c>
      <c r="AO1921" t="n">
        <v>0</v>
      </c>
      <c r="AP1921" t="inlineStr">
        <is>
          <t>No</t>
        </is>
      </c>
      <c r="AQ1921" t="inlineStr">
        <is>
          <t>Yes</t>
        </is>
      </c>
      <c r="AR1921">
        <f>HYPERLINK("http://catalog.hathitrust.org/Record/001257460","HathiTrust Record")</f>
        <v/>
      </c>
      <c r="AS1921">
        <f>HYPERLINK("https://creighton-primo.hosted.exlibrisgroup.com/primo-explore/search?tab=default_tab&amp;search_scope=EVERYTHING&amp;vid=01CRU&amp;lang=en_US&amp;offset=0&amp;query=any,contains,991000038849702656","Catalog Record")</f>
        <v/>
      </c>
      <c r="AT1921">
        <f>HYPERLINK("http://www.worldcat.org/oclc/21358","WorldCat Record")</f>
        <v/>
      </c>
      <c r="AU1921" t="inlineStr">
        <is>
          <t>2452479286:eng</t>
        </is>
      </c>
      <c r="AV1921" t="inlineStr">
        <is>
          <t>21358</t>
        </is>
      </c>
      <c r="AW1921" t="inlineStr">
        <is>
          <t>991000038849702656</t>
        </is>
      </c>
      <c r="AX1921" t="inlineStr">
        <is>
          <t>991000038849702656</t>
        </is>
      </c>
      <c r="AY1921" t="inlineStr">
        <is>
          <t>2261558680002656</t>
        </is>
      </c>
      <c r="AZ1921" t="inlineStr">
        <is>
          <t>BOOK</t>
        </is>
      </c>
      <c r="BC1921" t="inlineStr">
        <is>
          <t>32285002446267</t>
        </is>
      </c>
      <c r="BD1921" t="inlineStr">
        <is>
          <t>893502167</t>
        </is>
      </c>
    </row>
    <row r="1922">
      <c r="A1922" t="inlineStr">
        <is>
          <t>No</t>
        </is>
      </c>
      <c r="B1922" t="inlineStr">
        <is>
          <t>DS721 .H71114 1991</t>
        </is>
      </c>
      <c r="C1922" t="inlineStr">
        <is>
          <t>0                      DS 0721000H  71114       1991</t>
        </is>
      </c>
      <c r="D1922" t="inlineStr">
        <is>
          <t>Encountering the Chinese : a guide for Americans / Hu Wenzhong and Cornelius L. Grove.</t>
        </is>
      </c>
      <c r="F1922" t="inlineStr">
        <is>
          <t>No</t>
        </is>
      </c>
      <c r="G1922" t="inlineStr">
        <is>
          <t>1</t>
        </is>
      </c>
      <c r="H1922" t="inlineStr">
        <is>
          <t>No</t>
        </is>
      </c>
      <c r="I1922" t="inlineStr">
        <is>
          <t>No</t>
        </is>
      </c>
      <c r="J1922" t="inlineStr">
        <is>
          <t>0</t>
        </is>
      </c>
      <c r="K1922" t="inlineStr">
        <is>
          <t>Hu, Wenzhong, 1935-</t>
        </is>
      </c>
      <c r="L1922" t="inlineStr">
        <is>
          <t>Yarmouth, Me., USA : Intercultural Press, c1991.</t>
        </is>
      </c>
      <c r="M1922" t="inlineStr">
        <is>
          <t>1991</t>
        </is>
      </c>
      <c r="O1922" t="inlineStr">
        <is>
          <t>eng</t>
        </is>
      </c>
      <c r="P1922" t="inlineStr">
        <is>
          <t>meu</t>
        </is>
      </c>
      <c r="Q1922" t="inlineStr">
        <is>
          <t>The InterAct series ; 7</t>
        </is>
      </c>
      <c r="R1922" t="inlineStr">
        <is>
          <t xml:space="preserve">DS </t>
        </is>
      </c>
      <c r="S1922" t="n">
        <v>13</v>
      </c>
      <c r="T1922" t="n">
        <v>13</v>
      </c>
      <c r="U1922" t="inlineStr">
        <is>
          <t>2007-02-27</t>
        </is>
      </c>
      <c r="V1922" t="inlineStr">
        <is>
          <t>2007-02-27</t>
        </is>
      </c>
      <c r="W1922" t="inlineStr">
        <is>
          <t>1993-09-17</t>
        </is>
      </c>
      <c r="X1922" t="inlineStr">
        <is>
          <t>1993-09-17</t>
        </is>
      </c>
      <c r="Y1922" t="n">
        <v>524</v>
      </c>
      <c r="Z1922" t="n">
        <v>473</v>
      </c>
      <c r="AA1922" t="n">
        <v>1148</v>
      </c>
      <c r="AB1922" t="n">
        <v>2</v>
      </c>
      <c r="AC1922" t="n">
        <v>28</v>
      </c>
      <c r="AD1922" t="n">
        <v>21</v>
      </c>
      <c r="AE1922" t="n">
        <v>47</v>
      </c>
      <c r="AF1922" t="n">
        <v>11</v>
      </c>
      <c r="AG1922" t="n">
        <v>18</v>
      </c>
      <c r="AH1922" t="n">
        <v>1</v>
      </c>
      <c r="AI1922" t="n">
        <v>5</v>
      </c>
      <c r="AJ1922" t="n">
        <v>11</v>
      </c>
      <c r="AK1922" t="n">
        <v>18</v>
      </c>
      <c r="AL1922" t="n">
        <v>1</v>
      </c>
      <c r="AM1922" t="n">
        <v>13</v>
      </c>
      <c r="AN1922" t="n">
        <v>1</v>
      </c>
      <c r="AO1922" t="n">
        <v>1</v>
      </c>
      <c r="AP1922" t="inlineStr">
        <is>
          <t>No</t>
        </is>
      </c>
      <c r="AQ1922" t="inlineStr">
        <is>
          <t>No</t>
        </is>
      </c>
      <c r="AS1922">
        <f>HYPERLINK("https://creighton-primo.hosted.exlibrisgroup.com/primo-explore/search?tab=default_tab&amp;search_scope=EVERYTHING&amp;vid=01CRU&amp;lang=en_US&amp;offset=0&amp;query=any,contains,991001869009702656","Catalog Record")</f>
        <v/>
      </c>
      <c r="AT1922">
        <f>HYPERLINK("http://www.worldcat.org/oclc/23582916","WorldCat Record")</f>
        <v/>
      </c>
      <c r="AU1922" t="inlineStr">
        <is>
          <t>1863743526:eng</t>
        </is>
      </c>
      <c r="AV1922" t="inlineStr">
        <is>
          <t>23582916</t>
        </is>
      </c>
      <c r="AW1922" t="inlineStr">
        <is>
          <t>991001869009702656</t>
        </is>
      </c>
      <c r="AX1922" t="inlineStr">
        <is>
          <t>991001869009702656</t>
        </is>
      </c>
      <c r="AY1922" t="inlineStr">
        <is>
          <t>2256099930002656</t>
        </is>
      </c>
      <c r="AZ1922" t="inlineStr">
        <is>
          <t>BOOK</t>
        </is>
      </c>
      <c r="BB1922" t="inlineStr">
        <is>
          <t>9780933662957</t>
        </is>
      </c>
      <c r="BC1922" t="inlineStr">
        <is>
          <t>32285001766863</t>
        </is>
      </c>
      <c r="BD1922" t="inlineStr">
        <is>
          <t>893785457</t>
        </is>
      </c>
    </row>
    <row r="1923">
      <c r="A1923" t="inlineStr">
        <is>
          <t>No</t>
        </is>
      </c>
      <c r="B1923" t="inlineStr">
        <is>
          <t>DS721 .H724</t>
        </is>
      </c>
      <c r="C1923" t="inlineStr">
        <is>
          <t>0                      DS 0721000H  724</t>
        </is>
      </c>
      <c r="D1923" t="inlineStr">
        <is>
          <t>China's imperial past : an introduction to Chinese history and culture / Charles O. Hucker.</t>
        </is>
      </c>
      <c r="F1923" t="inlineStr">
        <is>
          <t>No</t>
        </is>
      </c>
      <c r="G1923" t="inlineStr">
        <is>
          <t>1</t>
        </is>
      </c>
      <c r="H1923" t="inlineStr">
        <is>
          <t>No</t>
        </is>
      </c>
      <c r="I1923" t="inlineStr">
        <is>
          <t>No</t>
        </is>
      </c>
      <c r="J1923" t="inlineStr">
        <is>
          <t>0</t>
        </is>
      </c>
      <c r="K1923" t="inlineStr">
        <is>
          <t>Hucker, Charles O.</t>
        </is>
      </c>
      <c r="L1923" t="inlineStr">
        <is>
          <t>Stanford, Calif. : Stanford University Press, 1975.</t>
        </is>
      </c>
      <c r="M1923" t="inlineStr">
        <is>
          <t>1975</t>
        </is>
      </c>
      <c r="O1923" t="inlineStr">
        <is>
          <t>eng</t>
        </is>
      </c>
      <c r="P1923" t="inlineStr">
        <is>
          <t>cau</t>
        </is>
      </c>
      <c r="R1923" t="inlineStr">
        <is>
          <t xml:space="preserve">DS </t>
        </is>
      </c>
      <c r="S1923" t="n">
        <v>3</v>
      </c>
      <c r="T1923" t="n">
        <v>3</v>
      </c>
      <c r="U1923" t="inlineStr">
        <is>
          <t>2006-01-03</t>
        </is>
      </c>
      <c r="V1923" t="inlineStr">
        <is>
          <t>2006-01-03</t>
        </is>
      </c>
      <c r="W1923" t="inlineStr">
        <is>
          <t>1992-02-19</t>
        </is>
      </c>
      <c r="X1923" t="inlineStr">
        <is>
          <t>1992-02-19</t>
        </is>
      </c>
      <c r="Y1923" t="n">
        <v>1515</v>
      </c>
      <c r="Z1923" t="n">
        <v>1343</v>
      </c>
      <c r="AA1923" t="n">
        <v>1368</v>
      </c>
      <c r="AB1923" t="n">
        <v>8</v>
      </c>
      <c r="AC1923" t="n">
        <v>8</v>
      </c>
      <c r="AD1923" t="n">
        <v>47</v>
      </c>
      <c r="AE1923" t="n">
        <v>48</v>
      </c>
      <c r="AF1923" t="n">
        <v>15</v>
      </c>
      <c r="AG1923" t="n">
        <v>16</v>
      </c>
      <c r="AH1923" t="n">
        <v>11</v>
      </c>
      <c r="AI1923" t="n">
        <v>11</v>
      </c>
      <c r="AJ1923" t="n">
        <v>24</v>
      </c>
      <c r="AK1923" t="n">
        <v>24</v>
      </c>
      <c r="AL1923" t="n">
        <v>7</v>
      </c>
      <c r="AM1923" t="n">
        <v>7</v>
      </c>
      <c r="AN1923" t="n">
        <v>1</v>
      </c>
      <c r="AO1923" t="n">
        <v>1</v>
      </c>
      <c r="AP1923" t="inlineStr">
        <is>
          <t>No</t>
        </is>
      </c>
      <c r="AQ1923" t="inlineStr">
        <is>
          <t>No</t>
        </is>
      </c>
      <c r="AS1923">
        <f>HYPERLINK("https://creighton-primo.hosted.exlibrisgroup.com/primo-explore/search?tab=default_tab&amp;search_scope=EVERYTHING&amp;vid=01CRU&amp;lang=en_US&amp;offset=0&amp;query=any,contains,991003920129702656","Catalog Record")</f>
        <v/>
      </c>
      <c r="AT1923">
        <f>HYPERLINK("http://www.worldcat.org/oclc/1868549","WorldCat Record")</f>
        <v/>
      </c>
      <c r="AU1923" t="inlineStr">
        <is>
          <t>459563:eng</t>
        </is>
      </c>
      <c r="AV1923" t="inlineStr">
        <is>
          <t>1868549</t>
        </is>
      </c>
      <c r="AW1923" t="inlineStr">
        <is>
          <t>991003920129702656</t>
        </is>
      </c>
      <c r="AX1923" t="inlineStr">
        <is>
          <t>991003920129702656</t>
        </is>
      </c>
      <c r="AY1923" t="inlineStr">
        <is>
          <t>2266027040002656</t>
        </is>
      </c>
      <c r="AZ1923" t="inlineStr">
        <is>
          <t>BOOK</t>
        </is>
      </c>
      <c r="BB1923" t="inlineStr">
        <is>
          <t>9780804708876</t>
        </is>
      </c>
      <c r="BC1923" t="inlineStr">
        <is>
          <t>32285000947837</t>
        </is>
      </c>
      <c r="BD1923" t="inlineStr">
        <is>
          <t>893234826</t>
        </is>
      </c>
    </row>
    <row r="1924">
      <c r="A1924" t="inlineStr">
        <is>
          <t>No</t>
        </is>
      </c>
      <c r="B1924" t="inlineStr">
        <is>
          <t>DS721 .I34 1990</t>
        </is>
      </c>
      <c r="C1924" t="inlineStr">
        <is>
          <t>0                      DS 0721000I  34          1990</t>
        </is>
      </c>
      <c r="D1924" t="inlineStr">
        <is>
          <t>Ideas across cultures : essays on Chinese thought in honor of Benjamin I. Schwartz / edited by Paul A. Cohen and Merle Goldman.</t>
        </is>
      </c>
      <c r="F1924" t="inlineStr">
        <is>
          <t>No</t>
        </is>
      </c>
      <c r="G1924" t="inlineStr">
        <is>
          <t>1</t>
        </is>
      </c>
      <c r="H1924" t="inlineStr">
        <is>
          <t>No</t>
        </is>
      </c>
      <c r="I1924" t="inlineStr">
        <is>
          <t>No</t>
        </is>
      </c>
      <c r="J1924" t="inlineStr">
        <is>
          <t>0</t>
        </is>
      </c>
      <c r="L1924" t="inlineStr">
        <is>
          <t>Cambridge, Mass. : Council on East Asian Studies, Harvard University : Distributed by Harvard University Press, 1990.</t>
        </is>
      </c>
      <c r="M1924" t="inlineStr">
        <is>
          <t>1990</t>
        </is>
      </c>
      <c r="O1924" t="inlineStr">
        <is>
          <t>eng</t>
        </is>
      </c>
      <c r="P1924" t="inlineStr">
        <is>
          <t>mau</t>
        </is>
      </c>
      <c r="Q1924" t="inlineStr">
        <is>
          <t>Harvard East Asian monographs ; 150</t>
        </is>
      </c>
      <c r="R1924" t="inlineStr">
        <is>
          <t xml:space="preserve">DS </t>
        </is>
      </c>
      <c r="S1924" t="n">
        <v>5</v>
      </c>
      <c r="T1924" t="n">
        <v>5</v>
      </c>
      <c r="U1924" t="inlineStr">
        <is>
          <t>2006-12-07</t>
        </is>
      </c>
      <c r="V1924" t="inlineStr">
        <is>
          <t>2006-12-07</t>
        </is>
      </c>
      <c r="W1924" t="inlineStr">
        <is>
          <t>1999-04-22</t>
        </is>
      </c>
      <c r="X1924" t="inlineStr">
        <is>
          <t>1999-04-22</t>
        </is>
      </c>
      <c r="Y1924" t="n">
        <v>330</v>
      </c>
      <c r="Z1924" t="n">
        <v>243</v>
      </c>
      <c r="AA1924" t="n">
        <v>285</v>
      </c>
      <c r="AB1924" t="n">
        <v>2</v>
      </c>
      <c r="AC1924" t="n">
        <v>3</v>
      </c>
      <c r="AD1924" t="n">
        <v>10</v>
      </c>
      <c r="AE1924" t="n">
        <v>17</v>
      </c>
      <c r="AF1924" t="n">
        <v>3</v>
      </c>
      <c r="AG1924" t="n">
        <v>8</v>
      </c>
      <c r="AH1924" t="n">
        <v>4</v>
      </c>
      <c r="AI1924" t="n">
        <v>5</v>
      </c>
      <c r="AJ1924" t="n">
        <v>5</v>
      </c>
      <c r="AK1924" t="n">
        <v>6</v>
      </c>
      <c r="AL1924" t="n">
        <v>1</v>
      </c>
      <c r="AM1924" t="n">
        <v>2</v>
      </c>
      <c r="AN1924" t="n">
        <v>0</v>
      </c>
      <c r="AO1924" t="n">
        <v>0</v>
      </c>
      <c r="AP1924" t="inlineStr">
        <is>
          <t>No</t>
        </is>
      </c>
      <c r="AQ1924" t="inlineStr">
        <is>
          <t>Yes</t>
        </is>
      </c>
      <c r="AR1924">
        <f>HYPERLINK("http://catalog.hathitrust.org/Record/002205603","HathiTrust Record")</f>
        <v/>
      </c>
      <c r="AS1924">
        <f>HYPERLINK("https://creighton-primo.hosted.exlibrisgroup.com/primo-explore/search?tab=default_tab&amp;search_scope=EVERYTHING&amp;vid=01CRU&amp;lang=en_US&amp;offset=0&amp;query=any,contains,991001667099702656","Catalog Record")</f>
        <v/>
      </c>
      <c r="AT1924">
        <f>HYPERLINK("http://www.worldcat.org/oclc/21227823","WorldCat Record")</f>
        <v/>
      </c>
      <c r="AU1924" t="inlineStr">
        <is>
          <t>836867096:eng</t>
        </is>
      </c>
      <c r="AV1924" t="inlineStr">
        <is>
          <t>21227823</t>
        </is>
      </c>
      <c r="AW1924" t="inlineStr">
        <is>
          <t>991001667099702656</t>
        </is>
      </c>
      <c r="AX1924" t="inlineStr">
        <is>
          <t>991001667099702656</t>
        </is>
      </c>
      <c r="AY1924" t="inlineStr">
        <is>
          <t>2269368680002656</t>
        </is>
      </c>
      <c r="AZ1924" t="inlineStr">
        <is>
          <t>BOOK</t>
        </is>
      </c>
      <c r="BB1924" t="inlineStr">
        <is>
          <t>9780674442252</t>
        </is>
      </c>
      <c r="BC1924" t="inlineStr">
        <is>
          <t>32285003554614</t>
        </is>
      </c>
      <c r="BD1924" t="inlineStr">
        <is>
          <t>893866382</t>
        </is>
      </c>
    </row>
    <row r="1925">
      <c r="A1925" t="inlineStr">
        <is>
          <t>No</t>
        </is>
      </c>
      <c r="B1925" t="inlineStr">
        <is>
          <t>DS721 .L5435 1967</t>
        </is>
      </c>
      <c r="C1925" t="inlineStr">
        <is>
          <t>0                      DS 0721000L  5435        1967</t>
        </is>
      </c>
      <c r="D1925" t="inlineStr">
        <is>
          <t>The essence of Chinese civilization. Edited by Dun J. Li.</t>
        </is>
      </c>
      <c r="F1925" t="inlineStr">
        <is>
          <t>No</t>
        </is>
      </c>
      <c r="G1925" t="inlineStr">
        <is>
          <t>1</t>
        </is>
      </c>
      <c r="H1925" t="inlineStr">
        <is>
          <t>No</t>
        </is>
      </c>
      <c r="I1925" t="inlineStr">
        <is>
          <t>No</t>
        </is>
      </c>
      <c r="J1925" t="inlineStr">
        <is>
          <t>0</t>
        </is>
      </c>
      <c r="K1925" t="inlineStr">
        <is>
          <t>Li, Dun Jen, 1920- compiler.</t>
        </is>
      </c>
      <c r="L1925" t="inlineStr">
        <is>
          <t>Princeton, N.J., Van Nostrand [1967]</t>
        </is>
      </c>
      <c r="M1925" t="inlineStr">
        <is>
          <t>1967</t>
        </is>
      </c>
      <c r="O1925" t="inlineStr">
        <is>
          <t>eng</t>
        </is>
      </c>
      <c r="P1925" t="inlineStr">
        <is>
          <t>nju</t>
        </is>
      </c>
      <c r="R1925" t="inlineStr">
        <is>
          <t xml:space="preserve">DS </t>
        </is>
      </c>
      <c r="S1925" t="n">
        <v>2</v>
      </c>
      <c r="T1925" t="n">
        <v>2</v>
      </c>
      <c r="U1925" t="inlineStr">
        <is>
          <t>2001-04-22</t>
        </is>
      </c>
      <c r="V1925" t="inlineStr">
        <is>
          <t>2001-04-22</t>
        </is>
      </c>
      <c r="W1925" t="inlineStr">
        <is>
          <t>1992-02-19</t>
        </is>
      </c>
      <c r="X1925" t="inlineStr">
        <is>
          <t>1992-02-19</t>
        </is>
      </c>
      <c r="Y1925" t="n">
        <v>661</v>
      </c>
      <c r="Z1925" t="n">
        <v>554</v>
      </c>
      <c r="AA1925" t="n">
        <v>557</v>
      </c>
      <c r="AB1925" t="n">
        <v>5</v>
      </c>
      <c r="AC1925" t="n">
        <v>5</v>
      </c>
      <c r="AD1925" t="n">
        <v>22</v>
      </c>
      <c r="AE1925" t="n">
        <v>22</v>
      </c>
      <c r="AF1925" t="n">
        <v>7</v>
      </c>
      <c r="AG1925" t="n">
        <v>7</v>
      </c>
      <c r="AH1925" t="n">
        <v>4</v>
      </c>
      <c r="AI1925" t="n">
        <v>4</v>
      </c>
      <c r="AJ1925" t="n">
        <v>13</v>
      </c>
      <c r="AK1925" t="n">
        <v>13</v>
      </c>
      <c r="AL1925" t="n">
        <v>4</v>
      </c>
      <c r="AM1925" t="n">
        <v>4</v>
      </c>
      <c r="AN1925" t="n">
        <v>0</v>
      </c>
      <c r="AO1925" t="n">
        <v>0</v>
      </c>
      <c r="AP1925" t="inlineStr">
        <is>
          <t>No</t>
        </is>
      </c>
      <c r="AQ1925" t="inlineStr">
        <is>
          <t>Yes</t>
        </is>
      </c>
      <c r="AR1925">
        <f>HYPERLINK("http://catalog.hathitrust.org/Record/001257506","HathiTrust Record")</f>
        <v/>
      </c>
      <c r="AS1925">
        <f>HYPERLINK("https://creighton-primo.hosted.exlibrisgroup.com/primo-explore/search?tab=default_tab&amp;search_scope=EVERYTHING&amp;vid=01CRU&amp;lang=en_US&amp;offset=0&amp;query=any,contains,991002715949702656","Catalog Record")</f>
        <v/>
      </c>
      <c r="AT1925">
        <f>HYPERLINK("http://www.worldcat.org/oclc/411286","WorldCat Record")</f>
        <v/>
      </c>
      <c r="AU1925" t="inlineStr">
        <is>
          <t>1457447:eng</t>
        </is>
      </c>
      <c r="AV1925" t="inlineStr">
        <is>
          <t>411286</t>
        </is>
      </c>
      <c r="AW1925" t="inlineStr">
        <is>
          <t>991002715949702656</t>
        </is>
      </c>
      <c r="AX1925" t="inlineStr">
        <is>
          <t>991002715949702656</t>
        </is>
      </c>
      <c r="AY1925" t="inlineStr">
        <is>
          <t>2265060960002656</t>
        </is>
      </c>
      <c r="AZ1925" t="inlineStr">
        <is>
          <t>BOOK</t>
        </is>
      </c>
      <c r="BC1925" t="inlineStr">
        <is>
          <t>32285000947845</t>
        </is>
      </c>
      <c r="BD1925" t="inlineStr">
        <is>
          <t>893798919</t>
        </is>
      </c>
    </row>
    <row r="1926">
      <c r="A1926" t="inlineStr">
        <is>
          <t>No</t>
        </is>
      </c>
      <c r="B1926" t="inlineStr">
        <is>
          <t>DS721 .L625 1991</t>
        </is>
      </c>
      <c r="C1926" t="inlineStr">
        <is>
          <t>0                      DS 0721000L  625         1991</t>
        </is>
      </c>
      <c r="D1926" t="inlineStr">
        <is>
          <t>China, empire of living symbols / Cecilia Lindqvist ; translated from the Swedish by Joan Tate ; foreword by Michael Loewe.</t>
        </is>
      </c>
      <c r="F1926" t="inlineStr">
        <is>
          <t>No</t>
        </is>
      </c>
      <c r="G1926" t="inlineStr">
        <is>
          <t>1</t>
        </is>
      </c>
      <c r="H1926" t="inlineStr">
        <is>
          <t>No</t>
        </is>
      </c>
      <c r="I1926" t="inlineStr">
        <is>
          <t>No</t>
        </is>
      </c>
      <c r="J1926" t="inlineStr">
        <is>
          <t>0</t>
        </is>
      </c>
      <c r="K1926" t="inlineStr">
        <is>
          <t>Lindqvist, Cecilia.</t>
        </is>
      </c>
      <c r="L1926" t="inlineStr">
        <is>
          <t>Reading, Mass. : Addison-Wesley, 1991.</t>
        </is>
      </c>
      <c r="M1926" t="inlineStr">
        <is>
          <t>1991</t>
        </is>
      </c>
      <c r="O1926" t="inlineStr">
        <is>
          <t>eng</t>
        </is>
      </c>
      <c r="P1926" t="inlineStr">
        <is>
          <t>mau</t>
        </is>
      </c>
      <c r="R1926" t="inlineStr">
        <is>
          <t xml:space="preserve">DS </t>
        </is>
      </c>
      <c r="S1926" t="n">
        <v>4</v>
      </c>
      <c r="T1926" t="n">
        <v>4</v>
      </c>
      <c r="U1926" t="inlineStr">
        <is>
          <t>2007-04-04</t>
        </is>
      </c>
      <c r="V1926" t="inlineStr">
        <is>
          <t>2007-04-04</t>
        </is>
      </c>
      <c r="W1926" t="inlineStr">
        <is>
          <t>1996-12-18</t>
        </is>
      </c>
      <c r="X1926" t="inlineStr">
        <is>
          <t>1996-12-18</t>
        </is>
      </c>
      <c r="Y1926" t="n">
        <v>446</v>
      </c>
      <c r="Z1926" t="n">
        <v>413</v>
      </c>
      <c r="AA1926" t="n">
        <v>420</v>
      </c>
      <c r="AB1926" t="n">
        <v>4</v>
      </c>
      <c r="AC1926" t="n">
        <v>4</v>
      </c>
      <c r="AD1926" t="n">
        <v>10</v>
      </c>
      <c r="AE1926" t="n">
        <v>10</v>
      </c>
      <c r="AF1926" t="n">
        <v>3</v>
      </c>
      <c r="AG1926" t="n">
        <v>3</v>
      </c>
      <c r="AH1926" t="n">
        <v>1</v>
      </c>
      <c r="AI1926" t="n">
        <v>1</v>
      </c>
      <c r="AJ1926" t="n">
        <v>6</v>
      </c>
      <c r="AK1926" t="n">
        <v>6</v>
      </c>
      <c r="AL1926" t="n">
        <v>3</v>
      </c>
      <c r="AM1926" t="n">
        <v>3</v>
      </c>
      <c r="AN1926" t="n">
        <v>0</v>
      </c>
      <c r="AO1926" t="n">
        <v>0</v>
      </c>
      <c r="AP1926" t="inlineStr">
        <is>
          <t>No</t>
        </is>
      </c>
      <c r="AQ1926" t="inlineStr">
        <is>
          <t>Yes</t>
        </is>
      </c>
      <c r="AR1926">
        <f>HYPERLINK("http://catalog.hathitrust.org/Record/007109505","HathiTrust Record")</f>
        <v/>
      </c>
      <c r="AS1926">
        <f>HYPERLINK("https://creighton-primo.hosted.exlibrisgroup.com/primo-explore/search?tab=default_tab&amp;search_scope=EVERYTHING&amp;vid=01CRU&amp;lang=en_US&amp;offset=0&amp;query=any,contains,991001908489702656","Catalog Record")</f>
        <v/>
      </c>
      <c r="AT1926">
        <f>HYPERLINK("http://www.worldcat.org/oclc/24106801","WorldCat Record")</f>
        <v/>
      </c>
      <c r="AU1926" t="inlineStr">
        <is>
          <t>5090399103:eng</t>
        </is>
      </c>
      <c r="AV1926" t="inlineStr">
        <is>
          <t>24106801</t>
        </is>
      </c>
      <c r="AW1926" t="inlineStr">
        <is>
          <t>991001908489702656</t>
        </is>
      </c>
      <c r="AX1926" t="inlineStr">
        <is>
          <t>991001908489702656</t>
        </is>
      </c>
      <c r="AY1926" t="inlineStr">
        <is>
          <t>2256035740002656</t>
        </is>
      </c>
      <c r="AZ1926" t="inlineStr">
        <is>
          <t>BOOK</t>
        </is>
      </c>
      <c r="BB1926" t="inlineStr">
        <is>
          <t>9780201570090</t>
        </is>
      </c>
      <c r="BC1926" t="inlineStr">
        <is>
          <t>32285002400033</t>
        </is>
      </c>
      <c r="BD1926" t="inlineStr">
        <is>
          <t>893879287</t>
        </is>
      </c>
    </row>
    <row r="1927">
      <c r="A1927" t="inlineStr">
        <is>
          <t>No</t>
        </is>
      </c>
      <c r="B1927" t="inlineStr">
        <is>
          <t>DS721 .N392</t>
        </is>
      </c>
      <c r="C1927" t="inlineStr">
        <is>
          <t>0                      DS 0721000N  392</t>
        </is>
      </c>
      <c r="D1927" t="inlineStr">
        <is>
          <t>The shorter Science and civilisation in China : an abridgement of Joseph Needham's original text / Colin A. Ronan.</t>
        </is>
      </c>
      <c r="E1927" t="inlineStr">
        <is>
          <t>V.1</t>
        </is>
      </c>
      <c r="F1927" t="inlineStr">
        <is>
          <t>No</t>
        </is>
      </c>
      <c r="G1927" t="inlineStr">
        <is>
          <t>1</t>
        </is>
      </c>
      <c r="H1927" t="inlineStr">
        <is>
          <t>No</t>
        </is>
      </c>
      <c r="I1927" t="inlineStr">
        <is>
          <t>No</t>
        </is>
      </c>
      <c r="J1927" t="inlineStr">
        <is>
          <t>0</t>
        </is>
      </c>
      <c r="K1927" t="inlineStr">
        <is>
          <t>Needham, Joseph, 1900-1995.</t>
        </is>
      </c>
      <c r="L1927" t="inlineStr">
        <is>
          <t>Cambridge ; New York : Cambridge University Press, 1978-</t>
        </is>
      </c>
      <c r="M1927" t="inlineStr">
        <is>
          <t>1978</t>
        </is>
      </c>
      <c r="O1927" t="inlineStr">
        <is>
          <t>eng</t>
        </is>
      </c>
      <c r="P1927" t="inlineStr">
        <is>
          <t>mau</t>
        </is>
      </c>
      <c r="R1927" t="inlineStr">
        <is>
          <t xml:space="preserve">DS </t>
        </is>
      </c>
      <c r="S1927" t="n">
        <v>13</v>
      </c>
      <c r="T1927" t="n">
        <v>13</v>
      </c>
      <c r="U1927" t="inlineStr">
        <is>
          <t>2008-05-09</t>
        </is>
      </c>
      <c r="V1927" t="inlineStr">
        <is>
          <t>2008-05-09</t>
        </is>
      </c>
      <c r="W1927" t="inlineStr">
        <is>
          <t>1990-10-11</t>
        </is>
      </c>
      <c r="X1927" t="inlineStr">
        <is>
          <t>1990-10-11</t>
        </is>
      </c>
      <c r="Y1927" t="n">
        <v>838</v>
      </c>
      <c r="Z1927" t="n">
        <v>683</v>
      </c>
      <c r="AA1927" t="n">
        <v>690</v>
      </c>
      <c r="AB1927" t="n">
        <v>6</v>
      </c>
      <c r="AC1927" t="n">
        <v>6</v>
      </c>
      <c r="AD1927" t="n">
        <v>25</v>
      </c>
      <c r="AE1927" t="n">
        <v>25</v>
      </c>
      <c r="AF1927" t="n">
        <v>7</v>
      </c>
      <c r="AG1927" t="n">
        <v>7</v>
      </c>
      <c r="AH1927" t="n">
        <v>5</v>
      </c>
      <c r="AI1927" t="n">
        <v>5</v>
      </c>
      <c r="AJ1927" t="n">
        <v>14</v>
      </c>
      <c r="AK1927" t="n">
        <v>14</v>
      </c>
      <c r="AL1927" t="n">
        <v>5</v>
      </c>
      <c r="AM1927" t="n">
        <v>5</v>
      </c>
      <c r="AN1927" t="n">
        <v>0</v>
      </c>
      <c r="AO1927" t="n">
        <v>0</v>
      </c>
      <c r="AP1927" t="inlineStr">
        <is>
          <t>No</t>
        </is>
      </c>
      <c r="AQ1927" t="inlineStr">
        <is>
          <t>Yes</t>
        </is>
      </c>
      <c r="AR1927">
        <f>HYPERLINK("http://catalog.hathitrust.org/Record/000186033","HathiTrust Record")</f>
        <v/>
      </c>
      <c r="AS1927">
        <f>HYPERLINK("https://creighton-primo.hosted.exlibrisgroup.com/primo-explore/search?tab=default_tab&amp;search_scope=EVERYTHING&amp;vid=01CRU&amp;lang=en_US&amp;offset=0&amp;query=any,contains,991005371029702656","Catalog Record")</f>
        <v/>
      </c>
      <c r="AT1927">
        <f>HYPERLINK("http://www.worldcat.org/oclc/3345021","WorldCat Record")</f>
        <v/>
      </c>
      <c r="AU1927" t="inlineStr">
        <is>
          <t>2615353802:eng</t>
        </is>
      </c>
      <c r="AV1927" t="inlineStr">
        <is>
          <t>3345021</t>
        </is>
      </c>
      <c r="AW1927" t="inlineStr">
        <is>
          <t>991005371029702656</t>
        </is>
      </c>
      <c r="AX1927" t="inlineStr">
        <is>
          <t>991005371029702656</t>
        </is>
      </c>
      <c r="AY1927" t="inlineStr">
        <is>
          <t>2256952110002656</t>
        </is>
      </c>
      <c r="AZ1927" t="inlineStr">
        <is>
          <t>BOOK</t>
        </is>
      </c>
      <c r="BB1927" t="inlineStr">
        <is>
          <t>9780521218214</t>
        </is>
      </c>
      <c r="BC1927" t="inlineStr">
        <is>
          <t>32285000338144</t>
        </is>
      </c>
      <c r="BD1927" t="inlineStr">
        <is>
          <t>893902627</t>
        </is>
      </c>
    </row>
    <row r="1928">
      <c r="A1928" t="inlineStr">
        <is>
          <t>No</t>
        </is>
      </c>
      <c r="B1928" t="inlineStr">
        <is>
          <t>DS721 .S78</t>
        </is>
      </c>
      <c r="C1928" t="inlineStr">
        <is>
          <t>0                      DS 0721000S  78</t>
        </is>
      </c>
      <c r="D1928" t="inlineStr">
        <is>
          <t>The cultural ecology of Chinese civilization : peasants and elites in the last of the agrarian states / [by] Leon E. Stover.</t>
        </is>
      </c>
      <c r="F1928" t="inlineStr">
        <is>
          <t>No</t>
        </is>
      </c>
      <c r="G1928" t="inlineStr">
        <is>
          <t>1</t>
        </is>
      </c>
      <c r="H1928" t="inlineStr">
        <is>
          <t>No</t>
        </is>
      </c>
      <c r="I1928" t="inlineStr">
        <is>
          <t>No</t>
        </is>
      </c>
      <c r="J1928" t="inlineStr">
        <is>
          <t>0</t>
        </is>
      </c>
      <c r="K1928" t="inlineStr">
        <is>
          <t>Stover, Leon E.</t>
        </is>
      </c>
      <c r="L1928" t="inlineStr">
        <is>
          <t>New York : Pica Press, [1974]</t>
        </is>
      </c>
      <c r="M1928" t="inlineStr">
        <is>
          <t>1974</t>
        </is>
      </c>
      <c r="O1928" t="inlineStr">
        <is>
          <t>eng</t>
        </is>
      </c>
      <c r="P1928" t="inlineStr">
        <is>
          <t>nyu</t>
        </is>
      </c>
      <c r="R1928" t="inlineStr">
        <is>
          <t xml:space="preserve">DS </t>
        </is>
      </c>
      <c r="S1928" t="n">
        <v>2</v>
      </c>
      <c r="T1928" t="n">
        <v>2</v>
      </c>
      <c r="U1928" t="inlineStr">
        <is>
          <t>1997-11-10</t>
        </is>
      </c>
      <c r="V1928" t="inlineStr">
        <is>
          <t>1997-11-10</t>
        </is>
      </c>
      <c r="W1928" t="inlineStr">
        <is>
          <t>1994-12-16</t>
        </is>
      </c>
      <c r="X1928" t="inlineStr">
        <is>
          <t>1994-12-16</t>
        </is>
      </c>
      <c r="Y1928" t="n">
        <v>463</v>
      </c>
      <c r="Z1928" t="n">
        <v>373</v>
      </c>
      <c r="AA1928" t="n">
        <v>434</v>
      </c>
      <c r="AB1928" t="n">
        <v>2</v>
      </c>
      <c r="AC1928" t="n">
        <v>4</v>
      </c>
      <c r="AD1928" t="n">
        <v>10</v>
      </c>
      <c r="AE1928" t="n">
        <v>13</v>
      </c>
      <c r="AF1928" t="n">
        <v>4</v>
      </c>
      <c r="AG1928" t="n">
        <v>5</v>
      </c>
      <c r="AH1928" t="n">
        <v>2</v>
      </c>
      <c r="AI1928" t="n">
        <v>2</v>
      </c>
      <c r="AJ1928" t="n">
        <v>5</v>
      </c>
      <c r="AK1928" t="n">
        <v>5</v>
      </c>
      <c r="AL1928" t="n">
        <v>1</v>
      </c>
      <c r="AM1928" t="n">
        <v>3</v>
      </c>
      <c r="AN1928" t="n">
        <v>0</v>
      </c>
      <c r="AO1928" t="n">
        <v>0</v>
      </c>
      <c r="AP1928" t="inlineStr">
        <is>
          <t>No</t>
        </is>
      </c>
      <c r="AQ1928" t="inlineStr">
        <is>
          <t>Yes</t>
        </is>
      </c>
      <c r="AR1928">
        <f>HYPERLINK("http://catalog.hathitrust.org/Record/000012908","HathiTrust Record")</f>
        <v/>
      </c>
      <c r="AS1928">
        <f>HYPERLINK("https://creighton-primo.hosted.exlibrisgroup.com/primo-explore/search?tab=default_tab&amp;search_scope=EVERYTHING&amp;vid=01CRU&amp;lang=en_US&amp;offset=0&amp;query=any,contains,991003316359702656","Catalog Record")</f>
        <v/>
      </c>
      <c r="AT1928">
        <f>HYPERLINK("http://www.worldcat.org/oclc/841249","WorldCat Record")</f>
        <v/>
      </c>
      <c r="AU1928" t="inlineStr">
        <is>
          <t>1783545:eng</t>
        </is>
      </c>
      <c r="AV1928" t="inlineStr">
        <is>
          <t>841249</t>
        </is>
      </c>
      <c r="AW1928" t="inlineStr">
        <is>
          <t>991003316359702656</t>
        </is>
      </c>
      <c r="AX1928" t="inlineStr">
        <is>
          <t>991003316359702656</t>
        </is>
      </c>
      <c r="AY1928" t="inlineStr">
        <is>
          <t>2264990540002656</t>
        </is>
      </c>
      <c r="AZ1928" t="inlineStr">
        <is>
          <t>BOOK</t>
        </is>
      </c>
      <c r="BB1928" t="inlineStr">
        <is>
          <t>9780876637098</t>
        </is>
      </c>
      <c r="BC1928" t="inlineStr">
        <is>
          <t>32285001984078</t>
        </is>
      </c>
      <c r="BD1928" t="inlineStr">
        <is>
          <t>893717533</t>
        </is>
      </c>
    </row>
    <row r="1929">
      <c r="A1929" t="inlineStr">
        <is>
          <t>No</t>
        </is>
      </c>
      <c r="B1929" t="inlineStr">
        <is>
          <t>DS721 .T46 1986</t>
        </is>
      </c>
      <c r="C1929" t="inlineStr">
        <is>
          <t>0                      DS 0721000T  46          1986</t>
        </is>
      </c>
      <c r="D1929" t="inlineStr">
        <is>
          <t>The genius of China : 3,000 years of science, discovery, and invention / Robert Temple ; introduced by Joseph Needham.</t>
        </is>
      </c>
      <c r="F1929" t="inlineStr">
        <is>
          <t>No</t>
        </is>
      </c>
      <c r="G1929" t="inlineStr">
        <is>
          <t>1</t>
        </is>
      </c>
      <c r="H1929" t="inlineStr">
        <is>
          <t>No</t>
        </is>
      </c>
      <c r="I1929" t="inlineStr">
        <is>
          <t>No</t>
        </is>
      </c>
      <c r="J1929" t="inlineStr">
        <is>
          <t>0</t>
        </is>
      </c>
      <c r="K1929" t="inlineStr">
        <is>
          <t>Temple, Robert K. G.</t>
        </is>
      </c>
      <c r="L1929" t="inlineStr">
        <is>
          <t>New York, N.Y. : Simon and Schuster, c1986.</t>
        </is>
      </c>
      <c r="M1929" t="inlineStr">
        <is>
          <t>1987</t>
        </is>
      </c>
      <c r="O1929" t="inlineStr">
        <is>
          <t>eng</t>
        </is>
      </c>
      <c r="P1929" t="inlineStr">
        <is>
          <t>nyu</t>
        </is>
      </c>
      <c r="R1929" t="inlineStr">
        <is>
          <t xml:space="preserve">DS </t>
        </is>
      </c>
      <c r="S1929" t="n">
        <v>8</v>
      </c>
      <c r="T1929" t="n">
        <v>8</v>
      </c>
      <c r="U1929" t="inlineStr">
        <is>
          <t>1996-05-20</t>
        </is>
      </c>
      <c r="V1929" t="inlineStr">
        <is>
          <t>1996-05-20</t>
        </is>
      </c>
      <c r="W1929" t="inlineStr">
        <is>
          <t>1990-08-09</t>
        </is>
      </c>
      <c r="X1929" t="inlineStr">
        <is>
          <t>1990-08-09</t>
        </is>
      </c>
      <c r="Y1929" t="n">
        <v>1593</v>
      </c>
      <c r="Z1929" t="n">
        <v>1501</v>
      </c>
      <c r="AA1929" t="n">
        <v>1738</v>
      </c>
      <c r="AB1929" t="n">
        <v>11</v>
      </c>
      <c r="AC1929" t="n">
        <v>13</v>
      </c>
      <c r="AD1929" t="n">
        <v>31</v>
      </c>
      <c r="AE1929" t="n">
        <v>35</v>
      </c>
      <c r="AF1929" t="n">
        <v>16</v>
      </c>
      <c r="AG1929" t="n">
        <v>17</v>
      </c>
      <c r="AH1929" t="n">
        <v>6</v>
      </c>
      <c r="AI1929" t="n">
        <v>6</v>
      </c>
      <c r="AJ1929" t="n">
        <v>14</v>
      </c>
      <c r="AK1929" t="n">
        <v>15</v>
      </c>
      <c r="AL1929" t="n">
        <v>5</v>
      </c>
      <c r="AM1929" t="n">
        <v>6</v>
      </c>
      <c r="AN1929" t="n">
        <v>0</v>
      </c>
      <c r="AO1929" t="n">
        <v>1</v>
      </c>
      <c r="AP1929" t="inlineStr">
        <is>
          <t>No</t>
        </is>
      </c>
      <c r="AQ1929" t="inlineStr">
        <is>
          <t>Yes</t>
        </is>
      </c>
      <c r="AR1929">
        <f>HYPERLINK("http://catalog.hathitrust.org/Record/000814407","HathiTrust Record")</f>
        <v/>
      </c>
      <c r="AS1929">
        <f>HYPERLINK("https://creighton-primo.hosted.exlibrisgroup.com/primo-explore/search?tab=default_tab&amp;search_scope=EVERYTHING&amp;vid=01CRU&amp;lang=en_US&amp;offset=0&amp;query=any,contains,991000883269702656","Catalog Record")</f>
        <v/>
      </c>
      <c r="AT1929">
        <f>HYPERLINK("http://www.worldcat.org/oclc/13859505","WorldCat Record")</f>
        <v/>
      </c>
      <c r="AU1929" t="inlineStr">
        <is>
          <t>43996213:eng</t>
        </is>
      </c>
      <c r="AV1929" t="inlineStr">
        <is>
          <t>13859505</t>
        </is>
      </c>
      <c r="AW1929" t="inlineStr">
        <is>
          <t>991000883269702656</t>
        </is>
      </c>
      <c r="AX1929" t="inlineStr">
        <is>
          <t>991000883269702656</t>
        </is>
      </c>
      <c r="AY1929" t="inlineStr">
        <is>
          <t>2265235000002656</t>
        </is>
      </c>
      <c r="AZ1929" t="inlineStr">
        <is>
          <t>BOOK</t>
        </is>
      </c>
      <c r="BB1929" t="inlineStr">
        <is>
          <t>9780671620288</t>
        </is>
      </c>
      <c r="BC1929" t="inlineStr">
        <is>
          <t>32285000272673</t>
        </is>
      </c>
      <c r="BD1929" t="inlineStr">
        <is>
          <t>893407619</t>
        </is>
      </c>
    </row>
    <row r="1930">
      <c r="A1930" t="inlineStr">
        <is>
          <t>No</t>
        </is>
      </c>
      <c r="B1930" t="inlineStr">
        <is>
          <t>DS721 .W4813 1970</t>
        </is>
      </c>
      <c r="C1930" t="inlineStr">
        <is>
          <t>0                      DS 0721000W  4813        1970</t>
        </is>
      </c>
      <c r="D1930" t="inlineStr">
        <is>
          <t>A short history of Chinese civilization / translated by Joan Joshua. With an introd. by Lionel Giles.</t>
        </is>
      </c>
      <c r="F1930" t="inlineStr">
        <is>
          <t>No</t>
        </is>
      </c>
      <c r="G1930" t="inlineStr">
        <is>
          <t>1</t>
        </is>
      </c>
      <c r="H1930" t="inlineStr">
        <is>
          <t>No</t>
        </is>
      </c>
      <c r="I1930" t="inlineStr">
        <is>
          <t>No</t>
        </is>
      </c>
      <c r="J1930" t="inlineStr">
        <is>
          <t>0</t>
        </is>
      </c>
      <c r="K1930" t="inlineStr">
        <is>
          <t>Wilhelm, Richard, 1873-1930.</t>
        </is>
      </c>
      <c r="L1930" t="inlineStr">
        <is>
          <t>Port Washington, N.Y. : Kennikat Press, [1970]</t>
        </is>
      </c>
      <c r="M1930" t="inlineStr">
        <is>
          <t>1970</t>
        </is>
      </c>
      <c r="O1930" t="inlineStr">
        <is>
          <t>eng</t>
        </is>
      </c>
      <c r="P1930" t="inlineStr">
        <is>
          <t>nyu</t>
        </is>
      </c>
      <c r="R1930" t="inlineStr">
        <is>
          <t xml:space="preserve">DS </t>
        </is>
      </c>
      <c r="S1930" t="n">
        <v>14</v>
      </c>
      <c r="T1930" t="n">
        <v>14</v>
      </c>
      <c r="U1930" t="inlineStr">
        <is>
          <t>2001-10-29</t>
        </is>
      </c>
      <c r="V1930" t="inlineStr">
        <is>
          <t>2001-10-29</t>
        </is>
      </c>
      <c r="W1930" t="inlineStr">
        <is>
          <t>1992-01-24</t>
        </is>
      </c>
      <c r="X1930" t="inlineStr">
        <is>
          <t>1992-01-24</t>
        </is>
      </c>
      <c r="Y1930" t="n">
        <v>131</v>
      </c>
      <c r="Z1930" t="n">
        <v>111</v>
      </c>
      <c r="AA1930" t="n">
        <v>421</v>
      </c>
      <c r="AB1930" t="n">
        <v>2</v>
      </c>
      <c r="AC1930" t="n">
        <v>4</v>
      </c>
      <c r="AD1930" t="n">
        <v>3</v>
      </c>
      <c r="AE1930" t="n">
        <v>16</v>
      </c>
      <c r="AF1930" t="n">
        <v>0</v>
      </c>
      <c r="AG1930" t="n">
        <v>4</v>
      </c>
      <c r="AH1930" t="n">
        <v>1</v>
      </c>
      <c r="AI1930" t="n">
        <v>4</v>
      </c>
      <c r="AJ1930" t="n">
        <v>2</v>
      </c>
      <c r="AK1930" t="n">
        <v>7</v>
      </c>
      <c r="AL1930" t="n">
        <v>1</v>
      </c>
      <c r="AM1930" t="n">
        <v>2</v>
      </c>
      <c r="AN1930" t="n">
        <v>0</v>
      </c>
      <c r="AO1930" t="n">
        <v>0</v>
      </c>
      <c r="AP1930" t="inlineStr">
        <is>
          <t>No</t>
        </is>
      </c>
      <c r="AQ1930" t="inlineStr">
        <is>
          <t>No</t>
        </is>
      </c>
      <c r="AS1930">
        <f>HYPERLINK("https://creighton-primo.hosted.exlibrisgroup.com/primo-explore/search?tab=default_tab&amp;search_scope=EVERYTHING&amp;vid=01CRU&amp;lang=en_US&amp;offset=0&amp;query=any,contains,991005353169702656","Catalog Record")</f>
        <v/>
      </c>
      <c r="AT1930">
        <f>HYPERLINK("http://www.worldcat.org/oclc/103477","WorldCat Record")</f>
        <v/>
      </c>
      <c r="AU1930" t="inlineStr">
        <is>
          <t>2148876:eng</t>
        </is>
      </c>
      <c r="AV1930" t="inlineStr">
        <is>
          <t>103477</t>
        </is>
      </c>
      <c r="AW1930" t="inlineStr">
        <is>
          <t>991005353169702656</t>
        </is>
      </c>
      <c r="AX1930" t="inlineStr">
        <is>
          <t>991005353169702656</t>
        </is>
      </c>
      <c r="AY1930" t="inlineStr">
        <is>
          <t>2260035520002656</t>
        </is>
      </c>
      <c r="AZ1930" t="inlineStr">
        <is>
          <t>BOOK</t>
        </is>
      </c>
      <c r="BB1930" t="inlineStr">
        <is>
          <t>9780804611046</t>
        </is>
      </c>
      <c r="BC1930" t="inlineStr">
        <is>
          <t>32285000918549</t>
        </is>
      </c>
      <c r="BD1930" t="inlineStr">
        <is>
          <t>893789843</t>
        </is>
      </c>
    </row>
    <row r="1931">
      <c r="A1931" t="inlineStr">
        <is>
          <t>No</t>
        </is>
      </c>
      <c r="B1931" t="inlineStr">
        <is>
          <t>DS723 .C73 1978</t>
        </is>
      </c>
      <c r="C1931" t="inlineStr">
        <is>
          <t>0                      DS 0723000C  73          1978</t>
        </is>
      </c>
      <c r="D1931" t="inlineStr">
        <is>
          <t>Studies in early Chinese culture, first series / by Herrlee Glessner Creel.</t>
        </is>
      </c>
      <c r="F1931" t="inlineStr">
        <is>
          <t>No</t>
        </is>
      </c>
      <c r="G1931" t="inlineStr">
        <is>
          <t>1</t>
        </is>
      </c>
      <c r="H1931" t="inlineStr">
        <is>
          <t>No</t>
        </is>
      </c>
      <c r="I1931" t="inlineStr">
        <is>
          <t>No</t>
        </is>
      </c>
      <c r="J1931" t="inlineStr">
        <is>
          <t>0</t>
        </is>
      </c>
      <c r="K1931" t="inlineStr">
        <is>
          <t>Creel, Herrlee Glessner, 1905-1994.</t>
        </is>
      </c>
      <c r="L1931" t="inlineStr">
        <is>
          <t>Philadelphia : Porcupine Press, 1978.</t>
        </is>
      </c>
      <c r="M1931" t="inlineStr">
        <is>
          <t>1978</t>
        </is>
      </c>
      <c r="O1931" t="inlineStr">
        <is>
          <t>eng</t>
        </is>
      </c>
      <c r="P1931" t="inlineStr">
        <is>
          <t>pau</t>
        </is>
      </c>
      <c r="Q1931" t="inlineStr">
        <is>
          <t>Perspectives in Asian history ; no. 3</t>
        </is>
      </c>
      <c r="R1931" t="inlineStr">
        <is>
          <t xml:space="preserve">DS </t>
        </is>
      </c>
      <c r="S1931" t="n">
        <v>2</v>
      </c>
      <c r="T1931" t="n">
        <v>2</v>
      </c>
      <c r="U1931" t="inlineStr">
        <is>
          <t>2000-03-27</t>
        </is>
      </c>
      <c r="V1931" t="inlineStr">
        <is>
          <t>2000-03-27</t>
        </is>
      </c>
      <c r="W1931" t="inlineStr">
        <is>
          <t>1990-10-11</t>
        </is>
      </c>
      <c r="X1931" t="inlineStr">
        <is>
          <t>1990-10-11</t>
        </is>
      </c>
      <c r="Y1931" t="n">
        <v>49</v>
      </c>
      <c r="Z1931" t="n">
        <v>37</v>
      </c>
      <c r="AA1931" t="n">
        <v>198</v>
      </c>
      <c r="AB1931" t="n">
        <v>1</v>
      </c>
      <c r="AC1931" t="n">
        <v>3</v>
      </c>
      <c r="AD1931" t="n">
        <v>1</v>
      </c>
      <c r="AE1931" t="n">
        <v>4</v>
      </c>
      <c r="AF1931" t="n">
        <v>0</v>
      </c>
      <c r="AG1931" t="n">
        <v>1</v>
      </c>
      <c r="AH1931" t="n">
        <v>1</v>
      </c>
      <c r="AI1931" t="n">
        <v>2</v>
      </c>
      <c r="AJ1931" t="n">
        <v>1</v>
      </c>
      <c r="AK1931" t="n">
        <v>1</v>
      </c>
      <c r="AL1931" t="n">
        <v>0</v>
      </c>
      <c r="AM1931" t="n">
        <v>1</v>
      </c>
      <c r="AN1931" t="n">
        <v>0</v>
      </c>
      <c r="AO1931" t="n">
        <v>0</v>
      </c>
      <c r="AP1931" t="inlineStr">
        <is>
          <t>No</t>
        </is>
      </c>
      <c r="AQ1931" t="inlineStr">
        <is>
          <t>No</t>
        </is>
      </c>
      <c r="AS1931">
        <f>HYPERLINK("https://creighton-primo.hosted.exlibrisgroup.com/primo-explore/search?tab=default_tab&amp;search_scope=EVERYTHING&amp;vid=01CRU&amp;lang=en_US&amp;offset=0&amp;query=any,contains,991004593189702656","Catalog Record")</f>
        <v/>
      </c>
      <c r="AT1931">
        <f>HYPERLINK("http://www.worldcat.org/oclc/4135609","WorldCat Record")</f>
        <v/>
      </c>
      <c r="AU1931" t="inlineStr">
        <is>
          <t>475891841:eng</t>
        </is>
      </c>
      <c r="AV1931" t="inlineStr">
        <is>
          <t>4135609</t>
        </is>
      </c>
      <c r="AW1931" t="inlineStr">
        <is>
          <t>991004593189702656</t>
        </is>
      </c>
      <c r="AX1931" t="inlineStr">
        <is>
          <t>991004593189702656</t>
        </is>
      </c>
      <c r="AY1931" t="inlineStr">
        <is>
          <t>2255360570002656</t>
        </is>
      </c>
      <c r="AZ1931" t="inlineStr">
        <is>
          <t>BOOK</t>
        </is>
      </c>
      <c r="BB1931" t="inlineStr">
        <is>
          <t>9780879916015</t>
        </is>
      </c>
      <c r="BC1931" t="inlineStr">
        <is>
          <t>32285000338177</t>
        </is>
      </c>
      <c r="BD1931" t="inlineStr">
        <is>
          <t>893442791</t>
        </is>
      </c>
    </row>
    <row r="1932">
      <c r="A1932" t="inlineStr">
        <is>
          <t>No</t>
        </is>
      </c>
      <c r="B1932" t="inlineStr">
        <is>
          <t>DS723 .G7</t>
        </is>
      </c>
      <c r="C1932" t="inlineStr">
        <is>
          <t>0                      DS 0723000G  7</t>
        </is>
      </c>
      <c r="D1932" t="inlineStr">
        <is>
          <t>The world of ancient China / text by J. B. Grosier ; translated [from the French] by Lana Castellano and Christina Campbell-Thomson.</t>
        </is>
      </c>
      <c r="F1932" t="inlineStr">
        <is>
          <t>No</t>
        </is>
      </c>
      <c r="G1932" t="inlineStr">
        <is>
          <t>1</t>
        </is>
      </c>
      <c r="H1932" t="inlineStr">
        <is>
          <t>No</t>
        </is>
      </c>
      <c r="I1932" t="inlineStr">
        <is>
          <t>No</t>
        </is>
      </c>
      <c r="J1932" t="inlineStr">
        <is>
          <t>0</t>
        </is>
      </c>
      <c r="K1932" t="inlineStr">
        <is>
          <t>Grosier, J.-B. (Jean-Baptiste), 1743-1823.</t>
        </is>
      </c>
      <c r="L1932" t="inlineStr">
        <is>
          <t>Geneve, Minerva [1972]</t>
        </is>
      </c>
      <c r="M1932" t="inlineStr">
        <is>
          <t>1972</t>
        </is>
      </c>
      <c r="O1932" t="inlineStr">
        <is>
          <t>eng</t>
        </is>
      </c>
      <c r="P1932" t="inlineStr">
        <is>
          <t xml:space="preserve">xx </t>
        </is>
      </c>
      <c r="R1932" t="inlineStr">
        <is>
          <t xml:space="preserve">DS </t>
        </is>
      </c>
      <c r="S1932" t="n">
        <v>2</v>
      </c>
      <c r="T1932" t="n">
        <v>2</v>
      </c>
      <c r="U1932" t="inlineStr">
        <is>
          <t>2004-11-15</t>
        </is>
      </c>
      <c r="V1932" t="inlineStr">
        <is>
          <t>2004-11-15</t>
        </is>
      </c>
      <c r="W1932" t="inlineStr">
        <is>
          <t>1992-01-24</t>
        </is>
      </c>
      <c r="X1932" t="inlineStr">
        <is>
          <t>1992-01-24</t>
        </is>
      </c>
      <c r="Y1932" t="n">
        <v>321</v>
      </c>
      <c r="Z1932" t="n">
        <v>287</v>
      </c>
      <c r="AA1932" t="n">
        <v>496</v>
      </c>
      <c r="AB1932" t="n">
        <v>2</v>
      </c>
      <c r="AC1932" t="n">
        <v>3</v>
      </c>
      <c r="AD1932" t="n">
        <v>8</v>
      </c>
      <c r="AE1932" t="n">
        <v>9</v>
      </c>
      <c r="AF1932" t="n">
        <v>3</v>
      </c>
      <c r="AG1932" t="n">
        <v>3</v>
      </c>
      <c r="AH1932" t="n">
        <v>5</v>
      </c>
      <c r="AI1932" t="n">
        <v>6</v>
      </c>
      <c r="AJ1932" t="n">
        <v>4</v>
      </c>
      <c r="AK1932" t="n">
        <v>4</v>
      </c>
      <c r="AL1932" t="n">
        <v>0</v>
      </c>
      <c r="AM1932" t="n">
        <v>0</v>
      </c>
      <c r="AN1932" t="n">
        <v>0</v>
      </c>
      <c r="AO1932" t="n">
        <v>0</v>
      </c>
      <c r="AP1932" t="inlineStr">
        <is>
          <t>No</t>
        </is>
      </c>
      <c r="AQ1932" t="inlineStr">
        <is>
          <t>No</t>
        </is>
      </c>
      <c r="AS1932">
        <f>HYPERLINK("https://creighton-primo.hosted.exlibrisgroup.com/primo-explore/search?tab=default_tab&amp;search_scope=EVERYTHING&amp;vid=01CRU&amp;lang=en_US&amp;offset=0&amp;query=any,contains,991003675719702656","Catalog Record")</f>
        <v/>
      </c>
      <c r="AT1932">
        <f>HYPERLINK("http://www.worldcat.org/oclc/773576","WorldCat Record")</f>
        <v/>
      </c>
      <c r="AU1932" t="inlineStr">
        <is>
          <t>1681049:eng</t>
        </is>
      </c>
      <c r="AV1932" t="inlineStr">
        <is>
          <t>773576</t>
        </is>
      </c>
      <c r="AW1932" t="inlineStr">
        <is>
          <t>991003675719702656</t>
        </is>
      </c>
      <c r="AX1932" t="inlineStr">
        <is>
          <t>991003675719702656</t>
        </is>
      </c>
      <c r="AY1932" t="inlineStr">
        <is>
          <t>2263335740002656</t>
        </is>
      </c>
      <c r="AZ1932" t="inlineStr">
        <is>
          <t>BOOK</t>
        </is>
      </c>
      <c r="BC1932" t="inlineStr">
        <is>
          <t>32285000917640</t>
        </is>
      </c>
      <c r="BD1932" t="inlineStr">
        <is>
          <t>893693016</t>
        </is>
      </c>
    </row>
    <row r="1933">
      <c r="A1933" t="inlineStr">
        <is>
          <t>No</t>
        </is>
      </c>
      <c r="B1933" t="inlineStr">
        <is>
          <t>DS723 .L5</t>
        </is>
      </c>
      <c r="C1933" t="inlineStr">
        <is>
          <t>0                      DS 0723000L  5</t>
        </is>
      </c>
      <c r="D1933" t="inlineStr">
        <is>
          <t>The beginnings of Chinese civilization : three lectures illustrated with finds at Anyang.</t>
        </is>
      </c>
      <c r="F1933" t="inlineStr">
        <is>
          <t>No</t>
        </is>
      </c>
      <c r="G1933" t="inlineStr">
        <is>
          <t>1</t>
        </is>
      </c>
      <c r="H1933" t="inlineStr">
        <is>
          <t>Yes</t>
        </is>
      </c>
      <c r="I1933" t="inlineStr">
        <is>
          <t>No</t>
        </is>
      </c>
      <c r="J1933" t="inlineStr">
        <is>
          <t>0</t>
        </is>
      </c>
      <c r="K1933" t="inlineStr">
        <is>
          <t>Li, Ji, 1896-1979.</t>
        </is>
      </c>
      <c r="L1933" t="inlineStr">
        <is>
          <t>Seattle : University of Washington Press, [1957]</t>
        </is>
      </c>
      <c r="M1933" t="inlineStr">
        <is>
          <t>1957</t>
        </is>
      </c>
      <c r="O1933" t="inlineStr">
        <is>
          <t>eng</t>
        </is>
      </c>
      <c r="P1933" t="inlineStr">
        <is>
          <t>wau</t>
        </is>
      </c>
      <c r="R1933" t="inlineStr">
        <is>
          <t xml:space="preserve">DS </t>
        </is>
      </c>
      <c r="S1933" t="n">
        <v>2</v>
      </c>
      <c r="T1933" t="n">
        <v>2</v>
      </c>
      <c r="U1933" t="inlineStr">
        <is>
          <t>1994-02-25</t>
        </is>
      </c>
      <c r="V1933" t="inlineStr">
        <is>
          <t>1994-02-25</t>
        </is>
      </c>
      <c r="W1933" t="inlineStr">
        <is>
          <t>1992-01-24</t>
        </is>
      </c>
      <c r="X1933" t="inlineStr">
        <is>
          <t>1992-01-24</t>
        </is>
      </c>
      <c r="Y1933" t="n">
        <v>797</v>
      </c>
      <c r="Z1933" t="n">
        <v>692</v>
      </c>
      <c r="AA1933" t="n">
        <v>743</v>
      </c>
      <c r="AB1933" t="n">
        <v>5</v>
      </c>
      <c r="AC1933" t="n">
        <v>5</v>
      </c>
      <c r="AD1933" t="n">
        <v>33</v>
      </c>
      <c r="AE1933" t="n">
        <v>34</v>
      </c>
      <c r="AF1933" t="n">
        <v>13</v>
      </c>
      <c r="AG1933" t="n">
        <v>13</v>
      </c>
      <c r="AH1933" t="n">
        <v>7</v>
      </c>
      <c r="AI1933" t="n">
        <v>7</v>
      </c>
      <c r="AJ1933" t="n">
        <v>17</v>
      </c>
      <c r="AK1933" t="n">
        <v>18</v>
      </c>
      <c r="AL1933" t="n">
        <v>4</v>
      </c>
      <c r="AM1933" t="n">
        <v>4</v>
      </c>
      <c r="AN1933" t="n">
        <v>1</v>
      </c>
      <c r="AO1933" t="n">
        <v>1</v>
      </c>
      <c r="AP1933" t="inlineStr">
        <is>
          <t>No</t>
        </is>
      </c>
      <c r="AQ1933" t="inlineStr">
        <is>
          <t>No</t>
        </is>
      </c>
      <c r="AR1933">
        <f>HYPERLINK("http://catalog.hathitrust.org/Record/001257558","HathiTrust Record")</f>
        <v/>
      </c>
      <c r="AS1933">
        <f>HYPERLINK("https://creighton-primo.hosted.exlibrisgroup.com/primo-explore/search?tab=default_tab&amp;search_scope=EVERYTHING&amp;vid=01CRU&amp;lang=en_US&amp;offset=0&amp;query=any,contains,991002720109702656","Catalog Record")</f>
        <v/>
      </c>
      <c r="AT1933">
        <f>HYPERLINK("http://www.worldcat.org/oclc/412354","WorldCat Record")</f>
        <v/>
      </c>
      <c r="AU1933" t="inlineStr">
        <is>
          <t>433381788:eng</t>
        </is>
      </c>
      <c r="AV1933" t="inlineStr">
        <is>
          <t>412354</t>
        </is>
      </c>
      <c r="AW1933" t="inlineStr">
        <is>
          <t>991002720109702656</t>
        </is>
      </c>
      <c r="AX1933" t="inlineStr">
        <is>
          <t>991002720109702656</t>
        </is>
      </c>
      <c r="AY1933" t="inlineStr">
        <is>
          <t>2264521050002656</t>
        </is>
      </c>
      <c r="AZ1933" t="inlineStr">
        <is>
          <t>BOOK</t>
        </is>
      </c>
      <c r="BC1933" t="inlineStr">
        <is>
          <t>32285000917632</t>
        </is>
      </c>
      <c r="BD1933" t="inlineStr">
        <is>
          <t>893786450</t>
        </is>
      </c>
    </row>
    <row r="1934">
      <c r="A1934" t="inlineStr">
        <is>
          <t>No</t>
        </is>
      </c>
      <c r="B1934" t="inlineStr">
        <is>
          <t>DS723 .L5</t>
        </is>
      </c>
      <c r="C1934" t="inlineStr">
        <is>
          <t>0                      DS 0723000L  5</t>
        </is>
      </c>
      <c r="D1934" t="inlineStr">
        <is>
          <t>The beginnings of Chinese civilization : three lectures illustrated with finds at Anyang.</t>
        </is>
      </c>
      <c r="F1934" t="inlineStr">
        <is>
          <t>No</t>
        </is>
      </c>
      <c r="G1934" t="inlineStr">
        <is>
          <t>1</t>
        </is>
      </c>
      <c r="H1934" t="inlineStr">
        <is>
          <t>Yes</t>
        </is>
      </c>
      <c r="I1934" t="inlineStr">
        <is>
          <t>No</t>
        </is>
      </c>
      <c r="J1934" t="inlineStr">
        <is>
          <t>0</t>
        </is>
      </c>
      <c r="K1934" t="inlineStr">
        <is>
          <t>Li, Ji, 1896-1979.</t>
        </is>
      </c>
      <c r="L1934" t="inlineStr">
        <is>
          <t>Seattle : University of Washington Press, [1957]</t>
        </is>
      </c>
      <c r="M1934" t="inlineStr">
        <is>
          <t>1957</t>
        </is>
      </c>
      <c r="O1934" t="inlineStr">
        <is>
          <t>eng</t>
        </is>
      </c>
      <c r="P1934" t="inlineStr">
        <is>
          <t>wau</t>
        </is>
      </c>
      <c r="R1934" t="inlineStr">
        <is>
          <t xml:space="preserve">DS </t>
        </is>
      </c>
      <c r="S1934" t="n">
        <v>0</v>
      </c>
      <c r="T1934" t="n">
        <v>2</v>
      </c>
      <c r="V1934" t="inlineStr">
        <is>
          <t>1994-02-25</t>
        </is>
      </c>
      <c r="W1934" t="inlineStr">
        <is>
          <t>1992-01-24</t>
        </is>
      </c>
      <c r="X1934" t="inlineStr">
        <is>
          <t>1992-01-24</t>
        </is>
      </c>
      <c r="Y1934" t="n">
        <v>797</v>
      </c>
      <c r="Z1934" t="n">
        <v>692</v>
      </c>
      <c r="AA1934" t="n">
        <v>743</v>
      </c>
      <c r="AB1934" t="n">
        <v>5</v>
      </c>
      <c r="AC1934" t="n">
        <v>5</v>
      </c>
      <c r="AD1934" t="n">
        <v>33</v>
      </c>
      <c r="AE1934" t="n">
        <v>34</v>
      </c>
      <c r="AF1934" t="n">
        <v>13</v>
      </c>
      <c r="AG1934" t="n">
        <v>13</v>
      </c>
      <c r="AH1934" t="n">
        <v>7</v>
      </c>
      <c r="AI1934" t="n">
        <v>7</v>
      </c>
      <c r="AJ1934" t="n">
        <v>17</v>
      </c>
      <c r="AK1934" t="n">
        <v>18</v>
      </c>
      <c r="AL1934" t="n">
        <v>4</v>
      </c>
      <c r="AM1934" t="n">
        <v>4</v>
      </c>
      <c r="AN1934" t="n">
        <v>1</v>
      </c>
      <c r="AO1934" t="n">
        <v>1</v>
      </c>
      <c r="AP1934" t="inlineStr">
        <is>
          <t>No</t>
        </is>
      </c>
      <c r="AQ1934" t="inlineStr">
        <is>
          <t>No</t>
        </is>
      </c>
      <c r="AR1934">
        <f>HYPERLINK("http://catalog.hathitrust.org/Record/001257558","HathiTrust Record")</f>
        <v/>
      </c>
      <c r="AS1934">
        <f>HYPERLINK("https://creighton-primo.hosted.exlibrisgroup.com/primo-explore/search?tab=default_tab&amp;search_scope=EVERYTHING&amp;vid=01CRU&amp;lang=en_US&amp;offset=0&amp;query=any,contains,991002720109702656","Catalog Record")</f>
        <v/>
      </c>
      <c r="AT1934">
        <f>HYPERLINK("http://www.worldcat.org/oclc/412354","WorldCat Record")</f>
        <v/>
      </c>
      <c r="AU1934" t="inlineStr">
        <is>
          <t>433381788:eng</t>
        </is>
      </c>
      <c r="AV1934" t="inlineStr">
        <is>
          <t>412354</t>
        </is>
      </c>
      <c r="AW1934" t="inlineStr">
        <is>
          <t>991002720109702656</t>
        </is>
      </c>
      <c r="AX1934" t="inlineStr">
        <is>
          <t>991002720109702656</t>
        </is>
      </c>
      <c r="AY1934" t="inlineStr">
        <is>
          <t>2264521050002656</t>
        </is>
      </c>
      <c r="AZ1934" t="inlineStr">
        <is>
          <t>BOOK</t>
        </is>
      </c>
      <c r="BC1934" t="inlineStr">
        <is>
          <t>32285000917624</t>
        </is>
      </c>
      <c r="BD1934" t="inlineStr">
        <is>
          <t>893773953</t>
        </is>
      </c>
    </row>
    <row r="1935">
      <c r="A1935" t="inlineStr">
        <is>
          <t>No</t>
        </is>
      </c>
      <c r="B1935" t="inlineStr">
        <is>
          <t>DS723 .S3 1967</t>
        </is>
      </c>
      <c r="C1935" t="inlineStr">
        <is>
          <t>0                      DS 0723000S  3           1967</t>
        </is>
      </c>
      <c r="D1935" t="inlineStr">
        <is>
          <t>Ancient China / by Edward H. Schafer and the editors of Time-Life Books.</t>
        </is>
      </c>
      <c r="F1935" t="inlineStr">
        <is>
          <t>No</t>
        </is>
      </c>
      <c r="G1935" t="inlineStr">
        <is>
          <t>1</t>
        </is>
      </c>
      <c r="H1935" t="inlineStr">
        <is>
          <t>No</t>
        </is>
      </c>
      <c r="I1935" t="inlineStr">
        <is>
          <t>No</t>
        </is>
      </c>
      <c r="J1935" t="inlineStr">
        <is>
          <t>0</t>
        </is>
      </c>
      <c r="K1935" t="inlineStr">
        <is>
          <t>Schafer, Edward H.</t>
        </is>
      </c>
      <c r="L1935" t="inlineStr">
        <is>
          <t>New York : Time-Life Books, [1967]</t>
        </is>
      </c>
      <c r="M1935" t="inlineStr">
        <is>
          <t>1967</t>
        </is>
      </c>
      <c r="O1935" t="inlineStr">
        <is>
          <t>eng</t>
        </is>
      </c>
      <c r="P1935" t="inlineStr">
        <is>
          <t>nyu</t>
        </is>
      </c>
      <c r="Q1935" t="inlineStr">
        <is>
          <t>Great ages of man : a history of the world's cultures</t>
        </is>
      </c>
      <c r="R1935" t="inlineStr">
        <is>
          <t xml:space="preserve">DS </t>
        </is>
      </c>
      <c r="S1935" t="n">
        <v>3</v>
      </c>
      <c r="T1935" t="n">
        <v>3</v>
      </c>
      <c r="U1935" t="inlineStr">
        <is>
          <t>1998-10-14</t>
        </is>
      </c>
      <c r="V1935" t="inlineStr">
        <is>
          <t>1998-10-14</t>
        </is>
      </c>
      <c r="W1935" t="inlineStr">
        <is>
          <t>1990-10-11</t>
        </is>
      </c>
      <c r="X1935" t="inlineStr">
        <is>
          <t>1990-10-11</t>
        </is>
      </c>
      <c r="Y1935" t="n">
        <v>2510</v>
      </c>
      <c r="Z1935" t="n">
        <v>2386</v>
      </c>
      <c r="AA1935" t="n">
        <v>2463</v>
      </c>
      <c r="AB1935" t="n">
        <v>19</v>
      </c>
      <c r="AC1935" t="n">
        <v>20</v>
      </c>
      <c r="AD1935" t="n">
        <v>44</v>
      </c>
      <c r="AE1935" t="n">
        <v>44</v>
      </c>
      <c r="AF1935" t="n">
        <v>18</v>
      </c>
      <c r="AG1935" t="n">
        <v>18</v>
      </c>
      <c r="AH1935" t="n">
        <v>10</v>
      </c>
      <c r="AI1935" t="n">
        <v>10</v>
      </c>
      <c r="AJ1935" t="n">
        <v>22</v>
      </c>
      <c r="AK1935" t="n">
        <v>22</v>
      </c>
      <c r="AL1935" t="n">
        <v>6</v>
      </c>
      <c r="AM1935" t="n">
        <v>6</v>
      </c>
      <c r="AN1935" t="n">
        <v>0</v>
      </c>
      <c r="AO1935" t="n">
        <v>0</v>
      </c>
      <c r="AP1935" t="inlineStr">
        <is>
          <t>No</t>
        </is>
      </c>
      <c r="AQ1935" t="inlineStr">
        <is>
          <t>Yes</t>
        </is>
      </c>
      <c r="AR1935">
        <f>HYPERLINK("http://catalog.hathitrust.org/Record/001257559","HathiTrust Record")</f>
        <v/>
      </c>
      <c r="AS1935">
        <f>HYPERLINK("https://creighton-primo.hosted.exlibrisgroup.com/primo-explore/search?tab=default_tab&amp;search_scope=EVERYTHING&amp;vid=01CRU&amp;lang=en_US&amp;offset=0&amp;query=any,contains,991002703679702656","Catalog Record")</f>
        <v/>
      </c>
      <c r="AT1935">
        <f>HYPERLINK("http://www.worldcat.org/oclc/406427","WorldCat Record")</f>
        <v/>
      </c>
      <c r="AU1935" t="inlineStr">
        <is>
          <t>4739869048:eng</t>
        </is>
      </c>
      <c r="AV1935" t="inlineStr">
        <is>
          <t>406427</t>
        </is>
      </c>
      <c r="AW1935" t="inlineStr">
        <is>
          <t>991002703679702656</t>
        </is>
      </c>
      <c r="AX1935" t="inlineStr">
        <is>
          <t>991002703679702656</t>
        </is>
      </c>
      <c r="AY1935" t="inlineStr">
        <is>
          <t>2260956860002656</t>
        </is>
      </c>
      <c r="AZ1935" t="inlineStr">
        <is>
          <t>BOOK</t>
        </is>
      </c>
      <c r="BC1935" t="inlineStr">
        <is>
          <t>32285000338185</t>
        </is>
      </c>
      <c r="BD1935" t="inlineStr">
        <is>
          <t>893904042</t>
        </is>
      </c>
    </row>
    <row r="1936">
      <c r="A1936" t="inlineStr">
        <is>
          <t>No</t>
        </is>
      </c>
      <c r="B1936" t="inlineStr">
        <is>
          <t>DS723.C7 B5</t>
        </is>
      </c>
      <c r="C1936" t="inlineStr">
        <is>
          <t>0                      DS 0723000C  7                  B  5</t>
        </is>
      </c>
      <c r="D1936" t="inlineStr">
        <is>
          <t>The birth of China : a study of the formative period of Chinese civilization.</t>
        </is>
      </c>
      <c r="F1936" t="inlineStr">
        <is>
          <t>No</t>
        </is>
      </c>
      <c r="G1936" t="inlineStr">
        <is>
          <t>1</t>
        </is>
      </c>
      <c r="H1936" t="inlineStr">
        <is>
          <t>No</t>
        </is>
      </c>
      <c r="I1936" t="inlineStr">
        <is>
          <t>No</t>
        </is>
      </c>
      <c r="J1936" t="inlineStr">
        <is>
          <t>0</t>
        </is>
      </c>
      <c r="K1936" t="inlineStr">
        <is>
          <t>Creel, Herrlee Glessner, 1905-1994.</t>
        </is>
      </c>
      <c r="L1936" t="inlineStr">
        <is>
          <t>New York : F. Ungar Pub. Co., [1954, c1937]</t>
        </is>
      </c>
      <c r="M1936" t="inlineStr">
        <is>
          <t>1954</t>
        </is>
      </c>
      <c r="O1936" t="inlineStr">
        <is>
          <t>eng</t>
        </is>
      </c>
      <c r="P1936" t="inlineStr">
        <is>
          <t>nyu</t>
        </is>
      </c>
      <c r="R1936" t="inlineStr">
        <is>
          <t xml:space="preserve">DS </t>
        </is>
      </c>
      <c r="S1936" t="n">
        <v>3</v>
      </c>
      <c r="T1936" t="n">
        <v>3</v>
      </c>
      <c r="U1936" t="inlineStr">
        <is>
          <t>1993-11-03</t>
        </is>
      </c>
      <c r="V1936" t="inlineStr">
        <is>
          <t>1993-11-03</t>
        </is>
      </c>
      <c r="W1936" t="inlineStr">
        <is>
          <t>1992-09-14</t>
        </is>
      </c>
      <c r="X1936" t="inlineStr">
        <is>
          <t>1992-09-14</t>
        </is>
      </c>
      <c r="Y1936" t="n">
        <v>777</v>
      </c>
      <c r="Z1936" t="n">
        <v>739</v>
      </c>
      <c r="AA1936" t="n">
        <v>1119</v>
      </c>
      <c r="AB1936" t="n">
        <v>3</v>
      </c>
      <c r="AC1936" t="n">
        <v>7</v>
      </c>
      <c r="AD1936" t="n">
        <v>33</v>
      </c>
      <c r="AE1936" t="n">
        <v>47</v>
      </c>
      <c r="AF1936" t="n">
        <v>18</v>
      </c>
      <c r="AG1936" t="n">
        <v>23</v>
      </c>
      <c r="AH1936" t="n">
        <v>6</v>
      </c>
      <c r="AI1936" t="n">
        <v>9</v>
      </c>
      <c r="AJ1936" t="n">
        <v>17</v>
      </c>
      <c r="AK1936" t="n">
        <v>23</v>
      </c>
      <c r="AL1936" t="n">
        <v>2</v>
      </c>
      <c r="AM1936" t="n">
        <v>5</v>
      </c>
      <c r="AN1936" t="n">
        <v>0</v>
      </c>
      <c r="AO1936" t="n">
        <v>0</v>
      </c>
      <c r="AP1936" t="inlineStr">
        <is>
          <t>No</t>
        </is>
      </c>
      <c r="AQ1936" t="inlineStr">
        <is>
          <t>Yes</t>
        </is>
      </c>
      <c r="AR1936">
        <f>HYPERLINK("http://catalog.hathitrust.org/Record/001257556","HathiTrust Record")</f>
        <v/>
      </c>
      <c r="AS1936">
        <f>HYPERLINK("https://creighton-primo.hosted.exlibrisgroup.com/primo-explore/search?tab=default_tab&amp;search_scope=EVERYTHING&amp;vid=01CRU&amp;lang=en_US&amp;offset=0&amp;query=any,contains,991002719929702656","Catalog Record")</f>
        <v/>
      </c>
      <c r="AT1936">
        <f>HYPERLINK("http://www.worldcat.org/oclc/412344","WorldCat Record")</f>
        <v/>
      </c>
      <c r="AU1936" t="inlineStr">
        <is>
          <t>475902048:eng</t>
        </is>
      </c>
      <c r="AV1936" t="inlineStr">
        <is>
          <t>412344</t>
        </is>
      </c>
      <c r="AW1936" t="inlineStr">
        <is>
          <t>991002719929702656</t>
        </is>
      </c>
      <c r="AX1936" t="inlineStr">
        <is>
          <t>991002719929702656</t>
        </is>
      </c>
      <c r="AY1936" t="inlineStr">
        <is>
          <t>2264552820002656</t>
        </is>
      </c>
      <c r="AZ1936" t="inlineStr">
        <is>
          <t>BOOK</t>
        </is>
      </c>
      <c r="BC1936" t="inlineStr">
        <is>
          <t>32285001300069</t>
        </is>
      </c>
      <c r="BD1936" t="inlineStr">
        <is>
          <t>893691922</t>
        </is>
      </c>
    </row>
    <row r="1937">
      <c r="A1937" t="inlineStr">
        <is>
          <t>No</t>
        </is>
      </c>
      <c r="B1937" t="inlineStr">
        <is>
          <t>DS724 .B66 1980</t>
        </is>
      </c>
      <c r="C1937" t="inlineStr">
        <is>
          <t>0                      DS 0724000B  66          1980</t>
        </is>
      </c>
      <c r="D1937" t="inlineStr">
        <is>
          <t>The Chinese / David Bonavia ; [photos. by Magnus Bartlett ; map by Paul J. Pugliese].</t>
        </is>
      </c>
      <c r="F1937" t="inlineStr">
        <is>
          <t>No</t>
        </is>
      </c>
      <c r="G1937" t="inlineStr">
        <is>
          <t>1</t>
        </is>
      </c>
      <c r="H1937" t="inlineStr">
        <is>
          <t>No</t>
        </is>
      </c>
      <c r="I1937" t="inlineStr">
        <is>
          <t>No</t>
        </is>
      </c>
      <c r="J1937" t="inlineStr">
        <is>
          <t>0</t>
        </is>
      </c>
      <c r="K1937" t="inlineStr">
        <is>
          <t>Bonavia, David, 1940-</t>
        </is>
      </c>
      <c r="L1937" t="inlineStr">
        <is>
          <t>New York : Lippincott &amp; Crowell, c1980.</t>
        </is>
      </c>
      <c r="M1937" t="inlineStr">
        <is>
          <t>1980</t>
        </is>
      </c>
      <c r="N1937" t="inlineStr">
        <is>
          <t>1st ed.</t>
        </is>
      </c>
      <c r="O1937" t="inlineStr">
        <is>
          <t>eng</t>
        </is>
      </c>
      <c r="P1937" t="inlineStr">
        <is>
          <t>nyu</t>
        </is>
      </c>
      <c r="R1937" t="inlineStr">
        <is>
          <t xml:space="preserve">DS </t>
        </is>
      </c>
      <c r="S1937" t="n">
        <v>4</v>
      </c>
      <c r="T1937" t="n">
        <v>4</v>
      </c>
      <c r="U1937" t="inlineStr">
        <is>
          <t>1994-03-04</t>
        </is>
      </c>
      <c r="V1937" t="inlineStr">
        <is>
          <t>1994-03-04</t>
        </is>
      </c>
      <c r="W1937" t="inlineStr">
        <is>
          <t>1990-10-11</t>
        </is>
      </c>
      <c r="X1937" t="inlineStr">
        <is>
          <t>1990-10-11</t>
        </is>
      </c>
      <c r="Y1937" t="n">
        <v>1009</v>
      </c>
      <c r="Z1937" t="n">
        <v>935</v>
      </c>
      <c r="AA1937" t="n">
        <v>1074</v>
      </c>
      <c r="AB1937" t="n">
        <v>5</v>
      </c>
      <c r="AC1937" t="n">
        <v>5</v>
      </c>
      <c r="AD1937" t="n">
        <v>28</v>
      </c>
      <c r="AE1937" t="n">
        <v>30</v>
      </c>
      <c r="AF1937" t="n">
        <v>12</v>
      </c>
      <c r="AG1937" t="n">
        <v>14</v>
      </c>
      <c r="AH1937" t="n">
        <v>9</v>
      </c>
      <c r="AI1937" t="n">
        <v>9</v>
      </c>
      <c r="AJ1937" t="n">
        <v>11</v>
      </c>
      <c r="AK1937" t="n">
        <v>12</v>
      </c>
      <c r="AL1937" t="n">
        <v>4</v>
      </c>
      <c r="AM1937" t="n">
        <v>4</v>
      </c>
      <c r="AN1937" t="n">
        <v>0</v>
      </c>
      <c r="AO1937" t="n">
        <v>0</v>
      </c>
      <c r="AP1937" t="inlineStr">
        <is>
          <t>No</t>
        </is>
      </c>
      <c r="AQ1937" t="inlineStr">
        <is>
          <t>Yes</t>
        </is>
      </c>
      <c r="AR1937">
        <f>HYPERLINK("http://catalog.hathitrust.org/Record/102471631","HathiTrust Record")</f>
        <v/>
      </c>
      <c r="AS1937">
        <f>HYPERLINK("https://creighton-primo.hosted.exlibrisgroup.com/primo-explore/search?tab=default_tab&amp;search_scope=EVERYTHING&amp;vid=01CRU&amp;lang=en_US&amp;offset=0&amp;query=any,contains,991004990029702656","Catalog Record")</f>
        <v/>
      </c>
      <c r="AT1937">
        <f>HYPERLINK("http://www.worldcat.org/oclc/6486624","WorldCat Record")</f>
        <v/>
      </c>
      <c r="AU1937" t="inlineStr">
        <is>
          <t>439639:eng</t>
        </is>
      </c>
      <c r="AV1937" t="inlineStr">
        <is>
          <t>6486624</t>
        </is>
      </c>
      <c r="AW1937" t="inlineStr">
        <is>
          <t>991004990029702656</t>
        </is>
      </c>
      <c r="AX1937" t="inlineStr">
        <is>
          <t>991004990029702656</t>
        </is>
      </c>
      <c r="AY1937" t="inlineStr">
        <is>
          <t>2269698660002656</t>
        </is>
      </c>
      <c r="AZ1937" t="inlineStr">
        <is>
          <t>BOOK</t>
        </is>
      </c>
      <c r="BB1937" t="inlineStr">
        <is>
          <t>9780690019964</t>
        </is>
      </c>
      <c r="BC1937" t="inlineStr">
        <is>
          <t>32285000338193</t>
        </is>
      </c>
      <c r="BD1937" t="inlineStr">
        <is>
          <t>893513880</t>
        </is>
      </c>
    </row>
    <row r="1938">
      <c r="A1938" t="inlineStr">
        <is>
          <t>No</t>
        </is>
      </c>
      <c r="B1938" t="inlineStr">
        <is>
          <t>DS724 .S56</t>
        </is>
      </c>
      <c r="C1938" t="inlineStr">
        <is>
          <t>0                      DS 0724000S  56</t>
        </is>
      </c>
      <c r="D1938" t="inlineStr">
        <is>
          <t>Families of Fengsheng : urban life in China / by Ruth Sidel ; photos. by Victor W. Sidel.</t>
        </is>
      </c>
      <c r="F1938" t="inlineStr">
        <is>
          <t>No</t>
        </is>
      </c>
      <c r="G1938" t="inlineStr">
        <is>
          <t>1</t>
        </is>
      </c>
      <c r="H1938" t="inlineStr">
        <is>
          <t>No</t>
        </is>
      </c>
      <c r="I1938" t="inlineStr">
        <is>
          <t>No</t>
        </is>
      </c>
      <c r="J1938" t="inlineStr">
        <is>
          <t>0</t>
        </is>
      </c>
      <c r="K1938" t="inlineStr">
        <is>
          <t>Sidel, Ruth.</t>
        </is>
      </c>
      <c r="L1938" t="inlineStr">
        <is>
          <t>Baltimore : Penguin Books, 1974.</t>
        </is>
      </c>
      <c r="M1938" t="inlineStr">
        <is>
          <t>1974</t>
        </is>
      </c>
      <c r="O1938" t="inlineStr">
        <is>
          <t>eng</t>
        </is>
      </c>
      <c r="P1938" t="inlineStr">
        <is>
          <t>mdu</t>
        </is>
      </c>
      <c r="R1938" t="inlineStr">
        <is>
          <t xml:space="preserve">DS </t>
        </is>
      </c>
      <c r="S1938" t="n">
        <v>3</v>
      </c>
      <c r="T1938" t="n">
        <v>3</v>
      </c>
      <c r="U1938" t="inlineStr">
        <is>
          <t>1997-10-07</t>
        </is>
      </c>
      <c r="V1938" t="inlineStr">
        <is>
          <t>1997-10-07</t>
        </is>
      </c>
      <c r="W1938" t="inlineStr">
        <is>
          <t>1990-10-11</t>
        </is>
      </c>
      <c r="X1938" t="inlineStr">
        <is>
          <t>1990-10-11</t>
        </is>
      </c>
      <c r="Y1938" t="n">
        <v>421</v>
      </c>
      <c r="Z1938" t="n">
        <v>375</v>
      </c>
      <c r="AA1938" t="n">
        <v>443</v>
      </c>
      <c r="AB1938" t="n">
        <v>3</v>
      </c>
      <c r="AC1938" t="n">
        <v>3</v>
      </c>
      <c r="AD1938" t="n">
        <v>16</v>
      </c>
      <c r="AE1938" t="n">
        <v>18</v>
      </c>
      <c r="AF1938" t="n">
        <v>5</v>
      </c>
      <c r="AG1938" t="n">
        <v>5</v>
      </c>
      <c r="AH1938" t="n">
        <v>6</v>
      </c>
      <c r="AI1938" t="n">
        <v>7</v>
      </c>
      <c r="AJ1938" t="n">
        <v>7</v>
      </c>
      <c r="AK1938" t="n">
        <v>9</v>
      </c>
      <c r="AL1938" t="n">
        <v>2</v>
      </c>
      <c r="AM1938" t="n">
        <v>2</v>
      </c>
      <c r="AN1938" t="n">
        <v>0</v>
      </c>
      <c r="AO1938" t="n">
        <v>0</v>
      </c>
      <c r="AP1938" t="inlineStr">
        <is>
          <t>No</t>
        </is>
      </c>
      <c r="AQ1938" t="inlineStr">
        <is>
          <t>Yes</t>
        </is>
      </c>
      <c r="AR1938">
        <f>HYPERLINK("http://catalog.hathitrust.org/Record/001267460","HathiTrust Record")</f>
        <v/>
      </c>
      <c r="AS1938">
        <f>HYPERLINK("https://creighton-primo.hosted.exlibrisgroup.com/primo-explore/search?tab=default_tab&amp;search_scope=EVERYTHING&amp;vid=01CRU&amp;lang=en_US&amp;offset=0&amp;query=any,contains,991003565629702656","Catalog Record")</f>
        <v/>
      </c>
      <c r="AT1938">
        <f>HYPERLINK("http://www.worldcat.org/oclc/1138028","WorldCat Record")</f>
        <v/>
      </c>
      <c r="AU1938" t="inlineStr">
        <is>
          <t>2057290:eng</t>
        </is>
      </c>
      <c r="AV1938" t="inlineStr">
        <is>
          <t>1138028</t>
        </is>
      </c>
      <c r="AW1938" t="inlineStr">
        <is>
          <t>991003565629702656</t>
        </is>
      </c>
      <c r="AX1938" t="inlineStr">
        <is>
          <t>991003565629702656</t>
        </is>
      </c>
      <c r="AY1938" t="inlineStr">
        <is>
          <t>2270134500002656</t>
        </is>
      </c>
      <c r="AZ1938" t="inlineStr">
        <is>
          <t>BOOK</t>
        </is>
      </c>
      <c r="BB1938" t="inlineStr">
        <is>
          <t>9780140616163</t>
        </is>
      </c>
      <c r="BC1938" t="inlineStr">
        <is>
          <t>32285000338219</t>
        </is>
      </c>
      <c r="BD1938" t="inlineStr">
        <is>
          <t>893422702</t>
        </is>
      </c>
    </row>
    <row r="1939">
      <c r="A1939" t="inlineStr">
        <is>
          <t>No</t>
        </is>
      </c>
      <c r="B1939" t="inlineStr">
        <is>
          <t>DS724 .W56 1979</t>
        </is>
      </c>
      <c r="C1939" t="inlineStr">
        <is>
          <t>0                      DS 0724000W  56          1979</t>
        </is>
      </c>
      <c r="D1939" t="inlineStr">
        <is>
          <t>The China difference / edited by Ross Terrill.</t>
        </is>
      </c>
      <c r="F1939" t="inlineStr">
        <is>
          <t>No</t>
        </is>
      </c>
      <c r="G1939" t="inlineStr">
        <is>
          <t>1</t>
        </is>
      </c>
      <c r="H1939" t="inlineStr">
        <is>
          <t>No</t>
        </is>
      </c>
      <c r="I1939" t="inlineStr">
        <is>
          <t>No</t>
        </is>
      </c>
      <c r="J1939" t="inlineStr">
        <is>
          <t>0</t>
        </is>
      </c>
      <c r="L1939" t="inlineStr">
        <is>
          <t>New York : Harper &amp; Row, c1979.</t>
        </is>
      </c>
      <c r="M1939" t="inlineStr">
        <is>
          <t>1979</t>
        </is>
      </c>
      <c r="N1939" t="inlineStr">
        <is>
          <t>1st ed.</t>
        </is>
      </c>
      <c r="O1939" t="inlineStr">
        <is>
          <t>eng</t>
        </is>
      </c>
      <c r="P1939" t="inlineStr">
        <is>
          <t>nyu</t>
        </is>
      </c>
      <c r="R1939" t="inlineStr">
        <is>
          <t xml:space="preserve">DS </t>
        </is>
      </c>
      <c r="S1939" t="n">
        <v>2</v>
      </c>
      <c r="T1939" t="n">
        <v>2</v>
      </c>
      <c r="U1939" t="inlineStr">
        <is>
          <t>1995-10-12</t>
        </is>
      </c>
      <c r="V1939" t="inlineStr">
        <is>
          <t>1995-10-12</t>
        </is>
      </c>
      <c r="W1939" t="inlineStr">
        <is>
          <t>1990-08-09</t>
        </is>
      </c>
      <c r="X1939" t="inlineStr">
        <is>
          <t>1990-08-09</t>
        </is>
      </c>
      <c r="Y1939" t="n">
        <v>1208</v>
      </c>
      <c r="Z1939" t="n">
        <v>1068</v>
      </c>
      <c r="AA1939" t="n">
        <v>1114</v>
      </c>
      <c r="AB1939" t="n">
        <v>6</v>
      </c>
      <c r="AC1939" t="n">
        <v>8</v>
      </c>
      <c r="AD1939" t="n">
        <v>36</v>
      </c>
      <c r="AE1939" t="n">
        <v>40</v>
      </c>
      <c r="AF1939" t="n">
        <v>13</v>
      </c>
      <c r="AG1939" t="n">
        <v>13</v>
      </c>
      <c r="AH1939" t="n">
        <v>8</v>
      </c>
      <c r="AI1939" t="n">
        <v>8</v>
      </c>
      <c r="AJ1939" t="n">
        <v>14</v>
      </c>
      <c r="AK1939" t="n">
        <v>16</v>
      </c>
      <c r="AL1939" t="n">
        <v>5</v>
      </c>
      <c r="AM1939" t="n">
        <v>7</v>
      </c>
      <c r="AN1939" t="n">
        <v>2</v>
      </c>
      <c r="AO1939" t="n">
        <v>2</v>
      </c>
      <c r="AP1939" t="inlineStr">
        <is>
          <t>No</t>
        </is>
      </c>
      <c r="AQ1939" t="inlineStr">
        <is>
          <t>Yes</t>
        </is>
      </c>
      <c r="AR1939">
        <f>HYPERLINK("http://catalog.hathitrust.org/Record/000756711","HathiTrust Record")</f>
        <v/>
      </c>
      <c r="AS1939">
        <f>HYPERLINK("https://creighton-primo.hosted.exlibrisgroup.com/primo-explore/search?tab=default_tab&amp;search_scope=EVERYTHING&amp;vid=01CRU&amp;lang=en_US&amp;offset=0&amp;query=any,contains,991004818879702656","Catalog Record")</f>
        <v/>
      </c>
      <c r="AT1939">
        <f>HYPERLINK("http://www.worldcat.org/oclc/5316467","WorldCat Record")</f>
        <v/>
      </c>
      <c r="AU1939" t="inlineStr">
        <is>
          <t>54314968:eng</t>
        </is>
      </c>
      <c r="AV1939" t="inlineStr">
        <is>
          <t>5316467</t>
        </is>
      </c>
      <c r="AW1939" t="inlineStr">
        <is>
          <t>991004818879702656</t>
        </is>
      </c>
      <c r="AX1939" t="inlineStr">
        <is>
          <t>991004818879702656</t>
        </is>
      </c>
      <c r="AY1939" t="inlineStr">
        <is>
          <t>2258345700002656</t>
        </is>
      </c>
      <c r="AZ1939" t="inlineStr">
        <is>
          <t>BOOK</t>
        </is>
      </c>
      <c r="BB1939" t="inlineStr">
        <is>
          <t>9780060142490</t>
        </is>
      </c>
      <c r="BC1939" t="inlineStr">
        <is>
          <t>32285000272681</t>
        </is>
      </c>
      <c r="BD1939" t="inlineStr">
        <is>
          <t>893424225</t>
        </is>
      </c>
    </row>
    <row r="1940">
      <c r="A1940" t="inlineStr">
        <is>
          <t>No</t>
        </is>
      </c>
      <c r="B1940" t="inlineStr">
        <is>
          <t>DS727 .S28 2001</t>
        </is>
      </c>
      <c r="C1940" t="inlineStr">
        <is>
          <t>0                      DS 0727000S  28          2001</t>
        </is>
      </c>
      <c r="D1940" t="inlineStr">
        <is>
          <t>Great walls of discourse and other adventures in cultural China / Haun Saussy.</t>
        </is>
      </c>
      <c r="F1940" t="inlineStr">
        <is>
          <t>No</t>
        </is>
      </c>
      <c r="G1940" t="inlineStr">
        <is>
          <t>1</t>
        </is>
      </c>
      <c r="H1940" t="inlineStr">
        <is>
          <t>No</t>
        </is>
      </c>
      <c r="I1940" t="inlineStr">
        <is>
          <t>No</t>
        </is>
      </c>
      <c r="J1940" t="inlineStr">
        <is>
          <t>0</t>
        </is>
      </c>
      <c r="K1940" t="inlineStr">
        <is>
          <t>Saussy, Haun, 1960-</t>
        </is>
      </c>
      <c r="L1940" t="inlineStr">
        <is>
          <t>Cambridge, Mass. : Harvard University Asia Center : Distributed by Harvard University Press, c2001.</t>
        </is>
      </c>
      <c r="M1940" t="inlineStr">
        <is>
          <t>2001</t>
        </is>
      </c>
      <c r="O1940" t="inlineStr">
        <is>
          <t>eng</t>
        </is>
      </c>
      <c r="P1940" t="inlineStr">
        <is>
          <t>mau</t>
        </is>
      </c>
      <c r="Q1940" t="inlineStr">
        <is>
          <t>Harvard East Asian monographs ; 212</t>
        </is>
      </c>
      <c r="R1940" t="inlineStr">
        <is>
          <t xml:space="preserve">DS </t>
        </is>
      </c>
      <c r="S1940" t="n">
        <v>3</v>
      </c>
      <c r="T1940" t="n">
        <v>3</v>
      </c>
      <c r="U1940" t="inlineStr">
        <is>
          <t>2006-10-29</t>
        </is>
      </c>
      <c r="V1940" t="inlineStr">
        <is>
          <t>2006-10-29</t>
        </is>
      </c>
      <c r="W1940" t="inlineStr">
        <is>
          <t>2003-03-19</t>
        </is>
      </c>
      <c r="X1940" t="inlineStr">
        <is>
          <t>2003-03-19</t>
        </is>
      </c>
      <c r="Y1940" t="n">
        <v>334</v>
      </c>
      <c r="Z1940" t="n">
        <v>250</v>
      </c>
      <c r="AA1940" t="n">
        <v>298</v>
      </c>
      <c r="AB1940" t="n">
        <v>3</v>
      </c>
      <c r="AC1940" t="n">
        <v>3</v>
      </c>
      <c r="AD1940" t="n">
        <v>14</v>
      </c>
      <c r="AE1940" t="n">
        <v>20</v>
      </c>
      <c r="AF1940" t="n">
        <v>4</v>
      </c>
      <c r="AG1940" t="n">
        <v>9</v>
      </c>
      <c r="AH1940" t="n">
        <v>4</v>
      </c>
      <c r="AI1940" t="n">
        <v>5</v>
      </c>
      <c r="AJ1940" t="n">
        <v>9</v>
      </c>
      <c r="AK1940" t="n">
        <v>10</v>
      </c>
      <c r="AL1940" t="n">
        <v>2</v>
      </c>
      <c r="AM1940" t="n">
        <v>2</v>
      </c>
      <c r="AN1940" t="n">
        <v>0</v>
      </c>
      <c r="AO1940" t="n">
        <v>0</v>
      </c>
      <c r="AP1940" t="inlineStr">
        <is>
          <t>No</t>
        </is>
      </c>
      <c r="AQ1940" t="inlineStr">
        <is>
          <t>Yes</t>
        </is>
      </c>
      <c r="AR1940">
        <f>HYPERLINK("http://catalog.hathitrust.org/Record/003595433","HathiTrust Record")</f>
        <v/>
      </c>
      <c r="AS1940">
        <f>HYPERLINK("https://creighton-primo.hosted.exlibrisgroup.com/primo-explore/search?tab=default_tab&amp;search_scope=EVERYTHING&amp;vid=01CRU&amp;lang=en_US&amp;offset=0&amp;query=any,contains,991003990259702656","Catalog Record")</f>
        <v/>
      </c>
      <c r="AT1940">
        <f>HYPERLINK("http://www.worldcat.org/oclc/47716403","WorldCat Record")</f>
        <v/>
      </c>
      <c r="AU1940" t="inlineStr">
        <is>
          <t>36682491:eng</t>
        </is>
      </c>
      <c r="AV1940" t="inlineStr">
        <is>
          <t>47716403</t>
        </is>
      </c>
      <c r="AW1940" t="inlineStr">
        <is>
          <t>991003990259702656</t>
        </is>
      </c>
      <c r="AX1940" t="inlineStr">
        <is>
          <t>991003990259702656</t>
        </is>
      </c>
      <c r="AY1940" t="inlineStr">
        <is>
          <t>2272500390002656</t>
        </is>
      </c>
      <c r="AZ1940" t="inlineStr">
        <is>
          <t>BOOK</t>
        </is>
      </c>
      <c r="BB1940" t="inlineStr">
        <is>
          <t>9780674008595</t>
        </is>
      </c>
      <c r="BC1940" t="inlineStr">
        <is>
          <t>32285004685672</t>
        </is>
      </c>
      <c r="BD1940" t="inlineStr">
        <is>
          <t>893423246</t>
        </is>
      </c>
    </row>
    <row r="1941">
      <c r="A1941" t="inlineStr">
        <is>
          <t>No</t>
        </is>
      </c>
      <c r="B1941" t="inlineStr">
        <is>
          <t>DS727 .W7 1975</t>
        </is>
      </c>
      <c r="C1941" t="inlineStr">
        <is>
          <t>0                      DS 0727000W  7           1975</t>
        </is>
      </c>
      <c r="D1941" t="inlineStr">
        <is>
          <t>Confucianism and Chinese civilization / edited by Arthur F. Wright.</t>
        </is>
      </c>
      <c r="F1941" t="inlineStr">
        <is>
          <t>No</t>
        </is>
      </c>
      <c r="G1941" t="inlineStr">
        <is>
          <t>1</t>
        </is>
      </c>
      <c r="H1941" t="inlineStr">
        <is>
          <t>No</t>
        </is>
      </c>
      <c r="I1941" t="inlineStr">
        <is>
          <t>No</t>
        </is>
      </c>
      <c r="J1941" t="inlineStr">
        <is>
          <t>0</t>
        </is>
      </c>
      <c r="K1941" t="inlineStr">
        <is>
          <t>Wright, Arthur F., 1913-1976 editor.</t>
        </is>
      </c>
      <c r="L1941" t="inlineStr">
        <is>
          <t>Stanford, Calif. : Stanford University Press, 1975, c1964.</t>
        </is>
      </c>
      <c r="M1941" t="inlineStr">
        <is>
          <t>1975</t>
        </is>
      </c>
      <c r="O1941" t="inlineStr">
        <is>
          <t>eng</t>
        </is>
      </c>
      <c r="P1941" t="inlineStr">
        <is>
          <t>cau</t>
        </is>
      </c>
      <c r="R1941" t="inlineStr">
        <is>
          <t xml:space="preserve">DS </t>
        </is>
      </c>
      <c r="S1941" t="n">
        <v>15</v>
      </c>
      <c r="T1941" t="n">
        <v>15</v>
      </c>
      <c r="U1941" t="inlineStr">
        <is>
          <t>2004-11-15</t>
        </is>
      </c>
      <c r="V1941" t="inlineStr">
        <is>
          <t>2004-11-15</t>
        </is>
      </c>
      <c r="W1941" t="inlineStr">
        <is>
          <t>1995-11-30</t>
        </is>
      </c>
      <c r="X1941" t="inlineStr">
        <is>
          <t>1995-11-30</t>
        </is>
      </c>
      <c r="Y1941" t="n">
        <v>258</v>
      </c>
      <c r="Z1941" t="n">
        <v>215</v>
      </c>
      <c r="AA1941" t="n">
        <v>215</v>
      </c>
      <c r="AB1941" t="n">
        <v>2</v>
      </c>
      <c r="AC1941" t="n">
        <v>2</v>
      </c>
      <c r="AD1941" t="n">
        <v>5</v>
      </c>
      <c r="AE1941" t="n">
        <v>5</v>
      </c>
      <c r="AF1941" t="n">
        <v>1</v>
      </c>
      <c r="AG1941" t="n">
        <v>1</v>
      </c>
      <c r="AH1941" t="n">
        <v>1</v>
      </c>
      <c r="AI1941" t="n">
        <v>1</v>
      </c>
      <c r="AJ1941" t="n">
        <v>3</v>
      </c>
      <c r="AK1941" t="n">
        <v>3</v>
      </c>
      <c r="AL1941" t="n">
        <v>1</v>
      </c>
      <c r="AM1941" t="n">
        <v>1</v>
      </c>
      <c r="AN1941" t="n">
        <v>0</v>
      </c>
      <c r="AO1941" t="n">
        <v>0</v>
      </c>
      <c r="AP1941" t="inlineStr">
        <is>
          <t>No</t>
        </is>
      </c>
      <c r="AQ1941" t="inlineStr">
        <is>
          <t>No</t>
        </is>
      </c>
      <c r="AS1941">
        <f>HYPERLINK("https://creighton-primo.hosted.exlibrisgroup.com/primo-explore/search?tab=default_tab&amp;search_scope=EVERYTHING&amp;vid=01CRU&amp;lang=en_US&amp;offset=0&amp;query=any,contains,991003849929702656","Catalog Record")</f>
        <v/>
      </c>
      <c r="AT1941">
        <f>HYPERLINK("http://www.worldcat.org/oclc/1637827","WorldCat Record")</f>
        <v/>
      </c>
      <c r="AU1941" t="inlineStr">
        <is>
          <t>5609202073:eng</t>
        </is>
      </c>
      <c r="AV1941" t="inlineStr">
        <is>
          <t>1637827</t>
        </is>
      </c>
      <c r="AW1941" t="inlineStr">
        <is>
          <t>991003849929702656</t>
        </is>
      </c>
      <c r="AX1941" t="inlineStr">
        <is>
          <t>991003849929702656</t>
        </is>
      </c>
      <c r="AY1941" t="inlineStr">
        <is>
          <t>2263058210002656</t>
        </is>
      </c>
      <c r="AZ1941" t="inlineStr">
        <is>
          <t>BOOK</t>
        </is>
      </c>
      <c r="BB1941" t="inlineStr">
        <is>
          <t>9780804708906</t>
        </is>
      </c>
      <c r="BC1941" t="inlineStr">
        <is>
          <t>32285002107091</t>
        </is>
      </c>
      <c r="BD1941" t="inlineStr">
        <is>
          <t>893445900</t>
        </is>
      </c>
    </row>
    <row r="1942">
      <c r="A1942" t="inlineStr">
        <is>
          <t>No</t>
        </is>
      </c>
      <c r="B1942" t="inlineStr">
        <is>
          <t>DS727 .W78 2000</t>
        </is>
      </c>
      <c r="C1942" t="inlineStr">
        <is>
          <t>0                      DS 0727000W  78          2000</t>
        </is>
      </c>
      <c r="D1942" t="inlineStr">
        <is>
          <t>Se cai yu Zhongguo ren de sheng huo / Wu Dongping zhu.</t>
        </is>
      </c>
      <c r="F1942" t="inlineStr">
        <is>
          <t>No</t>
        </is>
      </c>
      <c r="G1942" t="inlineStr">
        <is>
          <t>1</t>
        </is>
      </c>
      <c r="H1942" t="inlineStr">
        <is>
          <t>No</t>
        </is>
      </c>
      <c r="I1942" t="inlineStr">
        <is>
          <t>No</t>
        </is>
      </c>
      <c r="J1942" t="inlineStr">
        <is>
          <t>0</t>
        </is>
      </c>
      <c r="K1942" t="inlineStr">
        <is>
          <t>Wu, Dongping.</t>
        </is>
      </c>
      <c r="L1942" t="inlineStr">
        <is>
          <t>Beijing Shi : Tuan jie chu ban she, 2000.</t>
        </is>
      </c>
      <c r="M1942" t="inlineStr">
        <is>
          <t>2000</t>
        </is>
      </c>
      <c r="N1942" t="inlineStr">
        <is>
          <t>Di 1 ban.</t>
        </is>
      </c>
      <c r="O1942" t="inlineStr">
        <is>
          <t>chi</t>
        </is>
      </c>
      <c r="P1942" t="inlineStr">
        <is>
          <t xml:space="preserve">cc </t>
        </is>
      </c>
      <c r="Q1942" t="inlineStr">
        <is>
          <t>Zhu zi zhai cong shu</t>
        </is>
      </c>
      <c r="R1942" t="inlineStr">
        <is>
          <t xml:space="preserve">DS </t>
        </is>
      </c>
      <c r="S1942" t="n">
        <v>2</v>
      </c>
      <c r="T1942" t="n">
        <v>2</v>
      </c>
      <c r="U1942" t="inlineStr">
        <is>
          <t>2009-10-12</t>
        </is>
      </c>
      <c r="V1942" t="inlineStr">
        <is>
          <t>2009-10-12</t>
        </is>
      </c>
      <c r="W1942" t="inlineStr">
        <is>
          <t>2008-08-07</t>
        </is>
      </c>
      <c r="X1942" t="inlineStr">
        <is>
          <t>2008-08-07</t>
        </is>
      </c>
      <c r="Y1942" t="n">
        <v>12</v>
      </c>
      <c r="Z1942" t="n">
        <v>6</v>
      </c>
      <c r="AA1942" t="n">
        <v>6</v>
      </c>
      <c r="AB1942" t="n">
        <v>1</v>
      </c>
      <c r="AC1942" t="n">
        <v>1</v>
      </c>
      <c r="AD1942" t="n">
        <v>0</v>
      </c>
      <c r="AE1942" t="n">
        <v>0</v>
      </c>
      <c r="AF1942" t="n">
        <v>0</v>
      </c>
      <c r="AG1942" t="n">
        <v>0</v>
      </c>
      <c r="AH1942" t="n">
        <v>0</v>
      </c>
      <c r="AI1942" t="n">
        <v>0</v>
      </c>
      <c r="AJ1942" t="n">
        <v>0</v>
      </c>
      <c r="AK1942" t="n">
        <v>0</v>
      </c>
      <c r="AL1942" t="n">
        <v>0</v>
      </c>
      <c r="AM1942" t="n">
        <v>0</v>
      </c>
      <c r="AN1942" t="n">
        <v>0</v>
      </c>
      <c r="AO1942" t="n">
        <v>0</v>
      </c>
      <c r="AP1942" t="inlineStr">
        <is>
          <t>No</t>
        </is>
      </c>
      <c r="AQ1942" t="inlineStr">
        <is>
          <t>No</t>
        </is>
      </c>
      <c r="AS1942">
        <f>HYPERLINK("https://creighton-primo.hosted.exlibrisgroup.com/primo-explore/search?tab=default_tab&amp;search_scope=EVERYTHING&amp;vid=01CRU&amp;lang=en_US&amp;offset=0&amp;query=any,contains,991005258009702656","Catalog Record")</f>
        <v/>
      </c>
      <c r="AT1942">
        <f>HYPERLINK("http://www.worldcat.org/oclc/45269500","WorldCat Record")</f>
        <v/>
      </c>
      <c r="AU1942" t="inlineStr">
        <is>
          <t>34669741:chi</t>
        </is>
      </c>
      <c r="AV1942" t="inlineStr">
        <is>
          <t>45269500</t>
        </is>
      </c>
      <c r="AW1942" t="inlineStr">
        <is>
          <t>991005258009702656</t>
        </is>
      </c>
      <c r="AX1942" t="inlineStr">
        <is>
          <t>991005258009702656</t>
        </is>
      </c>
      <c r="AY1942" t="inlineStr">
        <is>
          <t>2267724790002656</t>
        </is>
      </c>
      <c r="AZ1942" t="inlineStr">
        <is>
          <t>BOOK</t>
        </is>
      </c>
      <c r="BB1942" t="inlineStr">
        <is>
          <t>9787801303356</t>
        </is>
      </c>
      <c r="BC1942" t="inlineStr">
        <is>
          <t>32285005452577</t>
        </is>
      </c>
      <c r="BD1942" t="inlineStr">
        <is>
          <t>893883588</t>
        </is>
      </c>
    </row>
    <row r="1943">
      <c r="A1943" t="inlineStr">
        <is>
          <t>No</t>
        </is>
      </c>
      <c r="B1943" t="inlineStr">
        <is>
          <t>DS73.1 .A44 1993</t>
        </is>
      </c>
      <c r="C1943" t="inlineStr">
        <is>
          <t>0                      DS 0073100A  44          1993</t>
        </is>
      </c>
      <c r="D1943" t="inlineStr">
        <is>
          <t>The Uruk world system : the dynamics of expansion of early Mesopotamian civilization / Guillermo Algaze.</t>
        </is>
      </c>
      <c r="F1943" t="inlineStr">
        <is>
          <t>No</t>
        </is>
      </c>
      <c r="G1943" t="inlineStr">
        <is>
          <t>1</t>
        </is>
      </c>
      <c r="H1943" t="inlineStr">
        <is>
          <t>No</t>
        </is>
      </c>
      <c r="I1943" t="inlineStr">
        <is>
          <t>No</t>
        </is>
      </c>
      <c r="J1943" t="inlineStr">
        <is>
          <t>0</t>
        </is>
      </c>
      <c r="K1943" t="inlineStr">
        <is>
          <t>Algaze, Guillermo, 1954-</t>
        </is>
      </c>
      <c r="L1943" t="inlineStr">
        <is>
          <t>Chicago : University of Chicago Press, c1993.</t>
        </is>
      </c>
      <c r="M1943" t="inlineStr">
        <is>
          <t>1993</t>
        </is>
      </c>
      <c r="O1943" t="inlineStr">
        <is>
          <t>eng</t>
        </is>
      </c>
      <c r="P1943" t="inlineStr">
        <is>
          <t>ilu</t>
        </is>
      </c>
      <c r="R1943" t="inlineStr">
        <is>
          <t xml:space="preserve">DS </t>
        </is>
      </c>
      <c r="S1943" t="n">
        <v>1</v>
      </c>
      <c r="T1943" t="n">
        <v>1</v>
      </c>
      <c r="U1943" t="inlineStr">
        <is>
          <t>1995-08-26</t>
        </is>
      </c>
      <c r="V1943" t="inlineStr">
        <is>
          <t>1995-08-26</t>
        </is>
      </c>
      <c r="W1943" t="inlineStr">
        <is>
          <t>1995-05-24</t>
        </is>
      </c>
      <c r="X1943" t="inlineStr">
        <is>
          <t>1995-05-24</t>
        </is>
      </c>
      <c r="Y1943" t="n">
        <v>380</v>
      </c>
      <c r="Z1943" t="n">
        <v>293</v>
      </c>
      <c r="AA1943" t="n">
        <v>341</v>
      </c>
      <c r="AB1943" t="n">
        <v>4</v>
      </c>
      <c r="AC1943" t="n">
        <v>5</v>
      </c>
      <c r="AD1943" t="n">
        <v>14</v>
      </c>
      <c r="AE1943" t="n">
        <v>20</v>
      </c>
      <c r="AF1943" t="n">
        <v>4</v>
      </c>
      <c r="AG1943" t="n">
        <v>7</v>
      </c>
      <c r="AH1943" t="n">
        <v>5</v>
      </c>
      <c r="AI1943" t="n">
        <v>6</v>
      </c>
      <c r="AJ1943" t="n">
        <v>4</v>
      </c>
      <c r="AK1943" t="n">
        <v>8</v>
      </c>
      <c r="AL1943" t="n">
        <v>3</v>
      </c>
      <c r="AM1943" t="n">
        <v>4</v>
      </c>
      <c r="AN1943" t="n">
        <v>0</v>
      </c>
      <c r="AO1943" t="n">
        <v>0</v>
      </c>
      <c r="AP1943" t="inlineStr">
        <is>
          <t>No</t>
        </is>
      </c>
      <c r="AQ1943" t="inlineStr">
        <is>
          <t>No</t>
        </is>
      </c>
      <c r="AS1943">
        <f>HYPERLINK("https://creighton-primo.hosted.exlibrisgroup.com/primo-explore/search?tab=default_tab&amp;search_scope=EVERYTHING&amp;vid=01CRU&amp;lang=en_US&amp;offset=0&amp;query=any,contains,991002057249702656","Catalog Record")</f>
        <v/>
      </c>
      <c r="AT1943">
        <f>HYPERLINK("http://www.worldcat.org/oclc/26306576","WorldCat Record")</f>
        <v/>
      </c>
      <c r="AU1943" t="inlineStr">
        <is>
          <t>18195529:eng</t>
        </is>
      </c>
      <c r="AV1943" t="inlineStr">
        <is>
          <t>26306576</t>
        </is>
      </c>
      <c r="AW1943" t="inlineStr">
        <is>
          <t>991002057249702656</t>
        </is>
      </c>
      <c r="AX1943" t="inlineStr">
        <is>
          <t>991002057249702656</t>
        </is>
      </c>
      <c r="AY1943" t="inlineStr">
        <is>
          <t>2266422810002656</t>
        </is>
      </c>
      <c r="AZ1943" t="inlineStr">
        <is>
          <t>BOOK</t>
        </is>
      </c>
      <c r="BB1943" t="inlineStr">
        <is>
          <t>9780226013817</t>
        </is>
      </c>
      <c r="BC1943" t="inlineStr">
        <is>
          <t>32285002047198</t>
        </is>
      </c>
      <c r="BD1943" t="inlineStr">
        <is>
          <t>893408640</t>
        </is>
      </c>
    </row>
    <row r="1944">
      <c r="A1944" t="inlineStr">
        <is>
          <t>No</t>
        </is>
      </c>
      <c r="B1944" t="inlineStr">
        <is>
          <t>DS73.2 .G5313 2004</t>
        </is>
      </c>
      <c r="C1944" t="inlineStr">
        <is>
          <t>0                      DS 0073200G  5313        2004</t>
        </is>
      </c>
      <c r="D1944" t="inlineStr">
        <is>
          <t>Mesopotamian chronicles / by Jean-Jacques Glassner ; edited by Benjamin R. Foster.</t>
        </is>
      </c>
      <c r="F1944" t="inlineStr">
        <is>
          <t>No</t>
        </is>
      </c>
      <c r="G1944" t="inlineStr">
        <is>
          <t>1</t>
        </is>
      </c>
      <c r="H1944" t="inlineStr">
        <is>
          <t>No</t>
        </is>
      </c>
      <c r="I1944" t="inlineStr">
        <is>
          <t>No</t>
        </is>
      </c>
      <c r="J1944" t="inlineStr">
        <is>
          <t>0</t>
        </is>
      </c>
      <c r="K1944" t="inlineStr">
        <is>
          <t>Glassner, Jean-Jacques.</t>
        </is>
      </c>
      <c r="L1944" t="inlineStr">
        <is>
          <t>Atlanta : Society of Biblical Literature, c2004.</t>
        </is>
      </c>
      <c r="M1944" t="inlineStr">
        <is>
          <t>2004</t>
        </is>
      </c>
      <c r="O1944" t="inlineStr">
        <is>
          <t>eng</t>
        </is>
      </c>
      <c r="P1944" t="inlineStr">
        <is>
          <t>gau</t>
        </is>
      </c>
      <c r="Q1944" t="inlineStr">
        <is>
          <t>Writings from the ancient world ; no. 19</t>
        </is>
      </c>
      <c r="R1944" t="inlineStr">
        <is>
          <t xml:space="preserve">DS </t>
        </is>
      </c>
      <c r="S1944" t="n">
        <v>2</v>
      </c>
      <c r="T1944" t="n">
        <v>2</v>
      </c>
      <c r="U1944" t="inlineStr">
        <is>
          <t>2007-10-03</t>
        </is>
      </c>
      <c r="V1944" t="inlineStr">
        <is>
          <t>2007-10-03</t>
        </is>
      </c>
      <c r="W1944" t="inlineStr">
        <is>
          <t>2007-09-18</t>
        </is>
      </c>
      <c r="X1944" t="inlineStr">
        <is>
          <t>2007-09-18</t>
        </is>
      </c>
      <c r="Y1944" t="n">
        <v>186</v>
      </c>
      <c r="Z1944" t="n">
        <v>134</v>
      </c>
      <c r="AA1944" t="n">
        <v>366</v>
      </c>
      <c r="AB1944" t="n">
        <v>1</v>
      </c>
      <c r="AC1944" t="n">
        <v>5</v>
      </c>
      <c r="AD1944" t="n">
        <v>10</v>
      </c>
      <c r="AE1944" t="n">
        <v>26</v>
      </c>
      <c r="AF1944" t="n">
        <v>4</v>
      </c>
      <c r="AG1944" t="n">
        <v>10</v>
      </c>
      <c r="AH1944" t="n">
        <v>3</v>
      </c>
      <c r="AI1944" t="n">
        <v>7</v>
      </c>
      <c r="AJ1944" t="n">
        <v>5</v>
      </c>
      <c r="AK1944" t="n">
        <v>11</v>
      </c>
      <c r="AL1944" t="n">
        <v>0</v>
      </c>
      <c r="AM1944" t="n">
        <v>4</v>
      </c>
      <c r="AN1944" t="n">
        <v>0</v>
      </c>
      <c r="AO1944" t="n">
        <v>0</v>
      </c>
      <c r="AP1944" t="inlineStr">
        <is>
          <t>No</t>
        </is>
      </c>
      <c r="AQ1944" t="inlineStr">
        <is>
          <t>No</t>
        </is>
      </c>
      <c r="AS1944">
        <f>HYPERLINK("https://creighton-primo.hosted.exlibrisgroup.com/primo-explore/search?tab=default_tab&amp;search_scope=EVERYTHING&amp;vid=01CRU&amp;lang=en_US&amp;offset=0&amp;query=any,contains,991005107719702656","Catalog Record")</f>
        <v/>
      </c>
      <c r="AT1944">
        <f>HYPERLINK("http://www.worldcat.org/oclc/55518370","WorldCat Record")</f>
        <v/>
      </c>
      <c r="AU1944" t="inlineStr">
        <is>
          <t>46289160:eng</t>
        </is>
      </c>
      <c r="AV1944" t="inlineStr">
        <is>
          <t>55518370</t>
        </is>
      </c>
      <c r="AW1944" t="inlineStr">
        <is>
          <t>991005107719702656</t>
        </is>
      </c>
      <c r="AX1944" t="inlineStr">
        <is>
          <t>991005107719702656</t>
        </is>
      </c>
      <c r="AY1944" t="inlineStr">
        <is>
          <t>2266086840002656</t>
        </is>
      </c>
      <c r="AZ1944" t="inlineStr">
        <is>
          <t>BOOK</t>
        </is>
      </c>
      <c r="BB1944" t="inlineStr">
        <is>
          <t>9781589830905</t>
        </is>
      </c>
      <c r="BC1944" t="inlineStr">
        <is>
          <t>32285005325146</t>
        </is>
      </c>
      <c r="BD1944" t="inlineStr">
        <is>
          <t>893430855</t>
        </is>
      </c>
    </row>
    <row r="1945">
      <c r="A1945" t="inlineStr">
        <is>
          <t>No</t>
        </is>
      </c>
      <c r="B1945" t="inlineStr">
        <is>
          <t>DS73.2 .V47 1996</t>
        </is>
      </c>
      <c r="C1945" t="inlineStr">
        <is>
          <t>0                      DS 0073200V  47          1996</t>
        </is>
      </c>
      <c r="D1945" t="inlineStr">
        <is>
          <t>Berossos and Manetho, introduced and translated : native traditions in ancient Mesopotamia and Egypt / Gerald P. Verbrugghe, John M. Wickersham.</t>
        </is>
      </c>
      <c r="F1945" t="inlineStr">
        <is>
          <t>No</t>
        </is>
      </c>
      <c r="G1945" t="inlineStr">
        <is>
          <t>1</t>
        </is>
      </c>
      <c r="H1945" t="inlineStr">
        <is>
          <t>No</t>
        </is>
      </c>
      <c r="I1945" t="inlineStr">
        <is>
          <t>No</t>
        </is>
      </c>
      <c r="J1945" t="inlineStr">
        <is>
          <t>0</t>
        </is>
      </c>
      <c r="K1945" t="inlineStr">
        <is>
          <t>Verbrugghe, Gerald.</t>
        </is>
      </c>
      <c r="L1945" t="inlineStr">
        <is>
          <t>Ann Arbor : University of Michigan Press, c1996.</t>
        </is>
      </c>
      <c r="M1945" t="inlineStr">
        <is>
          <t>1996</t>
        </is>
      </c>
      <c r="O1945" t="inlineStr">
        <is>
          <t>eng</t>
        </is>
      </c>
      <c r="P1945" t="inlineStr">
        <is>
          <t>miu</t>
        </is>
      </c>
      <c r="R1945" t="inlineStr">
        <is>
          <t xml:space="preserve">DS </t>
        </is>
      </c>
      <c r="S1945" t="n">
        <v>4</v>
      </c>
      <c r="T1945" t="n">
        <v>4</v>
      </c>
      <c r="U1945" t="inlineStr">
        <is>
          <t>2003-03-18</t>
        </is>
      </c>
      <c r="V1945" t="inlineStr">
        <is>
          <t>2003-03-18</t>
        </is>
      </c>
      <c r="W1945" t="inlineStr">
        <is>
          <t>1997-11-04</t>
        </is>
      </c>
      <c r="X1945" t="inlineStr">
        <is>
          <t>1997-11-04</t>
        </is>
      </c>
      <c r="Y1945" t="n">
        <v>261</v>
      </c>
      <c r="Z1945" t="n">
        <v>201</v>
      </c>
      <c r="AA1945" t="n">
        <v>239</v>
      </c>
      <c r="AB1945" t="n">
        <v>1</v>
      </c>
      <c r="AC1945" t="n">
        <v>1</v>
      </c>
      <c r="AD1945" t="n">
        <v>10</v>
      </c>
      <c r="AE1945" t="n">
        <v>12</v>
      </c>
      <c r="AF1945" t="n">
        <v>1</v>
      </c>
      <c r="AG1945" t="n">
        <v>2</v>
      </c>
      <c r="AH1945" t="n">
        <v>4</v>
      </c>
      <c r="AI1945" t="n">
        <v>4</v>
      </c>
      <c r="AJ1945" t="n">
        <v>8</v>
      </c>
      <c r="AK1945" t="n">
        <v>10</v>
      </c>
      <c r="AL1945" t="n">
        <v>0</v>
      </c>
      <c r="AM1945" t="n">
        <v>0</v>
      </c>
      <c r="AN1945" t="n">
        <v>0</v>
      </c>
      <c r="AO1945" t="n">
        <v>0</v>
      </c>
      <c r="AP1945" t="inlineStr">
        <is>
          <t>Yes</t>
        </is>
      </c>
      <c r="AQ1945" t="inlineStr">
        <is>
          <t>No</t>
        </is>
      </c>
      <c r="AR1945">
        <f>HYPERLINK("http://catalog.hathitrust.org/Record/003143853","HathiTrust Record")</f>
        <v/>
      </c>
      <c r="AS1945">
        <f>HYPERLINK("https://creighton-primo.hosted.exlibrisgroup.com/primo-explore/search?tab=default_tab&amp;search_scope=EVERYTHING&amp;vid=01CRU&amp;lang=en_US&amp;offset=0&amp;query=any,contains,991002604979702656","Catalog Record")</f>
        <v/>
      </c>
      <c r="AT1945">
        <f>HYPERLINK("http://www.worldcat.org/oclc/34117151","WorldCat Record")</f>
        <v/>
      </c>
      <c r="AU1945" t="inlineStr">
        <is>
          <t>20656134:eng</t>
        </is>
      </c>
      <c r="AV1945" t="inlineStr">
        <is>
          <t>34117151</t>
        </is>
      </c>
      <c r="AW1945" t="inlineStr">
        <is>
          <t>991002604979702656</t>
        </is>
      </c>
      <c r="AX1945" t="inlineStr">
        <is>
          <t>991002604979702656</t>
        </is>
      </c>
      <c r="AY1945" t="inlineStr">
        <is>
          <t>2272304700002656</t>
        </is>
      </c>
      <c r="AZ1945" t="inlineStr">
        <is>
          <t>BOOK</t>
        </is>
      </c>
      <c r="BB1945" t="inlineStr">
        <is>
          <t>9780472107223</t>
        </is>
      </c>
      <c r="BC1945" t="inlineStr">
        <is>
          <t>32285003275582</t>
        </is>
      </c>
      <c r="BD1945" t="inlineStr">
        <is>
          <t>893227061</t>
        </is>
      </c>
    </row>
    <row r="1946">
      <c r="A1946" t="inlineStr">
        <is>
          <t>No</t>
        </is>
      </c>
      <c r="B1946" t="inlineStr">
        <is>
          <t>DS73.35 .V36 2005</t>
        </is>
      </c>
      <c r="C1946" t="inlineStr">
        <is>
          <t>0                      DS 0073350V  36          2005</t>
        </is>
      </c>
      <c r="D1946" t="inlineStr">
        <is>
          <t>King Hammurabi of Babylon : a biography / Marc Van de Mieroop.</t>
        </is>
      </c>
      <c r="F1946" t="inlineStr">
        <is>
          <t>No</t>
        </is>
      </c>
      <c r="G1946" t="inlineStr">
        <is>
          <t>1</t>
        </is>
      </c>
      <c r="H1946" t="inlineStr">
        <is>
          <t>No</t>
        </is>
      </c>
      <c r="I1946" t="inlineStr">
        <is>
          <t>No</t>
        </is>
      </c>
      <c r="J1946" t="inlineStr">
        <is>
          <t>0</t>
        </is>
      </c>
      <c r="K1946" t="inlineStr">
        <is>
          <t>Van de Mieroop, Marc.</t>
        </is>
      </c>
      <c r="L1946" t="inlineStr">
        <is>
          <t>Malden, MA : Blackwell Pub., c2005.</t>
        </is>
      </c>
      <c r="M1946" t="inlineStr">
        <is>
          <t>2005</t>
        </is>
      </c>
      <c r="O1946" t="inlineStr">
        <is>
          <t>eng</t>
        </is>
      </c>
      <c r="P1946" t="inlineStr">
        <is>
          <t>mau</t>
        </is>
      </c>
      <c r="Q1946" t="inlineStr">
        <is>
          <t>Blackwell ancient lives</t>
        </is>
      </c>
      <c r="R1946" t="inlineStr">
        <is>
          <t xml:space="preserve">DS </t>
        </is>
      </c>
      <c r="S1946" t="n">
        <v>3</v>
      </c>
      <c r="T1946" t="n">
        <v>3</v>
      </c>
      <c r="U1946" t="inlineStr">
        <is>
          <t>2008-09-04</t>
        </is>
      </c>
      <c r="V1946" t="inlineStr">
        <is>
          <t>2008-09-04</t>
        </is>
      </c>
      <c r="W1946" t="inlineStr">
        <is>
          <t>2007-01-25</t>
        </is>
      </c>
      <c r="X1946" t="inlineStr">
        <is>
          <t>2007-01-25</t>
        </is>
      </c>
      <c r="Y1946" t="n">
        <v>511</v>
      </c>
      <c r="Z1946" t="n">
        <v>432</v>
      </c>
      <c r="AA1946" t="n">
        <v>801</v>
      </c>
      <c r="AB1946" t="n">
        <v>2</v>
      </c>
      <c r="AC1946" t="n">
        <v>6</v>
      </c>
      <c r="AD1946" t="n">
        <v>17</v>
      </c>
      <c r="AE1946" t="n">
        <v>34</v>
      </c>
      <c r="AF1946" t="n">
        <v>8</v>
      </c>
      <c r="AG1946" t="n">
        <v>13</v>
      </c>
      <c r="AH1946" t="n">
        <v>6</v>
      </c>
      <c r="AI1946" t="n">
        <v>9</v>
      </c>
      <c r="AJ1946" t="n">
        <v>8</v>
      </c>
      <c r="AK1946" t="n">
        <v>13</v>
      </c>
      <c r="AL1946" t="n">
        <v>1</v>
      </c>
      <c r="AM1946" t="n">
        <v>5</v>
      </c>
      <c r="AN1946" t="n">
        <v>0</v>
      </c>
      <c r="AO1946" t="n">
        <v>1</v>
      </c>
      <c r="AP1946" t="inlineStr">
        <is>
          <t>No</t>
        </is>
      </c>
      <c r="AQ1946" t="inlineStr">
        <is>
          <t>No</t>
        </is>
      </c>
      <c r="AS1946">
        <f>HYPERLINK("https://creighton-primo.hosted.exlibrisgroup.com/primo-explore/search?tab=default_tab&amp;search_scope=EVERYTHING&amp;vid=01CRU&amp;lang=en_US&amp;offset=0&amp;query=any,contains,991004965589702656","Catalog Record")</f>
        <v/>
      </c>
      <c r="AT1946">
        <f>HYPERLINK("http://www.worldcat.org/oclc/55645033","WorldCat Record")</f>
        <v/>
      </c>
      <c r="AU1946" t="inlineStr">
        <is>
          <t>797301173:eng</t>
        </is>
      </c>
      <c r="AV1946" t="inlineStr">
        <is>
          <t>55645033</t>
        </is>
      </c>
      <c r="AW1946" t="inlineStr">
        <is>
          <t>991004965589702656</t>
        </is>
      </c>
      <c r="AX1946" t="inlineStr">
        <is>
          <t>991004965589702656</t>
        </is>
      </c>
      <c r="AY1946" t="inlineStr">
        <is>
          <t>2265248440002656</t>
        </is>
      </c>
      <c r="AZ1946" t="inlineStr">
        <is>
          <t>BOOK</t>
        </is>
      </c>
      <c r="BB1946" t="inlineStr">
        <is>
          <t>9781405126595</t>
        </is>
      </c>
      <c r="BC1946" t="inlineStr">
        <is>
          <t>32285005272686</t>
        </is>
      </c>
      <c r="BD1946" t="inlineStr">
        <is>
          <t>893436968</t>
        </is>
      </c>
    </row>
    <row r="1947">
      <c r="A1947" t="inlineStr">
        <is>
          <t>No</t>
        </is>
      </c>
      <c r="B1947" t="inlineStr">
        <is>
          <t>DS73.7 .O33</t>
        </is>
      </c>
      <c r="C1947" t="inlineStr">
        <is>
          <t>0                      DS 0073700O  33</t>
        </is>
      </c>
      <c r="D1947" t="inlineStr">
        <is>
          <t>Mass deportations and deportees in the Neo-Assyrian Empire / by Bustenay Oded.</t>
        </is>
      </c>
      <c r="F1947" t="inlineStr">
        <is>
          <t>No</t>
        </is>
      </c>
      <c r="G1947" t="inlineStr">
        <is>
          <t>1</t>
        </is>
      </c>
      <c r="H1947" t="inlineStr">
        <is>
          <t>No</t>
        </is>
      </c>
      <c r="I1947" t="inlineStr">
        <is>
          <t>No</t>
        </is>
      </c>
      <c r="J1947" t="inlineStr">
        <is>
          <t>0</t>
        </is>
      </c>
      <c r="K1947" t="inlineStr">
        <is>
          <t>Oded, Bustenay.</t>
        </is>
      </c>
      <c r="L1947" t="inlineStr">
        <is>
          <t>Wiesbaden : Reichert, 1979.</t>
        </is>
      </c>
      <c r="M1947" t="inlineStr">
        <is>
          <t>1979</t>
        </is>
      </c>
      <c r="O1947" t="inlineStr">
        <is>
          <t>eng</t>
        </is>
      </c>
      <c r="P1947" t="inlineStr">
        <is>
          <t xml:space="preserve">gw </t>
        </is>
      </c>
      <c r="R1947" t="inlineStr">
        <is>
          <t xml:space="preserve">DS </t>
        </is>
      </c>
      <c r="S1947" t="n">
        <v>6</v>
      </c>
      <c r="T1947" t="n">
        <v>6</v>
      </c>
      <c r="U1947" t="inlineStr">
        <is>
          <t>2006-10-26</t>
        </is>
      </c>
      <c r="V1947" t="inlineStr">
        <is>
          <t>2006-10-26</t>
        </is>
      </c>
      <c r="W1947" t="inlineStr">
        <is>
          <t>1991-06-28</t>
        </is>
      </c>
      <c r="X1947" t="inlineStr">
        <is>
          <t>1991-06-28</t>
        </is>
      </c>
      <c r="Y1947" t="n">
        <v>165</v>
      </c>
      <c r="Z1947" t="n">
        <v>91</v>
      </c>
      <c r="AA1947" t="n">
        <v>91</v>
      </c>
      <c r="AB1947" t="n">
        <v>1</v>
      </c>
      <c r="AC1947" t="n">
        <v>1</v>
      </c>
      <c r="AD1947" t="n">
        <v>4</v>
      </c>
      <c r="AE1947" t="n">
        <v>4</v>
      </c>
      <c r="AF1947" t="n">
        <v>1</v>
      </c>
      <c r="AG1947" t="n">
        <v>1</v>
      </c>
      <c r="AH1947" t="n">
        <v>2</v>
      </c>
      <c r="AI1947" t="n">
        <v>2</v>
      </c>
      <c r="AJ1947" t="n">
        <v>2</v>
      </c>
      <c r="AK1947" t="n">
        <v>2</v>
      </c>
      <c r="AL1947" t="n">
        <v>0</v>
      </c>
      <c r="AM1947" t="n">
        <v>0</v>
      </c>
      <c r="AN1947" t="n">
        <v>0</v>
      </c>
      <c r="AO1947" t="n">
        <v>0</v>
      </c>
      <c r="AP1947" t="inlineStr">
        <is>
          <t>No</t>
        </is>
      </c>
      <c r="AQ1947" t="inlineStr">
        <is>
          <t>No</t>
        </is>
      </c>
      <c r="AS1947">
        <f>HYPERLINK("https://creighton-primo.hosted.exlibrisgroup.com/primo-explore/search?tab=default_tab&amp;search_scope=EVERYTHING&amp;vid=01CRU&amp;lang=en_US&amp;offset=0&amp;query=any,contains,991004970239702656","Catalog Record")</f>
        <v/>
      </c>
      <c r="AT1947">
        <f>HYPERLINK("http://www.worldcat.org/oclc/6357269","WorldCat Record")</f>
        <v/>
      </c>
      <c r="AU1947" t="inlineStr">
        <is>
          <t>21970583:eng</t>
        </is>
      </c>
      <c r="AV1947" t="inlineStr">
        <is>
          <t>6357269</t>
        </is>
      </c>
      <c r="AW1947" t="inlineStr">
        <is>
          <t>991004970239702656</t>
        </is>
      </c>
      <c r="AX1947" t="inlineStr">
        <is>
          <t>991004970239702656</t>
        </is>
      </c>
      <c r="AY1947" t="inlineStr">
        <is>
          <t>2256170090002656</t>
        </is>
      </c>
      <c r="AZ1947" t="inlineStr">
        <is>
          <t>BOOK</t>
        </is>
      </c>
      <c r="BB1947" t="inlineStr">
        <is>
          <t>9783882260434</t>
        </is>
      </c>
      <c r="BC1947" t="inlineStr">
        <is>
          <t>32285000672294</t>
        </is>
      </c>
      <c r="BD1947" t="inlineStr">
        <is>
          <t>893801545</t>
        </is>
      </c>
    </row>
    <row r="1948">
      <c r="A1948" t="inlineStr">
        <is>
          <t>No</t>
        </is>
      </c>
      <c r="B1948" t="inlineStr">
        <is>
          <t>DS730 .W5 1967</t>
        </is>
      </c>
      <c r="C1948" t="inlineStr">
        <is>
          <t>0                      DS 0730000W  5           1967</t>
        </is>
      </c>
      <c r="D1948" t="inlineStr">
        <is>
          <t>Han Chinese expansion in South China, by Herold J. Wiens.</t>
        </is>
      </c>
      <c r="F1948" t="inlineStr">
        <is>
          <t>No</t>
        </is>
      </c>
      <c r="G1948" t="inlineStr">
        <is>
          <t>1</t>
        </is>
      </c>
      <c r="H1948" t="inlineStr">
        <is>
          <t>No</t>
        </is>
      </c>
      <c r="I1948" t="inlineStr">
        <is>
          <t>No</t>
        </is>
      </c>
      <c r="J1948" t="inlineStr">
        <is>
          <t>0</t>
        </is>
      </c>
      <c r="K1948" t="inlineStr">
        <is>
          <t>Wiens, Herold J. (Herold Jacob), 1912-1971.</t>
        </is>
      </c>
      <c r="L1948" t="inlineStr">
        <is>
          <t>[Hamden, Conn.] Shoe String Press, 1967 [c1954]</t>
        </is>
      </c>
      <c r="M1948" t="inlineStr">
        <is>
          <t>1967</t>
        </is>
      </c>
      <c r="O1948" t="inlineStr">
        <is>
          <t>eng</t>
        </is>
      </c>
      <c r="P1948" t="inlineStr">
        <is>
          <t xml:space="preserve">xx </t>
        </is>
      </c>
      <c r="R1948" t="inlineStr">
        <is>
          <t xml:space="preserve">DS </t>
        </is>
      </c>
      <c r="S1948" t="n">
        <v>4</v>
      </c>
      <c r="T1948" t="n">
        <v>4</v>
      </c>
      <c r="U1948" t="inlineStr">
        <is>
          <t>2006-10-27</t>
        </is>
      </c>
      <c r="V1948" t="inlineStr">
        <is>
          <t>2006-10-27</t>
        </is>
      </c>
      <c r="W1948" t="inlineStr">
        <is>
          <t>1996-08-09</t>
        </is>
      </c>
      <c r="X1948" t="inlineStr">
        <is>
          <t>1996-08-09</t>
        </is>
      </c>
      <c r="Y1948" t="n">
        <v>325</v>
      </c>
      <c r="Z1948" t="n">
        <v>280</v>
      </c>
      <c r="AA1948" t="n">
        <v>303</v>
      </c>
      <c r="AB1948" t="n">
        <v>3</v>
      </c>
      <c r="AC1948" t="n">
        <v>3</v>
      </c>
      <c r="AD1948" t="n">
        <v>13</v>
      </c>
      <c r="AE1948" t="n">
        <v>13</v>
      </c>
      <c r="AF1948" t="n">
        <v>4</v>
      </c>
      <c r="AG1948" t="n">
        <v>4</v>
      </c>
      <c r="AH1948" t="n">
        <v>4</v>
      </c>
      <c r="AI1948" t="n">
        <v>4</v>
      </c>
      <c r="AJ1948" t="n">
        <v>6</v>
      </c>
      <c r="AK1948" t="n">
        <v>6</v>
      </c>
      <c r="AL1948" t="n">
        <v>2</v>
      </c>
      <c r="AM1948" t="n">
        <v>2</v>
      </c>
      <c r="AN1948" t="n">
        <v>0</v>
      </c>
      <c r="AO1948" t="n">
        <v>0</v>
      </c>
      <c r="AP1948" t="inlineStr">
        <is>
          <t>No</t>
        </is>
      </c>
      <c r="AQ1948" t="inlineStr">
        <is>
          <t>Yes</t>
        </is>
      </c>
      <c r="AR1948">
        <f>HYPERLINK("http://catalog.hathitrust.org/Record/001257220","HathiTrust Record")</f>
        <v/>
      </c>
      <c r="AS1948">
        <f>HYPERLINK("https://creighton-primo.hosted.exlibrisgroup.com/primo-explore/search?tab=default_tab&amp;search_scope=EVERYTHING&amp;vid=01CRU&amp;lang=en_US&amp;offset=0&amp;query=any,contains,991003304009702656","Catalog Record")</f>
        <v/>
      </c>
      <c r="AT1948">
        <f>HYPERLINK("http://www.worldcat.org/oclc/827271","WorldCat Record")</f>
        <v/>
      </c>
      <c r="AU1948" t="inlineStr">
        <is>
          <t>143579120:eng</t>
        </is>
      </c>
      <c r="AV1948" t="inlineStr">
        <is>
          <t>827271</t>
        </is>
      </c>
      <c r="AW1948" t="inlineStr">
        <is>
          <t>991003304009702656</t>
        </is>
      </c>
      <c r="AX1948" t="inlineStr">
        <is>
          <t>991003304009702656</t>
        </is>
      </c>
      <c r="AY1948" t="inlineStr">
        <is>
          <t>2270465720002656</t>
        </is>
      </c>
      <c r="AZ1948" t="inlineStr">
        <is>
          <t>BOOK</t>
        </is>
      </c>
      <c r="BC1948" t="inlineStr">
        <is>
          <t>32285002273562</t>
        </is>
      </c>
      <c r="BD1948" t="inlineStr">
        <is>
          <t>893499165</t>
        </is>
      </c>
    </row>
    <row r="1949">
      <c r="A1949" t="inlineStr">
        <is>
          <t>No</t>
        </is>
      </c>
      <c r="B1949" t="inlineStr">
        <is>
          <t>DS731.H3 K53 1991</t>
        </is>
      </c>
      <c r="C1949" t="inlineStr">
        <is>
          <t>0                      DS 0731000H  3                  K  53          1991</t>
        </is>
      </c>
      <c r="D1949" t="inlineStr">
        <is>
          <t>The Hakka search for a homeland / by Clyde Kiang.</t>
        </is>
      </c>
      <c r="F1949" t="inlineStr">
        <is>
          <t>No</t>
        </is>
      </c>
      <c r="G1949" t="inlineStr">
        <is>
          <t>1</t>
        </is>
      </c>
      <c r="H1949" t="inlineStr">
        <is>
          <t>No</t>
        </is>
      </c>
      <c r="I1949" t="inlineStr">
        <is>
          <t>No</t>
        </is>
      </c>
      <c r="J1949" t="inlineStr">
        <is>
          <t>0</t>
        </is>
      </c>
      <c r="K1949" t="inlineStr">
        <is>
          <t>Kiang, Clyde.</t>
        </is>
      </c>
      <c r="L1949" t="inlineStr">
        <is>
          <t>Elgin, PA : Allegheny Press, 1991.</t>
        </is>
      </c>
      <c r="M1949" t="inlineStr">
        <is>
          <t>1991</t>
        </is>
      </c>
      <c r="O1949" t="inlineStr">
        <is>
          <t>eng</t>
        </is>
      </c>
      <c r="P1949" t="inlineStr">
        <is>
          <t>pau</t>
        </is>
      </c>
      <c r="R1949" t="inlineStr">
        <is>
          <t xml:space="preserve">DS </t>
        </is>
      </c>
      <c r="S1949" t="n">
        <v>6</v>
      </c>
      <c r="T1949" t="n">
        <v>6</v>
      </c>
      <c r="U1949" t="inlineStr">
        <is>
          <t>1999-10-07</t>
        </is>
      </c>
      <c r="V1949" t="inlineStr">
        <is>
          <t>1999-10-07</t>
        </is>
      </c>
      <c r="W1949" t="inlineStr">
        <is>
          <t>1995-01-27</t>
        </is>
      </c>
      <c r="X1949" t="inlineStr">
        <is>
          <t>1995-01-27</t>
        </is>
      </c>
      <c r="Y1949" t="n">
        <v>89</v>
      </c>
      <c r="Z1949" t="n">
        <v>64</v>
      </c>
      <c r="AA1949" t="n">
        <v>66</v>
      </c>
      <c r="AB1949" t="n">
        <v>1</v>
      </c>
      <c r="AC1949" t="n">
        <v>1</v>
      </c>
      <c r="AD1949" t="n">
        <v>1</v>
      </c>
      <c r="AE1949" t="n">
        <v>1</v>
      </c>
      <c r="AF1949" t="n">
        <v>0</v>
      </c>
      <c r="AG1949" t="n">
        <v>0</v>
      </c>
      <c r="AH1949" t="n">
        <v>1</v>
      </c>
      <c r="AI1949" t="n">
        <v>1</v>
      </c>
      <c r="AJ1949" t="n">
        <v>0</v>
      </c>
      <c r="AK1949" t="n">
        <v>0</v>
      </c>
      <c r="AL1949" t="n">
        <v>0</v>
      </c>
      <c r="AM1949" t="n">
        <v>0</v>
      </c>
      <c r="AN1949" t="n">
        <v>0</v>
      </c>
      <c r="AO1949" t="n">
        <v>0</v>
      </c>
      <c r="AP1949" t="inlineStr">
        <is>
          <t>No</t>
        </is>
      </c>
      <c r="AQ1949" t="inlineStr">
        <is>
          <t>Yes</t>
        </is>
      </c>
      <c r="AR1949">
        <f>HYPERLINK("http://catalog.hathitrust.org/Record/002561786","HathiTrust Record")</f>
        <v/>
      </c>
      <c r="AS1949">
        <f>HYPERLINK("https://creighton-primo.hosted.exlibrisgroup.com/primo-explore/search?tab=default_tab&amp;search_scope=EVERYTHING&amp;vid=01CRU&amp;lang=en_US&amp;offset=0&amp;query=any,contains,991001924529702656","Catalog Record")</f>
        <v/>
      </c>
      <c r="AT1949">
        <f>HYPERLINK("http://www.worldcat.org/oclc/24313304","WorldCat Record")</f>
        <v/>
      </c>
      <c r="AU1949" t="inlineStr">
        <is>
          <t>20978189:eng</t>
        </is>
      </c>
      <c r="AV1949" t="inlineStr">
        <is>
          <t>24313304</t>
        </is>
      </c>
      <c r="AW1949" t="inlineStr">
        <is>
          <t>991001924529702656</t>
        </is>
      </c>
      <c r="AX1949" t="inlineStr">
        <is>
          <t>991001924529702656</t>
        </is>
      </c>
      <c r="AY1949" t="inlineStr">
        <is>
          <t>2270862570002656</t>
        </is>
      </c>
      <c r="AZ1949" t="inlineStr">
        <is>
          <t>BOOK</t>
        </is>
      </c>
      <c r="BB1949" t="inlineStr">
        <is>
          <t>9780910042611</t>
        </is>
      </c>
      <c r="BC1949" t="inlineStr">
        <is>
          <t>32285001995355</t>
        </is>
      </c>
      <c r="BD1949" t="inlineStr">
        <is>
          <t>893522979</t>
        </is>
      </c>
    </row>
    <row r="1950">
      <c r="A1950" t="inlineStr">
        <is>
          <t>No</t>
        </is>
      </c>
      <c r="B1950" t="inlineStr">
        <is>
          <t>DS731.M35 C75 2002</t>
        </is>
      </c>
      <c r="C1950" t="inlineStr">
        <is>
          <t>0                      DS 0731000M  35                 C  75          2002</t>
        </is>
      </c>
      <c r="D1950" t="inlineStr">
        <is>
          <t>The Manchus / Pamela Kyle Crossley.</t>
        </is>
      </c>
      <c r="F1950" t="inlineStr">
        <is>
          <t>No</t>
        </is>
      </c>
      <c r="G1950" t="inlineStr">
        <is>
          <t>1</t>
        </is>
      </c>
      <c r="H1950" t="inlineStr">
        <is>
          <t>No</t>
        </is>
      </c>
      <c r="I1950" t="inlineStr">
        <is>
          <t>No</t>
        </is>
      </c>
      <c r="J1950" t="inlineStr">
        <is>
          <t>0</t>
        </is>
      </c>
      <c r="K1950" t="inlineStr">
        <is>
          <t>Crossley, Pamela Kyle.</t>
        </is>
      </c>
      <c r="L1950" t="inlineStr">
        <is>
          <t>Oxford, UK ; Malden, MA : Blackwell, 2002.</t>
        </is>
      </c>
      <c r="M1950" t="inlineStr">
        <is>
          <t>2002</t>
        </is>
      </c>
      <c r="O1950" t="inlineStr">
        <is>
          <t>eng</t>
        </is>
      </c>
      <c r="P1950" t="inlineStr">
        <is>
          <t>enk</t>
        </is>
      </c>
      <c r="Q1950" t="inlineStr">
        <is>
          <t>The peoples of Asia</t>
        </is>
      </c>
      <c r="R1950" t="inlineStr">
        <is>
          <t xml:space="preserve">DS </t>
        </is>
      </c>
      <c r="S1950" t="n">
        <v>3</v>
      </c>
      <c r="T1950" t="n">
        <v>3</v>
      </c>
      <c r="U1950" t="inlineStr">
        <is>
          <t>2003-09-22</t>
        </is>
      </c>
      <c r="V1950" t="inlineStr">
        <is>
          <t>2003-09-22</t>
        </is>
      </c>
      <c r="W1950" t="inlineStr">
        <is>
          <t>2003-05-12</t>
        </is>
      </c>
      <c r="X1950" t="inlineStr">
        <is>
          <t>2003-05-12</t>
        </is>
      </c>
      <c r="Y1950" t="n">
        <v>78</v>
      </c>
      <c r="Z1950" t="n">
        <v>55</v>
      </c>
      <c r="AA1950" t="n">
        <v>449</v>
      </c>
      <c r="AB1950" t="n">
        <v>1</v>
      </c>
      <c r="AC1950" t="n">
        <v>3</v>
      </c>
      <c r="AD1950" t="n">
        <v>1</v>
      </c>
      <c r="AE1950" t="n">
        <v>18</v>
      </c>
      <c r="AF1950" t="n">
        <v>0</v>
      </c>
      <c r="AG1950" t="n">
        <v>7</v>
      </c>
      <c r="AH1950" t="n">
        <v>1</v>
      </c>
      <c r="AI1950" t="n">
        <v>7</v>
      </c>
      <c r="AJ1950" t="n">
        <v>0</v>
      </c>
      <c r="AK1950" t="n">
        <v>10</v>
      </c>
      <c r="AL1950" t="n">
        <v>0</v>
      </c>
      <c r="AM1950" t="n">
        <v>2</v>
      </c>
      <c r="AN1950" t="n">
        <v>0</v>
      </c>
      <c r="AO1950" t="n">
        <v>0</v>
      </c>
      <c r="AP1950" t="inlineStr">
        <is>
          <t>No</t>
        </is>
      </c>
      <c r="AQ1950" t="inlineStr">
        <is>
          <t>No</t>
        </is>
      </c>
      <c r="AS1950">
        <f>HYPERLINK("https://creighton-primo.hosted.exlibrisgroup.com/primo-explore/search?tab=default_tab&amp;search_scope=EVERYTHING&amp;vid=01CRU&amp;lang=en_US&amp;offset=0&amp;query=any,contains,991004019039702656","Catalog Record")</f>
        <v/>
      </c>
      <c r="AT1950">
        <f>HYPERLINK("http://www.worldcat.org/oclc/48883951","WorldCat Record")</f>
        <v/>
      </c>
      <c r="AU1950" t="inlineStr">
        <is>
          <t>926304:eng</t>
        </is>
      </c>
      <c r="AV1950" t="inlineStr">
        <is>
          <t>48883951</t>
        </is>
      </c>
      <c r="AW1950" t="inlineStr">
        <is>
          <t>991004019039702656</t>
        </is>
      </c>
      <c r="AX1950" t="inlineStr">
        <is>
          <t>991004019039702656</t>
        </is>
      </c>
      <c r="AY1950" t="inlineStr">
        <is>
          <t>2269705230002656</t>
        </is>
      </c>
      <c r="AZ1950" t="inlineStr">
        <is>
          <t>BOOK</t>
        </is>
      </c>
      <c r="BB1950" t="inlineStr">
        <is>
          <t>9780631235910</t>
        </is>
      </c>
      <c r="BC1950" t="inlineStr">
        <is>
          <t>32285004745625</t>
        </is>
      </c>
      <c r="BD1950" t="inlineStr">
        <is>
          <t>893417129</t>
        </is>
      </c>
    </row>
    <row r="1951">
      <c r="A1951" t="inlineStr">
        <is>
          <t>No</t>
        </is>
      </c>
      <c r="B1951" t="inlineStr">
        <is>
          <t>DS731.M35 C76 1990</t>
        </is>
      </c>
      <c r="C1951" t="inlineStr">
        <is>
          <t>0                      DS 0731000M  35                 C  76          1990</t>
        </is>
      </c>
      <c r="D1951" t="inlineStr">
        <is>
          <t>Orphan warriors : three Manchu generations and the end of the Qing world / Pamela Kyle Crossley.</t>
        </is>
      </c>
      <c r="F1951" t="inlineStr">
        <is>
          <t>No</t>
        </is>
      </c>
      <c r="G1951" t="inlineStr">
        <is>
          <t>1</t>
        </is>
      </c>
      <c r="H1951" t="inlineStr">
        <is>
          <t>No</t>
        </is>
      </c>
      <c r="I1951" t="inlineStr">
        <is>
          <t>No</t>
        </is>
      </c>
      <c r="J1951" t="inlineStr">
        <is>
          <t>0</t>
        </is>
      </c>
      <c r="K1951" t="inlineStr">
        <is>
          <t>Crossley, Pamela Kyle.</t>
        </is>
      </c>
      <c r="L1951" t="inlineStr">
        <is>
          <t>Princeton, N.J. : Princeton University Press, c1990.</t>
        </is>
      </c>
      <c r="M1951" t="inlineStr">
        <is>
          <t>1990</t>
        </is>
      </c>
      <c r="O1951" t="inlineStr">
        <is>
          <t>eng</t>
        </is>
      </c>
      <c r="P1951" t="inlineStr">
        <is>
          <t>nju</t>
        </is>
      </c>
      <c r="R1951" t="inlineStr">
        <is>
          <t xml:space="preserve">DS </t>
        </is>
      </c>
      <c r="S1951" t="n">
        <v>2</v>
      </c>
      <c r="T1951" t="n">
        <v>2</v>
      </c>
      <c r="U1951" t="inlineStr">
        <is>
          <t>2010-10-19</t>
        </is>
      </c>
      <c r="V1951" t="inlineStr">
        <is>
          <t>2010-10-19</t>
        </is>
      </c>
      <c r="W1951" t="inlineStr">
        <is>
          <t>1997-10-14</t>
        </is>
      </c>
      <c r="X1951" t="inlineStr">
        <is>
          <t>1997-10-14</t>
        </is>
      </c>
      <c r="Y1951" t="n">
        <v>505</v>
      </c>
      <c r="Z1951" t="n">
        <v>407</v>
      </c>
      <c r="AA1951" t="n">
        <v>412</v>
      </c>
      <c r="AB1951" t="n">
        <v>3</v>
      </c>
      <c r="AC1951" t="n">
        <v>3</v>
      </c>
      <c r="AD1951" t="n">
        <v>23</v>
      </c>
      <c r="AE1951" t="n">
        <v>23</v>
      </c>
      <c r="AF1951" t="n">
        <v>9</v>
      </c>
      <c r="AG1951" t="n">
        <v>9</v>
      </c>
      <c r="AH1951" t="n">
        <v>6</v>
      </c>
      <c r="AI1951" t="n">
        <v>6</v>
      </c>
      <c r="AJ1951" t="n">
        <v>14</v>
      </c>
      <c r="AK1951" t="n">
        <v>14</v>
      </c>
      <c r="AL1951" t="n">
        <v>2</v>
      </c>
      <c r="AM1951" t="n">
        <v>2</v>
      </c>
      <c r="AN1951" t="n">
        <v>0</v>
      </c>
      <c r="AO1951" t="n">
        <v>0</v>
      </c>
      <c r="AP1951" t="inlineStr">
        <is>
          <t>No</t>
        </is>
      </c>
      <c r="AQ1951" t="inlineStr">
        <is>
          <t>No</t>
        </is>
      </c>
      <c r="AS1951">
        <f>HYPERLINK("https://creighton-primo.hosted.exlibrisgroup.com/primo-explore/search?tab=default_tab&amp;search_scope=EVERYTHING&amp;vid=01CRU&amp;lang=en_US&amp;offset=0&amp;query=any,contains,991001515089702656","Catalog Record")</f>
        <v/>
      </c>
      <c r="AT1951">
        <f>HYPERLINK("http://www.worldcat.org/oclc/19921564","WorldCat Record")</f>
        <v/>
      </c>
      <c r="AU1951" t="inlineStr">
        <is>
          <t>836709735:eng</t>
        </is>
      </c>
      <c r="AV1951" t="inlineStr">
        <is>
          <t>19921564</t>
        </is>
      </c>
      <c r="AW1951" t="inlineStr">
        <is>
          <t>991001515089702656</t>
        </is>
      </c>
      <c r="AX1951" t="inlineStr">
        <is>
          <t>991001515089702656</t>
        </is>
      </c>
      <c r="AY1951" t="inlineStr">
        <is>
          <t>2269578940002656</t>
        </is>
      </c>
      <c r="AZ1951" t="inlineStr">
        <is>
          <t>BOOK</t>
        </is>
      </c>
      <c r="BB1951" t="inlineStr">
        <is>
          <t>9780691055831</t>
        </is>
      </c>
      <c r="BC1951" t="inlineStr">
        <is>
          <t>32285003254181</t>
        </is>
      </c>
      <c r="BD1951" t="inlineStr">
        <is>
          <t>893439186</t>
        </is>
      </c>
    </row>
    <row r="1952">
      <c r="A1952" t="inlineStr">
        <is>
          <t>No</t>
        </is>
      </c>
      <c r="B1952" t="inlineStr">
        <is>
          <t>DS731.M35 E55 2001</t>
        </is>
      </c>
      <c r="C1952" t="inlineStr">
        <is>
          <t>0                      DS 0731000M  35                 E  55          2001</t>
        </is>
      </c>
      <c r="D1952" t="inlineStr">
        <is>
          <t>The Manchu way ; the eight banners and ethnic identity in late imperial China / Mark C. Elliott.</t>
        </is>
      </c>
      <c r="F1952" t="inlineStr">
        <is>
          <t>No</t>
        </is>
      </c>
      <c r="G1952" t="inlineStr">
        <is>
          <t>1</t>
        </is>
      </c>
      <c r="H1952" t="inlineStr">
        <is>
          <t>No</t>
        </is>
      </c>
      <c r="I1952" t="inlineStr">
        <is>
          <t>No</t>
        </is>
      </c>
      <c r="J1952" t="inlineStr">
        <is>
          <t>0</t>
        </is>
      </c>
      <c r="K1952" t="inlineStr">
        <is>
          <t>Elliott, Mark C.</t>
        </is>
      </c>
      <c r="L1952" t="inlineStr">
        <is>
          <t>Stanford, Calif. : Stanford University Press, 2001.</t>
        </is>
      </c>
      <c r="M1952" t="inlineStr">
        <is>
          <t>2001</t>
        </is>
      </c>
      <c r="O1952" t="inlineStr">
        <is>
          <t>eng</t>
        </is>
      </c>
      <c r="P1952" t="inlineStr">
        <is>
          <t>cau</t>
        </is>
      </c>
      <c r="R1952" t="inlineStr">
        <is>
          <t xml:space="preserve">DS </t>
        </is>
      </c>
      <c r="S1952" t="n">
        <v>4</v>
      </c>
      <c r="T1952" t="n">
        <v>4</v>
      </c>
      <c r="U1952" t="inlineStr">
        <is>
          <t>2006-10-27</t>
        </is>
      </c>
      <c r="V1952" t="inlineStr">
        <is>
          <t>2006-10-27</t>
        </is>
      </c>
      <c r="W1952" t="inlineStr">
        <is>
          <t>2002-01-09</t>
        </is>
      </c>
      <c r="X1952" t="inlineStr">
        <is>
          <t>2002-01-09</t>
        </is>
      </c>
      <c r="Y1952" t="n">
        <v>481</v>
      </c>
      <c r="Z1952" t="n">
        <v>384</v>
      </c>
      <c r="AA1952" t="n">
        <v>389</v>
      </c>
      <c r="AB1952" t="n">
        <v>3</v>
      </c>
      <c r="AC1952" t="n">
        <v>3</v>
      </c>
      <c r="AD1952" t="n">
        <v>24</v>
      </c>
      <c r="AE1952" t="n">
        <v>24</v>
      </c>
      <c r="AF1952" t="n">
        <v>10</v>
      </c>
      <c r="AG1952" t="n">
        <v>10</v>
      </c>
      <c r="AH1952" t="n">
        <v>6</v>
      </c>
      <c r="AI1952" t="n">
        <v>6</v>
      </c>
      <c r="AJ1952" t="n">
        <v>13</v>
      </c>
      <c r="AK1952" t="n">
        <v>13</v>
      </c>
      <c r="AL1952" t="n">
        <v>2</v>
      </c>
      <c r="AM1952" t="n">
        <v>2</v>
      </c>
      <c r="AN1952" t="n">
        <v>0</v>
      </c>
      <c r="AO1952" t="n">
        <v>0</v>
      </c>
      <c r="AP1952" t="inlineStr">
        <is>
          <t>No</t>
        </is>
      </c>
      <c r="AQ1952" t="inlineStr">
        <is>
          <t>No</t>
        </is>
      </c>
      <c r="AS1952">
        <f>HYPERLINK("https://creighton-primo.hosted.exlibrisgroup.com/primo-explore/search?tab=default_tab&amp;search_scope=EVERYTHING&amp;vid=01CRU&amp;lang=en_US&amp;offset=0&amp;query=any,contains,991003696849702656","Catalog Record")</f>
        <v/>
      </c>
      <c r="AT1952">
        <f>HYPERLINK("http://www.worldcat.org/oclc/44818294","WorldCat Record")</f>
        <v/>
      </c>
      <c r="AU1952" t="inlineStr">
        <is>
          <t>837067410:eng</t>
        </is>
      </c>
      <c r="AV1952" t="inlineStr">
        <is>
          <t>44818294</t>
        </is>
      </c>
      <c r="AW1952" t="inlineStr">
        <is>
          <t>991003696849702656</t>
        </is>
      </c>
      <c r="AX1952" t="inlineStr">
        <is>
          <t>991003696849702656</t>
        </is>
      </c>
      <c r="AY1952" t="inlineStr">
        <is>
          <t>2255030260002656</t>
        </is>
      </c>
      <c r="AZ1952" t="inlineStr">
        <is>
          <t>BOOK</t>
        </is>
      </c>
      <c r="BB1952" t="inlineStr">
        <is>
          <t>9780804736060</t>
        </is>
      </c>
      <c r="BC1952" t="inlineStr">
        <is>
          <t>32285004447024</t>
        </is>
      </c>
      <c r="BD1952" t="inlineStr">
        <is>
          <t>893252651</t>
        </is>
      </c>
    </row>
    <row r="1953">
      <c r="A1953" t="inlineStr">
        <is>
          <t>No</t>
        </is>
      </c>
      <c r="B1953" t="inlineStr">
        <is>
          <t>DS732 .F56</t>
        </is>
      </c>
      <c r="C1953" t="inlineStr">
        <is>
          <t>0                      DS 0732000F  56</t>
        </is>
      </c>
      <c r="D1953" t="inlineStr">
        <is>
          <t>China and the overseas Chinese; a study of Peking's changing policy, 1949-1970.</t>
        </is>
      </c>
      <c r="F1953" t="inlineStr">
        <is>
          <t>No</t>
        </is>
      </c>
      <c r="G1953" t="inlineStr">
        <is>
          <t>1</t>
        </is>
      </c>
      <c r="H1953" t="inlineStr">
        <is>
          <t>No</t>
        </is>
      </c>
      <c r="I1953" t="inlineStr">
        <is>
          <t>No</t>
        </is>
      </c>
      <c r="J1953" t="inlineStr">
        <is>
          <t>0</t>
        </is>
      </c>
      <c r="K1953" t="inlineStr">
        <is>
          <t>FitzGerald, Stephen.</t>
        </is>
      </c>
      <c r="L1953" t="inlineStr">
        <is>
          <t>Cambridge [Eng.] University Press, 1972.</t>
        </is>
      </c>
      <c r="M1953" t="inlineStr">
        <is>
          <t>1972</t>
        </is>
      </c>
      <c r="O1953" t="inlineStr">
        <is>
          <t>eng</t>
        </is>
      </c>
      <c r="P1953" t="inlineStr">
        <is>
          <t>enk</t>
        </is>
      </c>
      <c r="Q1953" t="inlineStr">
        <is>
          <t>Cambridge studies in Chinese history, literature, and institutions</t>
        </is>
      </c>
      <c r="R1953" t="inlineStr">
        <is>
          <t xml:space="preserve">DS </t>
        </is>
      </c>
      <c r="S1953" t="n">
        <v>3</v>
      </c>
      <c r="T1953" t="n">
        <v>3</v>
      </c>
      <c r="U1953" t="inlineStr">
        <is>
          <t>2006-04-21</t>
        </is>
      </c>
      <c r="V1953" t="inlineStr">
        <is>
          <t>2006-04-21</t>
        </is>
      </c>
      <c r="W1953" t="inlineStr">
        <is>
          <t>1997-03-12</t>
        </is>
      </c>
      <c r="X1953" t="inlineStr">
        <is>
          <t>1997-03-12</t>
        </is>
      </c>
      <c r="Y1953" t="n">
        <v>688</v>
      </c>
      <c r="Z1953" t="n">
        <v>512</v>
      </c>
      <c r="AA1953" t="n">
        <v>526</v>
      </c>
      <c r="AB1953" t="n">
        <v>5</v>
      </c>
      <c r="AC1953" t="n">
        <v>5</v>
      </c>
      <c r="AD1953" t="n">
        <v>22</v>
      </c>
      <c r="AE1953" t="n">
        <v>23</v>
      </c>
      <c r="AF1953" t="n">
        <v>5</v>
      </c>
      <c r="AG1953" t="n">
        <v>5</v>
      </c>
      <c r="AH1953" t="n">
        <v>7</v>
      </c>
      <c r="AI1953" t="n">
        <v>7</v>
      </c>
      <c r="AJ1953" t="n">
        <v>11</v>
      </c>
      <c r="AK1953" t="n">
        <v>12</v>
      </c>
      <c r="AL1953" t="n">
        <v>4</v>
      </c>
      <c r="AM1953" t="n">
        <v>4</v>
      </c>
      <c r="AN1953" t="n">
        <v>1</v>
      </c>
      <c r="AO1953" t="n">
        <v>1</v>
      </c>
      <c r="AP1953" t="inlineStr">
        <is>
          <t>No</t>
        </is>
      </c>
      <c r="AQ1953" t="inlineStr">
        <is>
          <t>No</t>
        </is>
      </c>
      <c r="AS1953">
        <f>HYPERLINK("https://creighton-primo.hosted.exlibrisgroup.com/primo-explore/search?tab=default_tab&amp;search_scope=EVERYTHING&amp;vid=01CRU&amp;lang=en_US&amp;offset=0&amp;query=any,contains,991002592089702656","Catalog Record")</f>
        <v/>
      </c>
      <c r="AT1953">
        <f>HYPERLINK("http://www.worldcat.org/oclc/376077","WorldCat Record")</f>
        <v/>
      </c>
      <c r="AU1953" t="inlineStr">
        <is>
          <t>808285516:eng</t>
        </is>
      </c>
      <c r="AV1953" t="inlineStr">
        <is>
          <t>376077</t>
        </is>
      </c>
      <c r="AW1953" t="inlineStr">
        <is>
          <t>991002592089702656</t>
        </is>
      </c>
      <c r="AX1953" t="inlineStr">
        <is>
          <t>991002592089702656</t>
        </is>
      </c>
      <c r="AY1953" t="inlineStr">
        <is>
          <t>2263527330002656</t>
        </is>
      </c>
      <c r="AZ1953" t="inlineStr">
        <is>
          <t>BOOK</t>
        </is>
      </c>
      <c r="BB1953" t="inlineStr">
        <is>
          <t>9780521084109</t>
        </is>
      </c>
      <c r="BC1953" t="inlineStr">
        <is>
          <t>32285002446408</t>
        </is>
      </c>
      <c r="BD1953" t="inlineStr">
        <is>
          <t>893867429</t>
        </is>
      </c>
    </row>
    <row r="1954">
      <c r="A1954" t="inlineStr">
        <is>
          <t>No</t>
        </is>
      </c>
      <c r="B1954" t="inlineStr">
        <is>
          <t>DS732 .P36 1994</t>
        </is>
      </c>
      <c r="C1954" t="inlineStr">
        <is>
          <t>0                      DS 0732000P  36          1994</t>
        </is>
      </c>
      <c r="D1954" t="inlineStr">
        <is>
          <t>Sons of the yellow emperor : a history of the Chinese diaspora / Lynn Pan ; with a new afterword by the author.</t>
        </is>
      </c>
      <c r="F1954" t="inlineStr">
        <is>
          <t>No</t>
        </is>
      </c>
      <c r="G1954" t="inlineStr">
        <is>
          <t>1</t>
        </is>
      </c>
      <c r="H1954" t="inlineStr">
        <is>
          <t>No</t>
        </is>
      </c>
      <c r="I1954" t="inlineStr">
        <is>
          <t>No</t>
        </is>
      </c>
      <c r="J1954" t="inlineStr">
        <is>
          <t>0</t>
        </is>
      </c>
      <c r="K1954" t="inlineStr">
        <is>
          <t>Pan, Lynn.</t>
        </is>
      </c>
      <c r="L1954" t="inlineStr">
        <is>
          <t>New York : Kodansha International, 1994.</t>
        </is>
      </c>
      <c r="M1954" t="inlineStr">
        <is>
          <t>1994</t>
        </is>
      </c>
      <c r="O1954" t="inlineStr">
        <is>
          <t>eng</t>
        </is>
      </c>
      <c r="P1954" t="inlineStr">
        <is>
          <t>nyu</t>
        </is>
      </c>
      <c r="Q1954" t="inlineStr">
        <is>
          <t>Kodansha globe</t>
        </is>
      </c>
      <c r="R1954" t="inlineStr">
        <is>
          <t xml:space="preserve">DS </t>
        </is>
      </c>
      <c r="S1954" t="n">
        <v>9</v>
      </c>
      <c r="T1954" t="n">
        <v>9</v>
      </c>
      <c r="U1954" t="inlineStr">
        <is>
          <t>2001-02-22</t>
        </is>
      </c>
      <c r="V1954" t="inlineStr">
        <is>
          <t>2001-02-22</t>
        </is>
      </c>
      <c r="W1954" t="inlineStr">
        <is>
          <t>1996-12-11</t>
        </is>
      </c>
      <c r="X1954" t="inlineStr">
        <is>
          <t>1996-12-11</t>
        </is>
      </c>
      <c r="Y1954" t="n">
        <v>238</v>
      </c>
      <c r="Z1954" t="n">
        <v>189</v>
      </c>
      <c r="AA1954" t="n">
        <v>935</v>
      </c>
      <c r="AB1954" t="n">
        <v>2</v>
      </c>
      <c r="AC1954" t="n">
        <v>6</v>
      </c>
      <c r="AD1954" t="n">
        <v>13</v>
      </c>
      <c r="AE1954" t="n">
        <v>31</v>
      </c>
      <c r="AF1954" t="n">
        <v>9</v>
      </c>
      <c r="AG1954" t="n">
        <v>14</v>
      </c>
      <c r="AH1954" t="n">
        <v>0</v>
      </c>
      <c r="AI1954" t="n">
        <v>7</v>
      </c>
      <c r="AJ1954" t="n">
        <v>7</v>
      </c>
      <c r="AK1954" t="n">
        <v>16</v>
      </c>
      <c r="AL1954" t="n">
        <v>1</v>
      </c>
      <c r="AM1954" t="n">
        <v>3</v>
      </c>
      <c r="AN1954" t="n">
        <v>0</v>
      </c>
      <c r="AO1954" t="n">
        <v>0</v>
      </c>
      <c r="AP1954" t="inlineStr">
        <is>
          <t>No</t>
        </is>
      </c>
      <c r="AQ1954" t="inlineStr">
        <is>
          <t>No</t>
        </is>
      </c>
      <c r="AS1954">
        <f>HYPERLINK("https://creighton-primo.hosted.exlibrisgroup.com/primo-explore/search?tab=default_tab&amp;search_scope=EVERYTHING&amp;vid=01CRU&amp;lang=en_US&amp;offset=0&amp;query=any,contains,991002324769702656","Catalog Record")</f>
        <v/>
      </c>
      <c r="AT1954">
        <f>HYPERLINK("http://www.worldcat.org/oclc/30155598","WorldCat Record")</f>
        <v/>
      </c>
      <c r="AU1954" t="inlineStr">
        <is>
          <t>3901347983:eng</t>
        </is>
      </c>
      <c r="AV1954" t="inlineStr">
        <is>
          <t>30155598</t>
        </is>
      </c>
      <c r="AW1954" t="inlineStr">
        <is>
          <t>991002324769702656</t>
        </is>
      </c>
      <c r="AX1954" t="inlineStr">
        <is>
          <t>991002324769702656</t>
        </is>
      </c>
      <c r="AY1954" t="inlineStr">
        <is>
          <t>2262967490002656</t>
        </is>
      </c>
      <c r="AZ1954" t="inlineStr">
        <is>
          <t>BOOK</t>
        </is>
      </c>
      <c r="BB1954" t="inlineStr">
        <is>
          <t>9781568360324</t>
        </is>
      </c>
      <c r="BC1954" t="inlineStr">
        <is>
          <t>32285002391828</t>
        </is>
      </c>
      <c r="BD1954" t="inlineStr">
        <is>
          <t>893886110</t>
        </is>
      </c>
    </row>
    <row r="1955">
      <c r="A1955" t="inlineStr">
        <is>
          <t>No</t>
        </is>
      </c>
      <c r="B1955" t="inlineStr">
        <is>
          <t>DS734.7 .E83 1975</t>
        </is>
      </c>
      <c r="C1955" t="inlineStr">
        <is>
          <t>0                      DS 0734700E  83          1975</t>
        </is>
      </c>
      <c r="D1955" t="inlineStr">
        <is>
          <t>Essays on the sources for Chinese history / editors: Donald D. Leslie, Colin Mackerras [and] Wang Gungwu.</t>
        </is>
      </c>
      <c r="F1955" t="inlineStr">
        <is>
          <t>No</t>
        </is>
      </c>
      <c r="G1955" t="inlineStr">
        <is>
          <t>1</t>
        </is>
      </c>
      <c r="H1955" t="inlineStr">
        <is>
          <t>No</t>
        </is>
      </c>
      <c r="I1955" t="inlineStr">
        <is>
          <t>No</t>
        </is>
      </c>
      <c r="J1955" t="inlineStr">
        <is>
          <t>0</t>
        </is>
      </c>
      <c r="L1955" t="inlineStr">
        <is>
          <t>Columbia : University of South Carolina Press, [1975, c1973]</t>
        </is>
      </c>
      <c r="M1955" t="inlineStr">
        <is>
          <t>1975</t>
        </is>
      </c>
      <c r="O1955" t="inlineStr">
        <is>
          <t>eng</t>
        </is>
      </c>
      <c r="P1955" t="inlineStr">
        <is>
          <t>scu</t>
        </is>
      </c>
      <c r="R1955" t="inlineStr">
        <is>
          <t xml:space="preserve">DS </t>
        </is>
      </c>
      <c r="S1955" t="n">
        <v>3</v>
      </c>
      <c r="T1955" t="n">
        <v>3</v>
      </c>
      <c r="U1955" t="inlineStr">
        <is>
          <t>2001-04-22</t>
        </is>
      </c>
      <c r="V1955" t="inlineStr">
        <is>
          <t>2001-04-22</t>
        </is>
      </c>
      <c r="W1955" t="inlineStr">
        <is>
          <t>1992-01-17</t>
        </is>
      </c>
      <c r="X1955" t="inlineStr">
        <is>
          <t>1992-01-17</t>
        </is>
      </c>
      <c r="Y1955" t="n">
        <v>347</v>
      </c>
      <c r="Z1955" t="n">
        <v>308</v>
      </c>
      <c r="AA1955" t="n">
        <v>341</v>
      </c>
      <c r="AB1955" t="n">
        <v>1</v>
      </c>
      <c r="AC1955" t="n">
        <v>1</v>
      </c>
      <c r="AD1955" t="n">
        <v>11</v>
      </c>
      <c r="AE1955" t="n">
        <v>12</v>
      </c>
      <c r="AF1955" t="n">
        <v>1</v>
      </c>
      <c r="AG1955" t="n">
        <v>1</v>
      </c>
      <c r="AH1955" t="n">
        <v>5</v>
      </c>
      <c r="AI1955" t="n">
        <v>6</v>
      </c>
      <c r="AJ1955" t="n">
        <v>7</v>
      </c>
      <c r="AK1955" t="n">
        <v>8</v>
      </c>
      <c r="AL1955" t="n">
        <v>0</v>
      </c>
      <c r="AM1955" t="n">
        <v>0</v>
      </c>
      <c r="AN1955" t="n">
        <v>0</v>
      </c>
      <c r="AO1955" t="n">
        <v>0</v>
      </c>
      <c r="AP1955" t="inlineStr">
        <is>
          <t>No</t>
        </is>
      </c>
      <c r="AQ1955" t="inlineStr">
        <is>
          <t>Yes</t>
        </is>
      </c>
      <c r="AR1955">
        <f>HYPERLINK("http://catalog.hathitrust.org/Record/000014970","HathiTrust Record")</f>
        <v/>
      </c>
      <c r="AS1955">
        <f>HYPERLINK("https://creighton-primo.hosted.exlibrisgroup.com/primo-explore/search?tab=default_tab&amp;search_scope=EVERYTHING&amp;vid=01CRU&amp;lang=en_US&amp;offset=0&amp;query=any,contains,991003396239702656","Catalog Record")</f>
        <v/>
      </c>
      <c r="AT1955">
        <f>HYPERLINK("http://www.worldcat.org/oclc/934670","WorldCat Record")</f>
        <v/>
      </c>
      <c r="AU1955" t="inlineStr">
        <is>
          <t>498015466:eng</t>
        </is>
      </c>
      <c r="AV1955" t="inlineStr">
        <is>
          <t>934670</t>
        </is>
      </c>
      <c r="AW1955" t="inlineStr">
        <is>
          <t>991003396239702656</t>
        </is>
      </c>
      <c r="AX1955" t="inlineStr">
        <is>
          <t>991003396239702656</t>
        </is>
      </c>
      <c r="AY1955" t="inlineStr">
        <is>
          <t>2271512360002656</t>
        </is>
      </c>
      <c r="AZ1955" t="inlineStr">
        <is>
          <t>BOOK</t>
        </is>
      </c>
      <c r="BB1955" t="inlineStr">
        <is>
          <t>9780872493292</t>
        </is>
      </c>
      <c r="BC1955" t="inlineStr">
        <is>
          <t>32285000914894</t>
        </is>
      </c>
      <c r="BD1955" t="inlineStr">
        <is>
          <t>893793582</t>
        </is>
      </c>
    </row>
    <row r="1956">
      <c r="A1956" t="inlineStr">
        <is>
          <t>No</t>
        </is>
      </c>
      <c r="B1956" t="inlineStr">
        <is>
          <t>DS734.9.C4 N5</t>
        </is>
      </c>
      <c r="C1956" t="inlineStr">
        <is>
          <t>0                      DS 0734900C  4                  N  5</t>
        </is>
      </c>
      <c r="D1956" t="inlineStr">
        <is>
          <t>The life and thought of Chang Hsüeh-ch'eng, 1738-1801.</t>
        </is>
      </c>
      <c r="F1956" t="inlineStr">
        <is>
          <t>No</t>
        </is>
      </c>
      <c r="G1956" t="inlineStr">
        <is>
          <t>1</t>
        </is>
      </c>
      <c r="H1956" t="inlineStr">
        <is>
          <t>No</t>
        </is>
      </c>
      <c r="I1956" t="inlineStr">
        <is>
          <t>No</t>
        </is>
      </c>
      <c r="J1956" t="inlineStr">
        <is>
          <t>0</t>
        </is>
      </c>
      <c r="K1956" t="inlineStr">
        <is>
          <t>Nivison, David S.</t>
        </is>
      </c>
      <c r="L1956" t="inlineStr">
        <is>
          <t>Stanford, Calif., Stanford University Press, 1966.</t>
        </is>
      </c>
      <c r="M1956" t="inlineStr">
        <is>
          <t>1966</t>
        </is>
      </c>
      <c r="O1956" t="inlineStr">
        <is>
          <t>eng</t>
        </is>
      </c>
      <c r="P1956" t="inlineStr">
        <is>
          <t>cau</t>
        </is>
      </c>
      <c r="Q1956" t="inlineStr">
        <is>
          <t>Stanford studies in the civilization of eastern Asia</t>
        </is>
      </c>
      <c r="R1956" t="inlineStr">
        <is>
          <t xml:space="preserve">DS </t>
        </is>
      </c>
      <c r="S1956" t="n">
        <v>1</v>
      </c>
      <c r="T1956" t="n">
        <v>1</v>
      </c>
      <c r="U1956" t="inlineStr">
        <is>
          <t>1998-08-05</t>
        </is>
      </c>
      <c r="V1956" t="inlineStr">
        <is>
          <t>1998-08-05</t>
        </is>
      </c>
      <c r="W1956" t="inlineStr">
        <is>
          <t>1997-03-12</t>
        </is>
      </c>
      <c r="X1956" t="inlineStr">
        <is>
          <t>1997-03-12</t>
        </is>
      </c>
      <c r="Y1956" t="n">
        <v>550</v>
      </c>
      <c r="Z1956" t="n">
        <v>464</v>
      </c>
      <c r="AA1956" t="n">
        <v>469</v>
      </c>
      <c r="AB1956" t="n">
        <v>3</v>
      </c>
      <c r="AC1956" t="n">
        <v>3</v>
      </c>
      <c r="AD1956" t="n">
        <v>25</v>
      </c>
      <c r="AE1956" t="n">
        <v>25</v>
      </c>
      <c r="AF1956" t="n">
        <v>9</v>
      </c>
      <c r="AG1956" t="n">
        <v>9</v>
      </c>
      <c r="AH1956" t="n">
        <v>6</v>
      </c>
      <c r="AI1956" t="n">
        <v>6</v>
      </c>
      <c r="AJ1956" t="n">
        <v>14</v>
      </c>
      <c r="AK1956" t="n">
        <v>14</v>
      </c>
      <c r="AL1956" t="n">
        <v>2</v>
      </c>
      <c r="AM1956" t="n">
        <v>2</v>
      </c>
      <c r="AN1956" t="n">
        <v>0</v>
      </c>
      <c r="AO1956" t="n">
        <v>0</v>
      </c>
      <c r="AP1956" t="inlineStr">
        <is>
          <t>No</t>
        </is>
      </c>
      <c r="AQ1956" t="inlineStr">
        <is>
          <t>Yes</t>
        </is>
      </c>
      <c r="AR1956">
        <f>HYPERLINK("http://catalog.hathitrust.org/Record/001257633","HathiTrust Record")</f>
        <v/>
      </c>
      <c r="AS1956">
        <f>HYPERLINK("https://creighton-primo.hosted.exlibrisgroup.com/primo-explore/search?tab=default_tab&amp;search_scope=EVERYTHING&amp;vid=01CRU&amp;lang=en_US&amp;offset=0&amp;query=any,contains,991002023129702656","Catalog Record")</f>
        <v/>
      </c>
      <c r="AT1956">
        <f>HYPERLINK("http://www.worldcat.org/oclc/259525","WorldCat Record")</f>
        <v/>
      </c>
      <c r="AU1956" t="inlineStr">
        <is>
          <t>1365775:eng</t>
        </is>
      </c>
      <c r="AV1956" t="inlineStr">
        <is>
          <t>259525</t>
        </is>
      </c>
      <c r="AW1956" t="inlineStr">
        <is>
          <t>991002023129702656</t>
        </is>
      </c>
      <c r="AX1956" t="inlineStr">
        <is>
          <t>991002023129702656</t>
        </is>
      </c>
      <c r="AY1956" t="inlineStr">
        <is>
          <t>2272742710002656</t>
        </is>
      </c>
      <c r="AZ1956" t="inlineStr">
        <is>
          <t>BOOK</t>
        </is>
      </c>
      <c r="BC1956" t="inlineStr">
        <is>
          <t>32285002446440</t>
        </is>
      </c>
      <c r="BD1956" t="inlineStr">
        <is>
          <t>893709780</t>
        </is>
      </c>
    </row>
    <row r="1957">
      <c r="A1957" t="inlineStr">
        <is>
          <t>No</t>
        </is>
      </c>
      <c r="B1957" t="inlineStr">
        <is>
          <t>DS734.9.N34 F64 1989</t>
        </is>
      </c>
      <c r="C1957" t="inlineStr">
        <is>
          <t>0                      DS 0734900N  34                 F  64          1989</t>
        </is>
      </c>
      <c r="D1957" t="inlineStr">
        <is>
          <t>Nakae Ushikichi in China : the mourning of spirit / Joshua A. Fogel.</t>
        </is>
      </c>
      <c r="F1957" t="inlineStr">
        <is>
          <t>No</t>
        </is>
      </c>
      <c r="G1957" t="inlineStr">
        <is>
          <t>1</t>
        </is>
      </c>
      <c r="H1957" t="inlineStr">
        <is>
          <t>No</t>
        </is>
      </c>
      <c r="I1957" t="inlineStr">
        <is>
          <t>No</t>
        </is>
      </c>
      <c r="J1957" t="inlineStr">
        <is>
          <t>0</t>
        </is>
      </c>
      <c r="K1957" t="inlineStr">
        <is>
          <t>Fogel, Joshua A., 1950-</t>
        </is>
      </c>
      <c r="L1957" t="inlineStr">
        <is>
          <t>Cambridge, Mass. : Council on East Asian Studies, Harvard University : Distributed by Harvard University Press, 1989.</t>
        </is>
      </c>
      <c r="M1957" t="inlineStr">
        <is>
          <t>1989</t>
        </is>
      </c>
      <c r="O1957" t="inlineStr">
        <is>
          <t>eng</t>
        </is>
      </c>
      <c r="P1957" t="inlineStr">
        <is>
          <t>mau</t>
        </is>
      </c>
      <c r="Q1957" t="inlineStr">
        <is>
          <t>Harvard East Asian monographs ; 139</t>
        </is>
      </c>
      <c r="R1957" t="inlineStr">
        <is>
          <t xml:space="preserve">DS </t>
        </is>
      </c>
      <c r="S1957" t="n">
        <v>2</v>
      </c>
      <c r="T1957" t="n">
        <v>2</v>
      </c>
      <c r="U1957" t="inlineStr">
        <is>
          <t>2002-10-14</t>
        </is>
      </c>
      <c r="V1957" t="inlineStr">
        <is>
          <t>2002-10-14</t>
        </is>
      </c>
      <c r="W1957" t="inlineStr">
        <is>
          <t>2002-10-14</t>
        </is>
      </c>
      <c r="X1957" t="inlineStr">
        <is>
          <t>2002-10-14</t>
        </is>
      </c>
      <c r="Y1957" t="n">
        <v>262</v>
      </c>
      <c r="Z1957" t="n">
        <v>184</v>
      </c>
      <c r="AA1957" t="n">
        <v>236</v>
      </c>
      <c r="AB1957" t="n">
        <v>2</v>
      </c>
      <c r="AC1957" t="n">
        <v>3</v>
      </c>
      <c r="AD1957" t="n">
        <v>9</v>
      </c>
      <c r="AE1957" t="n">
        <v>16</v>
      </c>
      <c r="AF1957" t="n">
        <v>3</v>
      </c>
      <c r="AG1957" t="n">
        <v>8</v>
      </c>
      <c r="AH1957" t="n">
        <v>3</v>
      </c>
      <c r="AI1957" t="n">
        <v>4</v>
      </c>
      <c r="AJ1957" t="n">
        <v>7</v>
      </c>
      <c r="AK1957" t="n">
        <v>8</v>
      </c>
      <c r="AL1957" t="n">
        <v>1</v>
      </c>
      <c r="AM1957" t="n">
        <v>2</v>
      </c>
      <c r="AN1957" t="n">
        <v>0</v>
      </c>
      <c r="AO1957" t="n">
        <v>0</v>
      </c>
      <c r="AP1957" t="inlineStr">
        <is>
          <t>No</t>
        </is>
      </c>
      <c r="AQ1957" t="inlineStr">
        <is>
          <t>Yes</t>
        </is>
      </c>
      <c r="AR1957">
        <f>HYPERLINK("http://catalog.hathitrust.org/Record/001831478","HathiTrust Record")</f>
        <v/>
      </c>
      <c r="AS1957">
        <f>HYPERLINK("https://creighton-primo.hosted.exlibrisgroup.com/primo-explore/search?tab=default_tab&amp;search_scope=EVERYTHING&amp;vid=01CRU&amp;lang=en_US&amp;offset=0&amp;query=any,contains,991003912029702656","Catalog Record")</f>
        <v/>
      </c>
      <c r="AT1957">
        <f>HYPERLINK("http://www.worldcat.org/oclc/19518308","WorldCat Record")</f>
        <v/>
      </c>
      <c r="AU1957" t="inlineStr">
        <is>
          <t>890113816:eng</t>
        </is>
      </c>
      <c r="AV1957" t="inlineStr">
        <is>
          <t>19518308</t>
        </is>
      </c>
      <c r="AW1957" t="inlineStr">
        <is>
          <t>991003912029702656</t>
        </is>
      </c>
      <c r="AX1957" t="inlineStr">
        <is>
          <t>991003912029702656</t>
        </is>
      </c>
      <c r="AY1957" t="inlineStr">
        <is>
          <t>2262272560002656</t>
        </is>
      </c>
      <c r="AZ1957" t="inlineStr">
        <is>
          <t>BOOK</t>
        </is>
      </c>
      <c r="BB1957" t="inlineStr">
        <is>
          <t>9780674598423</t>
        </is>
      </c>
      <c r="BC1957" t="inlineStr">
        <is>
          <t>32285004654520</t>
        </is>
      </c>
      <c r="BD1957" t="inlineStr">
        <is>
          <t>893337123</t>
        </is>
      </c>
    </row>
    <row r="1958">
      <c r="A1958" t="inlineStr">
        <is>
          <t>No</t>
        </is>
      </c>
      <c r="B1958" t="inlineStr">
        <is>
          <t>DS734.9.S8 W3</t>
        </is>
      </c>
      <c r="C1958" t="inlineStr">
        <is>
          <t>0                      DS 0734900S  8                  W  3</t>
        </is>
      </c>
      <c r="D1958" t="inlineStr">
        <is>
          <t>Ssu-ma Chʻien, grand historian of China.</t>
        </is>
      </c>
      <c r="F1958" t="inlineStr">
        <is>
          <t>No</t>
        </is>
      </c>
      <c r="G1958" t="inlineStr">
        <is>
          <t>1</t>
        </is>
      </c>
      <c r="H1958" t="inlineStr">
        <is>
          <t>No</t>
        </is>
      </c>
      <c r="I1958" t="inlineStr">
        <is>
          <t>No</t>
        </is>
      </c>
      <c r="J1958" t="inlineStr">
        <is>
          <t>0</t>
        </is>
      </c>
      <c r="K1958" t="inlineStr">
        <is>
          <t>Watson, Burton, 1925-2017.</t>
        </is>
      </c>
      <c r="L1958" t="inlineStr">
        <is>
          <t>New York, Columbia University Press, 1958.</t>
        </is>
      </c>
      <c r="M1958" t="inlineStr">
        <is>
          <t>1958</t>
        </is>
      </c>
      <c r="O1958" t="inlineStr">
        <is>
          <t>eng</t>
        </is>
      </c>
      <c r="P1958" t="inlineStr">
        <is>
          <t>nyu</t>
        </is>
      </c>
      <c r="R1958" t="inlineStr">
        <is>
          <t xml:space="preserve">DS </t>
        </is>
      </c>
      <c r="S1958" t="n">
        <v>3</v>
      </c>
      <c r="T1958" t="n">
        <v>3</v>
      </c>
      <c r="U1958" t="inlineStr">
        <is>
          <t>2006-01-03</t>
        </is>
      </c>
      <c r="V1958" t="inlineStr">
        <is>
          <t>2006-01-03</t>
        </is>
      </c>
      <c r="W1958" t="inlineStr">
        <is>
          <t>1997-03-12</t>
        </is>
      </c>
      <c r="X1958" t="inlineStr">
        <is>
          <t>1997-03-12</t>
        </is>
      </c>
      <c r="Y1958" t="n">
        <v>565</v>
      </c>
      <c r="Z1958" t="n">
        <v>479</v>
      </c>
      <c r="AA1958" t="n">
        <v>488</v>
      </c>
      <c r="AB1958" t="n">
        <v>3</v>
      </c>
      <c r="AC1958" t="n">
        <v>3</v>
      </c>
      <c r="AD1958" t="n">
        <v>23</v>
      </c>
      <c r="AE1958" t="n">
        <v>23</v>
      </c>
      <c r="AF1958" t="n">
        <v>10</v>
      </c>
      <c r="AG1958" t="n">
        <v>10</v>
      </c>
      <c r="AH1958" t="n">
        <v>5</v>
      </c>
      <c r="AI1958" t="n">
        <v>5</v>
      </c>
      <c r="AJ1958" t="n">
        <v>12</v>
      </c>
      <c r="AK1958" t="n">
        <v>12</v>
      </c>
      <c r="AL1958" t="n">
        <v>2</v>
      </c>
      <c r="AM1958" t="n">
        <v>2</v>
      </c>
      <c r="AN1958" t="n">
        <v>0</v>
      </c>
      <c r="AO1958" t="n">
        <v>0</v>
      </c>
      <c r="AP1958" t="inlineStr">
        <is>
          <t>No</t>
        </is>
      </c>
      <c r="AQ1958" t="inlineStr">
        <is>
          <t>Yes</t>
        </is>
      </c>
      <c r="AR1958">
        <f>HYPERLINK("http://catalog.hathitrust.org/Record/001257637","HathiTrust Record")</f>
        <v/>
      </c>
      <c r="AS1958">
        <f>HYPERLINK("https://creighton-primo.hosted.exlibrisgroup.com/primo-explore/search?tab=default_tab&amp;search_scope=EVERYTHING&amp;vid=01CRU&amp;lang=en_US&amp;offset=0&amp;query=any,contains,991002717489702656","Catalog Record")</f>
        <v/>
      </c>
      <c r="AT1958">
        <f>HYPERLINK("http://www.worldcat.org/oclc/411698","WorldCat Record")</f>
        <v/>
      </c>
      <c r="AU1958" t="inlineStr">
        <is>
          <t>119227698:eng</t>
        </is>
      </c>
      <c r="AV1958" t="inlineStr">
        <is>
          <t>411698</t>
        </is>
      </c>
      <c r="AW1958" t="inlineStr">
        <is>
          <t>991002717489702656</t>
        </is>
      </c>
      <c r="AX1958" t="inlineStr">
        <is>
          <t>991002717489702656</t>
        </is>
      </c>
      <c r="AY1958" t="inlineStr">
        <is>
          <t>2264992750002656</t>
        </is>
      </c>
      <c r="AZ1958" t="inlineStr">
        <is>
          <t>BOOK</t>
        </is>
      </c>
      <c r="BC1958" t="inlineStr">
        <is>
          <t>32285002446457</t>
        </is>
      </c>
      <c r="BD1958" t="inlineStr">
        <is>
          <t>893530365</t>
        </is>
      </c>
    </row>
    <row r="1959">
      <c r="A1959" t="inlineStr">
        <is>
          <t>No</t>
        </is>
      </c>
      <c r="B1959" t="inlineStr">
        <is>
          <t>DS735 .C365</t>
        </is>
      </c>
      <c r="C1959" t="inlineStr">
        <is>
          <t>0                      DS 0735000C  365</t>
        </is>
      </c>
      <c r="D1959" t="inlineStr">
        <is>
          <t>The making of China : main themes in premodern Chinese history / edited by Chun-shu Chang.</t>
        </is>
      </c>
      <c r="F1959" t="inlineStr">
        <is>
          <t>No</t>
        </is>
      </c>
      <c r="G1959" t="inlineStr">
        <is>
          <t>1</t>
        </is>
      </c>
      <c r="H1959" t="inlineStr">
        <is>
          <t>No</t>
        </is>
      </c>
      <c r="I1959" t="inlineStr">
        <is>
          <t>No</t>
        </is>
      </c>
      <c r="J1959" t="inlineStr">
        <is>
          <t>0</t>
        </is>
      </c>
      <c r="K1959" t="inlineStr">
        <is>
          <t>Chang, Chun-shu, 1934-, compiler.</t>
        </is>
      </c>
      <c r="L1959" t="inlineStr">
        <is>
          <t>Englewood Cliffs, N.J. : Prentice-Hall, [1975]</t>
        </is>
      </c>
      <c r="M1959" t="inlineStr">
        <is>
          <t>1975</t>
        </is>
      </c>
      <c r="O1959" t="inlineStr">
        <is>
          <t>eng</t>
        </is>
      </c>
      <c r="P1959" t="inlineStr">
        <is>
          <t>nju</t>
        </is>
      </c>
      <c r="R1959" t="inlineStr">
        <is>
          <t xml:space="preserve">DS </t>
        </is>
      </c>
      <c r="S1959" t="n">
        <v>4</v>
      </c>
      <c r="T1959" t="n">
        <v>4</v>
      </c>
      <c r="U1959" t="inlineStr">
        <is>
          <t>2005-05-03</t>
        </is>
      </c>
      <c r="V1959" t="inlineStr">
        <is>
          <t>2005-05-03</t>
        </is>
      </c>
      <c r="W1959" t="inlineStr">
        <is>
          <t>1993-12-08</t>
        </is>
      </c>
      <c r="X1959" t="inlineStr">
        <is>
          <t>1993-12-08</t>
        </is>
      </c>
      <c r="Y1959" t="n">
        <v>401</v>
      </c>
      <c r="Z1959" t="n">
        <v>317</v>
      </c>
      <c r="AA1959" t="n">
        <v>319</v>
      </c>
      <c r="AB1959" t="n">
        <v>4</v>
      </c>
      <c r="AC1959" t="n">
        <v>4</v>
      </c>
      <c r="AD1959" t="n">
        <v>12</v>
      </c>
      <c r="AE1959" t="n">
        <v>12</v>
      </c>
      <c r="AF1959" t="n">
        <v>2</v>
      </c>
      <c r="AG1959" t="n">
        <v>2</v>
      </c>
      <c r="AH1959" t="n">
        <v>4</v>
      </c>
      <c r="AI1959" t="n">
        <v>4</v>
      </c>
      <c r="AJ1959" t="n">
        <v>6</v>
      </c>
      <c r="AK1959" t="n">
        <v>6</v>
      </c>
      <c r="AL1959" t="n">
        <v>3</v>
      </c>
      <c r="AM1959" t="n">
        <v>3</v>
      </c>
      <c r="AN1959" t="n">
        <v>0</v>
      </c>
      <c r="AO1959" t="n">
        <v>0</v>
      </c>
      <c r="AP1959" t="inlineStr">
        <is>
          <t>No</t>
        </is>
      </c>
      <c r="AQ1959" t="inlineStr">
        <is>
          <t>Yes</t>
        </is>
      </c>
      <c r="AR1959">
        <f>HYPERLINK("http://catalog.hathitrust.org/Record/000042060","HathiTrust Record")</f>
        <v/>
      </c>
      <c r="AS1959">
        <f>HYPERLINK("https://creighton-primo.hosted.exlibrisgroup.com/primo-explore/search?tab=default_tab&amp;search_scope=EVERYTHING&amp;vid=01CRU&amp;lang=en_US&amp;offset=0&amp;query=any,contains,991003598269702656","Catalog Record")</f>
        <v/>
      </c>
      <c r="AT1959">
        <f>HYPERLINK("http://www.worldcat.org/oclc/1176613","WorldCat Record")</f>
        <v/>
      </c>
      <c r="AU1959" t="inlineStr">
        <is>
          <t>2123114:eng</t>
        </is>
      </c>
      <c r="AV1959" t="inlineStr">
        <is>
          <t>1176613</t>
        </is>
      </c>
      <c r="AW1959" t="inlineStr">
        <is>
          <t>991003598269702656</t>
        </is>
      </c>
      <c r="AX1959" t="inlineStr">
        <is>
          <t>991003598269702656</t>
        </is>
      </c>
      <c r="AY1959" t="inlineStr">
        <is>
          <t>2269696630002656</t>
        </is>
      </c>
      <c r="AZ1959" t="inlineStr">
        <is>
          <t>BOOK</t>
        </is>
      </c>
      <c r="BB1959" t="inlineStr">
        <is>
          <t>9780135456408</t>
        </is>
      </c>
      <c r="BC1959" t="inlineStr">
        <is>
          <t>32285001806263</t>
        </is>
      </c>
      <c r="BD1959" t="inlineStr">
        <is>
          <t>893330531</t>
        </is>
      </c>
    </row>
    <row r="1960">
      <c r="A1960" t="inlineStr">
        <is>
          <t>No</t>
        </is>
      </c>
      <c r="B1960" t="inlineStr">
        <is>
          <t>DS735 .E214 1987</t>
        </is>
      </c>
      <c r="C1960" t="inlineStr">
        <is>
          <t>0                      DS 0735000E  214         1987</t>
        </is>
      </c>
      <c r="D1960" t="inlineStr">
        <is>
          <t>A history of China / Wolfram Eberhard.</t>
        </is>
      </c>
      <c r="F1960" t="inlineStr">
        <is>
          <t>No</t>
        </is>
      </c>
      <c r="G1960" t="inlineStr">
        <is>
          <t>1</t>
        </is>
      </c>
      <c r="H1960" t="inlineStr">
        <is>
          <t>No</t>
        </is>
      </c>
      <c r="I1960" t="inlineStr">
        <is>
          <t>No</t>
        </is>
      </c>
      <c r="J1960" t="inlineStr">
        <is>
          <t>0</t>
        </is>
      </c>
      <c r="K1960" t="inlineStr">
        <is>
          <t>Eberhard, Wolfram, 1909-1989.</t>
        </is>
      </c>
      <c r="L1960" t="inlineStr">
        <is>
          <t>Berkeley : University of California Press, 1987, c1977.</t>
        </is>
      </c>
      <c r="M1960" t="inlineStr">
        <is>
          <t>1987</t>
        </is>
      </c>
      <c r="N1960" t="inlineStr">
        <is>
          <t>4th ed., corrected in the 3rd printing.</t>
        </is>
      </c>
      <c r="O1960" t="inlineStr">
        <is>
          <t>eng</t>
        </is>
      </c>
      <c r="P1960" t="inlineStr">
        <is>
          <t>cau</t>
        </is>
      </c>
      <c r="R1960" t="inlineStr">
        <is>
          <t xml:space="preserve">DS </t>
        </is>
      </c>
      <c r="S1960" t="n">
        <v>16</v>
      </c>
      <c r="T1960" t="n">
        <v>16</v>
      </c>
      <c r="U1960" t="inlineStr">
        <is>
          <t>2005-11-09</t>
        </is>
      </c>
      <c r="V1960" t="inlineStr">
        <is>
          <t>2005-11-09</t>
        </is>
      </c>
      <c r="W1960" t="inlineStr">
        <is>
          <t>1991-04-09</t>
        </is>
      </c>
      <c r="X1960" t="inlineStr">
        <is>
          <t>1991-04-09</t>
        </is>
      </c>
      <c r="Y1960" t="n">
        <v>49</v>
      </c>
      <c r="Z1960" t="n">
        <v>45</v>
      </c>
      <c r="AA1960" t="n">
        <v>955</v>
      </c>
      <c r="AB1960" t="n">
        <v>1</v>
      </c>
      <c r="AC1960" t="n">
        <v>5</v>
      </c>
      <c r="AD1960" t="n">
        <v>3</v>
      </c>
      <c r="AE1960" t="n">
        <v>39</v>
      </c>
      <c r="AF1960" t="n">
        <v>1</v>
      </c>
      <c r="AG1960" t="n">
        <v>18</v>
      </c>
      <c r="AH1960" t="n">
        <v>1</v>
      </c>
      <c r="AI1960" t="n">
        <v>9</v>
      </c>
      <c r="AJ1960" t="n">
        <v>1</v>
      </c>
      <c r="AK1960" t="n">
        <v>19</v>
      </c>
      <c r="AL1960" t="n">
        <v>0</v>
      </c>
      <c r="AM1960" t="n">
        <v>3</v>
      </c>
      <c r="AN1960" t="n">
        <v>0</v>
      </c>
      <c r="AO1960" t="n">
        <v>0</v>
      </c>
      <c r="AP1960" t="inlineStr">
        <is>
          <t>No</t>
        </is>
      </c>
      <c r="AQ1960" t="inlineStr">
        <is>
          <t>No</t>
        </is>
      </c>
      <c r="AS1960">
        <f>HYPERLINK("https://creighton-primo.hosted.exlibrisgroup.com/primo-explore/search?tab=default_tab&amp;search_scope=EVERYTHING&amp;vid=01CRU&amp;lang=en_US&amp;offset=0&amp;query=any,contains,991001647419702656","Catalog Record")</f>
        <v/>
      </c>
      <c r="AT1960">
        <f>HYPERLINK("http://www.worldcat.org/oclc/21075055","WorldCat Record")</f>
        <v/>
      </c>
      <c r="AU1960" t="inlineStr">
        <is>
          <t>51606110:eng</t>
        </is>
      </c>
      <c r="AV1960" t="inlineStr">
        <is>
          <t>21075055</t>
        </is>
      </c>
      <c r="AW1960" t="inlineStr">
        <is>
          <t>991001647419702656</t>
        </is>
      </c>
      <c r="AX1960" t="inlineStr">
        <is>
          <t>991001647419702656</t>
        </is>
      </c>
      <c r="AY1960" t="inlineStr">
        <is>
          <t>2269286610002656</t>
        </is>
      </c>
      <c r="AZ1960" t="inlineStr">
        <is>
          <t>BOOK</t>
        </is>
      </c>
      <c r="BB1960" t="inlineStr">
        <is>
          <t>9780520032682</t>
        </is>
      </c>
      <c r="BC1960" t="inlineStr">
        <is>
          <t>32285000566405</t>
        </is>
      </c>
      <c r="BD1960" t="inlineStr">
        <is>
          <t>893879032</t>
        </is>
      </c>
    </row>
    <row r="1961">
      <c r="A1961" t="inlineStr">
        <is>
          <t>No</t>
        </is>
      </c>
      <c r="B1961" t="inlineStr">
        <is>
          <t>DS735 .E48 1973</t>
        </is>
      </c>
      <c r="C1961" t="inlineStr">
        <is>
          <t>0                      DS 0735000E  48          1973</t>
        </is>
      </c>
      <c r="D1961" t="inlineStr">
        <is>
          <t>The pattern of the Chinese past.</t>
        </is>
      </c>
      <c r="F1961" t="inlineStr">
        <is>
          <t>No</t>
        </is>
      </c>
      <c r="G1961" t="inlineStr">
        <is>
          <t>1</t>
        </is>
      </c>
      <c r="H1961" t="inlineStr">
        <is>
          <t>No</t>
        </is>
      </c>
      <c r="I1961" t="inlineStr">
        <is>
          <t>No</t>
        </is>
      </c>
      <c r="J1961" t="inlineStr">
        <is>
          <t>0</t>
        </is>
      </c>
      <c r="K1961" t="inlineStr">
        <is>
          <t>Elvin, Mark.</t>
        </is>
      </c>
      <c r="L1961" t="inlineStr">
        <is>
          <t>Stanford : Stanford University Press, 1973.</t>
        </is>
      </c>
      <c r="M1961" t="inlineStr">
        <is>
          <t>1973</t>
        </is>
      </c>
      <c r="O1961" t="inlineStr">
        <is>
          <t>eng</t>
        </is>
      </c>
      <c r="P1961" t="inlineStr">
        <is>
          <t>cau</t>
        </is>
      </c>
      <c r="R1961" t="inlineStr">
        <is>
          <t xml:space="preserve">DS </t>
        </is>
      </c>
      <c r="S1961" t="n">
        <v>3</v>
      </c>
      <c r="T1961" t="n">
        <v>3</v>
      </c>
      <c r="U1961" t="inlineStr">
        <is>
          <t>2005-05-03</t>
        </is>
      </c>
      <c r="V1961" t="inlineStr">
        <is>
          <t>2005-05-03</t>
        </is>
      </c>
      <c r="W1961" t="inlineStr">
        <is>
          <t>1994-05-11</t>
        </is>
      </c>
      <c r="X1961" t="inlineStr">
        <is>
          <t>1994-05-11</t>
        </is>
      </c>
      <c r="Y1961" t="n">
        <v>868</v>
      </c>
      <c r="Z1961" t="n">
        <v>756</v>
      </c>
      <c r="AA1961" t="n">
        <v>767</v>
      </c>
      <c r="AB1961" t="n">
        <v>5</v>
      </c>
      <c r="AC1961" t="n">
        <v>5</v>
      </c>
      <c r="AD1961" t="n">
        <v>38</v>
      </c>
      <c r="AE1961" t="n">
        <v>38</v>
      </c>
      <c r="AF1961" t="n">
        <v>17</v>
      </c>
      <c r="AG1961" t="n">
        <v>17</v>
      </c>
      <c r="AH1961" t="n">
        <v>9</v>
      </c>
      <c r="AI1961" t="n">
        <v>9</v>
      </c>
      <c r="AJ1961" t="n">
        <v>17</v>
      </c>
      <c r="AK1961" t="n">
        <v>17</v>
      </c>
      <c r="AL1961" t="n">
        <v>4</v>
      </c>
      <c r="AM1961" t="n">
        <v>4</v>
      </c>
      <c r="AN1961" t="n">
        <v>0</v>
      </c>
      <c r="AO1961" t="n">
        <v>0</v>
      </c>
      <c r="AP1961" t="inlineStr">
        <is>
          <t>No</t>
        </is>
      </c>
      <c r="AQ1961" t="inlineStr">
        <is>
          <t>No</t>
        </is>
      </c>
      <c r="AS1961">
        <f>HYPERLINK("https://creighton-primo.hosted.exlibrisgroup.com/primo-explore/search?tab=default_tab&amp;search_scope=EVERYTHING&amp;vid=01CRU&amp;lang=en_US&amp;offset=0&amp;query=any,contains,991003089929702656","Catalog Record")</f>
        <v/>
      </c>
      <c r="AT1961">
        <f>HYPERLINK("http://www.worldcat.org/oclc/640275","WorldCat Record")</f>
        <v/>
      </c>
      <c r="AU1961" t="inlineStr">
        <is>
          <t>5577014171:eng</t>
        </is>
      </c>
      <c r="AV1961" t="inlineStr">
        <is>
          <t>640275</t>
        </is>
      </c>
      <c r="AW1961" t="inlineStr">
        <is>
          <t>991003089929702656</t>
        </is>
      </c>
      <c r="AX1961" t="inlineStr">
        <is>
          <t>991003089929702656</t>
        </is>
      </c>
      <c r="AY1961" t="inlineStr">
        <is>
          <t>2263288410002656</t>
        </is>
      </c>
      <c r="AZ1961" t="inlineStr">
        <is>
          <t>BOOK</t>
        </is>
      </c>
      <c r="BB1961" t="inlineStr">
        <is>
          <t>9780804708265</t>
        </is>
      </c>
      <c r="BC1961" t="inlineStr">
        <is>
          <t>32285001910602</t>
        </is>
      </c>
      <c r="BD1961" t="inlineStr">
        <is>
          <t>893258064</t>
        </is>
      </c>
    </row>
    <row r="1962">
      <c r="A1962" t="inlineStr">
        <is>
          <t>No</t>
        </is>
      </c>
      <c r="B1962" t="inlineStr">
        <is>
          <t>DS735 .F55 1969</t>
        </is>
      </c>
      <c r="C1962" t="inlineStr">
        <is>
          <t>0                      DS 0735000F  55          1969</t>
        </is>
      </c>
      <c r="D1962" t="inlineStr">
        <is>
          <t>The Horizon history of China / by the editors of Horizon Magazine. Editor in charge: Norman Kotker. Author: C. P. Fitzgerald.</t>
        </is>
      </c>
      <c r="F1962" t="inlineStr">
        <is>
          <t>No</t>
        </is>
      </c>
      <c r="G1962" t="inlineStr">
        <is>
          <t>1</t>
        </is>
      </c>
      <c r="H1962" t="inlineStr">
        <is>
          <t>No</t>
        </is>
      </c>
      <c r="I1962" t="inlineStr">
        <is>
          <t>No</t>
        </is>
      </c>
      <c r="J1962" t="inlineStr">
        <is>
          <t>0</t>
        </is>
      </c>
      <c r="K1962" t="inlineStr">
        <is>
          <t>Fitzgerald, C. P. (Charles Patrick), 1902-1992.</t>
        </is>
      </c>
      <c r="L1962" t="inlineStr">
        <is>
          <t>New York : American Heritage Pub. Co., [1969]</t>
        </is>
      </c>
      <c r="M1962" t="inlineStr">
        <is>
          <t>1969</t>
        </is>
      </c>
      <c r="O1962" t="inlineStr">
        <is>
          <t>eng</t>
        </is>
      </c>
      <c r="P1962" t="inlineStr">
        <is>
          <t>nyu</t>
        </is>
      </c>
      <c r="R1962" t="inlineStr">
        <is>
          <t xml:space="preserve">DS </t>
        </is>
      </c>
      <c r="S1962" t="n">
        <v>8</v>
      </c>
      <c r="T1962" t="n">
        <v>8</v>
      </c>
      <c r="U1962" t="inlineStr">
        <is>
          <t>2001-10-29</t>
        </is>
      </c>
      <c r="V1962" t="inlineStr">
        <is>
          <t>2001-10-29</t>
        </is>
      </c>
      <c r="W1962" t="inlineStr">
        <is>
          <t>1993-06-14</t>
        </is>
      </c>
      <c r="X1962" t="inlineStr">
        <is>
          <t>1993-06-14</t>
        </is>
      </c>
      <c r="Y1962" t="n">
        <v>1642</v>
      </c>
      <c r="Z1962" t="n">
        <v>1529</v>
      </c>
      <c r="AA1962" t="n">
        <v>1549</v>
      </c>
      <c r="AB1962" t="n">
        <v>15</v>
      </c>
      <c r="AC1962" t="n">
        <v>15</v>
      </c>
      <c r="AD1962" t="n">
        <v>48</v>
      </c>
      <c r="AE1962" t="n">
        <v>48</v>
      </c>
      <c r="AF1962" t="n">
        <v>19</v>
      </c>
      <c r="AG1962" t="n">
        <v>19</v>
      </c>
      <c r="AH1962" t="n">
        <v>9</v>
      </c>
      <c r="AI1962" t="n">
        <v>9</v>
      </c>
      <c r="AJ1962" t="n">
        <v>21</v>
      </c>
      <c r="AK1962" t="n">
        <v>21</v>
      </c>
      <c r="AL1962" t="n">
        <v>9</v>
      </c>
      <c r="AM1962" t="n">
        <v>9</v>
      </c>
      <c r="AN1962" t="n">
        <v>0</v>
      </c>
      <c r="AO1962" t="n">
        <v>0</v>
      </c>
      <c r="AP1962" t="inlineStr">
        <is>
          <t>No</t>
        </is>
      </c>
      <c r="AQ1962" t="inlineStr">
        <is>
          <t>Yes</t>
        </is>
      </c>
      <c r="AR1962">
        <f>HYPERLINK("http://catalog.hathitrust.org/Record/001257650","HathiTrust Record")</f>
        <v/>
      </c>
      <c r="AS1962">
        <f>HYPERLINK("https://creighton-primo.hosted.exlibrisgroup.com/primo-explore/search?tab=default_tab&amp;search_scope=EVERYTHING&amp;vid=01CRU&amp;lang=en_US&amp;offset=0&amp;query=any,contains,991005352839702656","Catalog Record")</f>
        <v/>
      </c>
      <c r="AT1962">
        <f>HYPERLINK("http://www.worldcat.org/oclc/49491","WorldCat Record")</f>
        <v/>
      </c>
      <c r="AU1962" t="inlineStr">
        <is>
          <t>1219080:eng</t>
        </is>
      </c>
      <c r="AV1962" t="inlineStr">
        <is>
          <t>49491</t>
        </is>
      </c>
      <c r="AW1962" t="inlineStr">
        <is>
          <t>991005352839702656</t>
        </is>
      </c>
      <c r="AX1962" t="inlineStr">
        <is>
          <t>991005352839702656</t>
        </is>
      </c>
      <c r="AY1962" t="inlineStr">
        <is>
          <t>2263558080002656</t>
        </is>
      </c>
      <c r="AZ1962" t="inlineStr">
        <is>
          <t>BOOK</t>
        </is>
      </c>
      <c r="BB1962" t="inlineStr">
        <is>
          <t>9780828100052</t>
        </is>
      </c>
      <c r="BC1962" t="inlineStr">
        <is>
          <t>32285001701175</t>
        </is>
      </c>
      <c r="BD1962" t="inlineStr">
        <is>
          <t>893501734</t>
        </is>
      </c>
    </row>
    <row r="1963">
      <c r="A1963" t="inlineStr">
        <is>
          <t>No</t>
        </is>
      </c>
      <c r="B1963" t="inlineStr">
        <is>
          <t>DS735 .G63</t>
        </is>
      </c>
      <c r="C1963" t="inlineStr">
        <is>
          <t>0                      DS 0735000G  63</t>
        </is>
      </c>
      <c r="D1963" t="inlineStr">
        <is>
          <t>An outline history of China, with a thorough account of the republican era interpreted in its historical perspective, by Herbert H. Gowen ...and Josef Washington Hall ...</t>
        </is>
      </c>
      <c r="F1963" t="inlineStr">
        <is>
          <t>No</t>
        </is>
      </c>
      <c r="G1963" t="inlineStr">
        <is>
          <t>1</t>
        </is>
      </c>
      <c r="H1963" t="inlineStr">
        <is>
          <t>No</t>
        </is>
      </c>
      <c r="I1963" t="inlineStr">
        <is>
          <t>No</t>
        </is>
      </c>
      <c r="J1963" t="inlineStr">
        <is>
          <t>0</t>
        </is>
      </c>
      <c r="K1963" t="inlineStr">
        <is>
          <t>Gowen, Herbert H. (Herbert Henry), 1864-1960.</t>
        </is>
      </c>
      <c r="L1963" t="inlineStr">
        <is>
          <t>New York, London, D. Appleton and Company, 1926.</t>
        </is>
      </c>
      <c r="M1963" t="inlineStr">
        <is>
          <t>1926</t>
        </is>
      </c>
      <c r="O1963" t="inlineStr">
        <is>
          <t>eng</t>
        </is>
      </c>
      <c r="P1963" t="inlineStr">
        <is>
          <t>nyu</t>
        </is>
      </c>
      <c r="R1963" t="inlineStr">
        <is>
          <t xml:space="preserve">DS </t>
        </is>
      </c>
      <c r="S1963" t="n">
        <v>15</v>
      </c>
      <c r="T1963" t="n">
        <v>15</v>
      </c>
      <c r="U1963" t="inlineStr">
        <is>
          <t>2001-10-30</t>
        </is>
      </c>
      <c r="V1963" t="inlineStr">
        <is>
          <t>2001-10-30</t>
        </is>
      </c>
      <c r="W1963" t="inlineStr">
        <is>
          <t>1992-03-31</t>
        </is>
      </c>
      <c r="X1963" t="inlineStr">
        <is>
          <t>1992-03-31</t>
        </is>
      </c>
      <c r="Y1963" t="n">
        <v>351</v>
      </c>
      <c r="Z1963" t="n">
        <v>318</v>
      </c>
      <c r="AA1963" t="n">
        <v>331</v>
      </c>
      <c r="AB1963" t="n">
        <v>3</v>
      </c>
      <c r="AC1963" t="n">
        <v>3</v>
      </c>
      <c r="AD1963" t="n">
        <v>10</v>
      </c>
      <c r="AE1963" t="n">
        <v>10</v>
      </c>
      <c r="AF1963" t="n">
        <v>5</v>
      </c>
      <c r="AG1963" t="n">
        <v>5</v>
      </c>
      <c r="AH1963" t="n">
        <v>3</v>
      </c>
      <c r="AI1963" t="n">
        <v>3</v>
      </c>
      <c r="AJ1963" t="n">
        <v>1</v>
      </c>
      <c r="AK1963" t="n">
        <v>1</v>
      </c>
      <c r="AL1963" t="n">
        <v>2</v>
      </c>
      <c r="AM1963" t="n">
        <v>2</v>
      </c>
      <c r="AN1963" t="n">
        <v>0</v>
      </c>
      <c r="AO1963" t="n">
        <v>0</v>
      </c>
      <c r="AP1963" t="inlineStr">
        <is>
          <t>No</t>
        </is>
      </c>
      <c r="AQ1963" t="inlineStr">
        <is>
          <t>Yes</t>
        </is>
      </c>
      <c r="AR1963">
        <f>HYPERLINK("http://catalog.hathitrust.org/Record/001267474","HathiTrust Record")</f>
        <v/>
      </c>
      <c r="AS1963">
        <f>HYPERLINK("https://creighton-primo.hosted.exlibrisgroup.com/primo-explore/search?tab=default_tab&amp;search_scope=EVERYTHING&amp;vid=01CRU&amp;lang=en_US&amp;offset=0&amp;query=any,contains,991002719729702656","Catalog Record")</f>
        <v/>
      </c>
      <c r="AT1963">
        <f>HYPERLINK("http://www.worldcat.org/oclc/412280","WorldCat Record")</f>
        <v/>
      </c>
      <c r="AU1963" t="inlineStr">
        <is>
          <t>4020156287:eng</t>
        </is>
      </c>
      <c r="AV1963" t="inlineStr">
        <is>
          <t>412280</t>
        </is>
      </c>
      <c r="AW1963" t="inlineStr">
        <is>
          <t>991002719729702656</t>
        </is>
      </c>
      <c r="AX1963" t="inlineStr">
        <is>
          <t>991002719729702656</t>
        </is>
      </c>
      <c r="AY1963" t="inlineStr">
        <is>
          <t>2264618580002656</t>
        </is>
      </c>
      <c r="AZ1963" t="inlineStr">
        <is>
          <t>BOOK</t>
        </is>
      </c>
      <c r="BC1963" t="inlineStr">
        <is>
          <t>32285001050029</t>
        </is>
      </c>
      <c r="BD1963" t="inlineStr">
        <is>
          <t>893616486</t>
        </is>
      </c>
    </row>
    <row r="1964">
      <c r="A1964" t="inlineStr">
        <is>
          <t>No</t>
        </is>
      </c>
      <c r="B1964" t="inlineStr">
        <is>
          <t>DS735 .L43</t>
        </is>
      </c>
      <c r="C1964" t="inlineStr">
        <is>
          <t>0                      DS 0735000L  43</t>
        </is>
      </c>
      <c r="D1964" t="inlineStr">
        <is>
          <t>The ageless Chinese : a history / [by] Dun J. Li.</t>
        </is>
      </c>
      <c r="F1964" t="inlineStr">
        <is>
          <t>No</t>
        </is>
      </c>
      <c r="G1964" t="inlineStr">
        <is>
          <t>1</t>
        </is>
      </c>
      <c r="H1964" t="inlineStr">
        <is>
          <t>No</t>
        </is>
      </c>
      <c r="I1964" t="inlineStr">
        <is>
          <t>No</t>
        </is>
      </c>
      <c r="J1964" t="inlineStr">
        <is>
          <t>0</t>
        </is>
      </c>
      <c r="K1964" t="inlineStr">
        <is>
          <t>Li, Dun Jen, 1920-</t>
        </is>
      </c>
      <c r="L1964" t="inlineStr">
        <is>
          <t>New York : Scribner, [1965]</t>
        </is>
      </c>
      <c r="M1964" t="inlineStr">
        <is>
          <t>1965</t>
        </is>
      </c>
      <c r="O1964" t="inlineStr">
        <is>
          <t>eng</t>
        </is>
      </c>
      <c r="P1964" t="inlineStr">
        <is>
          <t>nyu</t>
        </is>
      </c>
      <c r="R1964" t="inlineStr">
        <is>
          <t xml:space="preserve">DS </t>
        </is>
      </c>
      <c r="S1964" t="n">
        <v>6</v>
      </c>
      <c r="T1964" t="n">
        <v>6</v>
      </c>
      <c r="U1964" t="inlineStr">
        <is>
          <t>1996-09-24</t>
        </is>
      </c>
      <c r="V1964" t="inlineStr">
        <is>
          <t>1996-09-24</t>
        </is>
      </c>
      <c r="W1964" t="inlineStr">
        <is>
          <t>1994-04-21</t>
        </is>
      </c>
      <c r="X1964" t="inlineStr">
        <is>
          <t>1994-04-21</t>
        </is>
      </c>
      <c r="Y1964" t="n">
        <v>920</v>
      </c>
      <c r="Z1964" t="n">
        <v>860</v>
      </c>
      <c r="AA1964" t="n">
        <v>1372</v>
      </c>
      <c r="AB1964" t="n">
        <v>9</v>
      </c>
      <c r="AC1964" t="n">
        <v>12</v>
      </c>
      <c r="AD1964" t="n">
        <v>30</v>
      </c>
      <c r="AE1964" t="n">
        <v>42</v>
      </c>
      <c r="AF1964" t="n">
        <v>9</v>
      </c>
      <c r="AG1964" t="n">
        <v>14</v>
      </c>
      <c r="AH1964" t="n">
        <v>6</v>
      </c>
      <c r="AI1964" t="n">
        <v>7</v>
      </c>
      <c r="AJ1964" t="n">
        <v>15</v>
      </c>
      <c r="AK1964" t="n">
        <v>21</v>
      </c>
      <c r="AL1964" t="n">
        <v>8</v>
      </c>
      <c r="AM1964" t="n">
        <v>10</v>
      </c>
      <c r="AN1964" t="n">
        <v>0</v>
      </c>
      <c r="AO1964" t="n">
        <v>0</v>
      </c>
      <c r="AP1964" t="inlineStr">
        <is>
          <t>No</t>
        </is>
      </c>
      <c r="AQ1964" t="inlineStr">
        <is>
          <t>Yes</t>
        </is>
      </c>
      <c r="AR1964">
        <f>HYPERLINK("http://catalog.hathitrust.org/Record/001257671","HathiTrust Record")</f>
        <v/>
      </c>
      <c r="AS1964">
        <f>HYPERLINK("https://creighton-primo.hosted.exlibrisgroup.com/primo-explore/search?tab=default_tab&amp;search_scope=EVERYTHING&amp;vid=01CRU&amp;lang=en_US&amp;offset=0&amp;query=any,contains,991002714669702656","Catalog Record")</f>
        <v/>
      </c>
      <c r="AT1964">
        <f>HYPERLINK("http://www.worldcat.org/oclc/410947","WorldCat Record")</f>
        <v/>
      </c>
      <c r="AU1964" t="inlineStr">
        <is>
          <t>398628:eng</t>
        </is>
      </c>
      <c r="AV1964" t="inlineStr">
        <is>
          <t>410947</t>
        </is>
      </c>
      <c r="AW1964" t="inlineStr">
        <is>
          <t>991002714669702656</t>
        </is>
      </c>
      <c r="AX1964" t="inlineStr">
        <is>
          <t>991002714669702656</t>
        </is>
      </c>
      <c r="AY1964" t="inlineStr">
        <is>
          <t>2262562310002656</t>
        </is>
      </c>
      <c r="AZ1964" t="inlineStr">
        <is>
          <t>BOOK</t>
        </is>
      </c>
      <c r="BC1964" t="inlineStr">
        <is>
          <t>32285001890713</t>
        </is>
      </c>
      <c r="BD1964" t="inlineStr">
        <is>
          <t>893427921</t>
        </is>
      </c>
    </row>
    <row r="1965">
      <c r="A1965" t="inlineStr">
        <is>
          <t>No</t>
        </is>
      </c>
      <c r="B1965" t="inlineStr">
        <is>
          <t>DS735 .L73 1966a</t>
        </is>
      </c>
      <c r="C1965" t="inlineStr">
        <is>
          <t>0                      DS 0735000L  73          1966a</t>
        </is>
      </c>
      <c r="D1965" t="inlineStr">
        <is>
          <t>Imperial China; the historical background to the modern age.</t>
        </is>
      </c>
      <c r="F1965" t="inlineStr">
        <is>
          <t>No</t>
        </is>
      </c>
      <c r="G1965" t="inlineStr">
        <is>
          <t>1</t>
        </is>
      </c>
      <c r="H1965" t="inlineStr">
        <is>
          <t>No</t>
        </is>
      </c>
      <c r="I1965" t="inlineStr">
        <is>
          <t>No</t>
        </is>
      </c>
      <c r="J1965" t="inlineStr">
        <is>
          <t>0</t>
        </is>
      </c>
      <c r="K1965" t="inlineStr">
        <is>
          <t>Loewe, Michael.</t>
        </is>
      </c>
      <c r="L1965" t="inlineStr">
        <is>
          <t>New York, Praeger [1966, c1965]</t>
        </is>
      </c>
      <c r="M1965" t="inlineStr">
        <is>
          <t>1966</t>
        </is>
      </c>
      <c r="O1965" t="inlineStr">
        <is>
          <t>eng</t>
        </is>
      </c>
      <c r="P1965" t="inlineStr">
        <is>
          <t>nyu</t>
        </is>
      </c>
      <c r="R1965" t="inlineStr">
        <is>
          <t xml:space="preserve">DS </t>
        </is>
      </c>
      <c r="S1965" t="n">
        <v>4</v>
      </c>
      <c r="T1965" t="n">
        <v>4</v>
      </c>
      <c r="U1965" t="inlineStr">
        <is>
          <t>2002-04-26</t>
        </is>
      </c>
      <c r="V1965" t="inlineStr">
        <is>
          <t>2002-04-26</t>
        </is>
      </c>
      <c r="W1965" t="inlineStr">
        <is>
          <t>1997-03-12</t>
        </is>
      </c>
      <c r="X1965" t="inlineStr">
        <is>
          <t>1997-03-12</t>
        </is>
      </c>
      <c r="Y1965" t="n">
        <v>671</v>
      </c>
      <c r="Z1965" t="n">
        <v>627</v>
      </c>
      <c r="AA1965" t="n">
        <v>699</v>
      </c>
      <c r="AB1965" t="n">
        <v>5</v>
      </c>
      <c r="AC1965" t="n">
        <v>6</v>
      </c>
      <c r="AD1965" t="n">
        <v>25</v>
      </c>
      <c r="AE1965" t="n">
        <v>29</v>
      </c>
      <c r="AF1965" t="n">
        <v>7</v>
      </c>
      <c r="AG1965" t="n">
        <v>7</v>
      </c>
      <c r="AH1965" t="n">
        <v>7</v>
      </c>
      <c r="AI1965" t="n">
        <v>7</v>
      </c>
      <c r="AJ1965" t="n">
        <v>12</v>
      </c>
      <c r="AK1965" t="n">
        <v>15</v>
      </c>
      <c r="AL1965" t="n">
        <v>4</v>
      </c>
      <c r="AM1965" t="n">
        <v>5</v>
      </c>
      <c r="AN1965" t="n">
        <v>0</v>
      </c>
      <c r="AO1965" t="n">
        <v>0</v>
      </c>
      <c r="AP1965" t="inlineStr">
        <is>
          <t>No</t>
        </is>
      </c>
      <c r="AQ1965" t="inlineStr">
        <is>
          <t>Yes</t>
        </is>
      </c>
      <c r="AR1965">
        <f>HYPERLINK("http://catalog.hathitrust.org/Record/102388633","HathiTrust Record")</f>
        <v/>
      </c>
      <c r="AS1965">
        <f>HYPERLINK("https://creighton-primo.hosted.exlibrisgroup.com/primo-explore/search?tab=default_tab&amp;search_scope=EVERYTHING&amp;vid=01CRU&amp;lang=en_US&amp;offset=0&amp;query=any,contains,991002229499702656","Catalog Record")</f>
        <v/>
      </c>
      <c r="AT1965">
        <f>HYPERLINK("http://www.worldcat.org/oclc/293493","WorldCat Record")</f>
        <v/>
      </c>
      <c r="AU1965" t="inlineStr">
        <is>
          <t>836706916:eng</t>
        </is>
      </c>
      <c r="AV1965" t="inlineStr">
        <is>
          <t>293493</t>
        </is>
      </c>
      <c r="AW1965" t="inlineStr">
        <is>
          <t>991002229499702656</t>
        </is>
      </c>
      <c r="AX1965" t="inlineStr">
        <is>
          <t>991002229499702656</t>
        </is>
      </c>
      <c r="AY1965" t="inlineStr">
        <is>
          <t>2266671000002656</t>
        </is>
      </c>
      <c r="AZ1965" t="inlineStr">
        <is>
          <t>BOOK</t>
        </is>
      </c>
      <c r="BC1965" t="inlineStr">
        <is>
          <t>32285002446580</t>
        </is>
      </c>
      <c r="BD1965" t="inlineStr">
        <is>
          <t>893232706</t>
        </is>
      </c>
    </row>
    <row r="1966">
      <c r="A1966" t="inlineStr">
        <is>
          <t>No</t>
        </is>
      </c>
      <c r="B1966" t="inlineStr">
        <is>
          <t>DS735 .M2 1973</t>
        </is>
      </c>
      <c r="C1966" t="inlineStr">
        <is>
          <t>0                      DS 0735000M  2           1973</t>
        </is>
      </c>
      <c r="D1966" t="inlineStr">
        <is>
          <t>The imperial history of China : being a history of the Empire as compiled by the Chinese historians.</t>
        </is>
      </c>
      <c r="F1966" t="inlineStr">
        <is>
          <t>No</t>
        </is>
      </c>
      <c r="G1966" t="inlineStr">
        <is>
          <t>1</t>
        </is>
      </c>
      <c r="H1966" t="inlineStr">
        <is>
          <t>No</t>
        </is>
      </c>
      <c r="I1966" t="inlineStr">
        <is>
          <t>No</t>
        </is>
      </c>
      <c r="J1966" t="inlineStr">
        <is>
          <t>0</t>
        </is>
      </c>
      <c r="K1966" t="inlineStr">
        <is>
          <t>Macgowan, J. (John), -1922.</t>
        </is>
      </c>
      <c r="L1966" t="inlineStr">
        <is>
          <t>London : Curzon Press ; New York : Barnes &amp; Noble Books, [1973]</t>
        </is>
      </c>
      <c r="M1966" t="inlineStr">
        <is>
          <t>1973</t>
        </is>
      </c>
      <c r="N1966" t="inlineStr">
        <is>
          <t>[2d ed.]</t>
        </is>
      </c>
      <c r="O1966" t="inlineStr">
        <is>
          <t>eng</t>
        </is>
      </c>
      <c r="P1966" t="inlineStr">
        <is>
          <t>enk</t>
        </is>
      </c>
      <c r="Q1966" t="inlineStr">
        <is>
          <t>Records of Asian history</t>
        </is>
      </c>
      <c r="R1966" t="inlineStr">
        <is>
          <t xml:space="preserve">DS </t>
        </is>
      </c>
      <c r="S1966" t="n">
        <v>13</v>
      </c>
      <c r="T1966" t="n">
        <v>13</v>
      </c>
      <c r="U1966" t="inlineStr">
        <is>
          <t>2005-11-09</t>
        </is>
      </c>
      <c r="V1966" t="inlineStr">
        <is>
          <t>2005-11-09</t>
        </is>
      </c>
      <c r="W1966" t="inlineStr">
        <is>
          <t>1992-01-17</t>
        </is>
      </c>
      <c r="X1966" t="inlineStr">
        <is>
          <t>1992-01-17</t>
        </is>
      </c>
      <c r="Y1966" t="n">
        <v>203</v>
      </c>
      <c r="Z1966" t="n">
        <v>169</v>
      </c>
      <c r="AA1966" t="n">
        <v>278</v>
      </c>
      <c r="AB1966" t="n">
        <v>1</v>
      </c>
      <c r="AC1966" t="n">
        <v>2</v>
      </c>
      <c r="AD1966" t="n">
        <v>4</v>
      </c>
      <c r="AE1966" t="n">
        <v>7</v>
      </c>
      <c r="AF1966" t="n">
        <v>1</v>
      </c>
      <c r="AG1966" t="n">
        <v>2</v>
      </c>
      <c r="AH1966" t="n">
        <v>2</v>
      </c>
      <c r="AI1966" t="n">
        <v>3</v>
      </c>
      <c r="AJ1966" t="n">
        <v>2</v>
      </c>
      <c r="AK1966" t="n">
        <v>2</v>
      </c>
      <c r="AL1966" t="n">
        <v>0</v>
      </c>
      <c r="AM1966" t="n">
        <v>1</v>
      </c>
      <c r="AN1966" t="n">
        <v>0</v>
      </c>
      <c r="AO1966" t="n">
        <v>0</v>
      </c>
      <c r="AP1966" t="inlineStr">
        <is>
          <t>No</t>
        </is>
      </c>
      <c r="AQ1966" t="inlineStr">
        <is>
          <t>No</t>
        </is>
      </c>
      <c r="AS1966">
        <f>HYPERLINK("https://creighton-primo.hosted.exlibrisgroup.com/primo-explore/search?tab=default_tab&amp;search_scope=EVERYTHING&amp;vid=01CRU&amp;lang=en_US&amp;offset=0&amp;query=any,contains,991005356819702656","Catalog Record")</f>
        <v/>
      </c>
      <c r="AT1966">
        <f>HYPERLINK("http://www.worldcat.org/oclc/792813","WorldCat Record")</f>
        <v/>
      </c>
      <c r="AU1966" t="inlineStr">
        <is>
          <t>20843499:eng</t>
        </is>
      </c>
      <c r="AV1966" t="inlineStr">
        <is>
          <t>792813</t>
        </is>
      </c>
      <c r="AW1966" t="inlineStr">
        <is>
          <t>991005356819702656</t>
        </is>
      </c>
      <c r="AX1966" t="inlineStr">
        <is>
          <t>991005356819702656</t>
        </is>
      </c>
      <c r="AY1966" t="inlineStr">
        <is>
          <t>2260775840002656</t>
        </is>
      </c>
      <c r="AZ1966" t="inlineStr">
        <is>
          <t>BOOK</t>
        </is>
      </c>
      <c r="BB1966" t="inlineStr">
        <is>
          <t>9780064944540</t>
        </is>
      </c>
      <c r="BC1966" t="inlineStr">
        <is>
          <t>32285000914886</t>
        </is>
      </c>
      <c r="BD1966" t="inlineStr">
        <is>
          <t>893713921</t>
        </is>
      </c>
    </row>
    <row r="1967">
      <c r="A1967" t="inlineStr">
        <is>
          <t>No</t>
        </is>
      </c>
      <c r="B1967" t="inlineStr">
        <is>
          <t>DS735 .M555</t>
        </is>
      </c>
      <c r="C1967" t="inlineStr">
        <is>
          <t>0                      DS 0735000M  555</t>
        </is>
      </c>
      <c r="D1967" t="inlineStr">
        <is>
          <t>Tradition and revolt : imperial China, islands of the Rising Sun / Joyce Milton, Wendy B. Murphy.</t>
        </is>
      </c>
      <c r="F1967" t="inlineStr">
        <is>
          <t>No</t>
        </is>
      </c>
      <c r="G1967" t="inlineStr">
        <is>
          <t>1</t>
        </is>
      </c>
      <c r="H1967" t="inlineStr">
        <is>
          <t>No</t>
        </is>
      </c>
      <c r="I1967" t="inlineStr">
        <is>
          <t>No</t>
        </is>
      </c>
      <c r="J1967" t="inlineStr">
        <is>
          <t>0</t>
        </is>
      </c>
      <c r="K1967" t="inlineStr">
        <is>
          <t>Milton, Joyce.</t>
        </is>
      </c>
      <c r="L1967" t="inlineStr">
        <is>
          <t>New York : HBJ Press, c1980.</t>
        </is>
      </c>
      <c r="M1967" t="inlineStr">
        <is>
          <t>1980</t>
        </is>
      </c>
      <c r="O1967" t="inlineStr">
        <is>
          <t>eng</t>
        </is>
      </c>
      <c r="P1967" t="inlineStr">
        <is>
          <t>nyu</t>
        </is>
      </c>
      <c r="Q1967" t="inlineStr">
        <is>
          <t>Imperial visions</t>
        </is>
      </c>
      <c r="R1967" t="inlineStr">
        <is>
          <t xml:space="preserve">DS </t>
        </is>
      </c>
      <c r="S1967" t="n">
        <v>6</v>
      </c>
      <c r="T1967" t="n">
        <v>6</v>
      </c>
      <c r="U1967" t="inlineStr">
        <is>
          <t>2002-10-07</t>
        </is>
      </c>
      <c r="V1967" t="inlineStr">
        <is>
          <t>2002-10-07</t>
        </is>
      </c>
      <c r="W1967" t="inlineStr">
        <is>
          <t>1990-10-15</t>
        </is>
      </c>
      <c r="X1967" t="inlineStr">
        <is>
          <t>1990-10-15</t>
        </is>
      </c>
      <c r="Y1967" t="n">
        <v>164</v>
      </c>
      <c r="Z1967" t="n">
        <v>163</v>
      </c>
      <c r="AA1967" t="n">
        <v>246</v>
      </c>
      <c r="AB1967" t="n">
        <v>1</v>
      </c>
      <c r="AC1967" t="n">
        <v>2</v>
      </c>
      <c r="AD1967" t="n">
        <v>2</v>
      </c>
      <c r="AE1967" t="n">
        <v>2</v>
      </c>
      <c r="AF1967" t="n">
        <v>1</v>
      </c>
      <c r="AG1967" t="n">
        <v>1</v>
      </c>
      <c r="AH1967" t="n">
        <v>0</v>
      </c>
      <c r="AI1967" t="n">
        <v>0</v>
      </c>
      <c r="AJ1967" t="n">
        <v>1</v>
      </c>
      <c r="AK1967" t="n">
        <v>1</v>
      </c>
      <c r="AL1967" t="n">
        <v>0</v>
      </c>
      <c r="AM1967" t="n">
        <v>0</v>
      </c>
      <c r="AN1967" t="n">
        <v>0</v>
      </c>
      <c r="AO1967" t="n">
        <v>0</v>
      </c>
      <c r="AP1967" t="inlineStr">
        <is>
          <t>No</t>
        </is>
      </c>
      <c r="AQ1967" t="inlineStr">
        <is>
          <t>No</t>
        </is>
      </c>
      <c r="AS1967">
        <f>HYPERLINK("https://creighton-primo.hosted.exlibrisgroup.com/primo-explore/search?tab=default_tab&amp;search_scope=EVERYTHING&amp;vid=01CRU&amp;lang=en_US&amp;offset=0&amp;query=any,contains,991004868939702656","Catalog Record")</f>
        <v/>
      </c>
      <c r="AT1967">
        <f>HYPERLINK("http://www.worldcat.org/oclc/5750042","WorldCat Record")</f>
        <v/>
      </c>
      <c r="AU1967" t="inlineStr">
        <is>
          <t>413205:eng</t>
        </is>
      </c>
      <c r="AV1967" t="inlineStr">
        <is>
          <t>5750042</t>
        </is>
      </c>
      <c r="AW1967" t="inlineStr">
        <is>
          <t>991004868939702656</t>
        </is>
      </c>
      <c r="AX1967" t="inlineStr">
        <is>
          <t>991004868939702656</t>
        </is>
      </c>
      <c r="AY1967" t="inlineStr">
        <is>
          <t>2270696680002656</t>
        </is>
      </c>
      <c r="AZ1967" t="inlineStr">
        <is>
          <t>BOOK</t>
        </is>
      </c>
      <c r="BB1967" t="inlineStr">
        <is>
          <t>9780150040286</t>
        </is>
      </c>
      <c r="BC1967" t="inlineStr">
        <is>
          <t>32285000338300</t>
        </is>
      </c>
      <c r="BD1967" t="inlineStr">
        <is>
          <t>893722644</t>
        </is>
      </c>
    </row>
    <row r="1968">
      <c r="A1968" t="inlineStr">
        <is>
          <t>No</t>
        </is>
      </c>
      <c r="B1968" t="inlineStr">
        <is>
          <t>DS735 .S4</t>
        </is>
      </c>
      <c r="C1968" t="inlineStr">
        <is>
          <t>0                      DS 0735000S  4</t>
        </is>
      </c>
      <c r="D1968" t="inlineStr">
        <is>
          <t>The Great Wall of China.</t>
        </is>
      </c>
      <c r="F1968" t="inlineStr">
        <is>
          <t>No</t>
        </is>
      </c>
      <c r="G1968" t="inlineStr">
        <is>
          <t>1</t>
        </is>
      </c>
      <c r="H1968" t="inlineStr">
        <is>
          <t>No</t>
        </is>
      </c>
      <c r="I1968" t="inlineStr">
        <is>
          <t>No</t>
        </is>
      </c>
      <c r="J1968" t="inlineStr">
        <is>
          <t>0</t>
        </is>
      </c>
      <c r="K1968" t="inlineStr">
        <is>
          <t>Silverberg, Robert.</t>
        </is>
      </c>
      <c r="L1968" t="inlineStr">
        <is>
          <t>Philadelphia, Chilton Books [1965]</t>
        </is>
      </c>
      <c r="M1968" t="inlineStr">
        <is>
          <t>1965</t>
        </is>
      </c>
      <c r="N1968" t="inlineStr">
        <is>
          <t>[1st ed.]</t>
        </is>
      </c>
      <c r="O1968" t="inlineStr">
        <is>
          <t>eng</t>
        </is>
      </c>
      <c r="P1968" t="inlineStr">
        <is>
          <t>pau</t>
        </is>
      </c>
      <c r="R1968" t="inlineStr">
        <is>
          <t xml:space="preserve">DS </t>
        </is>
      </c>
      <c r="S1968" t="n">
        <v>2</v>
      </c>
      <c r="T1968" t="n">
        <v>2</v>
      </c>
      <c r="U1968" t="inlineStr">
        <is>
          <t>2001-01-03</t>
        </is>
      </c>
      <c r="V1968" t="inlineStr">
        <is>
          <t>2001-01-03</t>
        </is>
      </c>
      <c r="W1968" t="inlineStr">
        <is>
          <t>1997-03-12</t>
        </is>
      </c>
      <c r="X1968" t="inlineStr">
        <is>
          <t>1997-03-12</t>
        </is>
      </c>
      <c r="Y1968" t="n">
        <v>585</v>
      </c>
      <c r="Z1968" t="n">
        <v>549</v>
      </c>
      <c r="AA1968" t="n">
        <v>555</v>
      </c>
      <c r="AB1968" t="n">
        <v>5</v>
      </c>
      <c r="AC1968" t="n">
        <v>5</v>
      </c>
      <c r="AD1968" t="n">
        <v>10</v>
      </c>
      <c r="AE1968" t="n">
        <v>10</v>
      </c>
      <c r="AF1968" t="n">
        <v>3</v>
      </c>
      <c r="AG1968" t="n">
        <v>3</v>
      </c>
      <c r="AH1968" t="n">
        <v>2</v>
      </c>
      <c r="AI1968" t="n">
        <v>2</v>
      </c>
      <c r="AJ1968" t="n">
        <v>3</v>
      </c>
      <c r="AK1968" t="n">
        <v>3</v>
      </c>
      <c r="AL1968" t="n">
        <v>3</v>
      </c>
      <c r="AM1968" t="n">
        <v>3</v>
      </c>
      <c r="AN1968" t="n">
        <v>0</v>
      </c>
      <c r="AO1968" t="n">
        <v>0</v>
      </c>
      <c r="AP1968" t="inlineStr">
        <is>
          <t>No</t>
        </is>
      </c>
      <c r="AQ1968" t="inlineStr">
        <is>
          <t>Yes</t>
        </is>
      </c>
      <c r="AR1968">
        <f>HYPERLINK("http://catalog.hathitrust.org/Record/001257686","HathiTrust Record")</f>
        <v/>
      </c>
      <c r="AS1968">
        <f>HYPERLINK("https://creighton-primo.hosted.exlibrisgroup.com/primo-explore/search?tab=default_tab&amp;search_scope=EVERYTHING&amp;vid=01CRU&amp;lang=en_US&amp;offset=0&amp;query=any,contains,991003711129702656","Catalog Record")</f>
        <v/>
      </c>
      <c r="AT1968">
        <f>HYPERLINK("http://www.worldcat.org/oclc/1350115","WorldCat Record")</f>
        <v/>
      </c>
      <c r="AU1968" t="inlineStr">
        <is>
          <t>2241899:eng</t>
        </is>
      </c>
      <c r="AV1968" t="inlineStr">
        <is>
          <t>1350115</t>
        </is>
      </c>
      <c r="AW1968" t="inlineStr">
        <is>
          <t>991003711129702656</t>
        </is>
      </c>
      <c r="AX1968" t="inlineStr">
        <is>
          <t>991003711129702656</t>
        </is>
      </c>
      <c r="AY1968" t="inlineStr">
        <is>
          <t>2264598800002656</t>
        </is>
      </c>
      <c r="AZ1968" t="inlineStr">
        <is>
          <t>BOOK</t>
        </is>
      </c>
      <c r="BC1968" t="inlineStr">
        <is>
          <t>32285002446598</t>
        </is>
      </c>
      <c r="BD1968" t="inlineStr">
        <is>
          <t>893868748</t>
        </is>
      </c>
    </row>
    <row r="1969">
      <c r="A1969" t="inlineStr">
        <is>
          <t>No</t>
        </is>
      </c>
      <c r="B1969" t="inlineStr">
        <is>
          <t>DS735.A2 F7</t>
        </is>
      </c>
      <c r="C1969" t="inlineStr">
        <is>
          <t>0                      DS 0735000A  2                  F  7</t>
        </is>
      </c>
      <c r="D1969" t="inlineStr">
        <is>
          <t>Catalogue of translations from the Chinese dynastic histories for the period 220-960 / compiled by Hans H. Frankel.</t>
        </is>
      </c>
      <c r="F1969" t="inlineStr">
        <is>
          <t>No</t>
        </is>
      </c>
      <c r="G1969" t="inlineStr">
        <is>
          <t>1</t>
        </is>
      </c>
      <c r="H1969" t="inlineStr">
        <is>
          <t>No</t>
        </is>
      </c>
      <c r="I1969" t="inlineStr">
        <is>
          <t>No</t>
        </is>
      </c>
      <c r="J1969" t="inlineStr">
        <is>
          <t>0</t>
        </is>
      </c>
      <c r="K1969" t="inlineStr">
        <is>
          <t>Frankel, Hans H. (Hans Hermann), 1916-2003 compiler.</t>
        </is>
      </c>
      <c r="L1969" t="inlineStr">
        <is>
          <t>Westport, Conn. : Greenwood Press, 1974.</t>
        </is>
      </c>
      <c r="M1969" t="inlineStr">
        <is>
          <t>1974</t>
        </is>
      </c>
      <c r="O1969" t="inlineStr">
        <is>
          <t>eng</t>
        </is>
      </c>
      <c r="P1969" t="inlineStr">
        <is>
          <t>ctu</t>
        </is>
      </c>
      <c r="R1969" t="inlineStr">
        <is>
          <t xml:space="preserve">DS </t>
        </is>
      </c>
      <c r="S1969" t="n">
        <v>0</v>
      </c>
      <c r="T1969" t="n">
        <v>0</v>
      </c>
      <c r="U1969" t="inlineStr">
        <is>
          <t>2002-03-05</t>
        </is>
      </c>
      <c r="V1969" t="inlineStr">
        <is>
          <t>2002-03-05</t>
        </is>
      </c>
      <c r="W1969" t="inlineStr">
        <is>
          <t>1997-03-12</t>
        </is>
      </c>
      <c r="X1969" t="inlineStr">
        <is>
          <t>1997-03-12</t>
        </is>
      </c>
      <c r="Y1969" t="n">
        <v>59</v>
      </c>
      <c r="Z1969" t="n">
        <v>44</v>
      </c>
      <c r="AA1969" t="n">
        <v>183</v>
      </c>
      <c r="AB1969" t="n">
        <v>1</v>
      </c>
      <c r="AC1969" t="n">
        <v>2</v>
      </c>
      <c r="AD1969" t="n">
        <v>1</v>
      </c>
      <c r="AE1969" t="n">
        <v>5</v>
      </c>
      <c r="AF1969" t="n">
        <v>0</v>
      </c>
      <c r="AG1969" t="n">
        <v>1</v>
      </c>
      <c r="AH1969" t="n">
        <v>1</v>
      </c>
      <c r="AI1969" t="n">
        <v>2</v>
      </c>
      <c r="AJ1969" t="n">
        <v>0</v>
      </c>
      <c r="AK1969" t="n">
        <v>2</v>
      </c>
      <c r="AL1969" t="n">
        <v>0</v>
      </c>
      <c r="AM1969" t="n">
        <v>1</v>
      </c>
      <c r="AN1969" t="n">
        <v>0</v>
      </c>
      <c r="AO1969" t="n">
        <v>0</v>
      </c>
      <c r="AP1969" t="inlineStr">
        <is>
          <t>No</t>
        </is>
      </c>
      <c r="AQ1969" t="inlineStr">
        <is>
          <t>No</t>
        </is>
      </c>
      <c r="AS1969">
        <f>HYPERLINK("https://creighton-primo.hosted.exlibrisgroup.com/primo-explore/search?tab=default_tab&amp;search_scope=EVERYTHING&amp;vid=01CRU&amp;lang=en_US&amp;offset=0&amp;query=any,contains,991003504929702656","Catalog Record")</f>
        <v/>
      </c>
      <c r="AT1969">
        <f>HYPERLINK("http://www.worldcat.org/oclc/1056702","WorldCat Record")</f>
        <v/>
      </c>
      <c r="AU1969" t="inlineStr">
        <is>
          <t>1771046:eng</t>
        </is>
      </c>
      <c r="AV1969" t="inlineStr">
        <is>
          <t>1056702</t>
        </is>
      </c>
      <c r="AW1969" t="inlineStr">
        <is>
          <t>991003504929702656</t>
        </is>
      </c>
      <c r="AX1969" t="inlineStr">
        <is>
          <t>991003504929702656</t>
        </is>
      </c>
      <c r="AY1969" t="inlineStr">
        <is>
          <t>2272241090002656</t>
        </is>
      </c>
      <c r="AZ1969" t="inlineStr">
        <is>
          <t>BOOK</t>
        </is>
      </c>
      <c r="BB1969" t="inlineStr">
        <is>
          <t>9780837176611</t>
        </is>
      </c>
      <c r="BC1969" t="inlineStr">
        <is>
          <t>32285002446473</t>
        </is>
      </c>
      <c r="BD1969" t="inlineStr">
        <is>
          <t>893810014</t>
        </is>
      </c>
    </row>
    <row r="1970">
      <c r="A1970" t="inlineStr">
        <is>
          <t>No</t>
        </is>
      </c>
      <c r="B1970" t="inlineStr">
        <is>
          <t>DS736 .C5123</t>
        </is>
      </c>
      <c r="C1970" t="inlineStr">
        <is>
          <t>0                      DS 0736000C  5123</t>
        </is>
      </c>
      <c r="D1970" t="inlineStr">
        <is>
          <t>Peasant revolts in China, 1840-1949. Translated by C. A. Curwen.</t>
        </is>
      </c>
      <c r="F1970" t="inlineStr">
        <is>
          <t>No</t>
        </is>
      </c>
      <c r="G1970" t="inlineStr">
        <is>
          <t>1</t>
        </is>
      </c>
      <c r="H1970" t="inlineStr">
        <is>
          <t>No</t>
        </is>
      </c>
      <c r="I1970" t="inlineStr">
        <is>
          <t>No</t>
        </is>
      </c>
      <c r="J1970" t="inlineStr">
        <is>
          <t>0</t>
        </is>
      </c>
      <c r="K1970" t="inlineStr">
        <is>
          <t>Chesneaux, Jean.</t>
        </is>
      </c>
      <c r="L1970" t="inlineStr">
        <is>
          <t>New York] Norton [1973]</t>
        </is>
      </c>
      <c r="M1970" t="inlineStr">
        <is>
          <t>1973</t>
        </is>
      </c>
      <c r="N1970" t="inlineStr">
        <is>
          <t>[1st American ed.</t>
        </is>
      </c>
      <c r="O1970" t="inlineStr">
        <is>
          <t>eng</t>
        </is>
      </c>
      <c r="P1970" t="inlineStr">
        <is>
          <t>nyu</t>
        </is>
      </c>
      <c r="R1970" t="inlineStr">
        <is>
          <t xml:space="preserve">DS </t>
        </is>
      </c>
      <c r="S1970" t="n">
        <v>4</v>
      </c>
      <c r="T1970" t="n">
        <v>4</v>
      </c>
      <c r="U1970" t="inlineStr">
        <is>
          <t>2006-11-11</t>
        </is>
      </c>
      <c r="V1970" t="inlineStr">
        <is>
          <t>2006-11-11</t>
        </is>
      </c>
      <c r="W1970" t="inlineStr">
        <is>
          <t>1997-03-12</t>
        </is>
      </c>
      <c r="X1970" t="inlineStr">
        <is>
          <t>1997-03-12</t>
        </is>
      </c>
      <c r="Y1970" t="n">
        <v>724</v>
      </c>
      <c r="Z1970" t="n">
        <v>674</v>
      </c>
      <c r="AA1970" t="n">
        <v>753</v>
      </c>
      <c r="AB1970" t="n">
        <v>7</v>
      </c>
      <c r="AC1970" t="n">
        <v>8</v>
      </c>
      <c r="AD1970" t="n">
        <v>29</v>
      </c>
      <c r="AE1970" t="n">
        <v>34</v>
      </c>
      <c r="AF1970" t="n">
        <v>12</v>
      </c>
      <c r="AG1970" t="n">
        <v>14</v>
      </c>
      <c r="AH1970" t="n">
        <v>8</v>
      </c>
      <c r="AI1970" t="n">
        <v>9</v>
      </c>
      <c r="AJ1970" t="n">
        <v>14</v>
      </c>
      <c r="AK1970" t="n">
        <v>16</v>
      </c>
      <c r="AL1970" t="n">
        <v>5</v>
      </c>
      <c r="AM1970" t="n">
        <v>6</v>
      </c>
      <c r="AN1970" t="n">
        <v>0</v>
      </c>
      <c r="AO1970" t="n">
        <v>0</v>
      </c>
      <c r="AP1970" t="inlineStr">
        <is>
          <t>No</t>
        </is>
      </c>
      <c r="AQ1970" t="inlineStr">
        <is>
          <t>No</t>
        </is>
      </c>
      <c r="AS1970">
        <f>HYPERLINK("https://creighton-primo.hosted.exlibrisgroup.com/primo-explore/search?tab=default_tab&amp;search_scope=EVERYTHING&amp;vid=01CRU&amp;lang=en_US&amp;offset=0&amp;query=any,contains,991002916539702656","Catalog Record")</f>
        <v/>
      </c>
      <c r="AT1970">
        <f>HYPERLINK("http://www.worldcat.org/oclc/524215","WorldCat Record")</f>
        <v/>
      </c>
      <c r="AU1970" t="inlineStr">
        <is>
          <t>2864029906:eng</t>
        </is>
      </c>
      <c r="AV1970" t="inlineStr">
        <is>
          <t>524215</t>
        </is>
      </c>
      <c r="AW1970" t="inlineStr">
        <is>
          <t>991002916539702656</t>
        </is>
      </c>
      <c r="AX1970" t="inlineStr">
        <is>
          <t>991002916539702656</t>
        </is>
      </c>
      <c r="AY1970" t="inlineStr">
        <is>
          <t>2261306000002656</t>
        </is>
      </c>
      <c r="AZ1970" t="inlineStr">
        <is>
          <t>BOOK</t>
        </is>
      </c>
      <c r="BB1970" t="inlineStr">
        <is>
          <t>9780393054859</t>
        </is>
      </c>
      <c r="BC1970" t="inlineStr">
        <is>
          <t>32285002446606</t>
        </is>
      </c>
      <c r="BD1970" t="inlineStr">
        <is>
          <t>893692162</t>
        </is>
      </c>
    </row>
    <row r="1971">
      <c r="A1971" t="inlineStr">
        <is>
          <t>No</t>
        </is>
      </c>
      <c r="B1971" t="inlineStr">
        <is>
          <t>DS736 .L52</t>
        </is>
      </c>
      <c r="C1971" t="inlineStr">
        <is>
          <t>0                      DS 0736000L  52</t>
        </is>
      </c>
      <c r="D1971" t="inlineStr">
        <is>
          <t>The story of China; illustrated by Elaine Haxton.</t>
        </is>
      </c>
      <c r="F1971" t="inlineStr">
        <is>
          <t>No</t>
        </is>
      </c>
      <c r="G1971" t="inlineStr">
        <is>
          <t>1</t>
        </is>
      </c>
      <c r="H1971" t="inlineStr">
        <is>
          <t>No</t>
        </is>
      </c>
      <c r="I1971" t="inlineStr">
        <is>
          <t>No</t>
        </is>
      </c>
      <c r="J1971" t="inlineStr">
        <is>
          <t>0</t>
        </is>
      </c>
      <c r="K1971" t="inlineStr">
        <is>
          <t>Luo, Huimin.</t>
        </is>
      </c>
      <c r="L1971" t="inlineStr">
        <is>
          <t>[Sydney] Angus and Robertson [1971, c1970]</t>
        </is>
      </c>
      <c r="M1971" t="inlineStr">
        <is>
          <t>1971</t>
        </is>
      </c>
      <c r="O1971" t="inlineStr">
        <is>
          <t>eng</t>
        </is>
      </c>
      <c r="P1971" t="inlineStr">
        <is>
          <t>___</t>
        </is>
      </c>
      <c r="R1971" t="inlineStr">
        <is>
          <t xml:space="preserve">DS </t>
        </is>
      </c>
      <c r="S1971" t="n">
        <v>2</v>
      </c>
      <c r="T1971" t="n">
        <v>2</v>
      </c>
      <c r="U1971" t="inlineStr">
        <is>
          <t>2002-02-18</t>
        </is>
      </c>
      <c r="V1971" t="inlineStr">
        <is>
          <t>2002-02-18</t>
        </is>
      </c>
      <c r="W1971" t="inlineStr">
        <is>
          <t>1992-09-08</t>
        </is>
      </c>
      <c r="X1971" t="inlineStr">
        <is>
          <t>1992-09-08</t>
        </is>
      </c>
      <c r="Y1971" t="n">
        <v>38</v>
      </c>
      <c r="Z1971" t="n">
        <v>10</v>
      </c>
      <c r="AA1971" t="n">
        <v>11</v>
      </c>
      <c r="AB1971" t="n">
        <v>1</v>
      </c>
      <c r="AC1971" t="n">
        <v>1</v>
      </c>
      <c r="AD1971" t="n">
        <v>0</v>
      </c>
      <c r="AE1971" t="n">
        <v>0</v>
      </c>
      <c r="AF1971" t="n">
        <v>0</v>
      </c>
      <c r="AG1971" t="n">
        <v>0</v>
      </c>
      <c r="AH1971" t="n">
        <v>0</v>
      </c>
      <c r="AI1971" t="n">
        <v>0</v>
      </c>
      <c r="AJ1971" t="n">
        <v>0</v>
      </c>
      <c r="AK1971" t="n">
        <v>0</v>
      </c>
      <c r="AL1971" t="n">
        <v>0</v>
      </c>
      <c r="AM1971" t="n">
        <v>0</v>
      </c>
      <c r="AN1971" t="n">
        <v>0</v>
      </c>
      <c r="AO1971" t="n">
        <v>0</v>
      </c>
      <c r="AP1971" t="inlineStr">
        <is>
          <t>No</t>
        </is>
      </c>
      <c r="AQ1971" t="inlineStr">
        <is>
          <t>No</t>
        </is>
      </c>
      <c r="AS1971">
        <f>HYPERLINK("https://creighton-primo.hosted.exlibrisgroup.com/primo-explore/search?tab=default_tab&amp;search_scope=EVERYTHING&amp;vid=01CRU&amp;lang=en_US&amp;offset=0&amp;query=any,contains,991004182529702656","Catalog Record")</f>
        <v/>
      </c>
      <c r="AT1971">
        <f>HYPERLINK("http://www.worldcat.org/oclc/59196857","WorldCat Record")</f>
        <v/>
      </c>
      <c r="AU1971" t="inlineStr">
        <is>
          <t>2038894:eng</t>
        </is>
      </c>
      <c r="AV1971" t="inlineStr">
        <is>
          <t>59196857</t>
        </is>
      </c>
      <c r="AW1971" t="inlineStr">
        <is>
          <t>991004182529702656</t>
        </is>
      </c>
      <c r="AX1971" t="inlineStr">
        <is>
          <t>991004182529702656</t>
        </is>
      </c>
      <c r="AY1971" t="inlineStr">
        <is>
          <t>2267361980002656</t>
        </is>
      </c>
      <c r="AZ1971" t="inlineStr">
        <is>
          <t>BOOK</t>
        </is>
      </c>
      <c r="BC1971" t="inlineStr">
        <is>
          <t>32285001296135</t>
        </is>
      </c>
      <c r="BD1971" t="inlineStr">
        <is>
          <t>893585250</t>
        </is>
      </c>
    </row>
    <row r="1972">
      <c r="A1972" t="inlineStr">
        <is>
          <t>No</t>
        </is>
      </c>
      <c r="B1972" t="inlineStr">
        <is>
          <t>DS736.5 .J85 1995</t>
        </is>
      </c>
      <c r="C1972" t="inlineStr">
        <is>
          <t>0                      DS 0736500J  85          1995</t>
        </is>
      </c>
      <c r="D1972" t="inlineStr">
        <is>
          <t>The propensity of things : toward a history of efficacy in China / by François Jullien ; translated by Janet Lloyd.</t>
        </is>
      </c>
      <c r="F1972" t="inlineStr">
        <is>
          <t>No</t>
        </is>
      </c>
      <c r="G1972" t="inlineStr">
        <is>
          <t>1</t>
        </is>
      </c>
      <c r="H1972" t="inlineStr">
        <is>
          <t>No</t>
        </is>
      </c>
      <c r="I1972" t="inlineStr">
        <is>
          <t>No</t>
        </is>
      </c>
      <c r="J1972" t="inlineStr">
        <is>
          <t>0</t>
        </is>
      </c>
      <c r="K1972" t="inlineStr">
        <is>
          <t>Jullien, François, 1951-</t>
        </is>
      </c>
      <c r="L1972" t="inlineStr">
        <is>
          <t>New York : Zone Books, 1995.</t>
        </is>
      </c>
      <c r="M1972" t="inlineStr">
        <is>
          <t>1995</t>
        </is>
      </c>
      <c r="O1972" t="inlineStr">
        <is>
          <t>eng</t>
        </is>
      </c>
      <c r="P1972" t="inlineStr">
        <is>
          <t>nyu</t>
        </is>
      </c>
      <c r="R1972" t="inlineStr">
        <is>
          <t xml:space="preserve">DS </t>
        </is>
      </c>
      <c r="S1972" t="n">
        <v>1</v>
      </c>
      <c r="T1972" t="n">
        <v>1</v>
      </c>
      <c r="U1972" t="inlineStr">
        <is>
          <t>2001-12-18</t>
        </is>
      </c>
      <c r="V1972" t="inlineStr">
        <is>
          <t>2001-12-18</t>
        </is>
      </c>
      <c r="W1972" t="inlineStr">
        <is>
          <t>1996-01-02</t>
        </is>
      </c>
      <c r="X1972" t="inlineStr">
        <is>
          <t>1996-01-02</t>
        </is>
      </c>
      <c r="Y1972" t="n">
        <v>268</v>
      </c>
      <c r="Z1972" t="n">
        <v>193</v>
      </c>
      <c r="AA1972" t="n">
        <v>214</v>
      </c>
      <c r="AB1972" t="n">
        <v>2</v>
      </c>
      <c r="AC1972" t="n">
        <v>2</v>
      </c>
      <c r="AD1972" t="n">
        <v>9</v>
      </c>
      <c r="AE1972" t="n">
        <v>9</v>
      </c>
      <c r="AF1972" t="n">
        <v>1</v>
      </c>
      <c r="AG1972" t="n">
        <v>1</v>
      </c>
      <c r="AH1972" t="n">
        <v>4</v>
      </c>
      <c r="AI1972" t="n">
        <v>4</v>
      </c>
      <c r="AJ1972" t="n">
        <v>6</v>
      </c>
      <c r="AK1972" t="n">
        <v>6</v>
      </c>
      <c r="AL1972" t="n">
        <v>1</v>
      </c>
      <c r="AM1972" t="n">
        <v>1</v>
      </c>
      <c r="AN1972" t="n">
        <v>0</v>
      </c>
      <c r="AO1972" t="n">
        <v>0</v>
      </c>
      <c r="AP1972" t="inlineStr">
        <is>
          <t>No</t>
        </is>
      </c>
      <c r="AQ1972" t="inlineStr">
        <is>
          <t>Yes</t>
        </is>
      </c>
      <c r="AR1972">
        <f>HYPERLINK("http://catalog.hathitrust.org/Record/003038013","HathiTrust Record")</f>
        <v/>
      </c>
      <c r="AS1972">
        <f>HYPERLINK("https://creighton-primo.hosted.exlibrisgroup.com/primo-explore/search?tab=default_tab&amp;search_scope=EVERYTHING&amp;vid=01CRU&amp;lang=en_US&amp;offset=0&amp;query=any,contains,991002378809702656","Catalog Record")</f>
        <v/>
      </c>
      <c r="AT1972">
        <f>HYPERLINK("http://www.worldcat.org/oclc/30914241","WorldCat Record")</f>
        <v/>
      </c>
      <c r="AU1972" t="inlineStr">
        <is>
          <t>9020854238:eng</t>
        </is>
      </c>
      <c r="AV1972" t="inlineStr">
        <is>
          <t>30914241</t>
        </is>
      </c>
      <c r="AW1972" t="inlineStr">
        <is>
          <t>991002378809702656</t>
        </is>
      </c>
      <c r="AX1972" t="inlineStr">
        <is>
          <t>991002378809702656</t>
        </is>
      </c>
      <c r="AY1972" t="inlineStr">
        <is>
          <t>2272401900002656</t>
        </is>
      </c>
      <c r="AZ1972" t="inlineStr">
        <is>
          <t>BOOK</t>
        </is>
      </c>
      <c r="BB1972" t="inlineStr">
        <is>
          <t>9780942299946</t>
        </is>
      </c>
      <c r="BC1972" t="inlineStr">
        <is>
          <t>32285002113982</t>
        </is>
      </c>
      <c r="BD1972" t="inlineStr">
        <is>
          <t>893347434</t>
        </is>
      </c>
    </row>
    <row r="1973">
      <c r="A1973" t="inlineStr">
        <is>
          <t>No</t>
        </is>
      </c>
      <c r="B1973" t="inlineStr">
        <is>
          <t>DS740 .G36 2004</t>
        </is>
      </c>
      <c r="C1973" t="inlineStr">
        <is>
          <t>0                      DS 0740000G  36          2004</t>
        </is>
      </c>
      <c r="D1973" t="inlineStr">
        <is>
          <t>Huang quan, li yi yu jing dian quan shi : Zhongguo gu dai zheng zhi shi yan jiu / Gan Huaizhen zhu.</t>
        </is>
      </c>
      <c r="F1973" t="inlineStr">
        <is>
          <t>No</t>
        </is>
      </c>
      <c r="G1973" t="inlineStr">
        <is>
          <t>1</t>
        </is>
      </c>
      <c r="H1973" t="inlineStr">
        <is>
          <t>No</t>
        </is>
      </c>
      <c r="I1973" t="inlineStr">
        <is>
          <t>No</t>
        </is>
      </c>
      <c r="J1973" t="inlineStr">
        <is>
          <t>0</t>
        </is>
      </c>
      <c r="K1973" t="inlineStr">
        <is>
          <t>Gan, Huaizhen, 1963-</t>
        </is>
      </c>
      <c r="L1973" t="inlineStr">
        <is>
          <t>Taibei Shi : Guo li Taiwan da xue chu ban zhong xin, 2004.</t>
        </is>
      </c>
      <c r="M1973" t="inlineStr">
        <is>
          <t>2004</t>
        </is>
      </c>
      <c r="N1973" t="inlineStr">
        <is>
          <t>Chu ban.</t>
        </is>
      </c>
      <c r="O1973" t="inlineStr">
        <is>
          <t>chi</t>
        </is>
      </c>
      <c r="P1973" t="inlineStr">
        <is>
          <t xml:space="preserve">ch </t>
        </is>
      </c>
      <c r="Q1973" t="inlineStr">
        <is>
          <t>Dong Ya wen ming yan jiu cong shu ; 7</t>
        </is>
      </c>
      <c r="R1973" t="inlineStr">
        <is>
          <t xml:space="preserve">DS </t>
        </is>
      </c>
      <c r="S1973" t="n">
        <v>1</v>
      </c>
      <c r="T1973" t="n">
        <v>1</v>
      </c>
      <c r="U1973" t="inlineStr">
        <is>
          <t>2007-04-19</t>
        </is>
      </c>
      <c r="V1973" t="inlineStr">
        <is>
          <t>2007-04-19</t>
        </is>
      </c>
      <c r="W1973" t="inlineStr">
        <is>
          <t>2007-04-19</t>
        </is>
      </c>
      <c r="X1973" t="inlineStr">
        <is>
          <t>2007-04-19</t>
        </is>
      </c>
      <c r="Y1973" t="n">
        <v>14</v>
      </c>
      <c r="Z1973" t="n">
        <v>8</v>
      </c>
      <c r="AA1973" t="n">
        <v>8</v>
      </c>
      <c r="AB1973" t="n">
        <v>1</v>
      </c>
      <c r="AC1973" t="n">
        <v>1</v>
      </c>
      <c r="AD1973" t="n">
        <v>0</v>
      </c>
      <c r="AE1973" t="n">
        <v>0</v>
      </c>
      <c r="AF1973" t="n">
        <v>0</v>
      </c>
      <c r="AG1973" t="n">
        <v>0</v>
      </c>
      <c r="AH1973" t="n">
        <v>0</v>
      </c>
      <c r="AI1973" t="n">
        <v>0</v>
      </c>
      <c r="AJ1973" t="n">
        <v>0</v>
      </c>
      <c r="AK1973" t="n">
        <v>0</v>
      </c>
      <c r="AL1973" t="n">
        <v>0</v>
      </c>
      <c r="AM1973" t="n">
        <v>0</v>
      </c>
      <c r="AN1973" t="n">
        <v>0</v>
      </c>
      <c r="AO1973" t="n">
        <v>0</v>
      </c>
      <c r="AP1973" t="inlineStr">
        <is>
          <t>No</t>
        </is>
      </c>
      <c r="AQ1973" t="inlineStr">
        <is>
          <t>No</t>
        </is>
      </c>
      <c r="AS1973">
        <f>HYPERLINK("https://creighton-primo.hosted.exlibrisgroup.com/primo-explore/search?tab=default_tab&amp;search_scope=EVERYTHING&amp;vid=01CRU&amp;lang=en_US&amp;offset=0&amp;query=any,contains,991005074609702656","Catalog Record")</f>
        <v/>
      </c>
      <c r="AT1973">
        <f>HYPERLINK("http://www.worldcat.org/oclc/58532870","WorldCat Record")</f>
        <v/>
      </c>
      <c r="AU1973" t="inlineStr">
        <is>
          <t>10568121457:chi</t>
        </is>
      </c>
      <c r="AV1973" t="inlineStr">
        <is>
          <t>58532870</t>
        </is>
      </c>
      <c r="AW1973" t="inlineStr">
        <is>
          <t>991005074609702656</t>
        </is>
      </c>
      <c r="AX1973" t="inlineStr">
        <is>
          <t>991005074609702656</t>
        </is>
      </c>
      <c r="AY1973" t="inlineStr">
        <is>
          <t>2270871580002656</t>
        </is>
      </c>
      <c r="AZ1973" t="inlineStr">
        <is>
          <t>BOOK</t>
        </is>
      </c>
      <c r="BB1973" t="inlineStr">
        <is>
          <t>9789570172553</t>
        </is>
      </c>
      <c r="BC1973" t="inlineStr">
        <is>
          <t>32285005288815</t>
        </is>
      </c>
      <c r="BD1973" t="inlineStr">
        <is>
          <t>893722738</t>
        </is>
      </c>
    </row>
    <row r="1974">
      <c r="A1974" t="inlineStr">
        <is>
          <t>No</t>
        </is>
      </c>
      <c r="B1974" t="inlineStr">
        <is>
          <t>DS740 .L463</t>
        </is>
      </c>
      <c r="C1974" t="inlineStr">
        <is>
          <t>0                      DS 0740000L  463</t>
        </is>
      </c>
      <c r="D1974" t="inlineStr">
        <is>
          <t>The political history of China, 1840-1928. Translated and edited by Ssu-yu Teng and Jeremy Ingalls.</t>
        </is>
      </c>
      <c r="F1974" t="inlineStr">
        <is>
          <t>No</t>
        </is>
      </c>
      <c r="G1974" t="inlineStr">
        <is>
          <t>1</t>
        </is>
      </c>
      <c r="H1974" t="inlineStr">
        <is>
          <t>No</t>
        </is>
      </c>
      <c r="I1974" t="inlineStr">
        <is>
          <t>No</t>
        </is>
      </c>
      <c r="J1974" t="inlineStr">
        <is>
          <t>0</t>
        </is>
      </c>
      <c r="K1974" t="inlineStr">
        <is>
          <t>Li, Jiannong.</t>
        </is>
      </c>
      <c r="L1974" t="inlineStr">
        <is>
          <t>Princeton, N.J., D. Van Nostrand Co. [1956]</t>
        </is>
      </c>
      <c r="M1974" t="inlineStr">
        <is>
          <t>1956</t>
        </is>
      </c>
      <c r="O1974" t="inlineStr">
        <is>
          <t>eng</t>
        </is>
      </c>
      <c r="P1974" t="inlineStr">
        <is>
          <t>nju</t>
        </is>
      </c>
      <c r="R1974" t="inlineStr">
        <is>
          <t xml:space="preserve">DS </t>
        </is>
      </c>
      <c r="S1974" t="n">
        <v>3</v>
      </c>
      <c r="T1974" t="n">
        <v>3</v>
      </c>
      <c r="U1974" t="inlineStr">
        <is>
          <t>2007-11-25</t>
        </is>
      </c>
      <c r="V1974" t="inlineStr">
        <is>
          <t>2007-11-25</t>
        </is>
      </c>
      <c r="W1974" t="inlineStr">
        <is>
          <t>1997-03-12</t>
        </is>
      </c>
      <c r="X1974" t="inlineStr">
        <is>
          <t>1997-03-12</t>
        </is>
      </c>
      <c r="Y1974" t="n">
        <v>845</v>
      </c>
      <c r="Z1974" t="n">
        <v>712</v>
      </c>
      <c r="AA1974" t="n">
        <v>898</v>
      </c>
      <c r="AB1974" t="n">
        <v>5</v>
      </c>
      <c r="AC1974" t="n">
        <v>6</v>
      </c>
      <c r="AD1974" t="n">
        <v>36</v>
      </c>
      <c r="AE1974" t="n">
        <v>39</v>
      </c>
      <c r="AF1974" t="n">
        <v>16</v>
      </c>
      <c r="AG1974" t="n">
        <v>18</v>
      </c>
      <c r="AH1974" t="n">
        <v>8</v>
      </c>
      <c r="AI1974" t="n">
        <v>8</v>
      </c>
      <c r="AJ1974" t="n">
        <v>15</v>
      </c>
      <c r="AK1974" t="n">
        <v>16</v>
      </c>
      <c r="AL1974" t="n">
        <v>4</v>
      </c>
      <c r="AM1974" t="n">
        <v>5</v>
      </c>
      <c r="AN1974" t="n">
        <v>1</v>
      </c>
      <c r="AO1974" t="n">
        <v>1</v>
      </c>
      <c r="AP1974" t="inlineStr">
        <is>
          <t>No</t>
        </is>
      </c>
      <c r="AQ1974" t="inlineStr">
        <is>
          <t>Yes</t>
        </is>
      </c>
      <c r="AR1974">
        <f>HYPERLINK("http://catalog.hathitrust.org/Record/001257724","HathiTrust Record")</f>
        <v/>
      </c>
      <c r="AS1974">
        <f>HYPERLINK("https://creighton-primo.hosted.exlibrisgroup.com/primo-explore/search?tab=default_tab&amp;search_scope=EVERYTHING&amp;vid=01CRU&amp;lang=en_US&amp;offset=0&amp;query=any,contains,991002737859702656","Catalog Record")</f>
        <v/>
      </c>
      <c r="AT1974">
        <f>HYPERLINK("http://www.worldcat.org/oclc/419920","WorldCat Record")</f>
        <v/>
      </c>
      <c r="AU1974" t="inlineStr">
        <is>
          <t>55900203:eng</t>
        </is>
      </c>
      <c r="AV1974" t="inlineStr">
        <is>
          <t>419920</t>
        </is>
      </c>
      <c r="AW1974" t="inlineStr">
        <is>
          <t>991002737859702656</t>
        </is>
      </c>
      <c r="AX1974" t="inlineStr">
        <is>
          <t>991002737859702656</t>
        </is>
      </c>
      <c r="AY1974" t="inlineStr">
        <is>
          <t>2261695070002656</t>
        </is>
      </c>
      <c r="AZ1974" t="inlineStr">
        <is>
          <t>BOOK</t>
        </is>
      </c>
      <c r="BC1974" t="inlineStr">
        <is>
          <t>32285002446663</t>
        </is>
      </c>
      <c r="BD1974" t="inlineStr">
        <is>
          <t>893899147</t>
        </is>
      </c>
    </row>
    <row r="1975">
      <c r="A1975" t="inlineStr">
        <is>
          <t>No</t>
        </is>
      </c>
      <c r="B1975" t="inlineStr">
        <is>
          <t>DS740.2 .G7</t>
        </is>
      </c>
      <c r="C1975" t="inlineStr">
        <is>
          <t>0                      DS 0740200G  7</t>
        </is>
      </c>
      <c r="D1975" t="inlineStr">
        <is>
          <t>The foreigner in China, by O.M. Green.</t>
        </is>
      </c>
      <c r="F1975" t="inlineStr">
        <is>
          <t>No</t>
        </is>
      </c>
      <c r="G1975" t="inlineStr">
        <is>
          <t>1</t>
        </is>
      </c>
      <c r="H1975" t="inlineStr">
        <is>
          <t>No</t>
        </is>
      </c>
      <c r="I1975" t="inlineStr">
        <is>
          <t>No</t>
        </is>
      </c>
      <c r="J1975" t="inlineStr">
        <is>
          <t>0</t>
        </is>
      </c>
      <c r="K1975" t="inlineStr">
        <is>
          <t>Green, O. M. (Owen Mortimer)</t>
        </is>
      </c>
      <c r="L1975" t="inlineStr">
        <is>
          <t>London, Hutchinson &amp; Co., limited [1943]</t>
        </is>
      </c>
      <c r="M1975" t="inlineStr">
        <is>
          <t>1943</t>
        </is>
      </c>
      <c r="O1975" t="inlineStr">
        <is>
          <t>eng</t>
        </is>
      </c>
      <c r="P1975" t="inlineStr">
        <is>
          <t xml:space="preserve">xx </t>
        </is>
      </c>
      <c r="R1975" t="inlineStr">
        <is>
          <t xml:space="preserve">DS </t>
        </is>
      </c>
      <c r="S1975" t="n">
        <v>1</v>
      </c>
      <c r="T1975" t="n">
        <v>1</v>
      </c>
      <c r="U1975" t="inlineStr">
        <is>
          <t>2005-11-20</t>
        </is>
      </c>
      <c r="V1975" t="inlineStr">
        <is>
          <t>2005-11-20</t>
        </is>
      </c>
      <c r="W1975" t="inlineStr">
        <is>
          <t>1996-08-09</t>
        </is>
      </c>
      <c r="X1975" t="inlineStr">
        <is>
          <t>1996-08-09</t>
        </is>
      </c>
      <c r="Y1975" t="n">
        <v>52</v>
      </c>
      <c r="Z1975" t="n">
        <v>45</v>
      </c>
      <c r="AA1975" t="n">
        <v>52</v>
      </c>
      <c r="AB1975" t="n">
        <v>1</v>
      </c>
      <c r="AC1975" t="n">
        <v>1</v>
      </c>
      <c r="AD1975" t="n">
        <v>0</v>
      </c>
      <c r="AE1975" t="n">
        <v>0</v>
      </c>
      <c r="AF1975" t="n">
        <v>0</v>
      </c>
      <c r="AG1975" t="n">
        <v>0</v>
      </c>
      <c r="AH1975" t="n">
        <v>0</v>
      </c>
      <c r="AI1975" t="n">
        <v>0</v>
      </c>
      <c r="AJ1975" t="n">
        <v>0</v>
      </c>
      <c r="AK1975" t="n">
        <v>0</v>
      </c>
      <c r="AL1975" t="n">
        <v>0</v>
      </c>
      <c r="AM1975" t="n">
        <v>0</v>
      </c>
      <c r="AN1975" t="n">
        <v>0</v>
      </c>
      <c r="AO1975" t="n">
        <v>0</v>
      </c>
      <c r="AP1975" t="inlineStr">
        <is>
          <t>No</t>
        </is>
      </c>
      <c r="AQ1975" t="inlineStr">
        <is>
          <t>Yes</t>
        </is>
      </c>
      <c r="AR1975">
        <f>HYPERLINK("http://catalog.hathitrust.org/Record/001257732","HathiTrust Record")</f>
        <v/>
      </c>
      <c r="AS1975">
        <f>HYPERLINK("https://creighton-primo.hosted.exlibrisgroup.com/primo-explore/search?tab=default_tab&amp;search_scope=EVERYTHING&amp;vid=01CRU&amp;lang=en_US&amp;offset=0&amp;query=any,contains,991003255759702656","Catalog Record")</f>
        <v/>
      </c>
      <c r="AT1975">
        <f>HYPERLINK("http://www.worldcat.org/oclc/780794","WorldCat Record")</f>
        <v/>
      </c>
      <c r="AU1975" t="inlineStr">
        <is>
          <t>375568023:eng</t>
        </is>
      </c>
      <c r="AV1975" t="inlineStr">
        <is>
          <t>780794</t>
        </is>
      </c>
      <c r="AW1975" t="inlineStr">
        <is>
          <t>991003255759702656</t>
        </is>
      </c>
      <c r="AX1975" t="inlineStr">
        <is>
          <t>991003255759702656</t>
        </is>
      </c>
      <c r="AY1975" t="inlineStr">
        <is>
          <t>2260290370002656</t>
        </is>
      </c>
      <c r="AZ1975" t="inlineStr">
        <is>
          <t>BOOK</t>
        </is>
      </c>
      <c r="BC1975" t="inlineStr">
        <is>
          <t>32285002273588</t>
        </is>
      </c>
      <c r="BD1975" t="inlineStr">
        <is>
          <t>893887292</t>
        </is>
      </c>
    </row>
    <row r="1976">
      <c r="A1976" t="inlineStr">
        <is>
          <t>No</t>
        </is>
      </c>
      <c r="B1976" t="inlineStr">
        <is>
          <t>DS740.2 .I8</t>
        </is>
      </c>
      <c r="C1976" t="inlineStr">
        <is>
          <t>0                      DS 0740200I  8</t>
        </is>
      </c>
      <c r="D1976" t="inlineStr">
        <is>
          <t>Student nationalism in China, 1927-1937.</t>
        </is>
      </c>
      <c r="F1976" t="inlineStr">
        <is>
          <t>No</t>
        </is>
      </c>
      <c r="G1976" t="inlineStr">
        <is>
          <t>1</t>
        </is>
      </c>
      <c r="H1976" t="inlineStr">
        <is>
          <t>No</t>
        </is>
      </c>
      <c r="I1976" t="inlineStr">
        <is>
          <t>No</t>
        </is>
      </c>
      <c r="J1976" t="inlineStr">
        <is>
          <t>0</t>
        </is>
      </c>
      <c r="K1976" t="inlineStr">
        <is>
          <t>Israel, John.</t>
        </is>
      </c>
      <c r="L1976" t="inlineStr">
        <is>
          <t>Stanford, Calif., Published for the Hoover Institution on War, Revolution, and Peace by Stanford University Press, 1966.</t>
        </is>
      </c>
      <c r="M1976" t="inlineStr">
        <is>
          <t>1966</t>
        </is>
      </c>
      <c r="O1976" t="inlineStr">
        <is>
          <t>eng</t>
        </is>
      </c>
      <c r="P1976" t="inlineStr">
        <is>
          <t>cau</t>
        </is>
      </c>
      <c r="Q1976" t="inlineStr">
        <is>
          <t>Hoover Institution publications</t>
        </is>
      </c>
      <c r="R1976" t="inlineStr">
        <is>
          <t xml:space="preserve">DS </t>
        </is>
      </c>
      <c r="S1976" t="n">
        <v>3</v>
      </c>
      <c r="T1976" t="n">
        <v>3</v>
      </c>
      <c r="U1976" t="inlineStr">
        <is>
          <t>2005-05-03</t>
        </is>
      </c>
      <c r="V1976" t="inlineStr">
        <is>
          <t>2005-05-03</t>
        </is>
      </c>
      <c r="W1976" t="inlineStr">
        <is>
          <t>1996-08-09</t>
        </is>
      </c>
      <c r="X1976" t="inlineStr">
        <is>
          <t>1996-08-09</t>
        </is>
      </c>
      <c r="Y1976" t="n">
        <v>816</v>
      </c>
      <c r="Z1976" t="n">
        <v>686</v>
      </c>
      <c r="AA1976" t="n">
        <v>688</v>
      </c>
      <c r="AB1976" t="n">
        <v>8</v>
      </c>
      <c r="AC1976" t="n">
        <v>8</v>
      </c>
      <c r="AD1976" t="n">
        <v>39</v>
      </c>
      <c r="AE1976" t="n">
        <v>39</v>
      </c>
      <c r="AF1976" t="n">
        <v>14</v>
      </c>
      <c r="AG1976" t="n">
        <v>14</v>
      </c>
      <c r="AH1976" t="n">
        <v>8</v>
      </c>
      <c r="AI1976" t="n">
        <v>8</v>
      </c>
      <c r="AJ1976" t="n">
        <v>19</v>
      </c>
      <c r="AK1976" t="n">
        <v>19</v>
      </c>
      <c r="AL1976" t="n">
        <v>7</v>
      </c>
      <c r="AM1976" t="n">
        <v>7</v>
      </c>
      <c r="AN1976" t="n">
        <v>0</v>
      </c>
      <c r="AO1976" t="n">
        <v>0</v>
      </c>
      <c r="AP1976" t="inlineStr">
        <is>
          <t>No</t>
        </is>
      </c>
      <c r="AQ1976" t="inlineStr">
        <is>
          <t>No</t>
        </is>
      </c>
      <c r="AS1976">
        <f>HYPERLINK("https://creighton-primo.hosted.exlibrisgroup.com/primo-explore/search?tab=default_tab&amp;search_scope=EVERYTHING&amp;vid=01CRU&amp;lang=en_US&amp;offset=0&amp;query=any,contains,991002719519702656","Catalog Record")</f>
        <v/>
      </c>
      <c r="AT1976">
        <f>HYPERLINK("http://www.worldcat.org/oclc/412225","WorldCat Record")</f>
        <v/>
      </c>
      <c r="AU1976" t="inlineStr">
        <is>
          <t>297997974:eng</t>
        </is>
      </c>
      <c r="AV1976" t="inlineStr">
        <is>
          <t>412225</t>
        </is>
      </c>
      <c r="AW1976" t="inlineStr">
        <is>
          <t>991002719519702656</t>
        </is>
      </c>
      <c r="AX1976" t="inlineStr">
        <is>
          <t>991002719519702656</t>
        </is>
      </c>
      <c r="AY1976" t="inlineStr">
        <is>
          <t>2264479800002656</t>
        </is>
      </c>
      <c r="AZ1976" t="inlineStr">
        <is>
          <t>BOOK</t>
        </is>
      </c>
      <c r="BC1976" t="inlineStr">
        <is>
          <t>32285002273596</t>
        </is>
      </c>
      <c r="BD1976" t="inlineStr">
        <is>
          <t>893610198</t>
        </is>
      </c>
    </row>
    <row r="1977">
      <c r="A1977" t="inlineStr">
        <is>
          <t>No</t>
        </is>
      </c>
      <c r="B1977" t="inlineStr">
        <is>
          <t>DS740.4 .C2 1976</t>
        </is>
      </c>
      <c r="C1977" t="inlineStr">
        <is>
          <t>0                      DS 0740400C  2           1976</t>
        </is>
      </c>
      <c r="D1977" t="inlineStr">
        <is>
          <t>Barbarians and mandarins : thirteen centuries of Western travelers in China / Nigel Cameron.</t>
        </is>
      </c>
      <c r="F1977" t="inlineStr">
        <is>
          <t>No</t>
        </is>
      </c>
      <c r="G1977" t="inlineStr">
        <is>
          <t>1</t>
        </is>
      </c>
      <c r="H1977" t="inlineStr">
        <is>
          <t>No</t>
        </is>
      </c>
      <c r="I1977" t="inlineStr">
        <is>
          <t>No</t>
        </is>
      </c>
      <c r="J1977" t="inlineStr">
        <is>
          <t>0</t>
        </is>
      </c>
      <c r="K1977" t="inlineStr">
        <is>
          <t>Cameron, Nigel, 1911-</t>
        </is>
      </c>
      <c r="L1977" t="inlineStr">
        <is>
          <t>Chicago : University of Chicago Press, 1976.</t>
        </is>
      </c>
      <c r="M1977" t="inlineStr">
        <is>
          <t>1976</t>
        </is>
      </c>
      <c r="O1977" t="inlineStr">
        <is>
          <t>eng</t>
        </is>
      </c>
      <c r="P1977" t="inlineStr">
        <is>
          <t>ilu</t>
        </is>
      </c>
      <c r="R1977" t="inlineStr">
        <is>
          <t xml:space="preserve">DS </t>
        </is>
      </c>
      <c r="S1977" t="n">
        <v>1</v>
      </c>
      <c r="T1977" t="n">
        <v>1</v>
      </c>
      <c r="U1977" t="inlineStr">
        <is>
          <t>2004-11-28</t>
        </is>
      </c>
      <c r="V1977" t="inlineStr">
        <is>
          <t>2004-11-28</t>
        </is>
      </c>
      <c r="W1977" t="inlineStr">
        <is>
          <t>1997-03-12</t>
        </is>
      </c>
      <c r="X1977" t="inlineStr">
        <is>
          <t>1997-03-12</t>
        </is>
      </c>
      <c r="Y1977" t="n">
        <v>142</v>
      </c>
      <c r="Z1977" t="n">
        <v>116</v>
      </c>
      <c r="AA1977" t="n">
        <v>607</v>
      </c>
      <c r="AB1977" t="n">
        <v>1</v>
      </c>
      <c r="AC1977" t="n">
        <v>8</v>
      </c>
      <c r="AD1977" t="n">
        <v>3</v>
      </c>
      <c r="AE1977" t="n">
        <v>29</v>
      </c>
      <c r="AF1977" t="n">
        <v>0</v>
      </c>
      <c r="AG1977" t="n">
        <v>9</v>
      </c>
      <c r="AH1977" t="n">
        <v>2</v>
      </c>
      <c r="AI1977" t="n">
        <v>6</v>
      </c>
      <c r="AJ1977" t="n">
        <v>2</v>
      </c>
      <c r="AK1977" t="n">
        <v>14</v>
      </c>
      <c r="AL1977" t="n">
        <v>0</v>
      </c>
      <c r="AM1977" t="n">
        <v>7</v>
      </c>
      <c r="AN1977" t="n">
        <v>0</v>
      </c>
      <c r="AO1977" t="n">
        <v>0</v>
      </c>
      <c r="AP1977" t="inlineStr">
        <is>
          <t>No</t>
        </is>
      </c>
      <c r="AQ1977" t="inlineStr">
        <is>
          <t>No</t>
        </is>
      </c>
      <c r="AS1977">
        <f>HYPERLINK("https://creighton-primo.hosted.exlibrisgroup.com/primo-explore/search?tab=default_tab&amp;search_scope=EVERYTHING&amp;vid=01CRU&amp;lang=en_US&amp;offset=0&amp;query=any,contains,991004072359702656","Catalog Record")</f>
        <v/>
      </c>
      <c r="AT1977">
        <f>HYPERLINK("http://www.worldcat.org/oclc/2307520","WorldCat Record")</f>
        <v/>
      </c>
      <c r="AU1977" t="inlineStr">
        <is>
          <t>22455445:eng</t>
        </is>
      </c>
      <c r="AV1977" t="inlineStr">
        <is>
          <t>2307520</t>
        </is>
      </c>
      <c r="AW1977" t="inlineStr">
        <is>
          <t>991004072359702656</t>
        </is>
      </c>
      <c r="AX1977" t="inlineStr">
        <is>
          <t>991004072359702656</t>
        </is>
      </c>
      <c r="AY1977" t="inlineStr">
        <is>
          <t>2264481710002656</t>
        </is>
      </c>
      <c r="AZ1977" t="inlineStr">
        <is>
          <t>BOOK</t>
        </is>
      </c>
      <c r="BB1977" t="inlineStr">
        <is>
          <t>9780226092294</t>
        </is>
      </c>
      <c r="BC1977" t="inlineStr">
        <is>
          <t>32285002446697</t>
        </is>
      </c>
      <c r="BD1977" t="inlineStr">
        <is>
          <t>893353198</t>
        </is>
      </c>
    </row>
    <row r="1978">
      <c r="A1978" t="inlineStr">
        <is>
          <t>No</t>
        </is>
      </c>
      <c r="B1978" t="inlineStr">
        <is>
          <t>DS740.4 .C35455</t>
        </is>
      </c>
      <c r="C1978" t="inlineStr">
        <is>
          <t>0                      DS 0740400C  35455</t>
        </is>
      </c>
      <c r="D1978" t="inlineStr">
        <is>
          <t>The Chinese world order; traditional China's foreign relations. Edited by John King Fairbank. With contributions by Ta-tuan Chʻen [and others]</t>
        </is>
      </c>
      <c r="F1978" t="inlineStr">
        <is>
          <t>No</t>
        </is>
      </c>
      <c r="G1978" t="inlineStr">
        <is>
          <t>1</t>
        </is>
      </c>
      <c r="H1978" t="inlineStr">
        <is>
          <t>No</t>
        </is>
      </c>
      <c r="I1978" t="inlineStr">
        <is>
          <t>No</t>
        </is>
      </c>
      <c r="J1978" t="inlineStr">
        <is>
          <t>0</t>
        </is>
      </c>
      <c r="L1978" t="inlineStr">
        <is>
          <t>Cambridge, Harvard University Press, 1968.</t>
        </is>
      </c>
      <c r="M1978" t="inlineStr">
        <is>
          <t>1968</t>
        </is>
      </c>
      <c r="O1978" t="inlineStr">
        <is>
          <t>eng</t>
        </is>
      </c>
      <c r="P1978" t="inlineStr">
        <is>
          <t>mau</t>
        </is>
      </c>
      <c r="Q1978" t="inlineStr">
        <is>
          <t>Harvard East Asian series ; 32</t>
        </is>
      </c>
      <c r="R1978" t="inlineStr">
        <is>
          <t xml:space="preserve">DS </t>
        </is>
      </c>
      <c r="S1978" t="n">
        <v>89</v>
      </c>
      <c r="T1978" t="n">
        <v>89</v>
      </c>
      <c r="U1978" t="inlineStr">
        <is>
          <t>1999-05-06</t>
        </is>
      </c>
      <c r="V1978" t="inlineStr">
        <is>
          <t>1999-05-06</t>
        </is>
      </c>
      <c r="W1978" t="inlineStr">
        <is>
          <t>1997-03-12</t>
        </is>
      </c>
      <c r="X1978" t="inlineStr">
        <is>
          <t>1997-03-12</t>
        </is>
      </c>
      <c r="Y1978" t="n">
        <v>915</v>
      </c>
      <c r="Z1978" t="n">
        <v>744</v>
      </c>
      <c r="AA1978" t="n">
        <v>758</v>
      </c>
      <c r="AB1978" t="n">
        <v>4</v>
      </c>
      <c r="AC1978" t="n">
        <v>4</v>
      </c>
      <c r="AD1978" t="n">
        <v>36</v>
      </c>
      <c r="AE1978" t="n">
        <v>36</v>
      </c>
      <c r="AF1978" t="n">
        <v>12</v>
      </c>
      <c r="AG1978" t="n">
        <v>12</v>
      </c>
      <c r="AH1978" t="n">
        <v>10</v>
      </c>
      <c r="AI1978" t="n">
        <v>10</v>
      </c>
      <c r="AJ1978" t="n">
        <v>21</v>
      </c>
      <c r="AK1978" t="n">
        <v>21</v>
      </c>
      <c r="AL1978" t="n">
        <v>3</v>
      </c>
      <c r="AM1978" t="n">
        <v>3</v>
      </c>
      <c r="AN1978" t="n">
        <v>0</v>
      </c>
      <c r="AO1978" t="n">
        <v>0</v>
      </c>
      <c r="AP1978" t="inlineStr">
        <is>
          <t>No</t>
        </is>
      </c>
      <c r="AQ1978" t="inlineStr">
        <is>
          <t>Yes</t>
        </is>
      </c>
      <c r="AR1978">
        <f>HYPERLINK("http://catalog.hathitrust.org/Record/000005763","HathiTrust Record")</f>
        <v/>
      </c>
      <c r="AS1978">
        <f>HYPERLINK("https://creighton-primo.hosted.exlibrisgroup.com/primo-explore/search?tab=default_tab&amp;search_scope=EVERYTHING&amp;vid=01CRU&amp;lang=en_US&amp;offset=0&amp;query=any,contains,991002332749702656","Catalog Record")</f>
        <v/>
      </c>
      <c r="AT1978">
        <f>HYPERLINK("http://www.worldcat.org/oclc/322527","WorldCat Record")</f>
        <v/>
      </c>
      <c r="AU1978" t="inlineStr">
        <is>
          <t>498019940:eng</t>
        </is>
      </c>
      <c r="AV1978" t="inlineStr">
        <is>
          <t>322527</t>
        </is>
      </c>
      <c r="AW1978" t="inlineStr">
        <is>
          <t>991002332749702656</t>
        </is>
      </c>
      <c r="AX1978" t="inlineStr">
        <is>
          <t>991002332749702656</t>
        </is>
      </c>
      <c r="AY1978" t="inlineStr">
        <is>
          <t>2257163740002656</t>
        </is>
      </c>
      <c r="AZ1978" t="inlineStr">
        <is>
          <t>BOOK</t>
        </is>
      </c>
      <c r="BB1978" t="inlineStr">
        <is>
          <t>9780196264257</t>
        </is>
      </c>
      <c r="BC1978" t="inlineStr">
        <is>
          <t>32285002446739</t>
        </is>
      </c>
      <c r="BD1978" t="inlineStr">
        <is>
          <t>893792332</t>
        </is>
      </c>
    </row>
    <row r="1979">
      <c r="A1979" t="inlineStr">
        <is>
          <t>No</t>
        </is>
      </c>
      <c r="B1979" t="inlineStr">
        <is>
          <t>DS740.4 .C56</t>
        </is>
      </c>
      <c r="C1979" t="inlineStr">
        <is>
          <t>0                      DS 0740400C  56</t>
        </is>
      </c>
      <c r="D1979" t="inlineStr">
        <is>
          <t>Chinese perception of the world / G. W. Choudhury. --</t>
        </is>
      </c>
      <c r="F1979" t="inlineStr">
        <is>
          <t>No</t>
        </is>
      </c>
      <c r="G1979" t="inlineStr">
        <is>
          <t>1</t>
        </is>
      </c>
      <c r="H1979" t="inlineStr">
        <is>
          <t>No</t>
        </is>
      </c>
      <c r="I1979" t="inlineStr">
        <is>
          <t>No</t>
        </is>
      </c>
      <c r="J1979" t="inlineStr">
        <is>
          <t>0</t>
        </is>
      </c>
      <c r="K1979" t="inlineStr">
        <is>
          <t>Choudhury, G. W. (Golam Wahed), 1926-1997.</t>
        </is>
      </c>
      <c r="L1979" t="inlineStr">
        <is>
          <t>Washington : University Press of America, c1977.</t>
        </is>
      </c>
      <c r="M1979" t="inlineStr">
        <is>
          <t>1977</t>
        </is>
      </c>
      <c r="O1979" t="inlineStr">
        <is>
          <t>eng</t>
        </is>
      </c>
      <c r="P1979" t="inlineStr">
        <is>
          <t>dcu</t>
        </is>
      </c>
      <c r="Q1979" t="inlineStr">
        <is>
          <t>North Carolina Central University. Center for International Studies. International studies series.</t>
        </is>
      </c>
      <c r="R1979" t="inlineStr">
        <is>
          <t xml:space="preserve">DS </t>
        </is>
      </c>
      <c r="S1979" t="n">
        <v>3</v>
      </c>
      <c r="T1979" t="n">
        <v>3</v>
      </c>
      <c r="U1979" t="inlineStr">
        <is>
          <t>1996-01-08</t>
        </is>
      </c>
      <c r="V1979" t="inlineStr">
        <is>
          <t>1996-01-08</t>
        </is>
      </c>
      <c r="W1979" t="inlineStr">
        <is>
          <t>1990-10-15</t>
        </is>
      </c>
      <c r="X1979" t="inlineStr">
        <is>
          <t>1990-10-15</t>
        </is>
      </c>
      <c r="Y1979" t="n">
        <v>300</v>
      </c>
      <c r="Z1979" t="n">
        <v>263</v>
      </c>
      <c r="AA1979" t="n">
        <v>269</v>
      </c>
      <c r="AB1979" t="n">
        <v>3</v>
      </c>
      <c r="AC1979" t="n">
        <v>3</v>
      </c>
      <c r="AD1979" t="n">
        <v>14</v>
      </c>
      <c r="AE1979" t="n">
        <v>14</v>
      </c>
      <c r="AF1979" t="n">
        <v>3</v>
      </c>
      <c r="AG1979" t="n">
        <v>3</v>
      </c>
      <c r="AH1979" t="n">
        <v>6</v>
      </c>
      <c r="AI1979" t="n">
        <v>6</v>
      </c>
      <c r="AJ1979" t="n">
        <v>9</v>
      </c>
      <c r="AK1979" t="n">
        <v>9</v>
      </c>
      <c r="AL1979" t="n">
        <v>2</v>
      </c>
      <c r="AM1979" t="n">
        <v>2</v>
      </c>
      <c r="AN1979" t="n">
        <v>0</v>
      </c>
      <c r="AO1979" t="n">
        <v>0</v>
      </c>
      <c r="AP1979" t="inlineStr">
        <is>
          <t>No</t>
        </is>
      </c>
      <c r="AQ1979" t="inlineStr">
        <is>
          <t>Yes</t>
        </is>
      </c>
      <c r="AR1979">
        <f>HYPERLINK("http://catalog.hathitrust.org/Record/000177102","HathiTrust Record")</f>
        <v/>
      </c>
      <c r="AS1979">
        <f>HYPERLINK("https://creighton-primo.hosted.exlibrisgroup.com/primo-explore/search?tab=default_tab&amp;search_scope=EVERYTHING&amp;vid=01CRU&amp;lang=en_US&amp;offset=0&amp;query=any,contains,991004569399702656","Catalog Record")</f>
        <v/>
      </c>
      <c r="AT1979">
        <f>HYPERLINK("http://www.worldcat.org/oclc/4013300","WorldCat Record")</f>
        <v/>
      </c>
      <c r="AU1979" t="inlineStr">
        <is>
          <t>13868485:eng</t>
        </is>
      </c>
      <c r="AV1979" t="inlineStr">
        <is>
          <t>4013300</t>
        </is>
      </c>
      <c r="AW1979" t="inlineStr">
        <is>
          <t>991004569399702656</t>
        </is>
      </c>
      <c r="AX1979" t="inlineStr">
        <is>
          <t>991004569399702656</t>
        </is>
      </c>
      <c r="AY1979" t="inlineStr">
        <is>
          <t>2270665530002656</t>
        </is>
      </c>
      <c r="AZ1979" t="inlineStr">
        <is>
          <t>BOOK</t>
        </is>
      </c>
      <c r="BB1979" t="inlineStr">
        <is>
          <t>9780819105271</t>
        </is>
      </c>
      <c r="BC1979" t="inlineStr">
        <is>
          <t>32285000338334</t>
        </is>
      </c>
      <c r="BD1979" t="inlineStr">
        <is>
          <t>893618826</t>
        </is>
      </c>
    </row>
    <row r="1980">
      <c r="A1980" t="inlineStr">
        <is>
          <t>No</t>
        </is>
      </c>
      <c r="B1980" t="inlineStr">
        <is>
          <t>DS740.4 .M6</t>
        </is>
      </c>
      <c r="C1980" t="inlineStr">
        <is>
          <t>0                      DS 0740400M  6</t>
        </is>
      </c>
      <c r="D1980" t="inlineStr">
        <is>
          <t>The international relations of the Chinese empire, by Hosea Ballou Morse ...</t>
        </is>
      </c>
      <c r="E1980" t="inlineStr">
        <is>
          <t>V.3</t>
        </is>
      </c>
      <c r="F1980" t="inlineStr">
        <is>
          <t>Yes</t>
        </is>
      </c>
      <c r="G1980" t="inlineStr">
        <is>
          <t>1</t>
        </is>
      </c>
      <c r="H1980" t="inlineStr">
        <is>
          <t>No</t>
        </is>
      </c>
      <c r="I1980" t="inlineStr">
        <is>
          <t>No</t>
        </is>
      </c>
      <c r="J1980" t="inlineStr">
        <is>
          <t>0</t>
        </is>
      </c>
      <c r="K1980" t="inlineStr">
        <is>
          <t>Morse, Hosea Ballou, 1855-1934.</t>
        </is>
      </c>
      <c r="L1980" t="inlineStr">
        <is>
          <t>London, New York [etc.] Longmans, Green, and Co., 1910-18.</t>
        </is>
      </c>
      <c r="M1980" t="inlineStr">
        <is>
          <t>1910</t>
        </is>
      </c>
      <c r="O1980" t="inlineStr">
        <is>
          <t>eng</t>
        </is>
      </c>
      <c r="P1980" t="inlineStr">
        <is>
          <t>enk</t>
        </is>
      </c>
      <c r="R1980" t="inlineStr">
        <is>
          <t xml:space="preserve">DS </t>
        </is>
      </c>
      <c r="S1980" t="n">
        <v>2</v>
      </c>
      <c r="T1980" t="n">
        <v>6</v>
      </c>
      <c r="U1980" t="inlineStr">
        <is>
          <t>1999-06-08</t>
        </is>
      </c>
      <c r="V1980" t="inlineStr">
        <is>
          <t>1999-06-08</t>
        </is>
      </c>
      <c r="W1980" t="inlineStr">
        <is>
          <t>1997-03-12</t>
        </is>
      </c>
      <c r="X1980" t="inlineStr">
        <is>
          <t>1997-03-12</t>
        </is>
      </c>
      <c r="Y1980" t="n">
        <v>302</v>
      </c>
      <c r="Z1980" t="n">
        <v>247</v>
      </c>
      <c r="AA1980" t="n">
        <v>537</v>
      </c>
      <c r="AB1980" t="n">
        <v>2</v>
      </c>
      <c r="AC1980" t="n">
        <v>5</v>
      </c>
      <c r="AD1980" t="n">
        <v>8</v>
      </c>
      <c r="AE1980" t="n">
        <v>24</v>
      </c>
      <c r="AF1980" t="n">
        <v>4</v>
      </c>
      <c r="AG1980" t="n">
        <v>8</v>
      </c>
      <c r="AH1980" t="n">
        <v>2</v>
      </c>
      <c r="AI1980" t="n">
        <v>6</v>
      </c>
      <c r="AJ1980" t="n">
        <v>3</v>
      </c>
      <c r="AK1980" t="n">
        <v>11</v>
      </c>
      <c r="AL1980" t="n">
        <v>1</v>
      </c>
      <c r="AM1980" t="n">
        <v>3</v>
      </c>
      <c r="AN1980" t="n">
        <v>0</v>
      </c>
      <c r="AO1980" t="n">
        <v>2</v>
      </c>
      <c r="AP1980" t="inlineStr">
        <is>
          <t>Yes</t>
        </is>
      </c>
      <c r="AQ1980" t="inlineStr">
        <is>
          <t>No</t>
        </is>
      </c>
      <c r="AR1980">
        <f>HYPERLINK("http://catalog.hathitrust.org/Record/001257728","HathiTrust Record")</f>
        <v/>
      </c>
      <c r="AS1980">
        <f>HYPERLINK("https://creighton-primo.hosted.exlibrisgroup.com/primo-explore/search?tab=default_tab&amp;search_scope=EVERYTHING&amp;vid=01CRU&amp;lang=en_US&amp;offset=0&amp;query=any,contains,991004242619702656","Catalog Record")</f>
        <v/>
      </c>
      <c r="AT1980">
        <f>HYPERLINK("http://www.worldcat.org/oclc/2792331","WorldCat Record")</f>
        <v/>
      </c>
      <c r="AU1980" t="inlineStr">
        <is>
          <t>2864024169:eng</t>
        </is>
      </c>
      <c r="AV1980" t="inlineStr">
        <is>
          <t>2792331</t>
        </is>
      </c>
      <c r="AW1980" t="inlineStr">
        <is>
          <t>991004242619702656</t>
        </is>
      </c>
      <c r="AX1980" t="inlineStr">
        <is>
          <t>991004242619702656</t>
        </is>
      </c>
      <c r="AY1980" t="inlineStr">
        <is>
          <t>2267772300002656</t>
        </is>
      </c>
      <c r="AZ1980" t="inlineStr">
        <is>
          <t>BOOK</t>
        </is>
      </c>
      <c r="BC1980" t="inlineStr">
        <is>
          <t>32285002446838</t>
        </is>
      </c>
      <c r="BD1980" t="inlineStr">
        <is>
          <t>893353301</t>
        </is>
      </c>
    </row>
    <row r="1981">
      <c r="A1981" t="inlineStr">
        <is>
          <t>No</t>
        </is>
      </c>
      <c r="B1981" t="inlineStr">
        <is>
          <t>DS740.4 .M6</t>
        </is>
      </c>
      <c r="C1981" t="inlineStr">
        <is>
          <t>0                      DS 0740400M  6</t>
        </is>
      </c>
      <c r="D1981" t="inlineStr">
        <is>
          <t>The international relations of the Chinese empire, by Hosea Ballou Morse ...</t>
        </is>
      </c>
      <c r="E1981" t="inlineStr">
        <is>
          <t>V.2</t>
        </is>
      </c>
      <c r="F1981" t="inlineStr">
        <is>
          <t>Yes</t>
        </is>
      </c>
      <c r="G1981" t="inlineStr">
        <is>
          <t>1</t>
        </is>
      </c>
      <c r="H1981" t="inlineStr">
        <is>
          <t>No</t>
        </is>
      </c>
      <c r="I1981" t="inlineStr">
        <is>
          <t>No</t>
        </is>
      </c>
      <c r="J1981" t="inlineStr">
        <is>
          <t>0</t>
        </is>
      </c>
      <c r="K1981" t="inlineStr">
        <is>
          <t>Morse, Hosea Ballou, 1855-1934.</t>
        </is>
      </c>
      <c r="L1981" t="inlineStr">
        <is>
          <t>London, New York [etc.] Longmans, Green, and Co., 1910-18.</t>
        </is>
      </c>
      <c r="M1981" t="inlineStr">
        <is>
          <t>1910</t>
        </is>
      </c>
      <c r="O1981" t="inlineStr">
        <is>
          <t>eng</t>
        </is>
      </c>
      <c r="P1981" t="inlineStr">
        <is>
          <t>enk</t>
        </is>
      </c>
      <c r="R1981" t="inlineStr">
        <is>
          <t xml:space="preserve">DS </t>
        </is>
      </c>
      <c r="S1981" t="n">
        <v>2</v>
      </c>
      <c r="T1981" t="n">
        <v>6</v>
      </c>
      <c r="U1981" t="inlineStr">
        <is>
          <t>1999-06-08</t>
        </is>
      </c>
      <c r="V1981" t="inlineStr">
        <is>
          <t>1999-06-08</t>
        </is>
      </c>
      <c r="W1981" t="inlineStr">
        <is>
          <t>1997-03-12</t>
        </is>
      </c>
      <c r="X1981" t="inlineStr">
        <is>
          <t>1997-03-12</t>
        </is>
      </c>
      <c r="Y1981" t="n">
        <v>302</v>
      </c>
      <c r="Z1981" t="n">
        <v>247</v>
      </c>
      <c r="AA1981" t="n">
        <v>537</v>
      </c>
      <c r="AB1981" t="n">
        <v>2</v>
      </c>
      <c r="AC1981" t="n">
        <v>5</v>
      </c>
      <c r="AD1981" t="n">
        <v>8</v>
      </c>
      <c r="AE1981" t="n">
        <v>24</v>
      </c>
      <c r="AF1981" t="n">
        <v>4</v>
      </c>
      <c r="AG1981" t="n">
        <v>8</v>
      </c>
      <c r="AH1981" t="n">
        <v>2</v>
      </c>
      <c r="AI1981" t="n">
        <v>6</v>
      </c>
      <c r="AJ1981" t="n">
        <v>3</v>
      </c>
      <c r="AK1981" t="n">
        <v>11</v>
      </c>
      <c r="AL1981" t="n">
        <v>1</v>
      </c>
      <c r="AM1981" t="n">
        <v>3</v>
      </c>
      <c r="AN1981" t="n">
        <v>0</v>
      </c>
      <c r="AO1981" t="n">
        <v>2</v>
      </c>
      <c r="AP1981" t="inlineStr">
        <is>
          <t>Yes</t>
        </is>
      </c>
      <c r="AQ1981" t="inlineStr">
        <is>
          <t>No</t>
        </is>
      </c>
      <c r="AR1981">
        <f>HYPERLINK("http://catalog.hathitrust.org/Record/001257728","HathiTrust Record")</f>
        <v/>
      </c>
      <c r="AS1981">
        <f>HYPERLINK("https://creighton-primo.hosted.exlibrisgroup.com/primo-explore/search?tab=default_tab&amp;search_scope=EVERYTHING&amp;vid=01CRU&amp;lang=en_US&amp;offset=0&amp;query=any,contains,991004242619702656","Catalog Record")</f>
        <v/>
      </c>
      <c r="AT1981">
        <f>HYPERLINK("http://www.worldcat.org/oclc/2792331","WorldCat Record")</f>
        <v/>
      </c>
      <c r="AU1981" t="inlineStr">
        <is>
          <t>2864024169:eng</t>
        </is>
      </c>
      <c r="AV1981" t="inlineStr">
        <is>
          <t>2792331</t>
        </is>
      </c>
      <c r="AW1981" t="inlineStr">
        <is>
          <t>991004242619702656</t>
        </is>
      </c>
      <c r="AX1981" t="inlineStr">
        <is>
          <t>991004242619702656</t>
        </is>
      </c>
      <c r="AY1981" t="inlineStr">
        <is>
          <t>2267772300002656</t>
        </is>
      </c>
      <c r="AZ1981" t="inlineStr">
        <is>
          <t>BOOK</t>
        </is>
      </c>
      <c r="BC1981" t="inlineStr">
        <is>
          <t>32285002446820</t>
        </is>
      </c>
      <c r="BD1981" t="inlineStr">
        <is>
          <t>893353302</t>
        </is>
      </c>
    </row>
    <row r="1982">
      <c r="A1982" t="inlineStr">
        <is>
          <t>No</t>
        </is>
      </c>
      <c r="B1982" t="inlineStr">
        <is>
          <t>DS740.4 .M6</t>
        </is>
      </c>
      <c r="C1982" t="inlineStr">
        <is>
          <t>0                      DS 0740400M  6</t>
        </is>
      </c>
      <c r="D1982" t="inlineStr">
        <is>
          <t>The international relations of the Chinese empire, by Hosea Ballou Morse ...</t>
        </is>
      </c>
      <c r="E1982" t="inlineStr">
        <is>
          <t>V.1</t>
        </is>
      </c>
      <c r="F1982" t="inlineStr">
        <is>
          <t>Yes</t>
        </is>
      </c>
      <c r="G1982" t="inlineStr">
        <is>
          <t>1</t>
        </is>
      </c>
      <c r="H1982" t="inlineStr">
        <is>
          <t>No</t>
        </is>
      </c>
      <c r="I1982" t="inlineStr">
        <is>
          <t>No</t>
        </is>
      </c>
      <c r="J1982" t="inlineStr">
        <is>
          <t>0</t>
        </is>
      </c>
      <c r="K1982" t="inlineStr">
        <is>
          <t>Morse, Hosea Ballou, 1855-1934.</t>
        </is>
      </c>
      <c r="L1982" t="inlineStr">
        <is>
          <t>London, New York [etc.] Longmans, Green, and Co., 1910-18.</t>
        </is>
      </c>
      <c r="M1982" t="inlineStr">
        <is>
          <t>1910</t>
        </is>
      </c>
      <c r="O1982" t="inlineStr">
        <is>
          <t>eng</t>
        </is>
      </c>
      <c r="P1982" t="inlineStr">
        <is>
          <t>enk</t>
        </is>
      </c>
      <c r="R1982" t="inlineStr">
        <is>
          <t xml:space="preserve">DS </t>
        </is>
      </c>
      <c r="S1982" t="n">
        <v>2</v>
      </c>
      <c r="T1982" t="n">
        <v>6</v>
      </c>
      <c r="U1982" t="inlineStr">
        <is>
          <t>1999-06-08</t>
        </is>
      </c>
      <c r="V1982" t="inlineStr">
        <is>
          <t>1999-06-08</t>
        </is>
      </c>
      <c r="W1982" t="inlineStr">
        <is>
          <t>1997-03-12</t>
        </is>
      </c>
      <c r="X1982" t="inlineStr">
        <is>
          <t>1997-03-12</t>
        </is>
      </c>
      <c r="Y1982" t="n">
        <v>302</v>
      </c>
      <c r="Z1982" t="n">
        <v>247</v>
      </c>
      <c r="AA1982" t="n">
        <v>537</v>
      </c>
      <c r="AB1982" t="n">
        <v>2</v>
      </c>
      <c r="AC1982" t="n">
        <v>5</v>
      </c>
      <c r="AD1982" t="n">
        <v>8</v>
      </c>
      <c r="AE1982" t="n">
        <v>24</v>
      </c>
      <c r="AF1982" t="n">
        <v>4</v>
      </c>
      <c r="AG1982" t="n">
        <v>8</v>
      </c>
      <c r="AH1982" t="n">
        <v>2</v>
      </c>
      <c r="AI1982" t="n">
        <v>6</v>
      </c>
      <c r="AJ1982" t="n">
        <v>3</v>
      </c>
      <c r="AK1982" t="n">
        <v>11</v>
      </c>
      <c r="AL1982" t="n">
        <v>1</v>
      </c>
      <c r="AM1982" t="n">
        <v>3</v>
      </c>
      <c r="AN1982" t="n">
        <v>0</v>
      </c>
      <c r="AO1982" t="n">
        <v>2</v>
      </c>
      <c r="AP1982" t="inlineStr">
        <is>
          <t>Yes</t>
        </is>
      </c>
      <c r="AQ1982" t="inlineStr">
        <is>
          <t>No</t>
        </is>
      </c>
      <c r="AR1982">
        <f>HYPERLINK("http://catalog.hathitrust.org/Record/001257728","HathiTrust Record")</f>
        <v/>
      </c>
      <c r="AS1982">
        <f>HYPERLINK("https://creighton-primo.hosted.exlibrisgroup.com/primo-explore/search?tab=default_tab&amp;search_scope=EVERYTHING&amp;vid=01CRU&amp;lang=en_US&amp;offset=0&amp;query=any,contains,991004242619702656","Catalog Record")</f>
        <v/>
      </c>
      <c r="AT1982">
        <f>HYPERLINK("http://www.worldcat.org/oclc/2792331","WorldCat Record")</f>
        <v/>
      </c>
      <c r="AU1982" t="inlineStr">
        <is>
          <t>2864024169:eng</t>
        </is>
      </c>
      <c r="AV1982" t="inlineStr">
        <is>
          <t>2792331</t>
        </is>
      </c>
      <c r="AW1982" t="inlineStr">
        <is>
          <t>991004242619702656</t>
        </is>
      </c>
      <c r="AX1982" t="inlineStr">
        <is>
          <t>991004242619702656</t>
        </is>
      </c>
      <c r="AY1982" t="inlineStr">
        <is>
          <t>2267772300002656</t>
        </is>
      </c>
      <c r="AZ1982" t="inlineStr">
        <is>
          <t>BOOK</t>
        </is>
      </c>
      <c r="BC1982" t="inlineStr">
        <is>
          <t>32285002446812</t>
        </is>
      </c>
      <c r="BD1982" t="inlineStr">
        <is>
          <t>893331357</t>
        </is>
      </c>
    </row>
    <row r="1983">
      <c r="A1983" t="inlineStr">
        <is>
          <t>No</t>
        </is>
      </c>
      <c r="B1983" t="inlineStr">
        <is>
          <t>DS740.4 .M67 2000</t>
        </is>
      </c>
      <c r="C1983" t="inlineStr">
        <is>
          <t>0                      DS 0740400M  67          2000</t>
        </is>
      </c>
      <c r="D1983" t="inlineStr">
        <is>
          <t>Hegemon : China's plan to dominate Asia and the world / Steven W. Mosher.</t>
        </is>
      </c>
      <c r="F1983" t="inlineStr">
        <is>
          <t>No</t>
        </is>
      </c>
      <c r="G1983" t="inlineStr">
        <is>
          <t>1</t>
        </is>
      </c>
      <c r="H1983" t="inlineStr">
        <is>
          <t>No</t>
        </is>
      </c>
      <c r="I1983" t="inlineStr">
        <is>
          <t>No</t>
        </is>
      </c>
      <c r="J1983" t="inlineStr">
        <is>
          <t>0</t>
        </is>
      </c>
      <c r="K1983" t="inlineStr">
        <is>
          <t>Mosher, Steven W.</t>
        </is>
      </c>
      <c r="L1983" t="inlineStr">
        <is>
          <t>San Francisco : Encounter Books, c2000.</t>
        </is>
      </c>
      <c r="M1983" t="inlineStr">
        <is>
          <t>2000</t>
        </is>
      </c>
      <c r="O1983" t="inlineStr">
        <is>
          <t>eng</t>
        </is>
      </c>
      <c r="P1983" t="inlineStr">
        <is>
          <t>cau</t>
        </is>
      </c>
      <c r="R1983" t="inlineStr">
        <is>
          <t xml:space="preserve">DS </t>
        </is>
      </c>
      <c r="S1983" t="n">
        <v>4</v>
      </c>
      <c r="T1983" t="n">
        <v>4</v>
      </c>
      <c r="U1983" t="inlineStr">
        <is>
          <t>2008-08-11</t>
        </is>
      </c>
      <c r="V1983" t="inlineStr">
        <is>
          <t>2008-08-11</t>
        </is>
      </c>
      <c r="W1983" t="inlineStr">
        <is>
          <t>2002-02-20</t>
        </is>
      </c>
      <c r="X1983" t="inlineStr">
        <is>
          <t>2002-02-20</t>
        </is>
      </c>
      <c r="Y1983" t="n">
        <v>363</v>
      </c>
      <c r="Z1983" t="n">
        <v>320</v>
      </c>
      <c r="AA1983" t="n">
        <v>334</v>
      </c>
      <c r="AB1983" t="n">
        <v>6</v>
      </c>
      <c r="AC1983" t="n">
        <v>6</v>
      </c>
      <c r="AD1983" t="n">
        <v>15</v>
      </c>
      <c r="AE1983" t="n">
        <v>16</v>
      </c>
      <c r="AF1983" t="n">
        <v>5</v>
      </c>
      <c r="AG1983" t="n">
        <v>5</v>
      </c>
      <c r="AH1983" t="n">
        <v>5</v>
      </c>
      <c r="AI1983" t="n">
        <v>5</v>
      </c>
      <c r="AJ1983" t="n">
        <v>8</v>
      </c>
      <c r="AK1983" t="n">
        <v>9</v>
      </c>
      <c r="AL1983" t="n">
        <v>2</v>
      </c>
      <c r="AM1983" t="n">
        <v>2</v>
      </c>
      <c r="AN1983" t="n">
        <v>0</v>
      </c>
      <c r="AO1983" t="n">
        <v>0</v>
      </c>
      <c r="AP1983" t="inlineStr">
        <is>
          <t>No</t>
        </is>
      </c>
      <c r="AQ1983" t="inlineStr">
        <is>
          <t>Yes</t>
        </is>
      </c>
      <c r="AR1983">
        <f>HYPERLINK("http://catalog.hathitrust.org/Record/004114447","HathiTrust Record")</f>
        <v/>
      </c>
      <c r="AS1983">
        <f>HYPERLINK("https://creighton-primo.hosted.exlibrisgroup.com/primo-explore/search?tab=default_tab&amp;search_scope=EVERYTHING&amp;vid=01CRU&amp;lang=en_US&amp;offset=0&amp;query=any,contains,991003729879702656","Catalog Record")</f>
        <v/>
      </c>
      <c r="AT1983">
        <f>HYPERLINK("http://www.worldcat.org/oclc/43615718","WorldCat Record")</f>
        <v/>
      </c>
      <c r="AU1983" t="inlineStr">
        <is>
          <t>7915269:eng</t>
        </is>
      </c>
      <c r="AV1983" t="inlineStr">
        <is>
          <t>43615718</t>
        </is>
      </c>
      <c r="AW1983" t="inlineStr">
        <is>
          <t>991003729879702656</t>
        </is>
      </c>
      <c r="AX1983" t="inlineStr">
        <is>
          <t>991003729879702656</t>
        </is>
      </c>
      <c r="AY1983" t="inlineStr">
        <is>
          <t>2264267080002656</t>
        </is>
      </c>
      <c r="AZ1983" t="inlineStr">
        <is>
          <t>BOOK</t>
        </is>
      </c>
      <c r="BB1983" t="inlineStr">
        <is>
          <t>9781893554085</t>
        </is>
      </c>
      <c r="BC1983" t="inlineStr">
        <is>
          <t>32285004455209</t>
        </is>
      </c>
      <c r="BD1983" t="inlineStr">
        <is>
          <t>893623828</t>
        </is>
      </c>
    </row>
    <row r="1984">
      <c r="A1984" t="inlineStr">
        <is>
          <t>No</t>
        </is>
      </c>
      <c r="B1984" t="inlineStr">
        <is>
          <t>DS740.4 .S62</t>
        </is>
      </c>
      <c r="C1984" t="inlineStr">
        <is>
          <t>0                      DS 0740400S  62</t>
        </is>
      </c>
      <c r="D1984" t="inlineStr">
        <is>
          <t>To change China : Western advisers in China, 1620-1960 / by Jonathan Spence.</t>
        </is>
      </c>
      <c r="F1984" t="inlineStr">
        <is>
          <t>No</t>
        </is>
      </c>
      <c r="G1984" t="inlineStr">
        <is>
          <t>1</t>
        </is>
      </c>
      <c r="H1984" t="inlineStr">
        <is>
          <t>No</t>
        </is>
      </c>
      <c r="I1984" t="inlineStr">
        <is>
          <t>No</t>
        </is>
      </c>
      <c r="J1984" t="inlineStr">
        <is>
          <t>0</t>
        </is>
      </c>
      <c r="K1984" t="inlineStr">
        <is>
          <t>Spence, Jonathan D.</t>
        </is>
      </c>
      <c r="L1984" t="inlineStr">
        <is>
          <t>Boston : Little, Brown, [1969]</t>
        </is>
      </c>
      <c r="M1984" t="inlineStr">
        <is>
          <t>1969</t>
        </is>
      </c>
      <c r="N1984" t="inlineStr">
        <is>
          <t>[1st ed.]</t>
        </is>
      </c>
      <c r="O1984" t="inlineStr">
        <is>
          <t>eng</t>
        </is>
      </c>
      <c r="P1984" t="inlineStr">
        <is>
          <t>mau</t>
        </is>
      </c>
      <c r="R1984" t="inlineStr">
        <is>
          <t xml:space="preserve">DS </t>
        </is>
      </c>
      <c r="S1984" t="n">
        <v>2</v>
      </c>
      <c r="T1984" t="n">
        <v>2</v>
      </c>
      <c r="U1984" t="inlineStr">
        <is>
          <t>1995-08-23</t>
        </is>
      </c>
      <c r="V1984" t="inlineStr">
        <is>
          <t>1995-08-23</t>
        </is>
      </c>
      <c r="W1984" t="inlineStr">
        <is>
          <t>1992-01-17</t>
        </is>
      </c>
      <c r="X1984" t="inlineStr">
        <is>
          <t>1992-01-17</t>
        </is>
      </c>
      <c r="Y1984" t="n">
        <v>865</v>
      </c>
      <c r="Z1984" t="n">
        <v>766</v>
      </c>
      <c r="AA1984" t="n">
        <v>958</v>
      </c>
      <c r="AB1984" t="n">
        <v>6</v>
      </c>
      <c r="AC1984" t="n">
        <v>8</v>
      </c>
      <c r="AD1984" t="n">
        <v>37</v>
      </c>
      <c r="AE1984" t="n">
        <v>45</v>
      </c>
      <c r="AF1984" t="n">
        <v>15</v>
      </c>
      <c r="AG1984" t="n">
        <v>19</v>
      </c>
      <c r="AH1984" t="n">
        <v>8</v>
      </c>
      <c r="AI1984" t="n">
        <v>9</v>
      </c>
      <c r="AJ1984" t="n">
        <v>16</v>
      </c>
      <c r="AK1984" t="n">
        <v>21</v>
      </c>
      <c r="AL1984" t="n">
        <v>5</v>
      </c>
      <c r="AM1984" t="n">
        <v>7</v>
      </c>
      <c r="AN1984" t="n">
        <v>0</v>
      </c>
      <c r="AO1984" t="n">
        <v>0</v>
      </c>
      <c r="AP1984" t="inlineStr">
        <is>
          <t>No</t>
        </is>
      </c>
      <c r="AQ1984" t="inlineStr">
        <is>
          <t>Yes</t>
        </is>
      </c>
      <c r="AR1984">
        <f>HYPERLINK("http://catalog.hathitrust.org/Record/001257787","HathiTrust Record")</f>
        <v/>
      </c>
      <c r="AS1984">
        <f>HYPERLINK("https://creighton-primo.hosted.exlibrisgroup.com/primo-explore/search?tab=default_tab&amp;search_scope=EVERYTHING&amp;vid=01CRU&amp;lang=en_US&amp;offset=0&amp;query=any,contains,991005436519702656","Catalog Record")</f>
        <v/>
      </c>
      <c r="AT1984">
        <f>HYPERLINK("http://www.worldcat.org/oclc/4518","WorldCat Record")</f>
        <v/>
      </c>
      <c r="AU1984" t="inlineStr">
        <is>
          <t>4927711334:eng</t>
        </is>
      </c>
      <c r="AV1984" t="inlineStr">
        <is>
          <t>4518</t>
        </is>
      </c>
      <c r="AW1984" t="inlineStr">
        <is>
          <t>991005436519702656</t>
        </is>
      </c>
      <c r="AX1984" t="inlineStr">
        <is>
          <t>991005436519702656</t>
        </is>
      </c>
      <c r="AY1984" t="inlineStr">
        <is>
          <t>2266307360002656</t>
        </is>
      </c>
      <c r="AZ1984" t="inlineStr">
        <is>
          <t>BOOK</t>
        </is>
      </c>
      <c r="BC1984" t="inlineStr">
        <is>
          <t>32285000914860</t>
        </is>
      </c>
      <c r="BD1984" t="inlineStr">
        <is>
          <t>893777479</t>
        </is>
      </c>
    </row>
    <row r="1985">
      <c r="A1985" t="inlineStr">
        <is>
          <t>No</t>
        </is>
      </c>
      <c r="B1985" t="inlineStr">
        <is>
          <t>DS740.4 .T79</t>
        </is>
      </c>
      <c r="C1985" t="inlineStr">
        <is>
          <t>0                      DS 0740400T  79</t>
        </is>
      </c>
      <c r="D1985" t="inlineStr">
        <is>
          <t>China and the foreign powers : the impact of and reaction to unequal treaties / by William L. Tung.</t>
        </is>
      </c>
      <c r="F1985" t="inlineStr">
        <is>
          <t>No</t>
        </is>
      </c>
      <c r="G1985" t="inlineStr">
        <is>
          <t>1</t>
        </is>
      </c>
      <c r="H1985" t="inlineStr">
        <is>
          <t>No</t>
        </is>
      </c>
      <c r="I1985" t="inlineStr">
        <is>
          <t>No</t>
        </is>
      </c>
      <c r="J1985" t="inlineStr">
        <is>
          <t>0</t>
        </is>
      </c>
      <c r="K1985" t="inlineStr">
        <is>
          <t>Tung, William L., 1907-</t>
        </is>
      </c>
      <c r="L1985" t="inlineStr">
        <is>
          <t>Dobbs Ferry, N.Y. : Oceana Publications, 1970.</t>
        </is>
      </c>
      <c r="M1985" t="inlineStr">
        <is>
          <t>1970</t>
        </is>
      </c>
      <c r="O1985" t="inlineStr">
        <is>
          <t>eng</t>
        </is>
      </c>
      <c r="P1985" t="inlineStr">
        <is>
          <t>nyu</t>
        </is>
      </c>
      <c r="R1985" t="inlineStr">
        <is>
          <t xml:space="preserve">DS </t>
        </is>
      </c>
      <c r="S1985" t="n">
        <v>6</v>
      </c>
      <c r="T1985" t="n">
        <v>6</v>
      </c>
      <c r="U1985" t="inlineStr">
        <is>
          <t>2005-11-20</t>
        </is>
      </c>
      <c r="V1985" t="inlineStr">
        <is>
          <t>2005-11-20</t>
        </is>
      </c>
      <c r="W1985" t="inlineStr">
        <is>
          <t>1990-04-18</t>
        </is>
      </c>
      <c r="X1985" t="inlineStr">
        <is>
          <t>1990-04-18</t>
        </is>
      </c>
      <c r="Y1985" t="n">
        <v>428</v>
      </c>
      <c r="Z1985" t="n">
        <v>347</v>
      </c>
      <c r="AA1985" t="n">
        <v>349</v>
      </c>
      <c r="AB1985" t="n">
        <v>4</v>
      </c>
      <c r="AC1985" t="n">
        <v>4</v>
      </c>
      <c r="AD1985" t="n">
        <v>19</v>
      </c>
      <c r="AE1985" t="n">
        <v>19</v>
      </c>
      <c r="AF1985" t="n">
        <v>2</v>
      </c>
      <c r="AG1985" t="n">
        <v>2</v>
      </c>
      <c r="AH1985" t="n">
        <v>3</v>
      </c>
      <c r="AI1985" t="n">
        <v>3</v>
      </c>
      <c r="AJ1985" t="n">
        <v>6</v>
      </c>
      <c r="AK1985" t="n">
        <v>6</v>
      </c>
      <c r="AL1985" t="n">
        <v>3</v>
      </c>
      <c r="AM1985" t="n">
        <v>3</v>
      </c>
      <c r="AN1985" t="n">
        <v>6</v>
      </c>
      <c r="AO1985" t="n">
        <v>6</v>
      </c>
      <c r="AP1985" t="inlineStr">
        <is>
          <t>No</t>
        </is>
      </c>
      <c r="AQ1985" t="inlineStr">
        <is>
          <t>Yes</t>
        </is>
      </c>
      <c r="AR1985">
        <f>HYPERLINK("http://catalog.hathitrust.org/Record/001257790","HathiTrust Record")</f>
        <v/>
      </c>
      <c r="AS1985">
        <f>HYPERLINK("https://creighton-primo.hosted.exlibrisgroup.com/primo-explore/search?tab=default_tab&amp;search_scope=EVERYTHING&amp;vid=01CRU&amp;lang=en_US&amp;offset=0&amp;query=any,contains,991000644269702656","Catalog Record")</f>
        <v/>
      </c>
      <c r="AT1985">
        <f>HYPERLINK("http://www.worldcat.org/oclc/110528","WorldCat Record")</f>
        <v/>
      </c>
      <c r="AU1985" t="inlineStr">
        <is>
          <t>422216773:eng</t>
        </is>
      </c>
      <c r="AV1985" t="inlineStr">
        <is>
          <t>110528</t>
        </is>
      </c>
      <c r="AW1985" t="inlineStr">
        <is>
          <t>991000644269702656</t>
        </is>
      </c>
      <c r="AX1985" t="inlineStr">
        <is>
          <t>991000644269702656</t>
        </is>
      </c>
      <c r="AY1985" t="inlineStr">
        <is>
          <t>2266846750002656</t>
        </is>
      </c>
      <c r="AZ1985" t="inlineStr">
        <is>
          <t>BOOK</t>
        </is>
      </c>
      <c r="BB1985" t="inlineStr">
        <is>
          <t>9780397004638</t>
        </is>
      </c>
      <c r="BC1985" t="inlineStr">
        <is>
          <t>32285000118462</t>
        </is>
      </c>
      <c r="BD1985" t="inlineStr">
        <is>
          <t>893333647</t>
        </is>
      </c>
    </row>
    <row r="1986">
      <c r="A1986" t="inlineStr">
        <is>
          <t>No</t>
        </is>
      </c>
      <c r="B1986" t="inlineStr">
        <is>
          <t>DS740.5.C15 R54 2010</t>
        </is>
      </c>
      <c r="C1986" t="inlineStr">
        <is>
          <t>0                      DS 0740500C  15                 R  54          2010</t>
        </is>
      </c>
      <c r="D1986" t="inlineStr">
        <is>
          <t>China, Cambodia, and the five principles of peaceful coexistence / Sophie Richardson.</t>
        </is>
      </c>
      <c r="F1986" t="inlineStr">
        <is>
          <t>No</t>
        </is>
      </c>
      <c r="G1986" t="inlineStr">
        <is>
          <t>1</t>
        </is>
      </c>
      <c r="H1986" t="inlineStr">
        <is>
          <t>No</t>
        </is>
      </c>
      <c r="I1986" t="inlineStr">
        <is>
          <t>No</t>
        </is>
      </c>
      <c r="J1986" t="inlineStr">
        <is>
          <t>0</t>
        </is>
      </c>
      <c r="K1986" t="inlineStr">
        <is>
          <t>Richardson, Sophie.</t>
        </is>
      </c>
      <c r="L1986" t="inlineStr">
        <is>
          <t>New York : Columbia University Press, c2010.</t>
        </is>
      </c>
      <c r="M1986" t="inlineStr">
        <is>
          <t>2010</t>
        </is>
      </c>
      <c r="O1986" t="inlineStr">
        <is>
          <t>eng</t>
        </is>
      </c>
      <c r="P1986" t="inlineStr">
        <is>
          <t>nyu</t>
        </is>
      </c>
      <c r="R1986" t="inlineStr">
        <is>
          <t xml:space="preserve">DS </t>
        </is>
      </c>
      <c r="S1986" t="n">
        <v>1</v>
      </c>
      <c r="T1986" t="n">
        <v>1</v>
      </c>
      <c r="U1986" t="inlineStr">
        <is>
          <t>2010-10-11</t>
        </is>
      </c>
      <c r="V1986" t="inlineStr">
        <is>
          <t>2010-10-11</t>
        </is>
      </c>
      <c r="W1986" t="inlineStr">
        <is>
          <t>2010-10-11</t>
        </is>
      </c>
      <c r="X1986" t="inlineStr">
        <is>
          <t>2010-10-11</t>
        </is>
      </c>
      <c r="Y1986" t="n">
        <v>302</v>
      </c>
      <c r="Z1986" t="n">
        <v>243</v>
      </c>
      <c r="AA1986" t="n">
        <v>244</v>
      </c>
      <c r="AB1986" t="n">
        <v>3</v>
      </c>
      <c r="AC1986" t="n">
        <v>3</v>
      </c>
      <c r="AD1986" t="n">
        <v>15</v>
      </c>
      <c r="AE1986" t="n">
        <v>15</v>
      </c>
      <c r="AF1986" t="n">
        <v>6</v>
      </c>
      <c r="AG1986" t="n">
        <v>6</v>
      </c>
      <c r="AH1986" t="n">
        <v>3</v>
      </c>
      <c r="AI1986" t="n">
        <v>3</v>
      </c>
      <c r="AJ1986" t="n">
        <v>8</v>
      </c>
      <c r="AK1986" t="n">
        <v>8</v>
      </c>
      <c r="AL1986" t="n">
        <v>2</v>
      </c>
      <c r="AM1986" t="n">
        <v>2</v>
      </c>
      <c r="AN1986" t="n">
        <v>0</v>
      </c>
      <c r="AO1986" t="n">
        <v>0</v>
      </c>
      <c r="AP1986" t="inlineStr">
        <is>
          <t>No</t>
        </is>
      </c>
      <c r="AQ1986" t="inlineStr">
        <is>
          <t>No</t>
        </is>
      </c>
      <c r="AS1986">
        <f>HYPERLINK("https://creighton-primo.hosted.exlibrisgroup.com/primo-explore/search?tab=default_tab&amp;search_scope=EVERYTHING&amp;vid=01CRU&amp;lang=en_US&amp;offset=0&amp;query=any,contains,991000165249702656","Catalog Record")</f>
        <v/>
      </c>
      <c r="AT1986">
        <f>HYPERLINK("http://www.worldcat.org/oclc/301798067","WorldCat Record")</f>
        <v/>
      </c>
      <c r="AU1986" t="inlineStr">
        <is>
          <t>181437093:eng</t>
        </is>
      </c>
      <c r="AV1986" t="inlineStr">
        <is>
          <t>301798067</t>
        </is>
      </c>
      <c r="AW1986" t="inlineStr">
        <is>
          <t>991000165249702656</t>
        </is>
      </c>
      <c r="AX1986" t="inlineStr">
        <is>
          <t>991000165249702656</t>
        </is>
      </c>
      <c r="AY1986" t="inlineStr">
        <is>
          <t>2255406270002656</t>
        </is>
      </c>
      <c r="AZ1986" t="inlineStr">
        <is>
          <t>BOOK</t>
        </is>
      </c>
      <c r="BB1986" t="inlineStr">
        <is>
          <t>9780231143868</t>
        </is>
      </c>
      <c r="BC1986" t="inlineStr">
        <is>
          <t>32285005599500</t>
        </is>
      </c>
      <c r="BD1986" t="inlineStr">
        <is>
          <t>893425497</t>
        </is>
      </c>
    </row>
    <row r="1987">
      <c r="A1987" t="inlineStr">
        <is>
          <t>No</t>
        </is>
      </c>
      <c r="B1987" t="inlineStr">
        <is>
          <t>DS740.5.G5 F7 1974</t>
        </is>
      </c>
      <c r="C1987" t="inlineStr">
        <is>
          <t>0                      DS 0740500G  5                  F  7           1974</t>
        </is>
      </c>
      <c r="D1987" t="inlineStr">
        <is>
          <t>British relations with China: 1931-1939, by Irving S. Friedman.</t>
        </is>
      </c>
      <c r="F1987" t="inlineStr">
        <is>
          <t>No</t>
        </is>
      </c>
      <c r="G1987" t="inlineStr">
        <is>
          <t>1</t>
        </is>
      </c>
      <c r="H1987" t="inlineStr">
        <is>
          <t>No</t>
        </is>
      </c>
      <c r="I1987" t="inlineStr">
        <is>
          <t>No</t>
        </is>
      </c>
      <c r="J1987" t="inlineStr">
        <is>
          <t>0</t>
        </is>
      </c>
      <c r="K1987" t="inlineStr">
        <is>
          <t>Friedman, Irving S. (Irving Sigmund), 1915-1989.</t>
        </is>
      </c>
      <c r="L1987" t="inlineStr">
        <is>
          <t>New York, Octagon Books, 1974 [c1940]</t>
        </is>
      </c>
      <c r="M1987" t="inlineStr">
        <is>
          <t>1974</t>
        </is>
      </c>
      <c r="O1987" t="inlineStr">
        <is>
          <t>eng</t>
        </is>
      </c>
      <c r="P1987" t="inlineStr">
        <is>
          <t>nyu</t>
        </is>
      </c>
      <c r="R1987" t="inlineStr">
        <is>
          <t xml:space="preserve">DS </t>
        </is>
      </c>
      <c r="S1987" t="n">
        <v>2</v>
      </c>
      <c r="T1987" t="n">
        <v>2</v>
      </c>
      <c r="U1987" t="inlineStr">
        <is>
          <t>2005-11-21</t>
        </is>
      </c>
      <c r="V1987" t="inlineStr">
        <is>
          <t>2005-11-21</t>
        </is>
      </c>
      <c r="W1987" t="inlineStr">
        <is>
          <t>1996-08-09</t>
        </is>
      </c>
      <c r="X1987" t="inlineStr">
        <is>
          <t>1996-08-09</t>
        </is>
      </c>
      <c r="Y1987" t="n">
        <v>93</v>
      </c>
      <c r="Z1987" t="n">
        <v>80</v>
      </c>
      <c r="AA1987" t="n">
        <v>315</v>
      </c>
      <c r="AB1987" t="n">
        <v>1</v>
      </c>
      <c r="AC1987" t="n">
        <v>2</v>
      </c>
      <c r="AD1987" t="n">
        <v>0</v>
      </c>
      <c r="AE1987" t="n">
        <v>15</v>
      </c>
      <c r="AF1987" t="n">
        <v>0</v>
      </c>
      <c r="AG1987" t="n">
        <v>4</v>
      </c>
      <c r="AH1987" t="n">
        <v>0</v>
      </c>
      <c r="AI1987" t="n">
        <v>6</v>
      </c>
      <c r="AJ1987" t="n">
        <v>0</v>
      </c>
      <c r="AK1987" t="n">
        <v>10</v>
      </c>
      <c r="AL1987" t="n">
        <v>0</v>
      </c>
      <c r="AM1987" t="n">
        <v>1</v>
      </c>
      <c r="AN1987" t="n">
        <v>0</v>
      </c>
      <c r="AO1987" t="n">
        <v>0</v>
      </c>
      <c r="AP1987" t="inlineStr">
        <is>
          <t>No</t>
        </is>
      </c>
      <c r="AQ1987" t="inlineStr">
        <is>
          <t>No</t>
        </is>
      </c>
      <c r="AS1987">
        <f>HYPERLINK("https://creighton-primo.hosted.exlibrisgroup.com/primo-explore/search?tab=default_tab&amp;search_scope=EVERYTHING&amp;vid=01CRU&amp;lang=en_US&amp;offset=0&amp;query=any,contains,991003343079702656","Catalog Record")</f>
        <v/>
      </c>
      <c r="AT1987">
        <f>HYPERLINK("http://www.worldcat.org/oclc/874169","WorldCat Record")</f>
        <v/>
      </c>
      <c r="AU1987" t="inlineStr">
        <is>
          <t>1847069:eng</t>
        </is>
      </c>
      <c r="AV1987" t="inlineStr">
        <is>
          <t>874169</t>
        </is>
      </c>
      <c r="AW1987" t="inlineStr">
        <is>
          <t>991003343079702656</t>
        </is>
      </c>
      <c r="AX1987" t="inlineStr">
        <is>
          <t>991003343079702656</t>
        </is>
      </c>
      <c r="AY1987" t="inlineStr">
        <is>
          <t>2262423270002656</t>
        </is>
      </c>
      <c r="AZ1987" t="inlineStr">
        <is>
          <t>BOOK</t>
        </is>
      </c>
      <c r="BB1987" t="inlineStr">
        <is>
          <t>9780374929312</t>
        </is>
      </c>
      <c r="BC1987" t="inlineStr">
        <is>
          <t>32285002273612</t>
        </is>
      </c>
      <c r="BD1987" t="inlineStr">
        <is>
          <t>893324009</t>
        </is>
      </c>
    </row>
    <row r="1988">
      <c r="A1988" t="inlineStr">
        <is>
          <t>No</t>
        </is>
      </c>
      <c r="B1988" t="inlineStr">
        <is>
          <t>DS740.5.I5 S525 2003</t>
        </is>
      </c>
      <c r="C1988" t="inlineStr">
        <is>
          <t>0                      DS 0740500I  5                  S  525         2003</t>
        </is>
      </c>
      <c r="D1988" t="inlineStr">
        <is>
          <t>China and India : cooperation or conflict? / Waheguru Pal Singh Sidhu, Jing-dong Yuan.</t>
        </is>
      </c>
      <c r="F1988" t="inlineStr">
        <is>
          <t>No</t>
        </is>
      </c>
      <c r="G1988" t="inlineStr">
        <is>
          <t>1</t>
        </is>
      </c>
      <c r="H1988" t="inlineStr">
        <is>
          <t>No</t>
        </is>
      </c>
      <c r="I1988" t="inlineStr">
        <is>
          <t>No</t>
        </is>
      </c>
      <c r="J1988" t="inlineStr">
        <is>
          <t>0</t>
        </is>
      </c>
      <c r="K1988" t="inlineStr">
        <is>
          <t>Sidhu, Waheguru Pal Singh.</t>
        </is>
      </c>
      <c r="L1988" t="inlineStr">
        <is>
          <t>Boulder, Colo. : Lynne Rienner Publishers, 2003.</t>
        </is>
      </c>
      <c r="M1988" t="inlineStr">
        <is>
          <t>2003</t>
        </is>
      </c>
      <c r="O1988" t="inlineStr">
        <is>
          <t>eng</t>
        </is>
      </c>
      <c r="P1988" t="inlineStr">
        <is>
          <t>cou</t>
        </is>
      </c>
      <c r="R1988" t="inlineStr">
        <is>
          <t xml:space="preserve">DS </t>
        </is>
      </c>
      <c r="S1988" t="n">
        <v>2</v>
      </c>
      <c r="T1988" t="n">
        <v>2</v>
      </c>
      <c r="U1988" t="inlineStr">
        <is>
          <t>2006-11-28</t>
        </is>
      </c>
      <c r="V1988" t="inlineStr">
        <is>
          <t>2006-11-28</t>
        </is>
      </c>
      <c r="W1988" t="inlineStr">
        <is>
          <t>2005-03-17</t>
        </is>
      </c>
      <c r="X1988" t="inlineStr">
        <is>
          <t>2005-03-17</t>
        </is>
      </c>
      <c r="Y1988" t="n">
        <v>368</v>
      </c>
      <c r="Z1988" t="n">
        <v>273</v>
      </c>
      <c r="AA1988" t="n">
        <v>273</v>
      </c>
      <c r="AB1988" t="n">
        <v>2</v>
      </c>
      <c r="AC1988" t="n">
        <v>2</v>
      </c>
      <c r="AD1988" t="n">
        <v>15</v>
      </c>
      <c r="AE1988" t="n">
        <v>15</v>
      </c>
      <c r="AF1988" t="n">
        <v>4</v>
      </c>
      <c r="AG1988" t="n">
        <v>4</v>
      </c>
      <c r="AH1988" t="n">
        <v>5</v>
      </c>
      <c r="AI1988" t="n">
        <v>5</v>
      </c>
      <c r="AJ1988" t="n">
        <v>8</v>
      </c>
      <c r="AK1988" t="n">
        <v>8</v>
      </c>
      <c r="AL1988" t="n">
        <v>1</v>
      </c>
      <c r="AM1988" t="n">
        <v>1</v>
      </c>
      <c r="AN1988" t="n">
        <v>0</v>
      </c>
      <c r="AO1988" t="n">
        <v>0</v>
      </c>
      <c r="AP1988" t="inlineStr">
        <is>
          <t>No</t>
        </is>
      </c>
      <c r="AQ1988" t="inlineStr">
        <is>
          <t>No</t>
        </is>
      </c>
      <c r="AS1988">
        <f>HYPERLINK("https://creighton-primo.hosted.exlibrisgroup.com/primo-explore/search?tab=default_tab&amp;search_scope=EVERYTHING&amp;vid=01CRU&amp;lang=en_US&amp;offset=0&amp;query=any,contains,991004461859702656","Catalog Record")</f>
        <v/>
      </c>
      <c r="AT1988">
        <f>HYPERLINK("http://www.worldcat.org/oclc/51518378","WorldCat Record")</f>
        <v/>
      </c>
      <c r="AU1988" t="inlineStr">
        <is>
          <t>840549508:eng</t>
        </is>
      </c>
      <c r="AV1988" t="inlineStr">
        <is>
          <t>51518378</t>
        </is>
      </c>
      <c r="AW1988" t="inlineStr">
        <is>
          <t>991004461859702656</t>
        </is>
      </c>
      <c r="AX1988" t="inlineStr">
        <is>
          <t>991004461859702656</t>
        </is>
      </c>
      <c r="AY1988" t="inlineStr">
        <is>
          <t>2259872170002656</t>
        </is>
      </c>
      <c r="AZ1988" t="inlineStr">
        <is>
          <t>BOOK</t>
        </is>
      </c>
      <c r="BB1988" t="inlineStr">
        <is>
          <t>9781588261694</t>
        </is>
      </c>
      <c r="BC1988" t="inlineStr">
        <is>
          <t>32285005042519</t>
        </is>
      </c>
      <c r="BD1988" t="inlineStr">
        <is>
          <t>893532415</t>
        </is>
      </c>
    </row>
    <row r="1989">
      <c r="A1989" t="inlineStr">
        <is>
          <t>No</t>
        </is>
      </c>
      <c r="B1989" t="inlineStr">
        <is>
          <t>DS740.5.J3 C3975</t>
        </is>
      </c>
      <c r="C1989" t="inlineStr">
        <is>
          <t>0                      DS 0740500J  3                  C  3975</t>
        </is>
      </c>
      <c r="D1989" t="inlineStr">
        <is>
          <t>China and Japan : search for balance since World War I / Alvin D. Coox and Hilary Conroy, editors.</t>
        </is>
      </c>
      <c r="F1989" t="inlineStr">
        <is>
          <t>No</t>
        </is>
      </c>
      <c r="G1989" t="inlineStr">
        <is>
          <t>1</t>
        </is>
      </c>
      <c r="H1989" t="inlineStr">
        <is>
          <t>No</t>
        </is>
      </c>
      <c r="I1989" t="inlineStr">
        <is>
          <t>No</t>
        </is>
      </c>
      <c r="J1989" t="inlineStr">
        <is>
          <t>0</t>
        </is>
      </c>
      <c r="L1989" t="inlineStr">
        <is>
          <t>Santa Barbara, Calif. : ABC-Clio Books, c1978.</t>
        </is>
      </c>
      <c r="M1989" t="inlineStr">
        <is>
          <t>1978</t>
        </is>
      </c>
      <c r="O1989" t="inlineStr">
        <is>
          <t>eng</t>
        </is>
      </c>
      <c r="P1989" t="inlineStr">
        <is>
          <t>cau</t>
        </is>
      </c>
      <c r="R1989" t="inlineStr">
        <is>
          <t xml:space="preserve">DS </t>
        </is>
      </c>
      <c r="S1989" t="n">
        <v>2</v>
      </c>
      <c r="T1989" t="n">
        <v>2</v>
      </c>
      <c r="U1989" t="inlineStr">
        <is>
          <t>2004-12-03</t>
        </is>
      </c>
      <c r="V1989" t="inlineStr">
        <is>
          <t>2004-12-03</t>
        </is>
      </c>
      <c r="W1989" t="inlineStr">
        <is>
          <t>1993-05-11</t>
        </is>
      </c>
      <c r="X1989" t="inlineStr">
        <is>
          <t>1993-05-11</t>
        </is>
      </c>
      <c r="Y1989" t="n">
        <v>562</v>
      </c>
      <c r="Z1989" t="n">
        <v>435</v>
      </c>
      <c r="AA1989" t="n">
        <v>450</v>
      </c>
      <c r="AB1989" t="n">
        <v>6</v>
      </c>
      <c r="AC1989" t="n">
        <v>6</v>
      </c>
      <c r="AD1989" t="n">
        <v>23</v>
      </c>
      <c r="AE1989" t="n">
        <v>24</v>
      </c>
      <c r="AF1989" t="n">
        <v>6</v>
      </c>
      <c r="AG1989" t="n">
        <v>6</v>
      </c>
      <c r="AH1989" t="n">
        <v>6</v>
      </c>
      <c r="AI1989" t="n">
        <v>7</v>
      </c>
      <c r="AJ1989" t="n">
        <v>11</v>
      </c>
      <c r="AK1989" t="n">
        <v>12</v>
      </c>
      <c r="AL1989" t="n">
        <v>5</v>
      </c>
      <c r="AM1989" t="n">
        <v>5</v>
      </c>
      <c r="AN1989" t="n">
        <v>0</v>
      </c>
      <c r="AO1989" t="n">
        <v>0</v>
      </c>
      <c r="AP1989" t="inlineStr">
        <is>
          <t>No</t>
        </is>
      </c>
      <c r="AQ1989" t="inlineStr">
        <is>
          <t>Yes</t>
        </is>
      </c>
      <c r="AR1989">
        <f>HYPERLINK("http://catalog.hathitrust.org/Record/000743722","HathiTrust Record")</f>
        <v/>
      </c>
      <c r="AS1989">
        <f>HYPERLINK("https://creighton-primo.hosted.exlibrisgroup.com/primo-explore/search?tab=default_tab&amp;search_scope=EVERYTHING&amp;vid=01CRU&amp;lang=en_US&amp;offset=0&amp;query=any,contains,991004334989702656","Catalog Record")</f>
        <v/>
      </c>
      <c r="AT1989">
        <f>HYPERLINK("http://www.worldcat.org/oclc/3072395","WorldCat Record")</f>
        <v/>
      </c>
      <c r="AU1989" t="inlineStr">
        <is>
          <t>836682159:eng</t>
        </is>
      </c>
      <c r="AV1989" t="inlineStr">
        <is>
          <t>3072395</t>
        </is>
      </c>
      <c r="AW1989" t="inlineStr">
        <is>
          <t>991004334989702656</t>
        </is>
      </c>
      <c r="AX1989" t="inlineStr">
        <is>
          <t>991004334989702656</t>
        </is>
      </c>
      <c r="AY1989" t="inlineStr">
        <is>
          <t>2265357990002656</t>
        </is>
      </c>
      <c r="AZ1989" t="inlineStr">
        <is>
          <t>BOOK</t>
        </is>
      </c>
      <c r="BB1989" t="inlineStr">
        <is>
          <t>9780874362756</t>
        </is>
      </c>
      <c r="BC1989" t="inlineStr">
        <is>
          <t>32285001653467</t>
        </is>
      </c>
      <c r="BD1989" t="inlineStr">
        <is>
          <t>893605891</t>
        </is>
      </c>
    </row>
    <row r="1990">
      <c r="A1990" t="inlineStr">
        <is>
          <t>No</t>
        </is>
      </c>
      <c r="B1990" t="inlineStr">
        <is>
          <t>DS740.5.J3 C399</t>
        </is>
      </c>
      <c r="C1990" t="inlineStr">
        <is>
          <t>0                      DS 0740500J  3                  C  399</t>
        </is>
      </c>
      <c r="D1990" t="inlineStr">
        <is>
          <t>The Chinese and the Japanese : essays in political and cultural interactions / edited by Akira Iriye ; contributors Madeleine Chi ... [et al.].</t>
        </is>
      </c>
      <c r="F1990" t="inlineStr">
        <is>
          <t>No</t>
        </is>
      </c>
      <c r="G1990" t="inlineStr">
        <is>
          <t>1</t>
        </is>
      </c>
      <c r="H1990" t="inlineStr">
        <is>
          <t>No</t>
        </is>
      </c>
      <c r="I1990" t="inlineStr">
        <is>
          <t>No</t>
        </is>
      </c>
      <c r="J1990" t="inlineStr">
        <is>
          <t>0</t>
        </is>
      </c>
      <c r="L1990" t="inlineStr">
        <is>
          <t>Princeton, N.Y. : Princeton University Press, c1980.</t>
        </is>
      </c>
      <c r="M1990" t="inlineStr">
        <is>
          <t>1980</t>
        </is>
      </c>
      <c r="O1990" t="inlineStr">
        <is>
          <t>eng</t>
        </is>
      </c>
      <c r="P1990" t="inlineStr">
        <is>
          <t>nyu</t>
        </is>
      </c>
      <c r="R1990" t="inlineStr">
        <is>
          <t xml:space="preserve">DS </t>
        </is>
      </c>
      <c r="S1990" t="n">
        <v>4</v>
      </c>
      <c r="T1990" t="n">
        <v>4</v>
      </c>
      <c r="U1990" t="inlineStr">
        <is>
          <t>2004-12-03</t>
        </is>
      </c>
      <c r="V1990" t="inlineStr">
        <is>
          <t>2004-12-03</t>
        </is>
      </c>
      <c r="W1990" t="inlineStr">
        <is>
          <t>1990-10-15</t>
        </is>
      </c>
      <c r="X1990" t="inlineStr">
        <is>
          <t>1990-10-15</t>
        </is>
      </c>
      <c r="Y1990" t="n">
        <v>732</v>
      </c>
      <c r="Z1990" t="n">
        <v>577</v>
      </c>
      <c r="AA1990" t="n">
        <v>809</v>
      </c>
      <c r="AB1990" t="n">
        <v>4</v>
      </c>
      <c r="AC1990" t="n">
        <v>7</v>
      </c>
      <c r="AD1990" t="n">
        <v>31</v>
      </c>
      <c r="AE1990" t="n">
        <v>39</v>
      </c>
      <c r="AF1990" t="n">
        <v>14</v>
      </c>
      <c r="AG1990" t="n">
        <v>20</v>
      </c>
      <c r="AH1990" t="n">
        <v>9</v>
      </c>
      <c r="AI1990" t="n">
        <v>10</v>
      </c>
      <c r="AJ1990" t="n">
        <v>13</v>
      </c>
      <c r="AK1990" t="n">
        <v>14</v>
      </c>
      <c r="AL1990" t="n">
        <v>3</v>
      </c>
      <c r="AM1990" t="n">
        <v>5</v>
      </c>
      <c r="AN1990" t="n">
        <v>0</v>
      </c>
      <c r="AO1990" t="n">
        <v>0</v>
      </c>
      <c r="AP1990" t="inlineStr">
        <is>
          <t>No</t>
        </is>
      </c>
      <c r="AQ1990" t="inlineStr">
        <is>
          <t>No</t>
        </is>
      </c>
      <c r="AS1990">
        <f>HYPERLINK("https://creighton-primo.hosted.exlibrisgroup.com/primo-explore/search?tab=default_tab&amp;search_scope=EVERYTHING&amp;vid=01CRU&amp;lang=en_US&amp;offset=0&amp;query=any,contains,991004905579702656","Catalog Record")</f>
        <v/>
      </c>
      <c r="AT1990">
        <f>HYPERLINK("http://www.worldcat.org/oclc/5946559","WorldCat Record")</f>
        <v/>
      </c>
      <c r="AU1990" t="inlineStr">
        <is>
          <t>859765817:eng</t>
        </is>
      </c>
      <c r="AV1990" t="inlineStr">
        <is>
          <t>5946559</t>
        </is>
      </c>
      <c r="AW1990" t="inlineStr">
        <is>
          <t>991004905579702656</t>
        </is>
      </c>
      <c r="AX1990" t="inlineStr">
        <is>
          <t>991004905579702656</t>
        </is>
      </c>
      <c r="AY1990" t="inlineStr">
        <is>
          <t>2257601540002656</t>
        </is>
      </c>
      <c r="AZ1990" t="inlineStr">
        <is>
          <t>BOOK</t>
        </is>
      </c>
      <c r="BB1990" t="inlineStr">
        <is>
          <t>9780691031262</t>
        </is>
      </c>
      <c r="BC1990" t="inlineStr">
        <is>
          <t>32285000338342</t>
        </is>
      </c>
      <c r="BD1990" t="inlineStr">
        <is>
          <t>893513786</t>
        </is>
      </c>
    </row>
    <row r="1991">
      <c r="A1991" t="inlineStr">
        <is>
          <t>No</t>
        </is>
      </c>
      <c r="B1991" t="inlineStr">
        <is>
          <t>DS740.5.J3 J6</t>
        </is>
      </c>
      <c r="C1991" t="inlineStr">
        <is>
          <t>0                      DS 0740500J  3                  J  6</t>
        </is>
      </c>
      <c r="D1991" t="inlineStr">
        <is>
          <t>Chinese-Japanese war / compiled by Julia E. Johnsen.</t>
        </is>
      </c>
      <c r="F1991" t="inlineStr">
        <is>
          <t>No</t>
        </is>
      </c>
      <c r="G1991" t="inlineStr">
        <is>
          <t>1</t>
        </is>
      </c>
      <c r="H1991" t="inlineStr">
        <is>
          <t>No</t>
        </is>
      </c>
      <c r="I1991" t="inlineStr">
        <is>
          <t>No</t>
        </is>
      </c>
      <c r="J1991" t="inlineStr">
        <is>
          <t>0</t>
        </is>
      </c>
      <c r="K1991" t="inlineStr">
        <is>
          <t>Johnsen, Julia E. (Julia Emily), compiler.</t>
        </is>
      </c>
      <c r="L1991" t="inlineStr">
        <is>
          <t>New York : The H.W. Wilson Company, 1933.</t>
        </is>
      </c>
      <c r="M1991" t="inlineStr">
        <is>
          <t>1933</t>
        </is>
      </c>
      <c r="O1991" t="inlineStr">
        <is>
          <t>eng</t>
        </is>
      </c>
      <c r="P1991" t="inlineStr">
        <is>
          <t>nyu</t>
        </is>
      </c>
      <c r="Q1991" t="inlineStr">
        <is>
          <t>The reference shelf, vol. VIII, no. 8</t>
        </is>
      </c>
      <c r="R1991" t="inlineStr">
        <is>
          <t xml:space="preserve">DS </t>
        </is>
      </c>
      <c r="S1991" t="n">
        <v>1</v>
      </c>
      <c r="T1991" t="n">
        <v>1</v>
      </c>
      <c r="U1991" t="inlineStr">
        <is>
          <t>2001-02-20</t>
        </is>
      </c>
      <c r="V1991" t="inlineStr">
        <is>
          <t>2001-02-20</t>
        </is>
      </c>
      <c r="W1991" t="inlineStr">
        <is>
          <t>1993-05-11</t>
        </is>
      </c>
      <c r="X1991" t="inlineStr">
        <is>
          <t>1993-05-11</t>
        </is>
      </c>
      <c r="Y1991" t="n">
        <v>308</v>
      </c>
      <c r="Z1991" t="n">
        <v>294</v>
      </c>
      <c r="AA1991" t="n">
        <v>294</v>
      </c>
      <c r="AB1991" t="n">
        <v>6</v>
      </c>
      <c r="AC1991" t="n">
        <v>6</v>
      </c>
      <c r="AD1991" t="n">
        <v>19</v>
      </c>
      <c r="AE1991" t="n">
        <v>19</v>
      </c>
      <c r="AF1991" t="n">
        <v>6</v>
      </c>
      <c r="AG1991" t="n">
        <v>6</v>
      </c>
      <c r="AH1991" t="n">
        <v>4</v>
      </c>
      <c r="AI1991" t="n">
        <v>4</v>
      </c>
      <c r="AJ1991" t="n">
        <v>10</v>
      </c>
      <c r="AK1991" t="n">
        <v>10</v>
      </c>
      <c r="AL1991" t="n">
        <v>5</v>
      </c>
      <c r="AM1991" t="n">
        <v>5</v>
      </c>
      <c r="AN1991" t="n">
        <v>0</v>
      </c>
      <c r="AO1991" t="n">
        <v>0</v>
      </c>
      <c r="AP1991" t="inlineStr">
        <is>
          <t>No</t>
        </is>
      </c>
      <c r="AQ1991" t="inlineStr">
        <is>
          <t>No</t>
        </is>
      </c>
      <c r="AS1991">
        <f>HYPERLINK("https://creighton-primo.hosted.exlibrisgroup.com/primo-explore/search?tab=default_tab&amp;search_scope=EVERYTHING&amp;vid=01CRU&amp;lang=en_US&amp;offset=0&amp;query=any,contains,991003486439702656","Catalog Record")</f>
        <v/>
      </c>
      <c r="AT1991">
        <f>HYPERLINK("http://www.worldcat.org/oclc/1033580","WorldCat Record")</f>
        <v/>
      </c>
      <c r="AU1991" t="inlineStr">
        <is>
          <t>2909173917:eng</t>
        </is>
      </c>
      <c r="AV1991" t="inlineStr">
        <is>
          <t>1033580</t>
        </is>
      </c>
      <c r="AW1991" t="inlineStr">
        <is>
          <t>991003486439702656</t>
        </is>
      </c>
      <c r="AX1991" t="inlineStr">
        <is>
          <t>991003486439702656</t>
        </is>
      </c>
      <c r="AY1991" t="inlineStr">
        <is>
          <t>2268587230002656</t>
        </is>
      </c>
      <c r="AZ1991" t="inlineStr">
        <is>
          <t>BOOK</t>
        </is>
      </c>
      <c r="BC1991" t="inlineStr">
        <is>
          <t>32285001653459</t>
        </is>
      </c>
      <c r="BD1991" t="inlineStr">
        <is>
          <t>893686584</t>
        </is>
      </c>
    </row>
    <row r="1992">
      <c r="A1992" t="inlineStr">
        <is>
          <t>No</t>
        </is>
      </c>
      <c r="B1992" t="inlineStr">
        <is>
          <t>DS740.5.J3 W365 2005</t>
        </is>
      </c>
      <c r="C1992" t="inlineStr">
        <is>
          <t>0                      DS 0740500J  3                  W  365         2005</t>
        </is>
      </c>
      <c r="D1992" t="inlineStr">
        <is>
          <t>Ambassadors from the islands of immortals : China-Japan relations in the Han-Tang period / Wang Zhenping.</t>
        </is>
      </c>
      <c r="F1992" t="inlineStr">
        <is>
          <t>No</t>
        </is>
      </c>
      <c r="G1992" t="inlineStr">
        <is>
          <t>1</t>
        </is>
      </c>
      <c r="H1992" t="inlineStr">
        <is>
          <t>No</t>
        </is>
      </c>
      <c r="I1992" t="inlineStr">
        <is>
          <t>No</t>
        </is>
      </c>
      <c r="J1992" t="inlineStr">
        <is>
          <t>0</t>
        </is>
      </c>
      <c r="K1992" t="inlineStr">
        <is>
          <t>Wang, Zhenping.</t>
        </is>
      </c>
      <c r="L1992" t="inlineStr">
        <is>
          <t>[Ann Arbor, MI] : Association for Asian Studies ; Honolulu : University of Hawai'i Press, c2005.</t>
        </is>
      </c>
      <c r="M1992" t="inlineStr">
        <is>
          <t>2005</t>
        </is>
      </c>
      <c r="O1992" t="inlineStr">
        <is>
          <t>eng</t>
        </is>
      </c>
      <c r="P1992" t="inlineStr">
        <is>
          <t>hiu</t>
        </is>
      </c>
      <c r="Q1992" t="inlineStr">
        <is>
          <t>Asian interactions and comparisons</t>
        </is>
      </c>
      <c r="R1992" t="inlineStr">
        <is>
          <t xml:space="preserve">DS </t>
        </is>
      </c>
      <c r="S1992" t="n">
        <v>1</v>
      </c>
      <c r="T1992" t="n">
        <v>1</v>
      </c>
      <c r="U1992" t="inlineStr">
        <is>
          <t>2008-08-13</t>
        </is>
      </c>
      <c r="V1992" t="inlineStr">
        <is>
          <t>2008-08-13</t>
        </is>
      </c>
      <c r="W1992" t="inlineStr">
        <is>
          <t>2008-08-13</t>
        </is>
      </c>
      <c r="X1992" t="inlineStr">
        <is>
          <t>2008-08-13</t>
        </is>
      </c>
      <c r="Y1992" t="n">
        <v>311</v>
      </c>
      <c r="Z1992" t="n">
        <v>246</v>
      </c>
      <c r="AA1992" t="n">
        <v>545</v>
      </c>
      <c r="AB1992" t="n">
        <v>2</v>
      </c>
      <c r="AC1992" t="n">
        <v>3</v>
      </c>
      <c r="AD1992" t="n">
        <v>12</v>
      </c>
      <c r="AE1992" t="n">
        <v>23</v>
      </c>
      <c r="AF1992" t="n">
        <v>6</v>
      </c>
      <c r="AG1992" t="n">
        <v>10</v>
      </c>
      <c r="AH1992" t="n">
        <v>4</v>
      </c>
      <c r="AI1992" t="n">
        <v>7</v>
      </c>
      <c r="AJ1992" t="n">
        <v>7</v>
      </c>
      <c r="AK1992" t="n">
        <v>13</v>
      </c>
      <c r="AL1992" t="n">
        <v>1</v>
      </c>
      <c r="AM1992" t="n">
        <v>2</v>
      </c>
      <c r="AN1992" t="n">
        <v>0</v>
      </c>
      <c r="AO1992" t="n">
        <v>0</v>
      </c>
      <c r="AP1992" t="inlineStr">
        <is>
          <t>No</t>
        </is>
      </c>
      <c r="AQ1992" t="inlineStr">
        <is>
          <t>No</t>
        </is>
      </c>
      <c r="AS1992">
        <f>HYPERLINK("https://creighton-primo.hosted.exlibrisgroup.com/primo-explore/search?tab=default_tab&amp;search_scope=EVERYTHING&amp;vid=01CRU&amp;lang=en_US&amp;offset=0&amp;query=any,contains,991005255799702656","Catalog Record")</f>
        <v/>
      </c>
      <c r="AT1992">
        <f>HYPERLINK("http://www.worldcat.org/oclc/58647984","WorldCat Record")</f>
        <v/>
      </c>
      <c r="AU1992" t="inlineStr">
        <is>
          <t>891922061:eng</t>
        </is>
      </c>
      <c r="AV1992" t="inlineStr">
        <is>
          <t>58647984</t>
        </is>
      </c>
      <c r="AW1992" t="inlineStr">
        <is>
          <t>991005255799702656</t>
        </is>
      </c>
      <c r="AX1992" t="inlineStr">
        <is>
          <t>991005255799702656</t>
        </is>
      </c>
      <c r="AY1992" t="inlineStr">
        <is>
          <t>2268951530002656</t>
        </is>
      </c>
      <c r="AZ1992" t="inlineStr">
        <is>
          <t>BOOK</t>
        </is>
      </c>
      <c r="BB1992" t="inlineStr">
        <is>
          <t>9780824828714</t>
        </is>
      </c>
      <c r="BC1992" t="inlineStr">
        <is>
          <t>32285005453765</t>
        </is>
      </c>
      <c r="BD1992" t="inlineStr">
        <is>
          <t>893613401</t>
        </is>
      </c>
    </row>
    <row r="1993">
      <c r="A1993" t="inlineStr">
        <is>
          <t>No</t>
        </is>
      </c>
      <c r="B1993" t="inlineStr">
        <is>
          <t>DS740.5.M3 C45 1984</t>
        </is>
      </c>
      <c r="C1993" t="inlineStr">
        <is>
          <t>0                      DS 0740500M  3                  C  45          1984</t>
        </is>
      </c>
      <c r="D1993" t="inlineStr">
        <is>
          <t>China and Malaysia, 1949-1983 / edited by R.K. Jain.</t>
        </is>
      </c>
      <c r="F1993" t="inlineStr">
        <is>
          <t>No</t>
        </is>
      </c>
      <c r="G1993" t="inlineStr">
        <is>
          <t>1</t>
        </is>
      </c>
      <c r="H1993" t="inlineStr">
        <is>
          <t>No</t>
        </is>
      </c>
      <c r="I1993" t="inlineStr">
        <is>
          <t>No</t>
        </is>
      </c>
      <c r="J1993" t="inlineStr">
        <is>
          <t>0</t>
        </is>
      </c>
      <c r="L1993" t="inlineStr">
        <is>
          <t>Atlantic Highlands, N.J. : Humanities Press, 1984.</t>
        </is>
      </c>
      <c r="M1993" t="inlineStr">
        <is>
          <t>1984</t>
        </is>
      </c>
      <c r="O1993" t="inlineStr">
        <is>
          <t>eng</t>
        </is>
      </c>
      <c r="P1993" t="inlineStr">
        <is>
          <t>nju</t>
        </is>
      </c>
      <c r="Q1993" t="inlineStr">
        <is>
          <t>China and Southeast Asia since 1949 ; v. 2</t>
        </is>
      </c>
      <c r="R1993" t="inlineStr">
        <is>
          <t xml:space="preserve">DS </t>
        </is>
      </c>
      <c r="S1993" t="n">
        <v>1</v>
      </c>
      <c r="T1993" t="n">
        <v>1</v>
      </c>
      <c r="U1993" t="inlineStr">
        <is>
          <t>1992-03-26</t>
        </is>
      </c>
      <c r="V1993" t="inlineStr">
        <is>
          <t>1992-03-26</t>
        </is>
      </c>
      <c r="W1993" t="inlineStr">
        <is>
          <t>1990-10-15</t>
        </is>
      </c>
      <c r="X1993" t="inlineStr">
        <is>
          <t>1990-10-15</t>
        </is>
      </c>
      <c r="Y1993" t="n">
        <v>180</v>
      </c>
      <c r="Z1993" t="n">
        <v>156</v>
      </c>
      <c r="AA1993" t="n">
        <v>183</v>
      </c>
      <c r="AB1993" t="n">
        <v>3</v>
      </c>
      <c r="AC1993" t="n">
        <v>3</v>
      </c>
      <c r="AD1993" t="n">
        <v>6</v>
      </c>
      <c r="AE1993" t="n">
        <v>6</v>
      </c>
      <c r="AF1993" t="n">
        <v>0</v>
      </c>
      <c r="AG1993" t="n">
        <v>0</v>
      </c>
      <c r="AH1993" t="n">
        <v>2</v>
      </c>
      <c r="AI1993" t="n">
        <v>2</v>
      </c>
      <c r="AJ1993" t="n">
        <v>3</v>
      </c>
      <c r="AK1993" t="n">
        <v>3</v>
      </c>
      <c r="AL1993" t="n">
        <v>2</v>
      </c>
      <c r="AM1993" t="n">
        <v>2</v>
      </c>
      <c r="AN1993" t="n">
        <v>0</v>
      </c>
      <c r="AO1993" t="n">
        <v>0</v>
      </c>
      <c r="AP1993" t="inlineStr">
        <is>
          <t>No</t>
        </is>
      </c>
      <c r="AQ1993" t="inlineStr">
        <is>
          <t>Yes</t>
        </is>
      </c>
      <c r="AR1993">
        <f>HYPERLINK("http://catalog.hathitrust.org/Record/000902480","HathiTrust Record")</f>
        <v/>
      </c>
      <c r="AS1993">
        <f>HYPERLINK("https://creighton-primo.hosted.exlibrisgroup.com/primo-explore/search?tab=default_tab&amp;search_scope=EVERYTHING&amp;vid=01CRU&amp;lang=en_US&amp;offset=0&amp;query=any,contains,991000477379702656","Catalog Record")</f>
        <v/>
      </c>
      <c r="AT1993">
        <f>HYPERLINK("http://www.worldcat.org/oclc/11033814","WorldCat Record")</f>
        <v/>
      </c>
      <c r="AU1993" t="inlineStr">
        <is>
          <t>761317087:eng</t>
        </is>
      </c>
      <c r="AV1993" t="inlineStr">
        <is>
          <t>11033814</t>
        </is>
      </c>
      <c r="AW1993" t="inlineStr">
        <is>
          <t>991000477379702656</t>
        </is>
      </c>
      <c r="AX1993" t="inlineStr">
        <is>
          <t>991000477379702656</t>
        </is>
      </c>
      <c r="AY1993" t="inlineStr">
        <is>
          <t>2262453710002656</t>
        </is>
      </c>
      <c r="AZ1993" t="inlineStr">
        <is>
          <t>BOOK</t>
        </is>
      </c>
      <c r="BB1993" t="inlineStr">
        <is>
          <t>9780391025981</t>
        </is>
      </c>
      <c r="BC1993" t="inlineStr">
        <is>
          <t>32285000338359</t>
        </is>
      </c>
      <c r="BD1993" t="inlineStr">
        <is>
          <t>893702135</t>
        </is>
      </c>
    </row>
    <row r="1994">
      <c r="A1994" t="inlineStr">
        <is>
          <t>No</t>
        </is>
      </c>
      <c r="B1994" t="inlineStr">
        <is>
          <t>DS740.5.R8 B7</t>
        </is>
      </c>
      <c r="C1994" t="inlineStr">
        <is>
          <t>0                      DS 0740500R  8                  B  7</t>
        </is>
      </c>
      <c r="D1994" t="inlineStr">
        <is>
          <t>Stalin's failure in China, 1924-1927.</t>
        </is>
      </c>
      <c r="F1994" t="inlineStr">
        <is>
          <t>No</t>
        </is>
      </c>
      <c r="G1994" t="inlineStr">
        <is>
          <t>1</t>
        </is>
      </c>
      <c r="H1994" t="inlineStr">
        <is>
          <t>No</t>
        </is>
      </c>
      <c r="I1994" t="inlineStr">
        <is>
          <t>No</t>
        </is>
      </c>
      <c r="J1994" t="inlineStr">
        <is>
          <t>0</t>
        </is>
      </c>
      <c r="K1994" t="inlineStr">
        <is>
          <t>Brandt, Conrad.</t>
        </is>
      </c>
      <c r="L1994" t="inlineStr">
        <is>
          <t>Cambridge, Harvard University Press, 1958.</t>
        </is>
      </c>
      <c r="M1994" t="inlineStr">
        <is>
          <t>1958</t>
        </is>
      </c>
      <c r="O1994" t="inlineStr">
        <is>
          <t>eng</t>
        </is>
      </c>
      <c r="P1994" t="inlineStr">
        <is>
          <t>mau</t>
        </is>
      </c>
      <c r="Q1994" t="inlineStr">
        <is>
          <t>Russian Research Center studies ; 31</t>
        </is>
      </c>
      <c r="R1994" t="inlineStr">
        <is>
          <t xml:space="preserve">DS </t>
        </is>
      </c>
      <c r="S1994" t="n">
        <v>3</v>
      </c>
      <c r="T1994" t="n">
        <v>3</v>
      </c>
      <c r="U1994" t="inlineStr">
        <is>
          <t>2002-12-01</t>
        </is>
      </c>
      <c r="V1994" t="inlineStr">
        <is>
          <t>2002-12-01</t>
        </is>
      </c>
      <c r="W1994" t="inlineStr">
        <is>
          <t>1997-03-11</t>
        </is>
      </c>
      <c r="X1994" t="inlineStr">
        <is>
          <t>1997-03-11</t>
        </is>
      </c>
      <c r="Y1994" t="n">
        <v>875</v>
      </c>
      <c r="Z1994" t="n">
        <v>723</v>
      </c>
      <c r="AA1994" t="n">
        <v>863</v>
      </c>
      <c r="AB1994" t="n">
        <v>7</v>
      </c>
      <c r="AC1994" t="n">
        <v>9</v>
      </c>
      <c r="AD1994" t="n">
        <v>40</v>
      </c>
      <c r="AE1994" t="n">
        <v>45</v>
      </c>
      <c r="AF1994" t="n">
        <v>18</v>
      </c>
      <c r="AG1994" t="n">
        <v>20</v>
      </c>
      <c r="AH1994" t="n">
        <v>5</v>
      </c>
      <c r="AI1994" t="n">
        <v>6</v>
      </c>
      <c r="AJ1994" t="n">
        <v>19</v>
      </c>
      <c r="AK1994" t="n">
        <v>21</v>
      </c>
      <c r="AL1994" t="n">
        <v>6</v>
      </c>
      <c r="AM1994" t="n">
        <v>8</v>
      </c>
      <c r="AN1994" t="n">
        <v>0</v>
      </c>
      <c r="AO1994" t="n">
        <v>0</v>
      </c>
      <c r="AP1994" t="inlineStr">
        <is>
          <t>No</t>
        </is>
      </c>
      <c r="AQ1994" t="inlineStr">
        <is>
          <t>Yes</t>
        </is>
      </c>
      <c r="AR1994">
        <f>HYPERLINK("http://catalog.hathitrust.org/Record/001267562","HathiTrust Record")</f>
        <v/>
      </c>
      <c r="AS1994">
        <f>HYPERLINK("https://creighton-primo.hosted.exlibrisgroup.com/primo-explore/search?tab=default_tab&amp;search_scope=EVERYTHING&amp;vid=01CRU&amp;lang=en_US&amp;offset=0&amp;query=any,contains,991002647209702656","Catalog Record")</f>
        <v/>
      </c>
      <c r="AT1994">
        <f>HYPERLINK("http://www.worldcat.org/oclc/386102","WorldCat Record")</f>
        <v/>
      </c>
      <c r="AU1994" t="inlineStr">
        <is>
          <t>1435064:eng</t>
        </is>
      </c>
      <c r="AV1994" t="inlineStr">
        <is>
          <t>386102</t>
        </is>
      </c>
      <c r="AW1994" t="inlineStr">
        <is>
          <t>991002647209702656</t>
        </is>
      </c>
      <c r="AX1994" t="inlineStr">
        <is>
          <t>991002647209702656</t>
        </is>
      </c>
      <c r="AY1994" t="inlineStr">
        <is>
          <t>2257584740002656</t>
        </is>
      </c>
      <c r="AZ1994" t="inlineStr">
        <is>
          <t>BOOK</t>
        </is>
      </c>
      <c r="BC1994" t="inlineStr">
        <is>
          <t>32285002446929</t>
        </is>
      </c>
      <c r="BD1994" t="inlineStr">
        <is>
          <t>893445283</t>
        </is>
      </c>
    </row>
    <row r="1995">
      <c r="A1995" t="inlineStr">
        <is>
          <t>No</t>
        </is>
      </c>
      <c r="B1995" t="inlineStr">
        <is>
          <t>DS740.5.R8 J33</t>
        </is>
      </c>
      <c r="C1995" t="inlineStr">
        <is>
          <t>0                      DS 0740500R  8                  J  33</t>
        </is>
      </c>
      <c r="D1995" t="inlineStr">
        <is>
          <t>Sino-Soviet relations since Mao : the chairman's legacy / C. G. Jacobsen.</t>
        </is>
      </c>
      <c r="F1995" t="inlineStr">
        <is>
          <t>No</t>
        </is>
      </c>
      <c r="G1995" t="inlineStr">
        <is>
          <t>1</t>
        </is>
      </c>
      <c r="H1995" t="inlineStr">
        <is>
          <t>No</t>
        </is>
      </c>
      <c r="I1995" t="inlineStr">
        <is>
          <t>No</t>
        </is>
      </c>
      <c r="J1995" t="inlineStr">
        <is>
          <t>0</t>
        </is>
      </c>
      <c r="K1995" t="inlineStr">
        <is>
          <t>Jacobsen, C. G. (Carl G.)</t>
        </is>
      </c>
      <c r="L1995" t="inlineStr">
        <is>
          <t>New York : Praeger, 1981.</t>
        </is>
      </c>
      <c r="M1995" t="inlineStr">
        <is>
          <t>1981</t>
        </is>
      </c>
      <c r="O1995" t="inlineStr">
        <is>
          <t>eng</t>
        </is>
      </c>
      <c r="P1995" t="inlineStr">
        <is>
          <t>nyu</t>
        </is>
      </c>
      <c r="R1995" t="inlineStr">
        <is>
          <t xml:space="preserve">DS </t>
        </is>
      </c>
      <c r="S1995" t="n">
        <v>4</v>
      </c>
      <c r="T1995" t="n">
        <v>4</v>
      </c>
      <c r="U1995" t="inlineStr">
        <is>
          <t>1998-01-19</t>
        </is>
      </c>
      <c r="V1995" t="inlineStr">
        <is>
          <t>1998-01-19</t>
        </is>
      </c>
      <c r="W1995" t="inlineStr">
        <is>
          <t>1990-10-15</t>
        </is>
      </c>
      <c r="X1995" t="inlineStr">
        <is>
          <t>1990-10-15</t>
        </is>
      </c>
      <c r="Y1995" t="n">
        <v>497</v>
      </c>
      <c r="Z1995" t="n">
        <v>394</v>
      </c>
      <c r="AA1995" t="n">
        <v>396</v>
      </c>
      <c r="AB1995" t="n">
        <v>5</v>
      </c>
      <c r="AC1995" t="n">
        <v>5</v>
      </c>
      <c r="AD1995" t="n">
        <v>21</v>
      </c>
      <c r="AE1995" t="n">
        <v>21</v>
      </c>
      <c r="AF1995" t="n">
        <v>8</v>
      </c>
      <c r="AG1995" t="n">
        <v>8</v>
      </c>
      <c r="AH1995" t="n">
        <v>5</v>
      </c>
      <c r="AI1995" t="n">
        <v>5</v>
      </c>
      <c r="AJ1995" t="n">
        <v>11</v>
      </c>
      <c r="AK1995" t="n">
        <v>11</v>
      </c>
      <c r="AL1995" t="n">
        <v>4</v>
      </c>
      <c r="AM1995" t="n">
        <v>4</v>
      </c>
      <c r="AN1995" t="n">
        <v>0</v>
      </c>
      <c r="AO1995" t="n">
        <v>0</v>
      </c>
      <c r="AP1995" t="inlineStr">
        <is>
          <t>No</t>
        </is>
      </c>
      <c r="AQ1995" t="inlineStr">
        <is>
          <t>Yes</t>
        </is>
      </c>
      <c r="AR1995">
        <f>HYPERLINK("http://catalog.hathitrust.org/Record/000098792","HathiTrust Record")</f>
        <v/>
      </c>
      <c r="AS1995">
        <f>HYPERLINK("https://creighton-primo.hosted.exlibrisgroup.com/primo-explore/search?tab=default_tab&amp;search_scope=EVERYTHING&amp;vid=01CRU&amp;lang=en_US&amp;offset=0&amp;query=any,contains,991005067999702656","Catalog Record")</f>
        <v/>
      </c>
      <c r="AT1995">
        <f>HYPERLINK("http://www.worldcat.org/oclc/6982270","WorldCat Record")</f>
        <v/>
      </c>
      <c r="AU1995" t="inlineStr">
        <is>
          <t>366224831:eng</t>
        </is>
      </c>
      <c r="AV1995" t="inlineStr">
        <is>
          <t>6982270</t>
        </is>
      </c>
      <c r="AW1995" t="inlineStr">
        <is>
          <t>991005067999702656</t>
        </is>
      </c>
      <c r="AX1995" t="inlineStr">
        <is>
          <t>991005067999702656</t>
        </is>
      </c>
      <c r="AY1995" t="inlineStr">
        <is>
          <t>2272584610002656</t>
        </is>
      </c>
      <c r="AZ1995" t="inlineStr">
        <is>
          <t>BOOK</t>
        </is>
      </c>
      <c r="BB1995" t="inlineStr">
        <is>
          <t>9780030583469</t>
        </is>
      </c>
      <c r="BC1995" t="inlineStr">
        <is>
          <t>32285000338367</t>
        </is>
      </c>
      <c r="BD1995" t="inlineStr">
        <is>
          <t>893520362</t>
        </is>
      </c>
    </row>
    <row r="1996">
      <c r="A1996" t="inlineStr">
        <is>
          <t>No</t>
        </is>
      </c>
      <c r="B1996" t="inlineStr">
        <is>
          <t>DS740.5.R8 M373</t>
        </is>
      </c>
      <c r="C1996" t="inlineStr">
        <is>
          <t>0                      DS 0740500R  8                  M  373</t>
        </is>
      </c>
      <c r="D1996" t="inlineStr">
        <is>
          <t>Peking and Moscow. Translated from the German by Leila Vennewitz.</t>
        </is>
      </c>
      <c r="F1996" t="inlineStr">
        <is>
          <t>No</t>
        </is>
      </c>
      <c r="G1996" t="inlineStr">
        <is>
          <t>1</t>
        </is>
      </c>
      <c r="H1996" t="inlineStr">
        <is>
          <t>No</t>
        </is>
      </c>
      <c r="I1996" t="inlineStr">
        <is>
          <t>No</t>
        </is>
      </c>
      <c r="J1996" t="inlineStr">
        <is>
          <t>0</t>
        </is>
      </c>
      <c r="K1996" t="inlineStr">
        <is>
          <t>Mehnert, Klaus, 1906-1984.</t>
        </is>
      </c>
      <c r="L1996" t="inlineStr">
        <is>
          <t>New York, Putnam [1963]</t>
        </is>
      </c>
      <c r="M1996" t="inlineStr">
        <is>
          <t>1963</t>
        </is>
      </c>
      <c r="N1996" t="inlineStr">
        <is>
          <t>[1st American ed.]</t>
        </is>
      </c>
      <c r="O1996" t="inlineStr">
        <is>
          <t>eng</t>
        </is>
      </c>
      <c r="P1996" t="inlineStr">
        <is>
          <t>nyu</t>
        </is>
      </c>
      <c r="R1996" t="inlineStr">
        <is>
          <t xml:space="preserve">DS </t>
        </is>
      </c>
      <c r="S1996" t="n">
        <v>1</v>
      </c>
      <c r="T1996" t="n">
        <v>1</v>
      </c>
      <c r="U1996" t="inlineStr">
        <is>
          <t>2002-10-28</t>
        </is>
      </c>
      <c r="V1996" t="inlineStr">
        <is>
          <t>2002-10-28</t>
        </is>
      </c>
      <c r="W1996" t="inlineStr">
        <is>
          <t>1996-08-09</t>
        </is>
      </c>
      <c r="X1996" t="inlineStr">
        <is>
          <t>1996-08-09</t>
        </is>
      </c>
      <c r="Y1996" t="n">
        <v>766</v>
      </c>
      <c r="Z1996" t="n">
        <v>713</v>
      </c>
      <c r="AA1996" t="n">
        <v>836</v>
      </c>
      <c r="AB1996" t="n">
        <v>5</v>
      </c>
      <c r="AC1996" t="n">
        <v>6</v>
      </c>
      <c r="AD1996" t="n">
        <v>27</v>
      </c>
      <c r="AE1996" t="n">
        <v>33</v>
      </c>
      <c r="AF1996" t="n">
        <v>8</v>
      </c>
      <c r="AG1996" t="n">
        <v>10</v>
      </c>
      <c r="AH1996" t="n">
        <v>7</v>
      </c>
      <c r="AI1996" t="n">
        <v>8</v>
      </c>
      <c r="AJ1996" t="n">
        <v>17</v>
      </c>
      <c r="AK1996" t="n">
        <v>20</v>
      </c>
      <c r="AL1996" t="n">
        <v>4</v>
      </c>
      <c r="AM1996" t="n">
        <v>5</v>
      </c>
      <c r="AN1996" t="n">
        <v>0</v>
      </c>
      <c r="AO1996" t="n">
        <v>0</v>
      </c>
      <c r="AP1996" t="inlineStr">
        <is>
          <t>No</t>
        </is>
      </c>
      <c r="AQ1996" t="inlineStr">
        <is>
          <t>Yes</t>
        </is>
      </c>
      <c r="AR1996">
        <f>HYPERLINK("http://catalog.hathitrust.org/Record/001257850","HathiTrust Record")</f>
        <v/>
      </c>
      <c r="AS1996">
        <f>HYPERLINK("https://creighton-primo.hosted.exlibrisgroup.com/primo-explore/search?tab=default_tab&amp;search_scope=EVERYTHING&amp;vid=01CRU&amp;lang=en_US&amp;offset=0&amp;query=any,contains,991002717549702656","Catalog Record")</f>
        <v/>
      </c>
      <c r="AT1996">
        <f>HYPERLINK("http://www.worldcat.org/oclc/411701","WorldCat Record")</f>
        <v/>
      </c>
      <c r="AU1996" t="inlineStr">
        <is>
          <t>770340327:eng</t>
        </is>
      </c>
      <c r="AV1996" t="inlineStr">
        <is>
          <t>411701</t>
        </is>
      </c>
      <c r="AW1996" t="inlineStr">
        <is>
          <t>991002717549702656</t>
        </is>
      </c>
      <c r="AX1996" t="inlineStr">
        <is>
          <t>991002717549702656</t>
        </is>
      </c>
      <c r="AY1996" t="inlineStr">
        <is>
          <t>2264723960002656</t>
        </is>
      </c>
      <c r="AZ1996" t="inlineStr">
        <is>
          <t>BOOK</t>
        </is>
      </c>
      <c r="BC1996" t="inlineStr">
        <is>
          <t>32285002273646</t>
        </is>
      </c>
      <c r="BD1996" t="inlineStr">
        <is>
          <t>893809633</t>
        </is>
      </c>
    </row>
    <row r="1997">
      <c r="A1997" t="inlineStr">
        <is>
          <t>No</t>
        </is>
      </c>
      <c r="B1997" t="inlineStr">
        <is>
          <t>DS740.5.R8 M48</t>
        </is>
      </c>
      <c r="C1997" t="inlineStr">
        <is>
          <t>0                      DS 0740500R  8                  M  48</t>
        </is>
      </c>
      <c r="D1997" t="inlineStr">
        <is>
          <t>The duel of the giants : China and Russia in Asia / by Drew Middleton.</t>
        </is>
      </c>
      <c r="F1997" t="inlineStr">
        <is>
          <t>No</t>
        </is>
      </c>
      <c r="G1997" t="inlineStr">
        <is>
          <t>1</t>
        </is>
      </c>
      <c r="H1997" t="inlineStr">
        <is>
          <t>No</t>
        </is>
      </c>
      <c r="I1997" t="inlineStr">
        <is>
          <t>No</t>
        </is>
      </c>
      <c r="J1997" t="inlineStr">
        <is>
          <t>0</t>
        </is>
      </c>
      <c r="K1997" t="inlineStr">
        <is>
          <t>Middleton, Drew, 1913-1990.</t>
        </is>
      </c>
      <c r="L1997" t="inlineStr">
        <is>
          <t>New York : Scribner, c1978.</t>
        </is>
      </c>
      <c r="M1997" t="inlineStr">
        <is>
          <t>1978</t>
        </is>
      </c>
      <c r="O1997" t="inlineStr">
        <is>
          <t>eng</t>
        </is>
      </c>
      <c r="P1997" t="inlineStr">
        <is>
          <t>nyu</t>
        </is>
      </c>
      <c r="R1997" t="inlineStr">
        <is>
          <t xml:space="preserve">DS </t>
        </is>
      </c>
      <c r="S1997" t="n">
        <v>1</v>
      </c>
      <c r="T1997" t="n">
        <v>1</v>
      </c>
      <c r="U1997" t="inlineStr">
        <is>
          <t>1998-01-19</t>
        </is>
      </c>
      <c r="V1997" t="inlineStr">
        <is>
          <t>1998-01-19</t>
        </is>
      </c>
      <c r="W1997" t="inlineStr">
        <is>
          <t>1990-10-15</t>
        </is>
      </c>
      <c r="X1997" t="inlineStr">
        <is>
          <t>1990-10-15</t>
        </is>
      </c>
      <c r="Y1997" t="n">
        <v>771</v>
      </c>
      <c r="Z1997" t="n">
        <v>671</v>
      </c>
      <c r="AA1997" t="n">
        <v>685</v>
      </c>
      <c r="AB1997" t="n">
        <v>4</v>
      </c>
      <c r="AC1997" t="n">
        <v>4</v>
      </c>
      <c r="AD1997" t="n">
        <v>18</v>
      </c>
      <c r="AE1997" t="n">
        <v>19</v>
      </c>
      <c r="AF1997" t="n">
        <v>6</v>
      </c>
      <c r="AG1997" t="n">
        <v>7</v>
      </c>
      <c r="AH1997" t="n">
        <v>6</v>
      </c>
      <c r="AI1997" t="n">
        <v>6</v>
      </c>
      <c r="AJ1997" t="n">
        <v>8</v>
      </c>
      <c r="AK1997" t="n">
        <v>8</v>
      </c>
      <c r="AL1997" t="n">
        <v>2</v>
      </c>
      <c r="AM1997" t="n">
        <v>2</v>
      </c>
      <c r="AN1997" t="n">
        <v>0</v>
      </c>
      <c r="AO1997" t="n">
        <v>0</v>
      </c>
      <c r="AP1997" t="inlineStr">
        <is>
          <t>No</t>
        </is>
      </c>
      <c r="AQ1997" t="inlineStr">
        <is>
          <t>Yes</t>
        </is>
      </c>
      <c r="AR1997">
        <f>HYPERLINK("http://catalog.hathitrust.org/Record/000174045","HathiTrust Record")</f>
        <v/>
      </c>
      <c r="AS1997">
        <f>HYPERLINK("https://creighton-primo.hosted.exlibrisgroup.com/primo-explore/search?tab=default_tab&amp;search_scope=EVERYTHING&amp;vid=01CRU&amp;lang=en_US&amp;offset=0&amp;query=any,contains,991004545339702656","Catalog Record")</f>
        <v/>
      </c>
      <c r="AT1997">
        <f>HYPERLINK("http://www.worldcat.org/oclc/3913197","WorldCat Record")</f>
        <v/>
      </c>
      <c r="AU1997" t="inlineStr">
        <is>
          <t>13167445:eng</t>
        </is>
      </c>
      <c r="AV1997" t="inlineStr">
        <is>
          <t>3913197</t>
        </is>
      </c>
      <c r="AW1997" t="inlineStr">
        <is>
          <t>991004545339702656</t>
        </is>
      </c>
      <c r="AX1997" t="inlineStr">
        <is>
          <t>991004545339702656</t>
        </is>
      </c>
      <c r="AY1997" t="inlineStr">
        <is>
          <t>2258254070002656</t>
        </is>
      </c>
      <c r="AZ1997" t="inlineStr">
        <is>
          <t>BOOK</t>
        </is>
      </c>
      <c r="BB1997" t="inlineStr">
        <is>
          <t>9780684157856</t>
        </is>
      </c>
      <c r="BC1997" t="inlineStr">
        <is>
          <t>32285000338375</t>
        </is>
      </c>
      <c r="BD1997" t="inlineStr">
        <is>
          <t>893593840</t>
        </is>
      </c>
    </row>
    <row r="1998">
      <c r="A1998" t="inlineStr">
        <is>
          <t>No</t>
        </is>
      </c>
      <c r="B1998" t="inlineStr">
        <is>
          <t>DS740.5.R8 S26 1969</t>
        </is>
      </c>
      <c r="C1998" t="inlineStr">
        <is>
          <t>0                      DS 0740500R  8                  S  26          1969</t>
        </is>
      </c>
      <c r="D1998" t="inlineStr">
        <is>
          <t>War between Russia and China / [by] Harrison E. Salisbury.</t>
        </is>
      </c>
      <c r="F1998" t="inlineStr">
        <is>
          <t>No</t>
        </is>
      </c>
      <c r="G1998" t="inlineStr">
        <is>
          <t>1</t>
        </is>
      </c>
      <c r="H1998" t="inlineStr">
        <is>
          <t>No</t>
        </is>
      </c>
      <c r="I1998" t="inlineStr">
        <is>
          <t>No</t>
        </is>
      </c>
      <c r="J1998" t="inlineStr">
        <is>
          <t>0</t>
        </is>
      </c>
      <c r="K1998" t="inlineStr">
        <is>
          <t>Salisbury, Harrison E. (Harrison Evans), 1908-1993.</t>
        </is>
      </c>
      <c r="L1998" t="inlineStr">
        <is>
          <t>New York : Norton, [1969]</t>
        </is>
      </c>
      <c r="M1998" t="inlineStr">
        <is>
          <t>1969</t>
        </is>
      </c>
      <c r="N1998" t="inlineStr">
        <is>
          <t>[1st ed.]</t>
        </is>
      </c>
      <c r="O1998" t="inlineStr">
        <is>
          <t>eng</t>
        </is>
      </c>
      <c r="P1998" t="inlineStr">
        <is>
          <t>nyu</t>
        </is>
      </c>
      <c r="R1998" t="inlineStr">
        <is>
          <t xml:space="preserve">DS </t>
        </is>
      </c>
      <c r="S1998" t="n">
        <v>1</v>
      </c>
      <c r="T1998" t="n">
        <v>1</v>
      </c>
      <c r="U1998" t="inlineStr">
        <is>
          <t>1998-01-19</t>
        </is>
      </c>
      <c r="V1998" t="inlineStr">
        <is>
          <t>1998-01-19</t>
        </is>
      </c>
      <c r="W1998" t="inlineStr">
        <is>
          <t>1994-04-27</t>
        </is>
      </c>
      <c r="X1998" t="inlineStr">
        <is>
          <t>1994-04-27</t>
        </is>
      </c>
      <c r="Y1998" t="n">
        <v>1136</v>
      </c>
      <c r="Z1998" t="n">
        <v>1037</v>
      </c>
      <c r="AA1998" t="n">
        <v>1112</v>
      </c>
      <c r="AB1998" t="n">
        <v>8</v>
      </c>
      <c r="AC1998" t="n">
        <v>9</v>
      </c>
      <c r="AD1998" t="n">
        <v>41</v>
      </c>
      <c r="AE1998" t="n">
        <v>48</v>
      </c>
      <c r="AF1998" t="n">
        <v>18</v>
      </c>
      <c r="AG1998" t="n">
        <v>19</v>
      </c>
      <c r="AH1998" t="n">
        <v>7</v>
      </c>
      <c r="AI1998" t="n">
        <v>8</v>
      </c>
      <c r="AJ1998" t="n">
        <v>21</v>
      </c>
      <c r="AK1998" t="n">
        <v>24</v>
      </c>
      <c r="AL1998" t="n">
        <v>5</v>
      </c>
      <c r="AM1998" t="n">
        <v>6</v>
      </c>
      <c r="AN1998" t="n">
        <v>1</v>
      </c>
      <c r="AO1998" t="n">
        <v>2</v>
      </c>
      <c r="AP1998" t="inlineStr">
        <is>
          <t>No</t>
        </is>
      </c>
      <c r="AQ1998" t="inlineStr">
        <is>
          <t>No</t>
        </is>
      </c>
      <c r="AS1998">
        <f>HYPERLINK("https://creighton-primo.hosted.exlibrisgroup.com/primo-explore/search?tab=default_tab&amp;search_scope=EVERYTHING&amp;vid=01CRU&amp;lang=en_US&amp;offset=0&amp;query=any,contains,991000126609702656","Catalog Record")</f>
        <v/>
      </c>
      <c r="AT1998">
        <f>HYPERLINK("http://www.worldcat.org/oclc/52189","WorldCat Record")</f>
        <v/>
      </c>
      <c r="AU1998" t="inlineStr">
        <is>
          <t>1136490376:eng</t>
        </is>
      </c>
      <c r="AV1998" t="inlineStr">
        <is>
          <t>52189</t>
        </is>
      </c>
      <c r="AW1998" t="inlineStr">
        <is>
          <t>991000126609702656</t>
        </is>
      </c>
      <c r="AX1998" t="inlineStr">
        <is>
          <t>991000126609702656</t>
        </is>
      </c>
      <c r="AY1998" t="inlineStr">
        <is>
          <t>2259396880002656</t>
        </is>
      </c>
      <c r="AZ1998" t="inlineStr">
        <is>
          <t>BOOK</t>
        </is>
      </c>
      <c r="BB1998" t="inlineStr">
        <is>
          <t>9780393053944</t>
        </is>
      </c>
      <c r="BC1998" t="inlineStr">
        <is>
          <t>32285001893691</t>
        </is>
      </c>
      <c r="BD1998" t="inlineStr">
        <is>
          <t>893595311</t>
        </is>
      </c>
    </row>
    <row r="1999">
      <c r="A1999" t="inlineStr">
        <is>
          <t>No</t>
        </is>
      </c>
      <c r="B1999" t="inlineStr">
        <is>
          <t>DS740.5.R8 W53</t>
        </is>
      </c>
      <c r="C1999" t="inlineStr">
        <is>
          <t>0                      DS 0740500R  8                  W  53</t>
        </is>
      </c>
      <c r="D1999" t="inlineStr">
        <is>
          <t>Sino-Soviet crisis politics : a study of political change and communication / Richard Wich.</t>
        </is>
      </c>
      <c r="F1999" t="inlineStr">
        <is>
          <t>No</t>
        </is>
      </c>
      <c r="G1999" t="inlineStr">
        <is>
          <t>1</t>
        </is>
      </c>
      <c r="H1999" t="inlineStr">
        <is>
          <t>No</t>
        </is>
      </c>
      <c r="I1999" t="inlineStr">
        <is>
          <t>No</t>
        </is>
      </c>
      <c r="J1999" t="inlineStr">
        <is>
          <t>0</t>
        </is>
      </c>
      <c r="K1999" t="inlineStr">
        <is>
          <t>Wich, Richard, 1933-</t>
        </is>
      </c>
      <c r="L1999" t="inlineStr">
        <is>
          <t>Cambridge, Mass. : Council on East Asian Studies, Harvard University : distributed by Harvard University Press, 1980.</t>
        </is>
      </c>
      <c r="M1999" t="inlineStr">
        <is>
          <t>1980</t>
        </is>
      </c>
      <c r="O1999" t="inlineStr">
        <is>
          <t>eng</t>
        </is>
      </c>
      <c r="P1999" t="inlineStr">
        <is>
          <t>mau</t>
        </is>
      </c>
      <c r="Q1999" t="inlineStr">
        <is>
          <t>Harvard East Asian monographs ; 96</t>
        </is>
      </c>
      <c r="R1999" t="inlineStr">
        <is>
          <t xml:space="preserve">DS </t>
        </is>
      </c>
      <c r="S1999" t="n">
        <v>1</v>
      </c>
      <c r="T1999" t="n">
        <v>1</v>
      </c>
      <c r="U1999" t="inlineStr">
        <is>
          <t>1998-01-19</t>
        </is>
      </c>
      <c r="V1999" t="inlineStr">
        <is>
          <t>1998-01-19</t>
        </is>
      </c>
      <c r="W1999" t="inlineStr">
        <is>
          <t>1990-10-15</t>
        </is>
      </c>
      <c r="X1999" t="inlineStr">
        <is>
          <t>1990-10-15</t>
        </is>
      </c>
      <c r="Y1999" t="n">
        <v>440</v>
      </c>
      <c r="Z1999" t="n">
        <v>321</v>
      </c>
      <c r="AA1999" t="n">
        <v>372</v>
      </c>
      <c r="AB1999" t="n">
        <v>2</v>
      </c>
      <c r="AC1999" t="n">
        <v>3</v>
      </c>
      <c r="AD1999" t="n">
        <v>15</v>
      </c>
      <c r="AE1999" t="n">
        <v>22</v>
      </c>
      <c r="AF1999" t="n">
        <v>4</v>
      </c>
      <c r="AG1999" t="n">
        <v>9</v>
      </c>
      <c r="AH1999" t="n">
        <v>6</v>
      </c>
      <c r="AI1999" t="n">
        <v>7</v>
      </c>
      <c r="AJ1999" t="n">
        <v>8</v>
      </c>
      <c r="AK1999" t="n">
        <v>9</v>
      </c>
      <c r="AL1999" t="n">
        <v>1</v>
      </c>
      <c r="AM1999" t="n">
        <v>2</v>
      </c>
      <c r="AN1999" t="n">
        <v>0</v>
      </c>
      <c r="AO1999" t="n">
        <v>0</v>
      </c>
      <c r="AP1999" t="inlineStr">
        <is>
          <t>No</t>
        </is>
      </c>
      <c r="AQ1999" t="inlineStr">
        <is>
          <t>Yes</t>
        </is>
      </c>
      <c r="AR1999">
        <f>HYPERLINK("http://catalog.hathitrust.org/Record/000693077","HathiTrust Record")</f>
        <v/>
      </c>
      <c r="AS1999">
        <f>HYPERLINK("https://creighton-primo.hosted.exlibrisgroup.com/primo-explore/search?tab=default_tab&amp;search_scope=EVERYTHING&amp;vid=01CRU&amp;lang=en_US&amp;offset=0&amp;query=any,contains,991004974179702656","Catalog Record")</f>
        <v/>
      </c>
      <c r="AT1999">
        <f>HYPERLINK("http://www.worldcat.org/oclc/6378741","WorldCat Record")</f>
        <v/>
      </c>
      <c r="AU1999" t="inlineStr">
        <is>
          <t>198819937:eng</t>
        </is>
      </c>
      <c r="AV1999" t="inlineStr">
        <is>
          <t>6378741</t>
        </is>
      </c>
      <c r="AW1999" t="inlineStr">
        <is>
          <t>991004974179702656</t>
        </is>
      </c>
      <c r="AX1999" t="inlineStr">
        <is>
          <t>991004974179702656</t>
        </is>
      </c>
      <c r="AY1999" t="inlineStr">
        <is>
          <t>2270889340002656</t>
        </is>
      </c>
      <c r="AZ1999" t="inlineStr">
        <is>
          <t>BOOK</t>
        </is>
      </c>
      <c r="BB1999" t="inlineStr">
        <is>
          <t>9780674809352</t>
        </is>
      </c>
      <c r="BC1999" t="inlineStr">
        <is>
          <t>32285000338383</t>
        </is>
      </c>
      <c r="BD1999" t="inlineStr">
        <is>
          <t>893694569</t>
        </is>
      </c>
    </row>
    <row r="2000">
      <c r="A2000" t="inlineStr">
        <is>
          <t>No</t>
        </is>
      </c>
      <c r="B2000" t="inlineStr">
        <is>
          <t>DS740.5.S65 C48</t>
        </is>
      </c>
      <c r="C2000" t="inlineStr">
        <is>
          <t>0                      DS 0740500S  65                 C  48</t>
        </is>
      </c>
      <c r="D2000" t="inlineStr">
        <is>
          <t>China, the Soviet Union, and the West : strategic and political dimensions in the 1980s / edited by Douglas T. Stuart and William T. Tow.</t>
        </is>
      </c>
      <c r="F2000" t="inlineStr">
        <is>
          <t>No</t>
        </is>
      </c>
      <c r="G2000" t="inlineStr">
        <is>
          <t>1</t>
        </is>
      </c>
      <c r="H2000" t="inlineStr">
        <is>
          <t>No</t>
        </is>
      </c>
      <c r="I2000" t="inlineStr">
        <is>
          <t>No</t>
        </is>
      </c>
      <c r="J2000" t="inlineStr">
        <is>
          <t>0</t>
        </is>
      </c>
      <c r="L2000" t="inlineStr">
        <is>
          <t>Boulder, Colo. : Westview Press, 1982.</t>
        </is>
      </c>
      <c r="M2000" t="inlineStr">
        <is>
          <t>1981</t>
        </is>
      </c>
      <c r="O2000" t="inlineStr">
        <is>
          <t>eng</t>
        </is>
      </c>
      <c r="P2000" t="inlineStr">
        <is>
          <t>cou</t>
        </is>
      </c>
      <c r="Q2000" t="inlineStr">
        <is>
          <t>Westview special studies in international relations</t>
        </is>
      </c>
      <c r="R2000" t="inlineStr">
        <is>
          <t xml:space="preserve">DS </t>
        </is>
      </c>
      <c r="S2000" t="n">
        <v>2</v>
      </c>
      <c r="T2000" t="n">
        <v>2</v>
      </c>
      <c r="U2000" t="inlineStr">
        <is>
          <t>1998-01-19</t>
        </is>
      </c>
      <c r="V2000" t="inlineStr">
        <is>
          <t>1998-01-19</t>
        </is>
      </c>
      <c r="W2000" t="inlineStr">
        <is>
          <t>1990-05-08</t>
        </is>
      </c>
      <c r="X2000" t="inlineStr">
        <is>
          <t>1990-05-08</t>
        </is>
      </c>
      <c r="Y2000" t="n">
        <v>514</v>
      </c>
      <c r="Z2000" t="n">
        <v>384</v>
      </c>
      <c r="AA2000" t="n">
        <v>386</v>
      </c>
      <c r="AB2000" t="n">
        <v>3</v>
      </c>
      <c r="AC2000" t="n">
        <v>3</v>
      </c>
      <c r="AD2000" t="n">
        <v>21</v>
      </c>
      <c r="AE2000" t="n">
        <v>21</v>
      </c>
      <c r="AF2000" t="n">
        <v>7</v>
      </c>
      <c r="AG2000" t="n">
        <v>7</v>
      </c>
      <c r="AH2000" t="n">
        <v>6</v>
      </c>
      <c r="AI2000" t="n">
        <v>6</v>
      </c>
      <c r="AJ2000" t="n">
        <v>10</v>
      </c>
      <c r="AK2000" t="n">
        <v>10</v>
      </c>
      <c r="AL2000" t="n">
        <v>2</v>
      </c>
      <c r="AM2000" t="n">
        <v>2</v>
      </c>
      <c r="AN2000" t="n">
        <v>1</v>
      </c>
      <c r="AO2000" t="n">
        <v>1</v>
      </c>
      <c r="AP2000" t="inlineStr">
        <is>
          <t>No</t>
        </is>
      </c>
      <c r="AQ2000" t="inlineStr">
        <is>
          <t>Yes</t>
        </is>
      </c>
      <c r="AR2000">
        <f>HYPERLINK("http://catalog.hathitrust.org/Record/000224920","HathiTrust Record")</f>
        <v/>
      </c>
      <c r="AS2000">
        <f>HYPERLINK("https://creighton-primo.hosted.exlibrisgroup.com/primo-explore/search?tab=default_tab&amp;search_scope=EVERYTHING&amp;vid=01CRU&amp;lang=en_US&amp;offset=0&amp;query=any,contains,991005131319702656","Catalog Record")</f>
        <v/>
      </c>
      <c r="AT2000">
        <f>HYPERLINK("http://www.worldcat.org/oclc/7572684","WorldCat Record")</f>
        <v/>
      </c>
      <c r="AU2000" t="inlineStr">
        <is>
          <t>864591028:eng</t>
        </is>
      </c>
      <c r="AV2000" t="inlineStr">
        <is>
          <t>7572684</t>
        </is>
      </c>
      <c r="AW2000" t="inlineStr">
        <is>
          <t>991005131319702656</t>
        </is>
      </c>
      <c r="AX2000" t="inlineStr">
        <is>
          <t>991005131319702656</t>
        </is>
      </c>
      <c r="AY2000" t="inlineStr">
        <is>
          <t>2271707230002656</t>
        </is>
      </c>
      <c r="AZ2000" t="inlineStr">
        <is>
          <t>BOOK</t>
        </is>
      </c>
      <c r="BB2000" t="inlineStr">
        <is>
          <t>9780865310919</t>
        </is>
      </c>
      <c r="BC2000" t="inlineStr">
        <is>
          <t>32285000150705</t>
        </is>
      </c>
      <c r="BD2000" t="inlineStr">
        <is>
          <t>893533233</t>
        </is>
      </c>
    </row>
    <row r="2001">
      <c r="A2001" t="inlineStr">
        <is>
          <t>No</t>
        </is>
      </c>
      <c r="B2001" t="inlineStr">
        <is>
          <t>DS741 .C5 no.10</t>
        </is>
      </c>
      <c r="C2001" t="inlineStr">
        <is>
          <t>0                      DS 0741000C  5                                                       no.10</t>
        </is>
      </c>
      <c r="D2001" t="inlineStr">
        <is>
          <t>The chronicle of Fu Chien: a case of exemplar history. Translated and annotated, with prolegomena, by Michael C. Rogers.</t>
        </is>
      </c>
      <c r="E2001" t="inlineStr">
        <is>
          <t>no.10*</t>
        </is>
      </c>
      <c r="F2001" t="inlineStr">
        <is>
          <t>No</t>
        </is>
      </c>
      <c r="G2001" t="inlineStr">
        <is>
          <t>1</t>
        </is>
      </c>
      <c r="H2001" t="inlineStr">
        <is>
          <t>No</t>
        </is>
      </c>
      <c r="I2001" t="inlineStr">
        <is>
          <t>No</t>
        </is>
      </c>
      <c r="J2001" t="inlineStr">
        <is>
          <t>0</t>
        </is>
      </c>
      <c r="K2001" t="inlineStr">
        <is>
          <t>Fang, Xuanling, 579-648.</t>
        </is>
      </c>
      <c r="L2001" t="inlineStr">
        <is>
          <t>Berkeley, University of California Press, 1968.</t>
        </is>
      </c>
      <c r="M2001" t="inlineStr">
        <is>
          <t>1968</t>
        </is>
      </c>
      <c r="O2001" t="inlineStr">
        <is>
          <t>eng</t>
        </is>
      </c>
      <c r="P2001" t="inlineStr">
        <is>
          <t>cau</t>
        </is>
      </c>
      <c r="Q2001" t="inlineStr">
        <is>
          <t>Chinese dynastic histories translations ; no. 10</t>
        </is>
      </c>
      <c r="R2001" t="inlineStr">
        <is>
          <t xml:space="preserve">DS </t>
        </is>
      </c>
      <c r="S2001" t="n">
        <v>0</v>
      </c>
      <c r="T2001" t="n">
        <v>0</v>
      </c>
      <c r="U2001" t="inlineStr">
        <is>
          <t>2006-10-26</t>
        </is>
      </c>
      <c r="V2001" t="inlineStr">
        <is>
          <t>2006-10-26</t>
        </is>
      </c>
      <c r="W2001" t="inlineStr">
        <is>
          <t>1996-08-09</t>
        </is>
      </c>
      <c r="X2001" t="inlineStr">
        <is>
          <t>1996-08-09</t>
        </is>
      </c>
      <c r="Y2001" t="n">
        <v>288</v>
      </c>
      <c r="Z2001" t="n">
        <v>249</v>
      </c>
      <c r="AA2001" t="n">
        <v>255</v>
      </c>
      <c r="AB2001" t="n">
        <v>2</v>
      </c>
      <c r="AC2001" t="n">
        <v>2</v>
      </c>
      <c r="AD2001" t="n">
        <v>16</v>
      </c>
      <c r="AE2001" t="n">
        <v>16</v>
      </c>
      <c r="AF2001" t="n">
        <v>7</v>
      </c>
      <c r="AG2001" t="n">
        <v>7</v>
      </c>
      <c r="AH2001" t="n">
        <v>6</v>
      </c>
      <c r="AI2001" t="n">
        <v>6</v>
      </c>
      <c r="AJ2001" t="n">
        <v>6</v>
      </c>
      <c r="AK2001" t="n">
        <v>6</v>
      </c>
      <c r="AL2001" t="n">
        <v>1</v>
      </c>
      <c r="AM2001" t="n">
        <v>1</v>
      </c>
      <c r="AN2001" t="n">
        <v>0</v>
      </c>
      <c r="AO2001" t="n">
        <v>0</v>
      </c>
      <c r="AP2001" t="inlineStr">
        <is>
          <t>No</t>
        </is>
      </c>
      <c r="AQ2001" t="inlineStr">
        <is>
          <t>No</t>
        </is>
      </c>
      <c r="AS2001">
        <f>HYPERLINK("https://creighton-primo.hosted.exlibrisgroup.com/primo-explore/search?tab=default_tab&amp;search_scope=EVERYTHING&amp;vid=01CRU&amp;lang=en_US&amp;offset=0&amp;query=any,contains,991001990909702656","Catalog Record")</f>
        <v/>
      </c>
      <c r="AT2001">
        <f>HYPERLINK("http://www.worldcat.org/oclc/633831522","WorldCat Record")</f>
        <v/>
      </c>
      <c r="AU2001" t="inlineStr">
        <is>
          <t>931706120:eng</t>
        </is>
      </c>
      <c r="AV2001" t="inlineStr">
        <is>
          <t>633831522</t>
        </is>
      </c>
      <c r="AW2001" t="inlineStr">
        <is>
          <t>991001990909702656</t>
        </is>
      </c>
      <c r="AX2001" t="inlineStr">
        <is>
          <t>991001990909702656</t>
        </is>
      </c>
      <c r="AY2001" t="inlineStr">
        <is>
          <t>2268859560002656</t>
        </is>
      </c>
      <c r="AZ2001" t="inlineStr">
        <is>
          <t>BOOK</t>
        </is>
      </c>
      <c r="BC2001" t="inlineStr">
        <is>
          <t>32285002273661</t>
        </is>
      </c>
      <c r="BD2001" t="inlineStr">
        <is>
          <t>893420832</t>
        </is>
      </c>
    </row>
    <row r="2002">
      <c r="A2002" t="inlineStr">
        <is>
          <t>No</t>
        </is>
      </c>
      <c r="B2002" t="inlineStr">
        <is>
          <t>DS741.65 .C528 2005</t>
        </is>
      </c>
      <c r="C2002" t="inlineStr">
        <is>
          <t>0                      DS 0741650C  528         2005</t>
        </is>
      </c>
      <c r="D2002" t="inlineStr">
        <is>
          <t>The formation of Chinese civilization : an archaeological perspective / Kwang-chih Chang, Xu Pingfang ; Lu Liancheng ... [et al.] ; edited and with an introduction by Sarah Allan ; foreword by Peter J. Ucko.</t>
        </is>
      </c>
      <c r="F2002" t="inlineStr">
        <is>
          <t>No</t>
        </is>
      </c>
      <c r="G2002" t="inlineStr">
        <is>
          <t>1</t>
        </is>
      </c>
      <c r="H2002" t="inlineStr">
        <is>
          <t>No</t>
        </is>
      </c>
      <c r="I2002" t="inlineStr">
        <is>
          <t>No</t>
        </is>
      </c>
      <c r="J2002" t="inlineStr">
        <is>
          <t>0</t>
        </is>
      </c>
      <c r="K2002" t="inlineStr">
        <is>
          <t>Chang, Kwang-chih.</t>
        </is>
      </c>
      <c r="L2002" t="inlineStr">
        <is>
          <t>New Haven : Yale University Press, c2005.</t>
        </is>
      </c>
      <c r="M2002" t="inlineStr">
        <is>
          <t>2005</t>
        </is>
      </c>
      <c r="O2002" t="inlineStr">
        <is>
          <t>eng</t>
        </is>
      </c>
      <c r="P2002" t="inlineStr">
        <is>
          <t>ctu</t>
        </is>
      </c>
      <c r="Q2002" t="inlineStr">
        <is>
          <t>Culture &amp; civilization of China</t>
        </is>
      </c>
      <c r="R2002" t="inlineStr">
        <is>
          <t xml:space="preserve">DS </t>
        </is>
      </c>
      <c r="S2002" t="n">
        <v>2</v>
      </c>
      <c r="T2002" t="n">
        <v>2</v>
      </c>
      <c r="U2002" t="inlineStr">
        <is>
          <t>2006-10-11</t>
        </is>
      </c>
      <c r="V2002" t="inlineStr">
        <is>
          <t>2006-10-11</t>
        </is>
      </c>
      <c r="W2002" t="inlineStr">
        <is>
          <t>2006-10-11</t>
        </is>
      </c>
      <c r="X2002" t="inlineStr">
        <is>
          <t>2006-10-11</t>
        </is>
      </c>
      <c r="Y2002" t="n">
        <v>474</v>
      </c>
      <c r="Z2002" t="n">
        <v>387</v>
      </c>
      <c r="AA2002" t="n">
        <v>391</v>
      </c>
      <c r="AB2002" t="n">
        <v>2</v>
      </c>
      <c r="AC2002" t="n">
        <v>2</v>
      </c>
      <c r="AD2002" t="n">
        <v>18</v>
      </c>
      <c r="AE2002" t="n">
        <v>18</v>
      </c>
      <c r="AF2002" t="n">
        <v>7</v>
      </c>
      <c r="AG2002" t="n">
        <v>7</v>
      </c>
      <c r="AH2002" t="n">
        <v>5</v>
      </c>
      <c r="AI2002" t="n">
        <v>5</v>
      </c>
      <c r="AJ2002" t="n">
        <v>10</v>
      </c>
      <c r="AK2002" t="n">
        <v>10</v>
      </c>
      <c r="AL2002" t="n">
        <v>1</v>
      </c>
      <c r="AM2002" t="n">
        <v>1</v>
      </c>
      <c r="AN2002" t="n">
        <v>0</v>
      </c>
      <c r="AO2002" t="n">
        <v>0</v>
      </c>
      <c r="AP2002" t="inlineStr">
        <is>
          <t>No</t>
        </is>
      </c>
      <c r="AQ2002" t="inlineStr">
        <is>
          <t>No</t>
        </is>
      </c>
      <c r="AS2002">
        <f>HYPERLINK("https://creighton-primo.hosted.exlibrisgroup.com/primo-explore/search?tab=default_tab&amp;search_scope=EVERYTHING&amp;vid=01CRU&amp;lang=en_US&amp;offset=0&amp;query=any,contains,991004940679702656","Catalog Record")</f>
        <v/>
      </c>
      <c r="AT2002">
        <f>HYPERLINK("http://www.worldcat.org/oclc/49260208","WorldCat Record")</f>
        <v/>
      </c>
      <c r="AU2002" t="inlineStr">
        <is>
          <t>908314799:eng</t>
        </is>
      </c>
      <c r="AV2002" t="inlineStr">
        <is>
          <t>49260208</t>
        </is>
      </c>
      <c r="AW2002" t="inlineStr">
        <is>
          <t>991004940679702656</t>
        </is>
      </c>
      <c r="AX2002" t="inlineStr">
        <is>
          <t>991004940679702656</t>
        </is>
      </c>
      <c r="AY2002" t="inlineStr">
        <is>
          <t>2254861840002656</t>
        </is>
      </c>
      <c r="AZ2002" t="inlineStr">
        <is>
          <t>BOOK</t>
        </is>
      </c>
      <c r="BB2002" t="inlineStr">
        <is>
          <t>9780300093827</t>
        </is>
      </c>
      <c r="BC2002" t="inlineStr">
        <is>
          <t>32285005229132</t>
        </is>
      </c>
      <c r="BD2002" t="inlineStr">
        <is>
          <t>893236077</t>
        </is>
      </c>
    </row>
    <row r="2003">
      <c r="A2003" t="inlineStr">
        <is>
          <t>No</t>
        </is>
      </c>
      <c r="B2003" t="inlineStr">
        <is>
          <t>DS744 .C383</t>
        </is>
      </c>
      <c r="C2003" t="inlineStr">
        <is>
          <t>0                      DS 0744000C  383</t>
        </is>
      </c>
      <c r="D2003" t="inlineStr">
        <is>
          <t>Shang civilization / Kwang-chih Chang.</t>
        </is>
      </c>
      <c r="F2003" t="inlineStr">
        <is>
          <t>No</t>
        </is>
      </c>
      <c r="G2003" t="inlineStr">
        <is>
          <t>1</t>
        </is>
      </c>
      <c r="H2003" t="inlineStr">
        <is>
          <t>No</t>
        </is>
      </c>
      <c r="I2003" t="inlineStr">
        <is>
          <t>No</t>
        </is>
      </c>
      <c r="J2003" t="inlineStr">
        <is>
          <t>0</t>
        </is>
      </c>
      <c r="K2003" t="inlineStr">
        <is>
          <t>Chang, Kwang-chih.</t>
        </is>
      </c>
      <c r="L2003" t="inlineStr">
        <is>
          <t>New Haven : Yale University Press, 1980.</t>
        </is>
      </c>
      <c r="M2003" t="inlineStr">
        <is>
          <t>1980</t>
        </is>
      </c>
      <c r="O2003" t="inlineStr">
        <is>
          <t>eng</t>
        </is>
      </c>
      <c r="P2003" t="inlineStr">
        <is>
          <t>ctu</t>
        </is>
      </c>
      <c r="R2003" t="inlineStr">
        <is>
          <t xml:space="preserve">DS </t>
        </is>
      </c>
      <c r="S2003" t="n">
        <v>11</v>
      </c>
      <c r="T2003" t="n">
        <v>11</v>
      </c>
      <c r="U2003" t="inlineStr">
        <is>
          <t>2001-10-29</t>
        </is>
      </c>
      <c r="V2003" t="inlineStr">
        <is>
          <t>2001-10-29</t>
        </is>
      </c>
      <c r="W2003" t="inlineStr">
        <is>
          <t>1990-10-15</t>
        </is>
      </c>
      <c r="X2003" t="inlineStr">
        <is>
          <t>1990-10-15</t>
        </is>
      </c>
      <c r="Y2003" t="n">
        <v>823</v>
      </c>
      <c r="Z2003" t="n">
        <v>680</v>
      </c>
      <c r="AA2003" t="n">
        <v>682</v>
      </c>
      <c r="AB2003" t="n">
        <v>4</v>
      </c>
      <c r="AC2003" t="n">
        <v>4</v>
      </c>
      <c r="AD2003" t="n">
        <v>29</v>
      </c>
      <c r="AE2003" t="n">
        <v>29</v>
      </c>
      <c r="AF2003" t="n">
        <v>13</v>
      </c>
      <c r="AG2003" t="n">
        <v>13</v>
      </c>
      <c r="AH2003" t="n">
        <v>9</v>
      </c>
      <c r="AI2003" t="n">
        <v>9</v>
      </c>
      <c r="AJ2003" t="n">
        <v>14</v>
      </c>
      <c r="AK2003" t="n">
        <v>14</v>
      </c>
      <c r="AL2003" t="n">
        <v>3</v>
      </c>
      <c r="AM2003" t="n">
        <v>3</v>
      </c>
      <c r="AN2003" t="n">
        <v>0</v>
      </c>
      <c r="AO2003" t="n">
        <v>0</v>
      </c>
      <c r="AP2003" t="inlineStr">
        <is>
          <t>No</t>
        </is>
      </c>
      <c r="AQ2003" t="inlineStr">
        <is>
          <t>No</t>
        </is>
      </c>
      <c r="AS2003">
        <f>HYPERLINK("https://creighton-primo.hosted.exlibrisgroup.com/primo-explore/search?tab=default_tab&amp;search_scope=EVERYTHING&amp;vid=01CRU&amp;lang=en_US&amp;offset=0&amp;query=any,contains,991005378229702656","Catalog Record")</f>
        <v/>
      </c>
      <c r="AT2003">
        <f>HYPERLINK("http://www.worldcat.org/oclc/5310792","WorldCat Record")</f>
        <v/>
      </c>
      <c r="AU2003" t="inlineStr">
        <is>
          <t>6470297:eng</t>
        </is>
      </c>
      <c r="AV2003" t="inlineStr">
        <is>
          <t>5310792</t>
        </is>
      </c>
      <c r="AW2003" t="inlineStr">
        <is>
          <t>991005378229702656</t>
        </is>
      </c>
      <c r="AX2003" t="inlineStr">
        <is>
          <t>991005378229702656</t>
        </is>
      </c>
      <c r="AY2003" t="inlineStr">
        <is>
          <t>2264359050002656</t>
        </is>
      </c>
      <c r="AZ2003" t="inlineStr">
        <is>
          <t>BOOK</t>
        </is>
      </c>
      <c r="BB2003" t="inlineStr">
        <is>
          <t>9780300024289</t>
        </is>
      </c>
      <c r="BC2003" t="inlineStr">
        <is>
          <t>32285000338425</t>
        </is>
      </c>
      <c r="BD2003" t="inlineStr">
        <is>
          <t>893508161</t>
        </is>
      </c>
    </row>
    <row r="2004">
      <c r="A2004" t="inlineStr">
        <is>
          <t>No</t>
        </is>
      </c>
      <c r="B2004" t="inlineStr">
        <is>
          <t>DS745 .M313</t>
        </is>
      </c>
      <c r="C2004" t="inlineStr">
        <is>
          <t>0                      DS 0745000M  313</t>
        </is>
      </c>
      <c r="D2004" t="inlineStr">
        <is>
          <t>China in antiquity / by Henri Maspero ; translated by Frank A. Kierman, Jr.</t>
        </is>
      </c>
      <c r="F2004" t="inlineStr">
        <is>
          <t>No</t>
        </is>
      </c>
      <c r="G2004" t="inlineStr">
        <is>
          <t>1</t>
        </is>
      </c>
      <c r="H2004" t="inlineStr">
        <is>
          <t>No</t>
        </is>
      </c>
      <c r="I2004" t="inlineStr">
        <is>
          <t>No</t>
        </is>
      </c>
      <c r="J2004" t="inlineStr">
        <is>
          <t>0</t>
        </is>
      </c>
      <c r="K2004" t="inlineStr">
        <is>
          <t>Maspero, Henri, 1883-1945.</t>
        </is>
      </c>
      <c r="L2004" t="inlineStr">
        <is>
          <t>Amherst : University of Massachusetts Press, 1978.</t>
        </is>
      </c>
      <c r="M2004" t="inlineStr">
        <is>
          <t>1978</t>
        </is>
      </c>
      <c r="O2004" t="inlineStr">
        <is>
          <t>eng</t>
        </is>
      </c>
      <c r="P2004" t="inlineStr">
        <is>
          <t>mau</t>
        </is>
      </c>
      <c r="R2004" t="inlineStr">
        <is>
          <t xml:space="preserve">DS </t>
        </is>
      </c>
      <c r="S2004" t="n">
        <v>12</v>
      </c>
      <c r="T2004" t="n">
        <v>12</v>
      </c>
      <c r="U2004" t="inlineStr">
        <is>
          <t>2001-10-29</t>
        </is>
      </c>
      <c r="V2004" t="inlineStr">
        <is>
          <t>2001-10-29</t>
        </is>
      </c>
      <c r="W2004" t="inlineStr">
        <is>
          <t>1990-10-15</t>
        </is>
      </c>
      <c r="X2004" t="inlineStr">
        <is>
          <t>1990-10-15</t>
        </is>
      </c>
      <c r="Y2004" t="n">
        <v>511</v>
      </c>
      <c r="Z2004" t="n">
        <v>456</v>
      </c>
      <c r="AA2004" t="n">
        <v>487</v>
      </c>
      <c r="AB2004" t="n">
        <v>2</v>
      </c>
      <c r="AC2004" t="n">
        <v>3</v>
      </c>
      <c r="AD2004" t="n">
        <v>19</v>
      </c>
      <c r="AE2004" t="n">
        <v>21</v>
      </c>
      <c r="AF2004" t="n">
        <v>10</v>
      </c>
      <c r="AG2004" t="n">
        <v>10</v>
      </c>
      <c r="AH2004" t="n">
        <v>4</v>
      </c>
      <c r="AI2004" t="n">
        <v>5</v>
      </c>
      <c r="AJ2004" t="n">
        <v>10</v>
      </c>
      <c r="AK2004" t="n">
        <v>10</v>
      </c>
      <c r="AL2004" t="n">
        <v>1</v>
      </c>
      <c r="AM2004" t="n">
        <v>2</v>
      </c>
      <c r="AN2004" t="n">
        <v>0</v>
      </c>
      <c r="AO2004" t="n">
        <v>0</v>
      </c>
      <c r="AP2004" t="inlineStr">
        <is>
          <t>No</t>
        </is>
      </c>
      <c r="AQ2004" t="inlineStr">
        <is>
          <t>Yes</t>
        </is>
      </c>
      <c r="AR2004">
        <f>HYPERLINK("http://catalog.hathitrust.org/Record/000089648","HathiTrust Record")</f>
        <v/>
      </c>
      <c r="AS2004">
        <f>HYPERLINK("https://creighton-primo.hosted.exlibrisgroup.com/primo-explore/search?tab=default_tab&amp;search_scope=EVERYTHING&amp;vid=01CRU&amp;lang=en_US&amp;offset=0&amp;query=any,contains,991005371279702656","Catalog Record")</f>
        <v/>
      </c>
      <c r="AT2004">
        <f>HYPERLINK("http://www.worldcat.org/oclc/3542846","WorldCat Record")</f>
        <v/>
      </c>
      <c r="AU2004" t="inlineStr">
        <is>
          <t>347965881:eng</t>
        </is>
      </c>
      <c r="AV2004" t="inlineStr">
        <is>
          <t>3542846</t>
        </is>
      </c>
      <c r="AW2004" t="inlineStr">
        <is>
          <t>991005371279702656</t>
        </is>
      </c>
      <c r="AX2004" t="inlineStr">
        <is>
          <t>991005371279702656</t>
        </is>
      </c>
      <c r="AY2004" t="inlineStr">
        <is>
          <t>2264813240002656</t>
        </is>
      </c>
      <c r="AZ2004" t="inlineStr">
        <is>
          <t>BOOK</t>
        </is>
      </c>
      <c r="BB2004" t="inlineStr">
        <is>
          <t>9780870231933</t>
        </is>
      </c>
      <c r="BC2004" t="inlineStr">
        <is>
          <t>32285000338433</t>
        </is>
      </c>
      <c r="BD2004" t="inlineStr">
        <is>
          <t>893508151</t>
        </is>
      </c>
    </row>
    <row r="2005">
      <c r="A2005" t="inlineStr">
        <is>
          <t>No</t>
        </is>
      </c>
      <c r="B2005" t="inlineStr">
        <is>
          <t>DS747.42 .M36 1988</t>
        </is>
      </c>
      <c r="C2005" t="inlineStr">
        <is>
          <t>0                      DS 0747420M  36          1988</t>
        </is>
      </c>
      <c r="D2005" t="inlineStr">
        <is>
          <t>State and scholars in Tʻang China / David McMullen.</t>
        </is>
      </c>
      <c r="F2005" t="inlineStr">
        <is>
          <t>No</t>
        </is>
      </c>
      <c r="G2005" t="inlineStr">
        <is>
          <t>1</t>
        </is>
      </c>
      <c r="H2005" t="inlineStr">
        <is>
          <t>No</t>
        </is>
      </c>
      <c r="I2005" t="inlineStr">
        <is>
          <t>No</t>
        </is>
      </c>
      <c r="J2005" t="inlineStr">
        <is>
          <t>0</t>
        </is>
      </c>
      <c r="K2005" t="inlineStr">
        <is>
          <t>McMullen, David.</t>
        </is>
      </c>
      <c r="L2005" t="inlineStr">
        <is>
          <t>Cambridge [England] ; New York : Cambridge University Press, 1988.</t>
        </is>
      </c>
      <c r="M2005" t="inlineStr">
        <is>
          <t>1988</t>
        </is>
      </c>
      <c r="O2005" t="inlineStr">
        <is>
          <t>eng</t>
        </is>
      </c>
      <c r="P2005" t="inlineStr">
        <is>
          <t>enk</t>
        </is>
      </c>
      <c r="Q2005" t="inlineStr">
        <is>
          <t>Cambridge studies in Chinese history, literature, and institutions</t>
        </is>
      </c>
      <c r="R2005" t="inlineStr">
        <is>
          <t xml:space="preserve">DS </t>
        </is>
      </c>
      <c r="S2005" t="n">
        <v>3</v>
      </c>
      <c r="T2005" t="n">
        <v>3</v>
      </c>
      <c r="U2005" t="inlineStr">
        <is>
          <t>1998-10-14</t>
        </is>
      </c>
      <c r="V2005" t="inlineStr">
        <is>
          <t>1998-10-14</t>
        </is>
      </c>
      <c r="W2005" t="inlineStr">
        <is>
          <t>1993-11-22</t>
        </is>
      </c>
      <c r="X2005" t="inlineStr">
        <is>
          <t>1993-11-22</t>
        </is>
      </c>
      <c r="Y2005" t="n">
        <v>309</v>
      </c>
      <c r="Z2005" t="n">
        <v>227</v>
      </c>
      <c r="AA2005" t="n">
        <v>227</v>
      </c>
      <c r="AB2005" t="n">
        <v>3</v>
      </c>
      <c r="AC2005" t="n">
        <v>3</v>
      </c>
      <c r="AD2005" t="n">
        <v>10</v>
      </c>
      <c r="AE2005" t="n">
        <v>10</v>
      </c>
      <c r="AF2005" t="n">
        <v>1</v>
      </c>
      <c r="AG2005" t="n">
        <v>1</v>
      </c>
      <c r="AH2005" t="n">
        <v>4</v>
      </c>
      <c r="AI2005" t="n">
        <v>4</v>
      </c>
      <c r="AJ2005" t="n">
        <v>5</v>
      </c>
      <c r="AK2005" t="n">
        <v>5</v>
      </c>
      <c r="AL2005" t="n">
        <v>2</v>
      </c>
      <c r="AM2005" t="n">
        <v>2</v>
      </c>
      <c r="AN2005" t="n">
        <v>0</v>
      </c>
      <c r="AO2005" t="n">
        <v>0</v>
      </c>
      <c r="AP2005" t="inlineStr">
        <is>
          <t>No</t>
        </is>
      </c>
      <c r="AQ2005" t="inlineStr">
        <is>
          <t>No</t>
        </is>
      </c>
      <c r="AS2005">
        <f>HYPERLINK("https://creighton-primo.hosted.exlibrisgroup.com/primo-explore/search?tab=default_tab&amp;search_scope=EVERYTHING&amp;vid=01CRU&amp;lang=en_US&amp;offset=0&amp;query=any,contains,991001031549702656","Catalog Record")</f>
        <v/>
      </c>
      <c r="AT2005">
        <f>HYPERLINK("http://www.worldcat.org/oclc/15518675","WorldCat Record")</f>
        <v/>
      </c>
      <c r="AU2005" t="inlineStr">
        <is>
          <t>10146321:eng</t>
        </is>
      </c>
      <c r="AV2005" t="inlineStr">
        <is>
          <t>15518675</t>
        </is>
      </c>
      <c r="AW2005" t="inlineStr">
        <is>
          <t>991001031549702656</t>
        </is>
      </c>
      <c r="AX2005" t="inlineStr">
        <is>
          <t>991001031549702656</t>
        </is>
      </c>
      <c r="AY2005" t="inlineStr">
        <is>
          <t>2264800250002656</t>
        </is>
      </c>
      <c r="AZ2005" t="inlineStr">
        <is>
          <t>BOOK</t>
        </is>
      </c>
      <c r="BB2005" t="inlineStr">
        <is>
          <t>9780521329910</t>
        </is>
      </c>
      <c r="BC2005" t="inlineStr">
        <is>
          <t>32285001812238</t>
        </is>
      </c>
      <c r="BD2005" t="inlineStr">
        <is>
          <t>893708940</t>
        </is>
      </c>
    </row>
    <row r="2006">
      <c r="A2006" t="inlineStr">
        <is>
          <t>No</t>
        </is>
      </c>
      <c r="B2006" t="inlineStr">
        <is>
          <t>DS747.9.Q254 F57 2007</t>
        </is>
      </c>
      <c r="C2006" t="inlineStr">
        <is>
          <t>0                      DS 0747900Q  254                F  57          2007</t>
        </is>
      </c>
      <c r="D2006" t="inlineStr">
        <is>
          <t>The first emperor : China's Terracotta Army / edited by Jane Portal ; with the assistance of Hiromi Kinoshita.</t>
        </is>
      </c>
      <c r="F2006" t="inlineStr">
        <is>
          <t>No</t>
        </is>
      </c>
      <c r="G2006" t="inlineStr">
        <is>
          <t>1</t>
        </is>
      </c>
      <c r="H2006" t="inlineStr">
        <is>
          <t>No</t>
        </is>
      </c>
      <c r="I2006" t="inlineStr">
        <is>
          <t>No</t>
        </is>
      </c>
      <c r="J2006" t="inlineStr">
        <is>
          <t>0</t>
        </is>
      </c>
      <c r="L2006" t="inlineStr">
        <is>
          <t>Cambridge, Mass. : Harvard University Press, c2007.</t>
        </is>
      </c>
      <c r="M2006" t="inlineStr">
        <is>
          <t>2007</t>
        </is>
      </c>
      <c r="O2006" t="inlineStr">
        <is>
          <t>eng</t>
        </is>
      </c>
      <c r="P2006" t="inlineStr">
        <is>
          <t>mau</t>
        </is>
      </c>
      <c r="R2006" t="inlineStr">
        <is>
          <t xml:space="preserve">DS </t>
        </is>
      </c>
      <c r="S2006" t="n">
        <v>3</v>
      </c>
      <c r="T2006" t="n">
        <v>3</v>
      </c>
      <c r="U2006" t="inlineStr">
        <is>
          <t>2009-09-04</t>
        </is>
      </c>
      <c r="V2006" t="inlineStr">
        <is>
          <t>2009-09-04</t>
        </is>
      </c>
      <c r="W2006" t="inlineStr">
        <is>
          <t>2009-02-05</t>
        </is>
      </c>
      <c r="X2006" t="inlineStr">
        <is>
          <t>2009-02-05</t>
        </is>
      </c>
      <c r="Y2006" t="n">
        <v>580</v>
      </c>
      <c r="Z2006" t="n">
        <v>502</v>
      </c>
      <c r="AA2006" t="n">
        <v>544</v>
      </c>
      <c r="AB2006" t="n">
        <v>4</v>
      </c>
      <c r="AC2006" t="n">
        <v>4</v>
      </c>
      <c r="AD2006" t="n">
        <v>19</v>
      </c>
      <c r="AE2006" t="n">
        <v>20</v>
      </c>
      <c r="AF2006" t="n">
        <v>8</v>
      </c>
      <c r="AG2006" t="n">
        <v>9</v>
      </c>
      <c r="AH2006" t="n">
        <v>4</v>
      </c>
      <c r="AI2006" t="n">
        <v>4</v>
      </c>
      <c r="AJ2006" t="n">
        <v>8</v>
      </c>
      <c r="AK2006" t="n">
        <v>8</v>
      </c>
      <c r="AL2006" t="n">
        <v>3</v>
      </c>
      <c r="AM2006" t="n">
        <v>3</v>
      </c>
      <c r="AN2006" t="n">
        <v>0</v>
      </c>
      <c r="AO2006" t="n">
        <v>0</v>
      </c>
      <c r="AP2006" t="inlineStr">
        <is>
          <t>No</t>
        </is>
      </c>
      <c r="AQ2006" t="inlineStr">
        <is>
          <t>No</t>
        </is>
      </c>
      <c r="AS2006">
        <f>HYPERLINK("https://creighton-primo.hosted.exlibrisgroup.com/primo-explore/search?tab=default_tab&amp;search_scope=EVERYTHING&amp;vid=01CRU&amp;lang=en_US&amp;offset=0&amp;query=any,contains,991005292039702656","Catalog Record")</f>
        <v/>
      </c>
      <c r="AT2006">
        <f>HYPERLINK("http://www.worldcat.org/oclc/123119878","WorldCat Record")</f>
        <v/>
      </c>
      <c r="AU2006" t="inlineStr">
        <is>
          <t>865024287:eng</t>
        </is>
      </c>
      <c r="AV2006" t="inlineStr">
        <is>
          <t>123119878</t>
        </is>
      </c>
      <c r="AW2006" t="inlineStr">
        <is>
          <t>991005292039702656</t>
        </is>
      </c>
      <c r="AX2006" t="inlineStr">
        <is>
          <t>991005292039702656</t>
        </is>
      </c>
      <c r="AY2006" t="inlineStr">
        <is>
          <t>2272024100002656</t>
        </is>
      </c>
      <c r="AZ2006" t="inlineStr">
        <is>
          <t>BOOK</t>
        </is>
      </c>
      <c r="BB2006" t="inlineStr">
        <is>
          <t>9780674026971</t>
        </is>
      </c>
      <c r="BC2006" t="inlineStr">
        <is>
          <t>32285005503098</t>
        </is>
      </c>
      <c r="BD2006" t="inlineStr">
        <is>
          <t>893431192</t>
        </is>
      </c>
    </row>
    <row r="2007">
      <c r="A2007" t="inlineStr">
        <is>
          <t>No</t>
        </is>
      </c>
      <c r="B2007" t="inlineStr">
        <is>
          <t>DS748 .P3 1974</t>
        </is>
      </c>
      <c r="C2007" t="inlineStr">
        <is>
          <t>0                      DS 0748000P  3           1974</t>
        </is>
      </c>
      <c r="D2007" t="inlineStr">
        <is>
          <t>Courtier and commoner in ancient China : selections from the History of the former Han / translated by Burton Watson.</t>
        </is>
      </c>
      <c r="F2007" t="inlineStr">
        <is>
          <t>No</t>
        </is>
      </c>
      <c r="G2007" t="inlineStr">
        <is>
          <t>1</t>
        </is>
      </c>
      <c r="H2007" t="inlineStr">
        <is>
          <t>No</t>
        </is>
      </c>
      <c r="I2007" t="inlineStr">
        <is>
          <t>No</t>
        </is>
      </c>
      <c r="J2007" t="inlineStr">
        <is>
          <t>0</t>
        </is>
      </c>
      <c r="K2007" t="inlineStr">
        <is>
          <t>Ban, Gu, 32-92.</t>
        </is>
      </c>
      <c r="L2007" t="inlineStr">
        <is>
          <t>New York : Columbia University Press, 1974.</t>
        </is>
      </c>
      <c r="M2007" t="inlineStr">
        <is>
          <t>1974</t>
        </is>
      </c>
      <c r="O2007" t="inlineStr">
        <is>
          <t>eng</t>
        </is>
      </c>
      <c r="P2007" t="inlineStr">
        <is>
          <t>nyu</t>
        </is>
      </c>
      <c r="R2007" t="inlineStr">
        <is>
          <t xml:space="preserve">DS </t>
        </is>
      </c>
      <c r="S2007" t="n">
        <v>4</v>
      </c>
      <c r="T2007" t="n">
        <v>4</v>
      </c>
      <c r="U2007" t="inlineStr">
        <is>
          <t>2006-01-04</t>
        </is>
      </c>
      <c r="V2007" t="inlineStr">
        <is>
          <t>2006-01-04</t>
        </is>
      </c>
      <c r="W2007" t="inlineStr">
        <is>
          <t>1991-02-28</t>
        </is>
      </c>
      <c r="X2007" t="inlineStr">
        <is>
          <t>1991-02-28</t>
        </is>
      </c>
      <c r="Y2007" t="n">
        <v>709</v>
      </c>
      <c r="Z2007" t="n">
        <v>596</v>
      </c>
      <c r="AA2007" t="n">
        <v>596</v>
      </c>
      <c r="AB2007" t="n">
        <v>3</v>
      </c>
      <c r="AC2007" t="n">
        <v>3</v>
      </c>
      <c r="AD2007" t="n">
        <v>29</v>
      </c>
      <c r="AE2007" t="n">
        <v>29</v>
      </c>
      <c r="AF2007" t="n">
        <v>12</v>
      </c>
      <c r="AG2007" t="n">
        <v>12</v>
      </c>
      <c r="AH2007" t="n">
        <v>8</v>
      </c>
      <c r="AI2007" t="n">
        <v>8</v>
      </c>
      <c r="AJ2007" t="n">
        <v>16</v>
      </c>
      <c r="AK2007" t="n">
        <v>16</v>
      </c>
      <c r="AL2007" t="n">
        <v>2</v>
      </c>
      <c r="AM2007" t="n">
        <v>2</v>
      </c>
      <c r="AN2007" t="n">
        <v>0</v>
      </c>
      <c r="AO2007" t="n">
        <v>0</v>
      </c>
      <c r="AP2007" t="inlineStr">
        <is>
          <t>No</t>
        </is>
      </c>
      <c r="AQ2007" t="inlineStr">
        <is>
          <t>No</t>
        </is>
      </c>
      <c r="AS2007">
        <f>HYPERLINK("https://creighton-primo.hosted.exlibrisgroup.com/primo-explore/search?tab=default_tab&amp;search_scope=EVERYTHING&amp;vid=01CRU&amp;lang=en_US&amp;offset=0&amp;query=any,contains,991003206109702656","Catalog Record")</f>
        <v/>
      </c>
      <c r="AT2007">
        <f>HYPERLINK("http://www.worldcat.org/oclc/730822","WorldCat Record")</f>
        <v/>
      </c>
      <c r="AU2007" t="inlineStr">
        <is>
          <t>9937179741:eng</t>
        </is>
      </c>
      <c r="AV2007" t="inlineStr">
        <is>
          <t>730822</t>
        </is>
      </c>
      <c r="AW2007" t="inlineStr">
        <is>
          <t>991003206109702656</t>
        </is>
      </c>
      <c r="AX2007" t="inlineStr">
        <is>
          <t>991003206109702656</t>
        </is>
      </c>
      <c r="AY2007" t="inlineStr">
        <is>
          <t>2267254290002656</t>
        </is>
      </c>
      <c r="AZ2007" t="inlineStr">
        <is>
          <t>BOOK</t>
        </is>
      </c>
      <c r="BB2007" t="inlineStr">
        <is>
          <t>9780231037655</t>
        </is>
      </c>
      <c r="BC2007" t="inlineStr">
        <is>
          <t>32285000494665</t>
        </is>
      </c>
      <c r="BD2007" t="inlineStr">
        <is>
          <t>893880918</t>
        </is>
      </c>
    </row>
    <row r="2008">
      <c r="A2008" t="inlineStr">
        <is>
          <t>No</t>
        </is>
      </c>
      <c r="B2008" t="inlineStr">
        <is>
          <t>DS748 .P5713 1982</t>
        </is>
      </c>
      <c r="C2008" t="inlineStr">
        <is>
          <t>0                      DS 0748000P  5713        1982</t>
        </is>
      </c>
      <c r="D2008" t="inlineStr">
        <is>
          <t>The Han Dynasty / Michèle Pirazzoli-t'Serstevens ; translated by Janet Seligman.</t>
        </is>
      </c>
      <c r="F2008" t="inlineStr">
        <is>
          <t>No</t>
        </is>
      </c>
      <c r="G2008" t="inlineStr">
        <is>
          <t>1</t>
        </is>
      </c>
      <c r="H2008" t="inlineStr">
        <is>
          <t>No</t>
        </is>
      </c>
      <c r="I2008" t="inlineStr">
        <is>
          <t>No</t>
        </is>
      </c>
      <c r="J2008" t="inlineStr">
        <is>
          <t>0</t>
        </is>
      </c>
      <c r="K2008" t="inlineStr">
        <is>
          <t>Pirazzoli-tʼSerstevens, Michèle.</t>
        </is>
      </c>
      <c r="L2008" t="inlineStr">
        <is>
          <t>New York : Rizzoli, c1982.</t>
        </is>
      </c>
      <c r="M2008" t="inlineStr">
        <is>
          <t>1982</t>
        </is>
      </c>
      <c r="O2008" t="inlineStr">
        <is>
          <t>eng</t>
        </is>
      </c>
      <c r="P2008" t="inlineStr">
        <is>
          <t>nyu</t>
        </is>
      </c>
      <c r="R2008" t="inlineStr">
        <is>
          <t xml:space="preserve">DS </t>
        </is>
      </c>
      <c r="S2008" t="n">
        <v>6</v>
      </c>
      <c r="T2008" t="n">
        <v>6</v>
      </c>
      <c r="U2008" t="inlineStr">
        <is>
          <t>1999-07-13</t>
        </is>
      </c>
      <c r="V2008" t="inlineStr">
        <is>
          <t>1999-07-13</t>
        </is>
      </c>
      <c r="W2008" t="inlineStr">
        <is>
          <t>1990-10-15</t>
        </is>
      </c>
      <c r="X2008" t="inlineStr">
        <is>
          <t>1990-10-15</t>
        </is>
      </c>
      <c r="Y2008" t="n">
        <v>623</v>
      </c>
      <c r="Z2008" t="n">
        <v>563</v>
      </c>
      <c r="AA2008" t="n">
        <v>589</v>
      </c>
      <c r="AB2008" t="n">
        <v>4</v>
      </c>
      <c r="AC2008" t="n">
        <v>4</v>
      </c>
      <c r="AD2008" t="n">
        <v>24</v>
      </c>
      <c r="AE2008" t="n">
        <v>25</v>
      </c>
      <c r="AF2008" t="n">
        <v>11</v>
      </c>
      <c r="AG2008" t="n">
        <v>11</v>
      </c>
      <c r="AH2008" t="n">
        <v>6</v>
      </c>
      <c r="AI2008" t="n">
        <v>7</v>
      </c>
      <c r="AJ2008" t="n">
        <v>11</v>
      </c>
      <c r="AK2008" t="n">
        <v>12</v>
      </c>
      <c r="AL2008" t="n">
        <v>3</v>
      </c>
      <c r="AM2008" t="n">
        <v>3</v>
      </c>
      <c r="AN2008" t="n">
        <v>0</v>
      </c>
      <c r="AO2008" t="n">
        <v>0</v>
      </c>
      <c r="AP2008" t="inlineStr">
        <is>
          <t>No</t>
        </is>
      </c>
      <c r="AQ2008" t="inlineStr">
        <is>
          <t>Yes</t>
        </is>
      </c>
      <c r="AR2008">
        <f>HYPERLINK("http://catalog.hathitrust.org/Record/000191420","HathiTrust Record")</f>
        <v/>
      </c>
      <c r="AS2008">
        <f>HYPERLINK("https://creighton-primo.hosted.exlibrisgroup.com/primo-explore/search?tab=default_tab&amp;search_scope=EVERYTHING&amp;vid=01CRU&amp;lang=en_US&amp;offset=0&amp;query=any,contains,991000037039702656","Catalog Record")</f>
        <v/>
      </c>
      <c r="AT2008">
        <f>HYPERLINK("http://www.worldcat.org/oclc/8627967","WorldCat Record")</f>
        <v/>
      </c>
      <c r="AU2008" t="inlineStr">
        <is>
          <t>43588389:eng</t>
        </is>
      </c>
      <c r="AV2008" t="inlineStr">
        <is>
          <t>8627967</t>
        </is>
      </c>
      <c r="AW2008" t="inlineStr">
        <is>
          <t>991000037039702656</t>
        </is>
      </c>
      <c r="AX2008" t="inlineStr">
        <is>
          <t>991000037039702656</t>
        </is>
      </c>
      <c r="AY2008" t="inlineStr">
        <is>
          <t>2261520890002656</t>
        </is>
      </c>
      <c r="AZ2008" t="inlineStr">
        <is>
          <t>BOOK</t>
        </is>
      </c>
      <c r="BB2008" t="inlineStr">
        <is>
          <t>9780847804382</t>
        </is>
      </c>
      <c r="BC2008" t="inlineStr">
        <is>
          <t>32285000338441</t>
        </is>
      </c>
      <c r="BD2008" t="inlineStr">
        <is>
          <t>893796346</t>
        </is>
      </c>
    </row>
    <row r="2009">
      <c r="A2009" t="inlineStr">
        <is>
          <t>No</t>
        </is>
      </c>
      <c r="B2009" t="inlineStr">
        <is>
          <t>DS749.2 .B5 1970</t>
        </is>
      </c>
      <c r="C2009" t="inlineStr">
        <is>
          <t>0                      DS 0749200B  5           1970</t>
        </is>
      </c>
      <c r="D2009" t="inlineStr">
        <is>
          <t>The founding of the Tʻang dynasty : the fall of Sui and rise of Tʻang, a preliminary survey.</t>
        </is>
      </c>
      <c r="F2009" t="inlineStr">
        <is>
          <t>No</t>
        </is>
      </c>
      <c r="G2009" t="inlineStr">
        <is>
          <t>1</t>
        </is>
      </c>
      <c r="H2009" t="inlineStr">
        <is>
          <t>No</t>
        </is>
      </c>
      <c r="I2009" t="inlineStr">
        <is>
          <t>No</t>
        </is>
      </c>
      <c r="J2009" t="inlineStr">
        <is>
          <t>0</t>
        </is>
      </c>
      <c r="K2009" t="inlineStr">
        <is>
          <t>Bingham, Woodbridge.</t>
        </is>
      </c>
      <c r="L2009" t="inlineStr">
        <is>
          <t>New York : Octagon Books, 1970, [c1941]</t>
        </is>
      </c>
      <c r="M2009" t="inlineStr">
        <is>
          <t>1970</t>
        </is>
      </c>
      <c r="O2009" t="inlineStr">
        <is>
          <t>eng</t>
        </is>
      </c>
      <c r="P2009" t="inlineStr">
        <is>
          <t>nyu</t>
        </is>
      </c>
      <c r="Q2009" t="inlineStr">
        <is>
          <t>American Council of Learned Societies. Studies in Chinese and related civilizations, no. 4</t>
        </is>
      </c>
      <c r="R2009" t="inlineStr">
        <is>
          <t xml:space="preserve">DS </t>
        </is>
      </c>
      <c r="S2009" t="n">
        <v>7</v>
      </c>
      <c r="T2009" t="n">
        <v>7</v>
      </c>
      <c r="U2009" t="inlineStr">
        <is>
          <t>2008-08-12</t>
        </is>
      </c>
      <c r="V2009" t="inlineStr">
        <is>
          <t>2008-08-12</t>
        </is>
      </c>
      <c r="W2009" t="inlineStr">
        <is>
          <t>1993-05-03</t>
        </is>
      </c>
      <c r="X2009" t="inlineStr">
        <is>
          <t>1993-05-03</t>
        </is>
      </c>
      <c r="Y2009" t="n">
        <v>389</v>
      </c>
      <c r="Z2009" t="n">
        <v>351</v>
      </c>
      <c r="AA2009" t="n">
        <v>464</v>
      </c>
      <c r="AB2009" t="n">
        <v>4</v>
      </c>
      <c r="AC2009" t="n">
        <v>4</v>
      </c>
      <c r="AD2009" t="n">
        <v>17</v>
      </c>
      <c r="AE2009" t="n">
        <v>21</v>
      </c>
      <c r="AF2009" t="n">
        <v>7</v>
      </c>
      <c r="AG2009" t="n">
        <v>8</v>
      </c>
      <c r="AH2009" t="n">
        <v>4</v>
      </c>
      <c r="AI2009" t="n">
        <v>6</v>
      </c>
      <c r="AJ2009" t="n">
        <v>8</v>
      </c>
      <c r="AK2009" t="n">
        <v>9</v>
      </c>
      <c r="AL2009" t="n">
        <v>3</v>
      </c>
      <c r="AM2009" t="n">
        <v>3</v>
      </c>
      <c r="AN2009" t="n">
        <v>0</v>
      </c>
      <c r="AO2009" t="n">
        <v>0</v>
      </c>
      <c r="AP2009" t="inlineStr">
        <is>
          <t>No</t>
        </is>
      </c>
      <c r="AQ2009" t="inlineStr">
        <is>
          <t>No</t>
        </is>
      </c>
      <c r="AS2009">
        <f>HYPERLINK("https://creighton-primo.hosted.exlibrisgroup.com/primo-explore/search?tab=default_tab&amp;search_scope=EVERYTHING&amp;vid=01CRU&amp;lang=en_US&amp;offset=0&amp;query=any,contains,991000542419702656","Catalog Record")</f>
        <v/>
      </c>
      <c r="AT2009">
        <f>HYPERLINK("http://www.worldcat.org/oclc/90726","WorldCat Record")</f>
        <v/>
      </c>
      <c r="AU2009" t="inlineStr">
        <is>
          <t>1299188:eng</t>
        </is>
      </c>
      <c r="AV2009" t="inlineStr">
        <is>
          <t>90726</t>
        </is>
      </c>
      <c r="AW2009" t="inlineStr">
        <is>
          <t>991000542419702656</t>
        </is>
      </c>
      <c r="AX2009" t="inlineStr">
        <is>
          <t>991000542419702656</t>
        </is>
      </c>
      <c r="AY2009" t="inlineStr">
        <is>
          <t>2266350870002656</t>
        </is>
      </c>
      <c r="AZ2009" t="inlineStr">
        <is>
          <t>BOOK</t>
        </is>
      </c>
      <c r="BC2009" t="inlineStr">
        <is>
          <t>32285001632446</t>
        </is>
      </c>
      <c r="BD2009" t="inlineStr">
        <is>
          <t>893896988</t>
        </is>
      </c>
    </row>
    <row r="2010">
      <c r="A2010" t="inlineStr">
        <is>
          <t>No</t>
        </is>
      </c>
      <c r="B2010" t="inlineStr">
        <is>
          <t>DS749.2 .W74 1978</t>
        </is>
      </c>
      <c r="C2010" t="inlineStr">
        <is>
          <t>0                      DS 0749200W  74          1978</t>
        </is>
      </c>
      <c r="D2010" t="inlineStr">
        <is>
          <t>The Sui dynasty / Arthur F. Wright.</t>
        </is>
      </c>
      <c r="F2010" t="inlineStr">
        <is>
          <t>No</t>
        </is>
      </c>
      <c r="G2010" t="inlineStr">
        <is>
          <t>1</t>
        </is>
      </c>
      <c r="H2010" t="inlineStr">
        <is>
          <t>No</t>
        </is>
      </c>
      <c r="I2010" t="inlineStr">
        <is>
          <t>No</t>
        </is>
      </c>
      <c r="J2010" t="inlineStr">
        <is>
          <t>0</t>
        </is>
      </c>
      <c r="K2010" t="inlineStr">
        <is>
          <t>Wright, Arthur F., 1913-1976.</t>
        </is>
      </c>
      <c r="L2010" t="inlineStr">
        <is>
          <t>New York : Knopf, 1978.</t>
        </is>
      </c>
      <c r="M2010" t="inlineStr">
        <is>
          <t>1978</t>
        </is>
      </c>
      <c r="N2010" t="inlineStr">
        <is>
          <t>1st ed.</t>
        </is>
      </c>
      <c r="O2010" t="inlineStr">
        <is>
          <t>eng</t>
        </is>
      </c>
      <c r="P2010" t="inlineStr">
        <is>
          <t>nyu</t>
        </is>
      </c>
      <c r="R2010" t="inlineStr">
        <is>
          <t xml:space="preserve">DS </t>
        </is>
      </c>
      <c r="S2010" t="n">
        <v>2</v>
      </c>
      <c r="T2010" t="n">
        <v>2</v>
      </c>
      <c r="U2010" t="inlineStr">
        <is>
          <t>2008-06-30</t>
        </is>
      </c>
      <c r="V2010" t="inlineStr">
        <is>
          <t>2008-06-30</t>
        </is>
      </c>
      <c r="W2010" t="inlineStr">
        <is>
          <t>1990-10-15</t>
        </is>
      </c>
      <c r="X2010" t="inlineStr">
        <is>
          <t>1990-10-15</t>
        </is>
      </c>
      <c r="Y2010" t="n">
        <v>892</v>
      </c>
      <c r="Z2010" t="n">
        <v>807</v>
      </c>
      <c r="AA2010" t="n">
        <v>824</v>
      </c>
      <c r="AB2010" t="n">
        <v>8</v>
      </c>
      <c r="AC2010" t="n">
        <v>8</v>
      </c>
      <c r="AD2010" t="n">
        <v>30</v>
      </c>
      <c r="AE2010" t="n">
        <v>30</v>
      </c>
      <c r="AF2010" t="n">
        <v>12</v>
      </c>
      <c r="AG2010" t="n">
        <v>12</v>
      </c>
      <c r="AH2010" t="n">
        <v>8</v>
      </c>
      <c r="AI2010" t="n">
        <v>8</v>
      </c>
      <c r="AJ2010" t="n">
        <v>12</v>
      </c>
      <c r="AK2010" t="n">
        <v>12</v>
      </c>
      <c r="AL2010" t="n">
        <v>5</v>
      </c>
      <c r="AM2010" t="n">
        <v>5</v>
      </c>
      <c r="AN2010" t="n">
        <v>0</v>
      </c>
      <c r="AO2010" t="n">
        <v>0</v>
      </c>
      <c r="AP2010" t="inlineStr">
        <is>
          <t>No</t>
        </is>
      </c>
      <c r="AQ2010" t="inlineStr">
        <is>
          <t>Yes</t>
        </is>
      </c>
      <c r="AR2010">
        <f>HYPERLINK("http://catalog.hathitrust.org/Record/000177746","HathiTrust Record")</f>
        <v/>
      </c>
      <c r="AS2010">
        <f>HYPERLINK("https://creighton-primo.hosted.exlibrisgroup.com/primo-explore/search?tab=default_tab&amp;search_scope=EVERYTHING&amp;vid=01CRU&amp;lang=en_US&amp;offset=0&amp;query=any,contains,991004572199702656","Catalog Record")</f>
        <v/>
      </c>
      <c r="AT2010">
        <f>HYPERLINK("http://www.worldcat.org/oclc/4036322","WorldCat Record")</f>
        <v/>
      </c>
      <c r="AU2010" t="inlineStr">
        <is>
          <t>5369525:eng</t>
        </is>
      </c>
      <c r="AV2010" t="inlineStr">
        <is>
          <t>4036322</t>
        </is>
      </c>
      <c r="AW2010" t="inlineStr">
        <is>
          <t>991004572199702656</t>
        </is>
      </c>
      <c r="AX2010" t="inlineStr">
        <is>
          <t>991004572199702656</t>
        </is>
      </c>
      <c r="AY2010" t="inlineStr">
        <is>
          <t>2269420750002656</t>
        </is>
      </c>
      <c r="AZ2010" t="inlineStr">
        <is>
          <t>BOOK</t>
        </is>
      </c>
      <c r="BB2010" t="inlineStr">
        <is>
          <t>9780394492766</t>
        </is>
      </c>
      <c r="BC2010" t="inlineStr">
        <is>
          <t>32285000338458</t>
        </is>
      </c>
      <c r="BD2010" t="inlineStr">
        <is>
          <t>893895162</t>
        </is>
      </c>
    </row>
    <row r="2011">
      <c r="A2011" t="inlineStr">
        <is>
          <t>No</t>
        </is>
      </c>
      <c r="B2011" t="inlineStr">
        <is>
          <t>DS749.3 .P46</t>
        </is>
      </c>
      <c r="C2011" t="inlineStr">
        <is>
          <t>0                      DS 0749300P  46</t>
        </is>
      </c>
      <c r="D2011" t="inlineStr">
        <is>
          <t>Perspectives on the Tʻang / edited by Arthur F. Wright and Denis Twitchett.</t>
        </is>
      </c>
      <c r="F2011" t="inlineStr">
        <is>
          <t>No</t>
        </is>
      </c>
      <c r="G2011" t="inlineStr">
        <is>
          <t>1</t>
        </is>
      </c>
      <c r="H2011" t="inlineStr">
        <is>
          <t>No</t>
        </is>
      </c>
      <c r="I2011" t="inlineStr">
        <is>
          <t>No</t>
        </is>
      </c>
      <c r="J2011" t="inlineStr">
        <is>
          <t>0</t>
        </is>
      </c>
      <c r="L2011" t="inlineStr">
        <is>
          <t>New Haven : Yale University Press, 1973.</t>
        </is>
      </c>
      <c r="M2011" t="inlineStr">
        <is>
          <t>1973</t>
        </is>
      </c>
      <c r="O2011" t="inlineStr">
        <is>
          <t>eng</t>
        </is>
      </c>
      <c r="P2011" t="inlineStr">
        <is>
          <t>ctu</t>
        </is>
      </c>
      <c r="R2011" t="inlineStr">
        <is>
          <t xml:space="preserve">DS </t>
        </is>
      </c>
      <c r="S2011" t="n">
        <v>6</v>
      </c>
      <c r="T2011" t="n">
        <v>6</v>
      </c>
      <c r="U2011" t="inlineStr">
        <is>
          <t>2008-09-05</t>
        </is>
      </c>
      <c r="V2011" t="inlineStr">
        <is>
          <t>2008-09-05</t>
        </is>
      </c>
      <c r="W2011" t="inlineStr">
        <is>
          <t>1993-05-03</t>
        </is>
      </c>
      <c r="X2011" t="inlineStr">
        <is>
          <t>1993-05-03</t>
        </is>
      </c>
      <c r="Y2011" t="n">
        <v>585</v>
      </c>
      <c r="Z2011" t="n">
        <v>470</v>
      </c>
      <c r="AA2011" t="n">
        <v>478</v>
      </c>
      <c r="AB2011" t="n">
        <v>4</v>
      </c>
      <c r="AC2011" t="n">
        <v>4</v>
      </c>
      <c r="AD2011" t="n">
        <v>23</v>
      </c>
      <c r="AE2011" t="n">
        <v>23</v>
      </c>
      <c r="AF2011" t="n">
        <v>8</v>
      </c>
      <c r="AG2011" t="n">
        <v>8</v>
      </c>
      <c r="AH2011" t="n">
        <v>5</v>
      </c>
      <c r="AI2011" t="n">
        <v>5</v>
      </c>
      <c r="AJ2011" t="n">
        <v>12</v>
      </c>
      <c r="AK2011" t="n">
        <v>12</v>
      </c>
      <c r="AL2011" t="n">
        <v>3</v>
      </c>
      <c r="AM2011" t="n">
        <v>3</v>
      </c>
      <c r="AN2011" t="n">
        <v>0</v>
      </c>
      <c r="AO2011" t="n">
        <v>0</v>
      </c>
      <c r="AP2011" t="inlineStr">
        <is>
          <t>No</t>
        </is>
      </c>
      <c r="AQ2011" t="inlineStr">
        <is>
          <t>No</t>
        </is>
      </c>
      <c r="AS2011">
        <f>HYPERLINK("https://creighton-primo.hosted.exlibrisgroup.com/primo-explore/search?tab=default_tab&amp;search_scope=EVERYTHING&amp;vid=01CRU&amp;lang=en_US&amp;offset=0&amp;query=any,contains,991003229229702656","Catalog Record")</f>
        <v/>
      </c>
      <c r="AT2011">
        <f>HYPERLINK("http://www.worldcat.org/oclc/754293","WorldCat Record")</f>
        <v/>
      </c>
      <c r="AU2011" t="inlineStr">
        <is>
          <t>602513767:eng</t>
        </is>
      </c>
      <c r="AV2011" t="inlineStr">
        <is>
          <t>754293</t>
        </is>
      </c>
      <c r="AW2011" t="inlineStr">
        <is>
          <t>991003229229702656</t>
        </is>
      </c>
      <c r="AX2011" t="inlineStr">
        <is>
          <t>991003229229702656</t>
        </is>
      </c>
      <c r="AY2011" t="inlineStr">
        <is>
          <t>2270016200002656</t>
        </is>
      </c>
      <c r="AZ2011" t="inlineStr">
        <is>
          <t>BOOK</t>
        </is>
      </c>
      <c r="BB2011" t="inlineStr">
        <is>
          <t>9780300015225</t>
        </is>
      </c>
      <c r="BC2011" t="inlineStr">
        <is>
          <t>32285001632438</t>
        </is>
      </c>
      <c r="BD2011" t="inlineStr">
        <is>
          <t>893893503</t>
        </is>
      </c>
    </row>
    <row r="2012">
      <c r="A2012" t="inlineStr">
        <is>
          <t>No</t>
        </is>
      </c>
      <c r="B2012" t="inlineStr">
        <is>
          <t>DS749.3 .S3</t>
        </is>
      </c>
      <c r="C2012" t="inlineStr">
        <is>
          <t>0                      DS 0749300S  3</t>
        </is>
      </c>
      <c r="D2012" t="inlineStr">
        <is>
          <t>The vermilion bird; T'ang images of the South [by] Edward H. Schafer.</t>
        </is>
      </c>
      <c r="F2012" t="inlineStr">
        <is>
          <t>No</t>
        </is>
      </c>
      <c r="G2012" t="inlineStr">
        <is>
          <t>1</t>
        </is>
      </c>
      <c r="H2012" t="inlineStr">
        <is>
          <t>No</t>
        </is>
      </c>
      <c r="I2012" t="inlineStr">
        <is>
          <t>No</t>
        </is>
      </c>
      <c r="J2012" t="inlineStr">
        <is>
          <t>0</t>
        </is>
      </c>
      <c r="K2012" t="inlineStr">
        <is>
          <t>Schafer, Edward H.</t>
        </is>
      </c>
      <c r="L2012" t="inlineStr">
        <is>
          <t>Berkeley, University of California Press, 1967.</t>
        </is>
      </c>
      <c r="M2012" t="inlineStr">
        <is>
          <t>1967</t>
        </is>
      </c>
      <c r="O2012" t="inlineStr">
        <is>
          <t>eng</t>
        </is>
      </c>
      <c r="P2012" t="inlineStr">
        <is>
          <t>cau</t>
        </is>
      </c>
      <c r="R2012" t="inlineStr">
        <is>
          <t xml:space="preserve">DS </t>
        </is>
      </c>
      <c r="S2012" t="n">
        <v>1</v>
      </c>
      <c r="T2012" t="n">
        <v>1</v>
      </c>
      <c r="U2012" t="inlineStr">
        <is>
          <t>2008-08-12</t>
        </is>
      </c>
      <c r="V2012" t="inlineStr">
        <is>
          <t>2008-08-12</t>
        </is>
      </c>
      <c r="W2012" t="inlineStr">
        <is>
          <t>1997-03-13</t>
        </is>
      </c>
      <c r="X2012" t="inlineStr">
        <is>
          <t>1997-03-13</t>
        </is>
      </c>
      <c r="Y2012" t="n">
        <v>685</v>
      </c>
      <c r="Z2012" t="n">
        <v>587</v>
      </c>
      <c r="AA2012" t="n">
        <v>619</v>
      </c>
      <c r="AB2012" t="n">
        <v>6</v>
      </c>
      <c r="AC2012" t="n">
        <v>6</v>
      </c>
      <c r="AD2012" t="n">
        <v>29</v>
      </c>
      <c r="AE2012" t="n">
        <v>29</v>
      </c>
      <c r="AF2012" t="n">
        <v>9</v>
      </c>
      <c r="AG2012" t="n">
        <v>9</v>
      </c>
      <c r="AH2012" t="n">
        <v>7</v>
      </c>
      <c r="AI2012" t="n">
        <v>7</v>
      </c>
      <c r="AJ2012" t="n">
        <v>15</v>
      </c>
      <c r="AK2012" t="n">
        <v>15</v>
      </c>
      <c r="AL2012" t="n">
        <v>5</v>
      </c>
      <c r="AM2012" t="n">
        <v>5</v>
      </c>
      <c r="AN2012" t="n">
        <v>0</v>
      </c>
      <c r="AO2012" t="n">
        <v>0</v>
      </c>
      <c r="AP2012" t="inlineStr">
        <is>
          <t>No</t>
        </is>
      </c>
      <c r="AQ2012" t="inlineStr">
        <is>
          <t>No</t>
        </is>
      </c>
      <c r="AS2012">
        <f>HYPERLINK("https://creighton-primo.hosted.exlibrisgroup.com/primo-explore/search?tab=default_tab&amp;search_scope=EVERYTHING&amp;vid=01CRU&amp;lang=en_US&amp;offset=0&amp;query=any,contains,991002254169702656","Catalog Record")</f>
        <v/>
      </c>
      <c r="AT2012">
        <f>HYPERLINK("http://www.worldcat.org/oclc/300850","WorldCat Record")</f>
        <v/>
      </c>
      <c r="AU2012" t="inlineStr">
        <is>
          <t>1103441279:eng</t>
        </is>
      </c>
      <c r="AV2012" t="inlineStr">
        <is>
          <t>300850</t>
        </is>
      </c>
      <c r="AW2012" t="inlineStr">
        <is>
          <t>991002254169702656</t>
        </is>
      </c>
      <c r="AX2012" t="inlineStr">
        <is>
          <t>991002254169702656</t>
        </is>
      </c>
      <c r="AY2012" t="inlineStr">
        <is>
          <t>2269505690002656</t>
        </is>
      </c>
      <c r="AZ2012" t="inlineStr">
        <is>
          <t>BOOK</t>
        </is>
      </c>
      <c r="BC2012" t="inlineStr">
        <is>
          <t>32285002447216</t>
        </is>
      </c>
      <c r="BD2012" t="inlineStr">
        <is>
          <t>893716231</t>
        </is>
      </c>
    </row>
    <row r="2013">
      <c r="A2013" t="inlineStr">
        <is>
          <t>No</t>
        </is>
      </c>
      <c r="B2013" t="inlineStr">
        <is>
          <t>DS749.3.W36 W42</t>
        </is>
      </c>
      <c r="C2013" t="inlineStr">
        <is>
          <t>0                      DS 0749300W  36                 W  42</t>
        </is>
      </c>
      <c r="D2013" t="inlineStr">
        <is>
          <t>Mirror to the Son of Heaven : Wei Cheng at the court of Tʻang Tʻai-tsung / Howard J. Wechsler.</t>
        </is>
      </c>
      <c r="F2013" t="inlineStr">
        <is>
          <t>No</t>
        </is>
      </c>
      <c r="G2013" t="inlineStr">
        <is>
          <t>1</t>
        </is>
      </c>
      <c r="H2013" t="inlineStr">
        <is>
          <t>No</t>
        </is>
      </c>
      <c r="I2013" t="inlineStr">
        <is>
          <t>No</t>
        </is>
      </c>
      <c r="J2013" t="inlineStr">
        <is>
          <t>0</t>
        </is>
      </c>
      <c r="K2013" t="inlineStr">
        <is>
          <t>Wechsler, Howard J.</t>
        </is>
      </c>
      <c r="L2013" t="inlineStr">
        <is>
          <t>New Haven : Yale University Press, 1974 [i.e. 1975]</t>
        </is>
      </c>
      <c r="M2013" t="inlineStr">
        <is>
          <t>1975</t>
        </is>
      </c>
      <c r="O2013" t="inlineStr">
        <is>
          <t>eng</t>
        </is>
      </c>
      <c r="P2013" t="inlineStr">
        <is>
          <t>ctu</t>
        </is>
      </c>
      <c r="Q2013" t="inlineStr">
        <is>
          <t>Yale historical publications. Miscellany ; 105</t>
        </is>
      </c>
      <c r="R2013" t="inlineStr">
        <is>
          <t xml:space="preserve">DS </t>
        </is>
      </c>
      <c r="S2013" t="n">
        <v>3</v>
      </c>
      <c r="T2013" t="n">
        <v>3</v>
      </c>
      <c r="U2013" t="inlineStr">
        <is>
          <t>2008-08-12</t>
        </is>
      </c>
      <c r="V2013" t="inlineStr">
        <is>
          <t>2008-08-12</t>
        </is>
      </c>
      <c r="W2013" t="inlineStr">
        <is>
          <t>1994-05-11</t>
        </is>
      </c>
      <c r="X2013" t="inlineStr">
        <is>
          <t>1994-05-11</t>
        </is>
      </c>
      <c r="Y2013" t="n">
        <v>385</v>
      </c>
      <c r="Z2013" t="n">
        <v>331</v>
      </c>
      <c r="AA2013" t="n">
        <v>366</v>
      </c>
      <c r="AB2013" t="n">
        <v>3</v>
      </c>
      <c r="AC2013" t="n">
        <v>3</v>
      </c>
      <c r="AD2013" t="n">
        <v>11</v>
      </c>
      <c r="AE2013" t="n">
        <v>11</v>
      </c>
      <c r="AF2013" t="n">
        <v>5</v>
      </c>
      <c r="AG2013" t="n">
        <v>5</v>
      </c>
      <c r="AH2013" t="n">
        <v>3</v>
      </c>
      <c r="AI2013" t="n">
        <v>3</v>
      </c>
      <c r="AJ2013" t="n">
        <v>5</v>
      </c>
      <c r="AK2013" t="n">
        <v>5</v>
      </c>
      <c r="AL2013" t="n">
        <v>2</v>
      </c>
      <c r="AM2013" t="n">
        <v>2</v>
      </c>
      <c r="AN2013" t="n">
        <v>0</v>
      </c>
      <c r="AO2013" t="n">
        <v>0</v>
      </c>
      <c r="AP2013" t="inlineStr">
        <is>
          <t>No</t>
        </is>
      </c>
      <c r="AQ2013" t="inlineStr">
        <is>
          <t>No</t>
        </is>
      </c>
      <c r="AS2013">
        <f>HYPERLINK("https://creighton-primo.hosted.exlibrisgroup.com/primo-explore/search?tab=default_tab&amp;search_scope=EVERYTHING&amp;vid=01CRU&amp;lang=en_US&amp;offset=0&amp;query=any,contains,991003574809702656","Catalog Record")</f>
        <v/>
      </c>
      <c r="AT2013">
        <f>HYPERLINK("http://www.worldcat.org/oclc/1151924","WorldCat Record")</f>
        <v/>
      </c>
      <c r="AU2013" t="inlineStr">
        <is>
          <t>797251118:eng</t>
        </is>
      </c>
      <c r="AV2013" t="inlineStr">
        <is>
          <t>1151924</t>
        </is>
      </c>
      <c r="AW2013" t="inlineStr">
        <is>
          <t>991003574809702656</t>
        </is>
      </c>
      <c r="AX2013" t="inlineStr">
        <is>
          <t>991003574809702656</t>
        </is>
      </c>
      <c r="AY2013" t="inlineStr">
        <is>
          <t>2267974600002656</t>
        </is>
      </c>
      <c r="AZ2013" t="inlineStr">
        <is>
          <t>BOOK</t>
        </is>
      </c>
      <c r="BB2013" t="inlineStr">
        <is>
          <t>9780300017151</t>
        </is>
      </c>
      <c r="BC2013" t="inlineStr">
        <is>
          <t>32285001910594</t>
        </is>
      </c>
      <c r="BD2013" t="inlineStr">
        <is>
          <t>893787474</t>
        </is>
      </c>
    </row>
    <row r="2014">
      <c r="A2014" t="inlineStr">
        <is>
          <t>No</t>
        </is>
      </c>
      <c r="B2014" t="inlineStr">
        <is>
          <t>DS750.64 .M67 2003</t>
        </is>
      </c>
      <c r="C2014" t="inlineStr">
        <is>
          <t>0                      DS 0750640M  67          2003</t>
        </is>
      </c>
      <c r="D2014" t="inlineStr">
        <is>
          <t>Imperial China 900-1800 / F.W. Mote.</t>
        </is>
      </c>
      <c r="F2014" t="inlineStr">
        <is>
          <t>No</t>
        </is>
      </c>
      <c r="G2014" t="inlineStr">
        <is>
          <t>1</t>
        </is>
      </c>
      <c r="H2014" t="inlineStr">
        <is>
          <t>No</t>
        </is>
      </c>
      <c r="I2014" t="inlineStr">
        <is>
          <t>No</t>
        </is>
      </c>
      <c r="J2014" t="inlineStr">
        <is>
          <t>0</t>
        </is>
      </c>
      <c r="K2014" t="inlineStr">
        <is>
          <t>Mote, Frederick W., 1922-2005.</t>
        </is>
      </c>
      <c r="L2014" t="inlineStr">
        <is>
          <t>Cambridge, Mass. : Harvard University Press, 2003.</t>
        </is>
      </c>
      <c r="M2014" t="inlineStr">
        <is>
          <t>2003</t>
        </is>
      </c>
      <c r="N2014" t="inlineStr">
        <is>
          <t>1st Harvard University Press pbk. ed.</t>
        </is>
      </c>
      <c r="O2014" t="inlineStr">
        <is>
          <t>eng</t>
        </is>
      </c>
      <c r="P2014" t="inlineStr">
        <is>
          <t>mau</t>
        </is>
      </c>
      <c r="R2014" t="inlineStr">
        <is>
          <t xml:space="preserve">DS </t>
        </is>
      </c>
      <c r="S2014" t="n">
        <v>3</v>
      </c>
      <c r="T2014" t="n">
        <v>3</v>
      </c>
      <c r="U2014" t="inlineStr">
        <is>
          <t>2008-09-14</t>
        </is>
      </c>
      <c r="V2014" t="inlineStr">
        <is>
          <t>2008-09-14</t>
        </is>
      </c>
      <c r="W2014" t="inlineStr">
        <is>
          <t>2004-03-08</t>
        </is>
      </c>
      <c r="X2014" t="inlineStr">
        <is>
          <t>2004-03-08</t>
        </is>
      </c>
      <c r="Y2014" t="n">
        <v>91</v>
      </c>
      <c r="Z2014" t="n">
        <v>66</v>
      </c>
      <c r="AA2014" t="n">
        <v>725</v>
      </c>
      <c r="AB2014" t="n">
        <v>1</v>
      </c>
      <c r="AC2014" t="n">
        <v>7</v>
      </c>
      <c r="AD2014" t="n">
        <v>1</v>
      </c>
      <c r="AE2014" t="n">
        <v>36</v>
      </c>
      <c r="AF2014" t="n">
        <v>0</v>
      </c>
      <c r="AG2014" t="n">
        <v>11</v>
      </c>
      <c r="AH2014" t="n">
        <v>1</v>
      </c>
      <c r="AI2014" t="n">
        <v>9</v>
      </c>
      <c r="AJ2014" t="n">
        <v>1</v>
      </c>
      <c r="AK2014" t="n">
        <v>18</v>
      </c>
      <c r="AL2014" t="n">
        <v>0</v>
      </c>
      <c r="AM2014" t="n">
        <v>6</v>
      </c>
      <c r="AN2014" t="n">
        <v>0</v>
      </c>
      <c r="AO2014" t="n">
        <v>1</v>
      </c>
      <c r="AP2014" t="inlineStr">
        <is>
          <t>No</t>
        </is>
      </c>
      <c r="AQ2014" t="inlineStr">
        <is>
          <t>No</t>
        </is>
      </c>
      <c r="AS2014">
        <f>HYPERLINK("https://creighton-primo.hosted.exlibrisgroup.com/primo-explore/search?tab=default_tab&amp;search_scope=EVERYTHING&amp;vid=01CRU&amp;lang=en_US&amp;offset=0&amp;query=any,contains,991004242109702656","Catalog Record")</f>
        <v/>
      </c>
      <c r="AT2014">
        <f>HYPERLINK("http://www.worldcat.org/oclc/54436613","WorldCat Record")</f>
        <v/>
      </c>
      <c r="AU2014" t="inlineStr">
        <is>
          <t>725122:eng</t>
        </is>
      </c>
      <c r="AV2014" t="inlineStr">
        <is>
          <t>54436613</t>
        </is>
      </c>
      <c r="AW2014" t="inlineStr">
        <is>
          <t>991004242109702656</t>
        </is>
      </c>
      <c r="AX2014" t="inlineStr">
        <is>
          <t>991004242109702656</t>
        </is>
      </c>
      <c r="AY2014" t="inlineStr">
        <is>
          <t>2267470720002656</t>
        </is>
      </c>
      <c r="AZ2014" t="inlineStr">
        <is>
          <t>BOOK</t>
        </is>
      </c>
      <c r="BB2014" t="inlineStr">
        <is>
          <t>9780674012127</t>
        </is>
      </c>
      <c r="BC2014" t="inlineStr">
        <is>
          <t>32285004892815</t>
        </is>
      </c>
      <c r="BD2014" t="inlineStr">
        <is>
          <t>893423552</t>
        </is>
      </c>
    </row>
    <row r="2015">
      <c r="A2015" t="inlineStr">
        <is>
          <t>No</t>
        </is>
      </c>
      <c r="B2015" t="inlineStr">
        <is>
          <t>DS753 .H79813</t>
        </is>
      </c>
      <c r="C2015" t="inlineStr">
        <is>
          <t>0                      DS 0753000H  79813</t>
        </is>
      </c>
      <c r="D2015" t="inlineStr">
        <is>
          <t>1587, a year of no significance : the Ming dynasty in decline / Ray Huang.</t>
        </is>
      </c>
      <c r="F2015" t="inlineStr">
        <is>
          <t>No</t>
        </is>
      </c>
      <c r="G2015" t="inlineStr">
        <is>
          <t>1</t>
        </is>
      </c>
      <c r="H2015" t="inlineStr">
        <is>
          <t>No</t>
        </is>
      </c>
      <c r="I2015" t="inlineStr">
        <is>
          <t>No</t>
        </is>
      </c>
      <c r="J2015" t="inlineStr">
        <is>
          <t>0</t>
        </is>
      </c>
      <c r="K2015" t="inlineStr">
        <is>
          <t>Huang, Ray.</t>
        </is>
      </c>
      <c r="L2015" t="inlineStr">
        <is>
          <t>New Haven : Yale University Press, c1981.</t>
        </is>
      </c>
      <c r="M2015" t="inlineStr">
        <is>
          <t>1981</t>
        </is>
      </c>
      <c r="O2015" t="inlineStr">
        <is>
          <t>eng</t>
        </is>
      </c>
      <c r="P2015" t="inlineStr">
        <is>
          <t>ctu</t>
        </is>
      </c>
      <c r="R2015" t="inlineStr">
        <is>
          <t xml:space="preserve">DS </t>
        </is>
      </c>
      <c r="S2015" t="n">
        <v>15</v>
      </c>
      <c r="T2015" t="n">
        <v>15</v>
      </c>
      <c r="U2015" t="inlineStr">
        <is>
          <t>2008-10-24</t>
        </is>
      </c>
      <c r="V2015" t="inlineStr">
        <is>
          <t>2008-10-24</t>
        </is>
      </c>
      <c r="W2015" t="inlineStr">
        <is>
          <t>1990-08-09</t>
        </is>
      </c>
      <c r="X2015" t="inlineStr">
        <is>
          <t>1990-08-09</t>
        </is>
      </c>
      <c r="Y2015" t="n">
        <v>921</v>
      </c>
      <c r="Z2015" t="n">
        <v>783</v>
      </c>
      <c r="AA2015" t="n">
        <v>916</v>
      </c>
      <c r="AB2015" t="n">
        <v>3</v>
      </c>
      <c r="AC2015" t="n">
        <v>3</v>
      </c>
      <c r="AD2015" t="n">
        <v>31</v>
      </c>
      <c r="AE2015" t="n">
        <v>36</v>
      </c>
      <c r="AF2015" t="n">
        <v>15</v>
      </c>
      <c r="AG2015" t="n">
        <v>19</v>
      </c>
      <c r="AH2015" t="n">
        <v>10</v>
      </c>
      <c r="AI2015" t="n">
        <v>11</v>
      </c>
      <c r="AJ2015" t="n">
        <v>17</v>
      </c>
      <c r="AK2015" t="n">
        <v>17</v>
      </c>
      <c r="AL2015" t="n">
        <v>2</v>
      </c>
      <c r="AM2015" t="n">
        <v>2</v>
      </c>
      <c r="AN2015" t="n">
        <v>0</v>
      </c>
      <c r="AO2015" t="n">
        <v>0</v>
      </c>
      <c r="AP2015" t="inlineStr">
        <is>
          <t>No</t>
        </is>
      </c>
      <c r="AQ2015" t="inlineStr">
        <is>
          <t>No</t>
        </is>
      </c>
      <c r="AS2015">
        <f>HYPERLINK("https://creighton-primo.hosted.exlibrisgroup.com/primo-explore/search?tab=default_tab&amp;search_scope=EVERYTHING&amp;vid=01CRU&amp;lang=en_US&amp;offset=0&amp;query=any,contains,991004956859702656","Catalog Record")</f>
        <v/>
      </c>
      <c r="AT2015">
        <f>HYPERLINK("http://www.worldcat.org/oclc/6280586","WorldCat Record")</f>
        <v/>
      </c>
      <c r="AU2015" t="inlineStr">
        <is>
          <t>435983:eng</t>
        </is>
      </c>
      <c r="AV2015" t="inlineStr">
        <is>
          <t>6280586</t>
        </is>
      </c>
      <c r="AW2015" t="inlineStr">
        <is>
          <t>991004956859702656</t>
        </is>
      </c>
      <c r="AX2015" t="inlineStr">
        <is>
          <t>991004956859702656</t>
        </is>
      </c>
      <c r="AY2015" t="inlineStr">
        <is>
          <t>2255943620002656</t>
        </is>
      </c>
      <c r="AZ2015" t="inlineStr">
        <is>
          <t>BOOK</t>
        </is>
      </c>
      <c r="BB2015" t="inlineStr">
        <is>
          <t>9780300025187</t>
        </is>
      </c>
      <c r="BC2015" t="inlineStr">
        <is>
          <t>32285000272715</t>
        </is>
      </c>
      <c r="BD2015" t="inlineStr">
        <is>
          <t>893436958</t>
        </is>
      </c>
    </row>
    <row r="2016">
      <c r="A2016" t="inlineStr">
        <is>
          <t>No</t>
        </is>
      </c>
      <c r="B2016" t="inlineStr">
        <is>
          <t>DS753 .H82</t>
        </is>
      </c>
      <c r="C2016" t="inlineStr">
        <is>
          <t>0                      DS 0753000H  82</t>
        </is>
      </c>
      <c r="D2016" t="inlineStr">
        <is>
          <t>The censorial system of Ming China / [by] Charles O. Hucker.</t>
        </is>
      </c>
      <c r="F2016" t="inlineStr">
        <is>
          <t>No</t>
        </is>
      </c>
      <c r="G2016" t="inlineStr">
        <is>
          <t>1</t>
        </is>
      </c>
      <c r="H2016" t="inlineStr">
        <is>
          <t>No</t>
        </is>
      </c>
      <c r="I2016" t="inlineStr">
        <is>
          <t>No</t>
        </is>
      </c>
      <c r="J2016" t="inlineStr">
        <is>
          <t>0</t>
        </is>
      </c>
      <c r="K2016" t="inlineStr">
        <is>
          <t>Hucker, Charles O.</t>
        </is>
      </c>
      <c r="L2016" t="inlineStr">
        <is>
          <t>Stanford, Calif. : Stanford University Press, 1966.</t>
        </is>
      </c>
      <c r="M2016" t="inlineStr">
        <is>
          <t>1966</t>
        </is>
      </c>
      <c r="O2016" t="inlineStr">
        <is>
          <t>eng</t>
        </is>
      </c>
      <c r="P2016" t="inlineStr">
        <is>
          <t>cau</t>
        </is>
      </c>
      <c r="Q2016" t="inlineStr">
        <is>
          <t>Stanford studies in the civilizations of eastern Asia</t>
        </is>
      </c>
      <c r="R2016" t="inlineStr">
        <is>
          <t xml:space="preserve">DS </t>
        </is>
      </c>
      <c r="S2016" t="n">
        <v>6</v>
      </c>
      <c r="T2016" t="n">
        <v>6</v>
      </c>
      <c r="U2016" t="inlineStr">
        <is>
          <t>1996-01-25</t>
        </is>
      </c>
      <c r="V2016" t="inlineStr">
        <is>
          <t>1996-01-25</t>
        </is>
      </c>
      <c r="W2016" t="inlineStr">
        <is>
          <t>1993-05-04</t>
        </is>
      </c>
      <c r="X2016" t="inlineStr">
        <is>
          <t>1993-05-04</t>
        </is>
      </c>
      <c r="Y2016" t="n">
        <v>649</v>
      </c>
      <c r="Z2016" t="n">
        <v>545</v>
      </c>
      <c r="AA2016" t="n">
        <v>554</v>
      </c>
      <c r="AB2016" t="n">
        <v>5</v>
      </c>
      <c r="AC2016" t="n">
        <v>5</v>
      </c>
      <c r="AD2016" t="n">
        <v>29</v>
      </c>
      <c r="AE2016" t="n">
        <v>29</v>
      </c>
      <c r="AF2016" t="n">
        <v>8</v>
      </c>
      <c r="AG2016" t="n">
        <v>8</v>
      </c>
      <c r="AH2016" t="n">
        <v>6</v>
      </c>
      <c r="AI2016" t="n">
        <v>6</v>
      </c>
      <c r="AJ2016" t="n">
        <v>16</v>
      </c>
      <c r="AK2016" t="n">
        <v>16</v>
      </c>
      <c r="AL2016" t="n">
        <v>4</v>
      </c>
      <c r="AM2016" t="n">
        <v>4</v>
      </c>
      <c r="AN2016" t="n">
        <v>1</v>
      </c>
      <c r="AO2016" t="n">
        <v>1</v>
      </c>
      <c r="AP2016" t="inlineStr">
        <is>
          <t>No</t>
        </is>
      </c>
      <c r="AQ2016" t="inlineStr">
        <is>
          <t>Yes</t>
        </is>
      </c>
      <c r="AR2016">
        <f>HYPERLINK("http://catalog.hathitrust.org/Record/000123565","HathiTrust Record")</f>
        <v/>
      </c>
      <c r="AS2016">
        <f>HYPERLINK("https://creighton-primo.hosted.exlibrisgroup.com/primo-explore/search?tab=default_tab&amp;search_scope=EVERYTHING&amp;vid=01CRU&amp;lang=en_US&amp;offset=0&amp;query=any,contains,991002718959702656","Catalog Record")</f>
        <v/>
      </c>
      <c r="AT2016">
        <f>HYPERLINK("http://www.worldcat.org/oclc/412075","WorldCat Record")</f>
        <v/>
      </c>
      <c r="AU2016" t="inlineStr">
        <is>
          <t>1460781:eng</t>
        </is>
      </c>
      <c r="AV2016" t="inlineStr">
        <is>
          <t>412075</t>
        </is>
      </c>
      <c r="AW2016" t="inlineStr">
        <is>
          <t>991002718959702656</t>
        </is>
      </c>
      <c r="AX2016" t="inlineStr">
        <is>
          <t>991002718959702656</t>
        </is>
      </c>
      <c r="AY2016" t="inlineStr">
        <is>
          <t>2264367130002656</t>
        </is>
      </c>
      <c r="AZ2016" t="inlineStr">
        <is>
          <t>BOOK</t>
        </is>
      </c>
      <c r="BC2016" t="inlineStr">
        <is>
          <t>32285001633147</t>
        </is>
      </c>
      <c r="BD2016" t="inlineStr">
        <is>
          <t>893504737</t>
        </is>
      </c>
    </row>
    <row r="2017">
      <c r="A2017" t="inlineStr">
        <is>
          <t>No</t>
        </is>
      </c>
      <c r="B2017" t="inlineStr">
        <is>
          <t>DS753 .M5 1965</t>
        </is>
      </c>
      <c r="C2017" t="inlineStr">
        <is>
          <t>0                      DS 0753000M  5           1965</t>
        </is>
      </c>
      <c r="D2017" t="inlineStr">
        <is>
          <t>The origin of Manchu rule in China; frontier and bureaucracy as interacting forces in the Chinese Empire.</t>
        </is>
      </c>
      <c r="F2017" t="inlineStr">
        <is>
          <t>No</t>
        </is>
      </c>
      <c r="G2017" t="inlineStr">
        <is>
          <t>1</t>
        </is>
      </c>
      <c r="H2017" t="inlineStr">
        <is>
          <t>No</t>
        </is>
      </c>
      <c r="I2017" t="inlineStr">
        <is>
          <t>No</t>
        </is>
      </c>
      <c r="J2017" t="inlineStr">
        <is>
          <t>0</t>
        </is>
      </c>
      <c r="K2017" t="inlineStr">
        <is>
          <t>Michael, Franz H.</t>
        </is>
      </c>
      <c r="L2017" t="inlineStr">
        <is>
          <t>New York, Octagon Books, [1965 c1942]</t>
        </is>
      </c>
      <c r="M2017" t="inlineStr">
        <is>
          <t>1965</t>
        </is>
      </c>
      <c r="O2017" t="inlineStr">
        <is>
          <t>eng</t>
        </is>
      </c>
      <c r="P2017" t="inlineStr">
        <is>
          <t xml:space="preserve">xx </t>
        </is>
      </c>
      <c r="R2017" t="inlineStr">
        <is>
          <t xml:space="preserve">DS </t>
        </is>
      </c>
      <c r="S2017" t="n">
        <v>3</v>
      </c>
      <c r="T2017" t="n">
        <v>3</v>
      </c>
      <c r="U2017" t="inlineStr">
        <is>
          <t>2000-04-17</t>
        </is>
      </c>
      <c r="V2017" t="inlineStr">
        <is>
          <t>2000-04-17</t>
        </is>
      </c>
      <c r="W2017" t="inlineStr">
        <is>
          <t>1997-03-17</t>
        </is>
      </c>
      <c r="X2017" t="inlineStr">
        <is>
          <t>1997-03-17</t>
        </is>
      </c>
      <c r="Y2017" t="n">
        <v>442</v>
      </c>
      <c r="Z2017" t="n">
        <v>403</v>
      </c>
      <c r="AA2017" t="n">
        <v>603</v>
      </c>
      <c r="AB2017" t="n">
        <v>4</v>
      </c>
      <c r="AC2017" t="n">
        <v>6</v>
      </c>
      <c r="AD2017" t="n">
        <v>20</v>
      </c>
      <c r="AE2017" t="n">
        <v>31</v>
      </c>
      <c r="AF2017" t="n">
        <v>7</v>
      </c>
      <c r="AG2017" t="n">
        <v>11</v>
      </c>
      <c r="AH2017" t="n">
        <v>5</v>
      </c>
      <c r="AI2017" t="n">
        <v>7</v>
      </c>
      <c r="AJ2017" t="n">
        <v>10</v>
      </c>
      <c r="AK2017" t="n">
        <v>16</v>
      </c>
      <c r="AL2017" t="n">
        <v>3</v>
      </c>
      <c r="AM2017" t="n">
        <v>5</v>
      </c>
      <c r="AN2017" t="n">
        <v>0</v>
      </c>
      <c r="AO2017" t="n">
        <v>0</v>
      </c>
      <c r="AP2017" t="inlineStr">
        <is>
          <t>No</t>
        </is>
      </c>
      <c r="AQ2017" t="inlineStr">
        <is>
          <t>Yes</t>
        </is>
      </c>
      <c r="AR2017">
        <f>HYPERLINK("http://catalog.hathitrust.org/Record/001257934","HathiTrust Record")</f>
        <v/>
      </c>
      <c r="AS2017">
        <f>HYPERLINK("https://creighton-primo.hosted.exlibrisgroup.com/primo-explore/search?tab=default_tab&amp;search_scope=EVERYTHING&amp;vid=01CRU&amp;lang=en_US&amp;offset=0&amp;query=any,contains,991002397649702656","Catalog Record")</f>
        <v/>
      </c>
      <c r="AT2017">
        <f>HYPERLINK("http://www.worldcat.org/oclc/335275","WorldCat Record")</f>
        <v/>
      </c>
      <c r="AU2017" t="inlineStr">
        <is>
          <t>53961300:eng</t>
        </is>
      </c>
      <c r="AV2017" t="inlineStr">
        <is>
          <t>335275</t>
        </is>
      </c>
      <c r="AW2017" t="inlineStr">
        <is>
          <t>991002397649702656</t>
        </is>
      </c>
      <c r="AX2017" t="inlineStr">
        <is>
          <t>991002397649702656</t>
        </is>
      </c>
      <c r="AY2017" t="inlineStr">
        <is>
          <t>2256566670002656</t>
        </is>
      </c>
      <c r="AZ2017" t="inlineStr">
        <is>
          <t>BOOK</t>
        </is>
      </c>
      <c r="BC2017" t="inlineStr">
        <is>
          <t>32285002448909</t>
        </is>
      </c>
      <c r="BD2017" t="inlineStr">
        <is>
          <t>893716399</t>
        </is>
      </c>
    </row>
    <row r="2018">
      <c r="A2018" t="inlineStr">
        <is>
          <t>No</t>
        </is>
      </c>
      <c r="B2018" t="inlineStr">
        <is>
          <t>DS753 .P36</t>
        </is>
      </c>
      <c r="C2018" t="inlineStr">
        <is>
          <t>0                      DS 0753000P  36</t>
        </is>
      </c>
      <c r="D2018" t="inlineStr">
        <is>
          <t>The peasant rebellions of the late Ming dynasty.</t>
        </is>
      </c>
      <c r="F2018" t="inlineStr">
        <is>
          <t>No</t>
        </is>
      </c>
      <c r="G2018" t="inlineStr">
        <is>
          <t>1</t>
        </is>
      </c>
      <c r="H2018" t="inlineStr">
        <is>
          <t>No</t>
        </is>
      </c>
      <c r="I2018" t="inlineStr">
        <is>
          <t>No</t>
        </is>
      </c>
      <c r="J2018" t="inlineStr">
        <is>
          <t>0</t>
        </is>
      </c>
      <c r="K2018" t="inlineStr">
        <is>
          <t>Parsons, James Bunyan.</t>
        </is>
      </c>
      <c r="L2018" t="inlineStr">
        <is>
          <t>Tucson, Published for the Association for Asian Studies by the University of Arizona Press [1970]</t>
        </is>
      </c>
      <c r="M2018" t="inlineStr">
        <is>
          <t>1970</t>
        </is>
      </c>
      <c r="O2018" t="inlineStr">
        <is>
          <t>eng</t>
        </is>
      </c>
      <c r="P2018" t="inlineStr">
        <is>
          <t>azu</t>
        </is>
      </c>
      <c r="Q2018" t="inlineStr">
        <is>
          <t>The Association for Asian Studies. Monographs and papers, no. 26</t>
        </is>
      </c>
      <c r="R2018" t="inlineStr">
        <is>
          <t xml:space="preserve">DS </t>
        </is>
      </c>
      <c r="S2018" t="n">
        <v>2</v>
      </c>
      <c r="T2018" t="n">
        <v>2</v>
      </c>
      <c r="U2018" t="inlineStr">
        <is>
          <t>1998-06-15</t>
        </is>
      </c>
      <c r="V2018" t="inlineStr">
        <is>
          <t>1998-06-15</t>
        </is>
      </c>
      <c r="W2018" t="inlineStr">
        <is>
          <t>1997-03-17</t>
        </is>
      </c>
      <c r="X2018" t="inlineStr">
        <is>
          <t>1997-03-17</t>
        </is>
      </c>
      <c r="Y2018" t="n">
        <v>510</v>
      </c>
      <c r="Z2018" t="n">
        <v>415</v>
      </c>
      <c r="AA2018" t="n">
        <v>418</v>
      </c>
      <c r="AB2018" t="n">
        <v>3</v>
      </c>
      <c r="AC2018" t="n">
        <v>3</v>
      </c>
      <c r="AD2018" t="n">
        <v>24</v>
      </c>
      <c r="AE2018" t="n">
        <v>24</v>
      </c>
      <c r="AF2018" t="n">
        <v>8</v>
      </c>
      <c r="AG2018" t="n">
        <v>8</v>
      </c>
      <c r="AH2018" t="n">
        <v>8</v>
      </c>
      <c r="AI2018" t="n">
        <v>8</v>
      </c>
      <c r="AJ2018" t="n">
        <v>12</v>
      </c>
      <c r="AK2018" t="n">
        <v>12</v>
      </c>
      <c r="AL2018" t="n">
        <v>2</v>
      </c>
      <c r="AM2018" t="n">
        <v>2</v>
      </c>
      <c r="AN2018" t="n">
        <v>0</v>
      </c>
      <c r="AO2018" t="n">
        <v>0</v>
      </c>
      <c r="AP2018" t="inlineStr">
        <is>
          <t>No</t>
        </is>
      </c>
      <c r="AQ2018" t="inlineStr">
        <is>
          <t>Yes</t>
        </is>
      </c>
      <c r="AR2018">
        <f>HYPERLINK("http://catalog.hathitrust.org/Record/000148520","HathiTrust Record")</f>
        <v/>
      </c>
      <c r="AS2018">
        <f>HYPERLINK("https://creighton-primo.hosted.exlibrisgroup.com/primo-explore/search?tab=default_tab&amp;search_scope=EVERYTHING&amp;vid=01CRU&amp;lang=en_US&amp;offset=0&amp;query=any,contains,991000219029702656","Catalog Record")</f>
        <v/>
      </c>
      <c r="AT2018">
        <f>HYPERLINK("http://www.worldcat.org/oclc/67493","WorldCat Record")</f>
        <v/>
      </c>
      <c r="AU2018" t="inlineStr">
        <is>
          <t>1234062:eng</t>
        </is>
      </c>
      <c r="AV2018" t="inlineStr">
        <is>
          <t>67493</t>
        </is>
      </c>
      <c r="AW2018" t="inlineStr">
        <is>
          <t>991000219029702656</t>
        </is>
      </c>
      <c r="AX2018" t="inlineStr">
        <is>
          <t>991000219029702656</t>
        </is>
      </c>
      <c r="AY2018" t="inlineStr">
        <is>
          <t>2258122630002656</t>
        </is>
      </c>
      <c r="AZ2018" t="inlineStr">
        <is>
          <t>BOOK</t>
        </is>
      </c>
      <c r="BB2018" t="inlineStr">
        <is>
          <t>9780816501557</t>
        </is>
      </c>
      <c r="BC2018" t="inlineStr">
        <is>
          <t>32285002448917</t>
        </is>
      </c>
      <c r="BD2018" t="inlineStr">
        <is>
          <t>893689539</t>
        </is>
      </c>
    </row>
    <row r="2019">
      <c r="A2019" t="inlineStr">
        <is>
          <t>No</t>
        </is>
      </c>
      <c r="B2019" t="inlineStr">
        <is>
          <t>DS754 .H74 2000</t>
        </is>
      </c>
      <c r="C2019" t="inlineStr">
        <is>
          <t>0                      DS 0754000H  74          2000</t>
        </is>
      </c>
      <c r="D2019" t="inlineStr">
        <is>
          <t>The rise of modern China / Immanuel C. Y. Hs©ơ.</t>
        </is>
      </c>
      <c r="F2019" t="inlineStr">
        <is>
          <t>No</t>
        </is>
      </c>
      <c r="G2019" t="inlineStr">
        <is>
          <t>1</t>
        </is>
      </c>
      <c r="H2019" t="inlineStr">
        <is>
          <t>No</t>
        </is>
      </c>
      <c r="I2019" t="inlineStr">
        <is>
          <t>No</t>
        </is>
      </c>
      <c r="J2019" t="inlineStr">
        <is>
          <t>0</t>
        </is>
      </c>
      <c r="K2019" t="inlineStr">
        <is>
          <t>Hsü, Immanuel C. Y. (Immanuel Chung-Yueh), 1923-2005.</t>
        </is>
      </c>
      <c r="L2019" t="inlineStr">
        <is>
          <t>New York : Oxford University Press, 2000.</t>
        </is>
      </c>
      <c r="M2019" t="inlineStr">
        <is>
          <t>2000</t>
        </is>
      </c>
      <c r="N2019" t="inlineStr">
        <is>
          <t>6th ed.</t>
        </is>
      </c>
      <c r="O2019" t="inlineStr">
        <is>
          <t>eng</t>
        </is>
      </c>
      <c r="P2019" t="inlineStr">
        <is>
          <t>nyu</t>
        </is>
      </c>
      <c r="R2019" t="inlineStr">
        <is>
          <t xml:space="preserve">DS </t>
        </is>
      </c>
      <c r="S2019" t="n">
        <v>9</v>
      </c>
      <c r="T2019" t="n">
        <v>9</v>
      </c>
      <c r="U2019" t="inlineStr">
        <is>
          <t>2007-12-21</t>
        </is>
      </c>
      <c r="V2019" t="inlineStr">
        <is>
          <t>2007-12-21</t>
        </is>
      </c>
      <c r="W2019" t="inlineStr">
        <is>
          <t>2000-04-11</t>
        </is>
      </c>
      <c r="X2019" t="inlineStr">
        <is>
          <t>2000-04-11</t>
        </is>
      </c>
      <c r="Y2019" t="n">
        <v>535</v>
      </c>
      <c r="Z2019" t="n">
        <v>368</v>
      </c>
      <c r="AA2019" t="n">
        <v>1625</v>
      </c>
      <c r="AB2019" t="n">
        <v>5</v>
      </c>
      <c r="AC2019" t="n">
        <v>14</v>
      </c>
      <c r="AD2019" t="n">
        <v>17</v>
      </c>
      <c r="AE2019" t="n">
        <v>55</v>
      </c>
      <c r="AF2019" t="n">
        <v>5</v>
      </c>
      <c r="AG2019" t="n">
        <v>25</v>
      </c>
      <c r="AH2019" t="n">
        <v>5</v>
      </c>
      <c r="AI2019" t="n">
        <v>8</v>
      </c>
      <c r="AJ2019" t="n">
        <v>10</v>
      </c>
      <c r="AK2019" t="n">
        <v>23</v>
      </c>
      <c r="AL2019" t="n">
        <v>3</v>
      </c>
      <c r="AM2019" t="n">
        <v>9</v>
      </c>
      <c r="AN2019" t="n">
        <v>0</v>
      </c>
      <c r="AO2019" t="n">
        <v>2</v>
      </c>
      <c r="AP2019" t="inlineStr">
        <is>
          <t>No</t>
        </is>
      </c>
      <c r="AQ2019" t="inlineStr">
        <is>
          <t>No</t>
        </is>
      </c>
      <c r="AS2019">
        <f>HYPERLINK("https://creighton-primo.hosted.exlibrisgroup.com/primo-explore/search?tab=default_tab&amp;search_scope=EVERYTHING&amp;vid=01CRU&amp;lang=en_US&amp;offset=0&amp;query=any,contains,991002999099702656","Catalog Record")</f>
        <v/>
      </c>
      <c r="AT2019">
        <f>HYPERLINK("http://www.worldcat.org/oclc/40595619","WorldCat Record")</f>
        <v/>
      </c>
      <c r="AU2019" t="inlineStr">
        <is>
          <t>4809213:eng</t>
        </is>
      </c>
      <c r="AV2019" t="inlineStr">
        <is>
          <t>40595619</t>
        </is>
      </c>
      <c r="AW2019" t="inlineStr">
        <is>
          <t>991002999099702656</t>
        </is>
      </c>
      <c r="AX2019" t="inlineStr">
        <is>
          <t>991002999099702656</t>
        </is>
      </c>
      <c r="AY2019" t="inlineStr">
        <is>
          <t>2262259370002656</t>
        </is>
      </c>
      <c r="AZ2019" t="inlineStr">
        <is>
          <t>BOOK</t>
        </is>
      </c>
      <c r="BB2019" t="inlineStr">
        <is>
          <t>9780195125030</t>
        </is>
      </c>
      <c r="BC2019" t="inlineStr">
        <is>
          <t>32285003676326</t>
        </is>
      </c>
      <c r="BD2019" t="inlineStr">
        <is>
          <t>893616876</t>
        </is>
      </c>
    </row>
    <row r="2020">
      <c r="A2020" t="inlineStr">
        <is>
          <t>No</t>
        </is>
      </c>
      <c r="B2020" t="inlineStr">
        <is>
          <t>DS754 .M6</t>
        </is>
      </c>
      <c r="C2020" t="inlineStr">
        <is>
          <t>0                      DS 0754000M  6</t>
        </is>
      </c>
      <c r="D2020" t="inlineStr">
        <is>
          <t>Modern East Asia : essays in interpretation. Volume editor: James B. Crowley. Contributors: Frederic Wakeman, Jr. [and others] Under the general editorship of John Morton Blum.</t>
        </is>
      </c>
      <c r="F2020" t="inlineStr">
        <is>
          <t>No</t>
        </is>
      </c>
      <c r="G2020" t="inlineStr">
        <is>
          <t>1</t>
        </is>
      </c>
      <c r="H2020" t="inlineStr">
        <is>
          <t>No</t>
        </is>
      </c>
      <c r="I2020" t="inlineStr">
        <is>
          <t>No</t>
        </is>
      </c>
      <c r="J2020" t="inlineStr">
        <is>
          <t>0</t>
        </is>
      </c>
      <c r="L2020" t="inlineStr">
        <is>
          <t>New York, Harcourt, Brace &amp; World [1970]</t>
        </is>
      </c>
      <c r="M2020" t="inlineStr">
        <is>
          <t>1970</t>
        </is>
      </c>
      <c r="O2020" t="inlineStr">
        <is>
          <t>eng</t>
        </is>
      </c>
      <c r="P2020" t="inlineStr">
        <is>
          <t>nyu</t>
        </is>
      </c>
      <c r="R2020" t="inlineStr">
        <is>
          <t xml:space="preserve">DS </t>
        </is>
      </c>
      <c r="S2020" t="n">
        <v>3</v>
      </c>
      <c r="T2020" t="n">
        <v>3</v>
      </c>
      <c r="U2020" t="inlineStr">
        <is>
          <t>2002-10-29</t>
        </is>
      </c>
      <c r="V2020" t="inlineStr">
        <is>
          <t>2002-10-29</t>
        </is>
      </c>
      <c r="W2020" t="inlineStr">
        <is>
          <t>1996-08-09</t>
        </is>
      </c>
      <c r="X2020" t="inlineStr">
        <is>
          <t>1996-08-09</t>
        </is>
      </c>
      <c r="Y2020" t="n">
        <v>661</v>
      </c>
      <c r="Z2020" t="n">
        <v>521</v>
      </c>
      <c r="AA2020" t="n">
        <v>526</v>
      </c>
      <c r="AB2020" t="n">
        <v>5</v>
      </c>
      <c r="AC2020" t="n">
        <v>5</v>
      </c>
      <c r="AD2020" t="n">
        <v>30</v>
      </c>
      <c r="AE2020" t="n">
        <v>30</v>
      </c>
      <c r="AF2020" t="n">
        <v>12</v>
      </c>
      <c r="AG2020" t="n">
        <v>12</v>
      </c>
      <c r="AH2020" t="n">
        <v>6</v>
      </c>
      <c r="AI2020" t="n">
        <v>6</v>
      </c>
      <c r="AJ2020" t="n">
        <v>15</v>
      </c>
      <c r="AK2020" t="n">
        <v>15</v>
      </c>
      <c r="AL2020" t="n">
        <v>4</v>
      </c>
      <c r="AM2020" t="n">
        <v>4</v>
      </c>
      <c r="AN2020" t="n">
        <v>1</v>
      </c>
      <c r="AO2020" t="n">
        <v>1</v>
      </c>
      <c r="AP2020" t="inlineStr">
        <is>
          <t>No</t>
        </is>
      </c>
      <c r="AQ2020" t="inlineStr">
        <is>
          <t>Yes</t>
        </is>
      </c>
      <c r="AR2020">
        <f>HYPERLINK("http://catalog.hathitrust.org/Record/001257940","HathiTrust Record")</f>
        <v/>
      </c>
      <c r="AS2020">
        <f>HYPERLINK("https://creighton-primo.hosted.exlibrisgroup.com/primo-explore/search?tab=default_tab&amp;search_scope=EVERYTHING&amp;vid=01CRU&amp;lang=en_US&amp;offset=0&amp;query=any,contains,991005352989702656","Catalog Record")</f>
        <v/>
      </c>
      <c r="AT2020">
        <f>HYPERLINK("http://www.worldcat.org/oclc/75316","WorldCat Record")</f>
        <v/>
      </c>
      <c r="AU2020" t="inlineStr">
        <is>
          <t>375260111:eng</t>
        </is>
      </c>
      <c r="AV2020" t="inlineStr">
        <is>
          <t>75316</t>
        </is>
      </c>
      <c r="AW2020" t="inlineStr">
        <is>
          <t>991005352989702656</t>
        </is>
      </c>
      <c r="AX2020" t="inlineStr">
        <is>
          <t>991005352989702656</t>
        </is>
      </c>
      <c r="AY2020" t="inlineStr">
        <is>
          <t>2256054260002656</t>
        </is>
      </c>
      <c r="AZ2020" t="inlineStr">
        <is>
          <t>BOOK</t>
        </is>
      </c>
      <c r="BB2020" t="inlineStr">
        <is>
          <t>9780155610002</t>
        </is>
      </c>
      <c r="BC2020" t="inlineStr">
        <is>
          <t>32285002273679</t>
        </is>
      </c>
      <c r="BD2020" t="inlineStr">
        <is>
          <t>893722919</t>
        </is>
      </c>
    </row>
    <row r="2021">
      <c r="A2021" t="inlineStr">
        <is>
          <t>No</t>
        </is>
      </c>
      <c r="B2021" t="inlineStr">
        <is>
          <t>DS754 .N4 1987</t>
        </is>
      </c>
      <c r="C2021" t="inlineStr">
        <is>
          <t>0                      DS 0754000N  4           1987</t>
        </is>
      </c>
      <c r="D2021" t="inlineStr">
        <is>
          <t>Chinese society in the eighteenth century / Susan Naquin and Evelyn S. Rawski.</t>
        </is>
      </c>
      <c r="F2021" t="inlineStr">
        <is>
          <t>No</t>
        </is>
      </c>
      <c r="G2021" t="inlineStr">
        <is>
          <t>1</t>
        </is>
      </c>
      <c r="H2021" t="inlineStr">
        <is>
          <t>No</t>
        </is>
      </c>
      <c r="I2021" t="inlineStr">
        <is>
          <t>No</t>
        </is>
      </c>
      <c r="J2021" t="inlineStr">
        <is>
          <t>0</t>
        </is>
      </c>
      <c r="K2021" t="inlineStr">
        <is>
          <t>Naquin, Susan.</t>
        </is>
      </c>
      <c r="L2021" t="inlineStr">
        <is>
          <t>New Haven : Yale University Press, c1987.</t>
        </is>
      </c>
      <c r="M2021" t="inlineStr">
        <is>
          <t>1987</t>
        </is>
      </c>
      <c r="O2021" t="inlineStr">
        <is>
          <t>eng</t>
        </is>
      </c>
      <c r="P2021" t="inlineStr">
        <is>
          <t>ctu</t>
        </is>
      </c>
      <c r="R2021" t="inlineStr">
        <is>
          <t xml:space="preserve">DS </t>
        </is>
      </c>
      <c r="S2021" t="n">
        <v>9</v>
      </c>
      <c r="T2021" t="n">
        <v>9</v>
      </c>
      <c r="U2021" t="inlineStr">
        <is>
          <t>1997-11-04</t>
        </is>
      </c>
      <c r="V2021" t="inlineStr">
        <is>
          <t>1997-11-04</t>
        </is>
      </c>
      <c r="W2021" t="inlineStr">
        <is>
          <t>1994-01-14</t>
        </is>
      </c>
      <c r="X2021" t="inlineStr">
        <is>
          <t>1994-01-14</t>
        </is>
      </c>
      <c r="Y2021" t="n">
        <v>715</v>
      </c>
      <c r="Z2021" t="n">
        <v>578</v>
      </c>
      <c r="AA2021" t="n">
        <v>729</v>
      </c>
      <c r="AB2021" t="n">
        <v>7</v>
      </c>
      <c r="AC2021" t="n">
        <v>7</v>
      </c>
      <c r="AD2021" t="n">
        <v>33</v>
      </c>
      <c r="AE2021" t="n">
        <v>37</v>
      </c>
      <c r="AF2021" t="n">
        <v>13</v>
      </c>
      <c r="AG2021" t="n">
        <v>17</v>
      </c>
      <c r="AH2021" t="n">
        <v>10</v>
      </c>
      <c r="AI2021" t="n">
        <v>10</v>
      </c>
      <c r="AJ2021" t="n">
        <v>13</v>
      </c>
      <c r="AK2021" t="n">
        <v>14</v>
      </c>
      <c r="AL2021" t="n">
        <v>6</v>
      </c>
      <c r="AM2021" t="n">
        <v>6</v>
      </c>
      <c r="AN2021" t="n">
        <v>0</v>
      </c>
      <c r="AO2021" t="n">
        <v>0</v>
      </c>
      <c r="AP2021" t="inlineStr">
        <is>
          <t>No</t>
        </is>
      </c>
      <c r="AQ2021" t="inlineStr">
        <is>
          <t>No</t>
        </is>
      </c>
      <c r="AS2021">
        <f>HYPERLINK("https://creighton-primo.hosted.exlibrisgroup.com/primo-explore/search?tab=default_tab&amp;search_scope=EVERYTHING&amp;vid=01CRU&amp;lang=en_US&amp;offset=0&amp;query=any,contains,991000964909702656","Catalog Record")</f>
        <v/>
      </c>
      <c r="AT2021">
        <f>HYPERLINK("http://www.worldcat.org/oclc/14904813","WorldCat Record")</f>
        <v/>
      </c>
      <c r="AU2021" t="inlineStr">
        <is>
          <t>8191766:eng</t>
        </is>
      </c>
      <c r="AV2021" t="inlineStr">
        <is>
          <t>14904813</t>
        </is>
      </c>
      <c r="AW2021" t="inlineStr">
        <is>
          <t>991000964909702656</t>
        </is>
      </c>
      <c r="AX2021" t="inlineStr">
        <is>
          <t>991000964909702656</t>
        </is>
      </c>
      <c r="AY2021" t="inlineStr">
        <is>
          <t>2266904430002656</t>
        </is>
      </c>
      <c r="AZ2021" t="inlineStr">
        <is>
          <t>BOOK</t>
        </is>
      </c>
      <c r="BB2021" t="inlineStr">
        <is>
          <t>9780300038484</t>
        </is>
      </c>
      <c r="BC2021" t="inlineStr">
        <is>
          <t>32285001832020</t>
        </is>
      </c>
      <c r="BD2021" t="inlineStr">
        <is>
          <t>893522168</t>
        </is>
      </c>
    </row>
    <row r="2022">
      <c r="A2022" t="inlineStr">
        <is>
          <t>No</t>
        </is>
      </c>
      <c r="B2022" t="inlineStr">
        <is>
          <t>DS754 .S65 1990</t>
        </is>
      </c>
      <c r="C2022" t="inlineStr">
        <is>
          <t>0                      DS 0754000S  65          1990</t>
        </is>
      </c>
      <c r="D2022" t="inlineStr">
        <is>
          <t>The search for modern China / by Jonathan D. Spence.</t>
        </is>
      </c>
      <c r="F2022" t="inlineStr">
        <is>
          <t>No</t>
        </is>
      </c>
      <c r="G2022" t="inlineStr">
        <is>
          <t>1</t>
        </is>
      </c>
      <c r="H2022" t="inlineStr">
        <is>
          <t>No</t>
        </is>
      </c>
      <c r="I2022" t="inlineStr">
        <is>
          <t>Yes</t>
        </is>
      </c>
      <c r="J2022" t="inlineStr">
        <is>
          <t>0</t>
        </is>
      </c>
      <c r="K2022" t="inlineStr">
        <is>
          <t>Spence, Jonathan D.</t>
        </is>
      </c>
      <c r="L2022" t="inlineStr">
        <is>
          <t>New York : Norton, c1990.</t>
        </is>
      </c>
      <c r="M2022" t="inlineStr">
        <is>
          <t>1990</t>
        </is>
      </c>
      <c r="N2022" t="inlineStr">
        <is>
          <t>1st ed.</t>
        </is>
      </c>
      <c r="O2022" t="inlineStr">
        <is>
          <t>eng</t>
        </is>
      </c>
      <c r="P2022" t="inlineStr">
        <is>
          <t>nyu</t>
        </is>
      </c>
      <c r="R2022" t="inlineStr">
        <is>
          <t xml:space="preserve">DS </t>
        </is>
      </c>
      <c r="S2022" t="n">
        <v>9</v>
      </c>
      <c r="T2022" t="n">
        <v>9</v>
      </c>
      <c r="U2022" t="inlineStr">
        <is>
          <t>2008-08-27</t>
        </is>
      </c>
      <c r="V2022" t="inlineStr">
        <is>
          <t>2008-08-27</t>
        </is>
      </c>
      <c r="W2022" t="inlineStr">
        <is>
          <t>1990-06-12</t>
        </is>
      </c>
      <c r="X2022" t="inlineStr">
        <is>
          <t>1990-06-12</t>
        </is>
      </c>
      <c r="Y2022" t="n">
        <v>2255</v>
      </c>
      <c r="Z2022" t="n">
        <v>2035</v>
      </c>
      <c r="AA2022" t="n">
        <v>2465</v>
      </c>
      <c r="AB2022" t="n">
        <v>18</v>
      </c>
      <c r="AC2022" t="n">
        <v>21</v>
      </c>
      <c r="AD2022" t="n">
        <v>47</v>
      </c>
      <c r="AE2022" t="n">
        <v>65</v>
      </c>
      <c r="AF2022" t="n">
        <v>16</v>
      </c>
      <c r="AG2022" t="n">
        <v>26</v>
      </c>
      <c r="AH2022" t="n">
        <v>8</v>
      </c>
      <c r="AI2022" t="n">
        <v>11</v>
      </c>
      <c r="AJ2022" t="n">
        <v>20</v>
      </c>
      <c r="AK2022" t="n">
        <v>26</v>
      </c>
      <c r="AL2022" t="n">
        <v>10</v>
      </c>
      <c r="AM2022" t="n">
        <v>12</v>
      </c>
      <c r="AN2022" t="n">
        <v>1</v>
      </c>
      <c r="AO2022" t="n">
        <v>4</v>
      </c>
      <c r="AP2022" t="inlineStr">
        <is>
          <t>No</t>
        </is>
      </c>
      <c r="AQ2022" t="inlineStr">
        <is>
          <t>No</t>
        </is>
      </c>
      <c r="AS2022">
        <f>HYPERLINK("https://creighton-primo.hosted.exlibrisgroup.com/primo-explore/search?tab=default_tab&amp;search_scope=EVERYTHING&amp;vid=01CRU&amp;lang=en_US&amp;offset=0&amp;query=any,contains,991001472029702656","Catalog Record")</f>
        <v/>
      </c>
      <c r="AT2022">
        <f>HYPERLINK("http://www.worldcat.org/oclc/19553922","WorldCat Record")</f>
        <v/>
      </c>
      <c r="AU2022" t="inlineStr">
        <is>
          <t>4820491417:eng</t>
        </is>
      </c>
      <c r="AV2022" t="inlineStr">
        <is>
          <t>19553922</t>
        </is>
      </c>
      <c r="AW2022" t="inlineStr">
        <is>
          <t>991001472029702656</t>
        </is>
      </c>
      <c r="AX2022" t="inlineStr">
        <is>
          <t>991001472029702656</t>
        </is>
      </c>
      <c r="AY2022" t="inlineStr">
        <is>
          <t>2272058340002656</t>
        </is>
      </c>
      <c r="AZ2022" t="inlineStr">
        <is>
          <t>BOOK</t>
        </is>
      </c>
      <c r="BC2022" t="inlineStr">
        <is>
          <t>32285000175678</t>
        </is>
      </c>
      <c r="BD2022" t="inlineStr">
        <is>
          <t>893615152</t>
        </is>
      </c>
    </row>
    <row r="2023">
      <c r="A2023" t="inlineStr">
        <is>
          <t>No</t>
        </is>
      </c>
      <c r="B2023" t="inlineStr">
        <is>
          <t>DS754 .W13</t>
        </is>
      </c>
      <c r="C2023" t="inlineStr">
        <is>
          <t>0                      DS 0754000W  13</t>
        </is>
      </c>
      <c r="D2023" t="inlineStr">
        <is>
          <t>The fall of imperial China / Frederic Wakeman, Jr.</t>
        </is>
      </c>
      <c r="F2023" t="inlineStr">
        <is>
          <t>No</t>
        </is>
      </c>
      <c r="G2023" t="inlineStr">
        <is>
          <t>1</t>
        </is>
      </c>
      <c r="H2023" t="inlineStr">
        <is>
          <t>No</t>
        </is>
      </c>
      <c r="I2023" t="inlineStr">
        <is>
          <t>No</t>
        </is>
      </c>
      <c r="J2023" t="inlineStr">
        <is>
          <t>0</t>
        </is>
      </c>
      <c r="K2023" t="inlineStr">
        <is>
          <t>Wakeman, Frederic E.</t>
        </is>
      </c>
      <c r="L2023" t="inlineStr">
        <is>
          <t>New York : Free Press, [1975]</t>
        </is>
      </c>
      <c r="M2023" t="inlineStr">
        <is>
          <t>1975</t>
        </is>
      </c>
      <c r="O2023" t="inlineStr">
        <is>
          <t>eng</t>
        </is>
      </c>
      <c r="P2023" t="inlineStr">
        <is>
          <t>nyu</t>
        </is>
      </c>
      <c r="Q2023" t="inlineStr">
        <is>
          <t>The Transformation of modern China series</t>
        </is>
      </c>
      <c r="R2023" t="inlineStr">
        <is>
          <t xml:space="preserve">DS </t>
        </is>
      </c>
      <c r="S2023" t="n">
        <v>11</v>
      </c>
      <c r="T2023" t="n">
        <v>11</v>
      </c>
      <c r="U2023" t="inlineStr">
        <is>
          <t>2002-04-11</t>
        </is>
      </c>
      <c r="V2023" t="inlineStr">
        <is>
          <t>2002-04-11</t>
        </is>
      </c>
      <c r="W2023" t="inlineStr">
        <is>
          <t>1993-04-23</t>
        </is>
      </c>
      <c r="X2023" t="inlineStr">
        <is>
          <t>1993-04-23</t>
        </is>
      </c>
      <c r="Y2023" t="n">
        <v>926</v>
      </c>
      <c r="Z2023" t="n">
        <v>754</v>
      </c>
      <c r="AA2023" t="n">
        <v>858</v>
      </c>
      <c r="AB2023" t="n">
        <v>6</v>
      </c>
      <c r="AC2023" t="n">
        <v>6</v>
      </c>
      <c r="AD2023" t="n">
        <v>33</v>
      </c>
      <c r="AE2023" t="n">
        <v>39</v>
      </c>
      <c r="AF2023" t="n">
        <v>14</v>
      </c>
      <c r="AG2023" t="n">
        <v>18</v>
      </c>
      <c r="AH2023" t="n">
        <v>9</v>
      </c>
      <c r="AI2023" t="n">
        <v>9</v>
      </c>
      <c r="AJ2023" t="n">
        <v>18</v>
      </c>
      <c r="AK2023" t="n">
        <v>20</v>
      </c>
      <c r="AL2023" t="n">
        <v>4</v>
      </c>
      <c r="AM2023" t="n">
        <v>4</v>
      </c>
      <c r="AN2023" t="n">
        <v>0</v>
      </c>
      <c r="AO2023" t="n">
        <v>0</v>
      </c>
      <c r="AP2023" t="inlineStr">
        <is>
          <t>No</t>
        </is>
      </c>
      <c r="AQ2023" t="inlineStr">
        <is>
          <t>Yes</t>
        </is>
      </c>
      <c r="AR2023">
        <f>HYPERLINK("http://catalog.hathitrust.org/Record/000043614","HathiTrust Record")</f>
        <v/>
      </c>
      <c r="AS2023">
        <f>HYPERLINK("https://creighton-primo.hosted.exlibrisgroup.com/primo-explore/search?tab=default_tab&amp;search_scope=EVERYTHING&amp;vid=01CRU&amp;lang=en_US&amp;offset=0&amp;query=any,contains,991003612479702656","Catalog Record")</f>
        <v/>
      </c>
      <c r="AT2023">
        <f>HYPERLINK("http://www.worldcat.org/oclc/1195113","WorldCat Record")</f>
        <v/>
      </c>
      <c r="AU2023" t="inlineStr">
        <is>
          <t>400854:eng</t>
        </is>
      </c>
      <c r="AV2023" t="inlineStr">
        <is>
          <t>1195113</t>
        </is>
      </c>
      <c r="AW2023" t="inlineStr">
        <is>
          <t>991003612479702656</t>
        </is>
      </c>
      <c r="AX2023" t="inlineStr">
        <is>
          <t>991003612479702656</t>
        </is>
      </c>
      <c r="AY2023" t="inlineStr">
        <is>
          <t>2260236720002656</t>
        </is>
      </c>
      <c r="AZ2023" t="inlineStr">
        <is>
          <t>BOOK</t>
        </is>
      </c>
      <c r="BB2023" t="inlineStr">
        <is>
          <t>9780029336908</t>
        </is>
      </c>
      <c r="BC2023" t="inlineStr">
        <is>
          <t>32285001623445</t>
        </is>
      </c>
      <c r="BD2023" t="inlineStr">
        <is>
          <t>893774947</t>
        </is>
      </c>
    </row>
    <row r="2024">
      <c r="A2024" t="inlineStr">
        <is>
          <t>No</t>
        </is>
      </c>
      <c r="B2024" t="inlineStr">
        <is>
          <t>DS754.14 .S6 1983</t>
        </is>
      </c>
      <c r="C2024" t="inlineStr">
        <is>
          <t>0                      DS 0754140S  6           1983</t>
        </is>
      </c>
      <c r="D2024" t="inlineStr">
        <is>
          <t>China's cultural heritage : the Chʻing dynasty, 1644-1912 / Richard J. Smith.</t>
        </is>
      </c>
      <c r="F2024" t="inlineStr">
        <is>
          <t>No</t>
        </is>
      </c>
      <c r="G2024" t="inlineStr">
        <is>
          <t>1</t>
        </is>
      </c>
      <c r="H2024" t="inlineStr">
        <is>
          <t>No</t>
        </is>
      </c>
      <c r="I2024" t="inlineStr">
        <is>
          <t>No</t>
        </is>
      </c>
      <c r="J2024" t="inlineStr">
        <is>
          <t>0</t>
        </is>
      </c>
      <c r="K2024" t="inlineStr">
        <is>
          <t>Smith, Richard J. (Richard Joseph), 1944-</t>
        </is>
      </c>
      <c r="L2024" t="inlineStr">
        <is>
          <t>Boulder, Colo. : Westview Press ; London : Francis Pinter, 1983.</t>
        </is>
      </c>
      <c r="M2024" t="inlineStr">
        <is>
          <t>1983</t>
        </is>
      </c>
      <c r="O2024" t="inlineStr">
        <is>
          <t>eng</t>
        </is>
      </c>
      <c r="P2024" t="inlineStr">
        <is>
          <t>cou</t>
        </is>
      </c>
      <c r="R2024" t="inlineStr">
        <is>
          <t xml:space="preserve">DS </t>
        </is>
      </c>
      <c r="S2024" t="n">
        <v>12</v>
      </c>
      <c r="T2024" t="n">
        <v>12</v>
      </c>
      <c r="U2024" t="inlineStr">
        <is>
          <t>2005-10-21</t>
        </is>
      </c>
      <c r="V2024" t="inlineStr">
        <is>
          <t>2005-10-21</t>
        </is>
      </c>
      <c r="W2024" t="inlineStr">
        <is>
          <t>1990-10-18</t>
        </is>
      </c>
      <c r="X2024" t="inlineStr">
        <is>
          <t>1990-10-18</t>
        </is>
      </c>
      <c r="Y2024" t="n">
        <v>563</v>
      </c>
      <c r="Z2024" t="n">
        <v>459</v>
      </c>
      <c r="AA2024" t="n">
        <v>605</v>
      </c>
      <c r="AB2024" t="n">
        <v>4</v>
      </c>
      <c r="AC2024" t="n">
        <v>4</v>
      </c>
      <c r="AD2024" t="n">
        <v>15</v>
      </c>
      <c r="AE2024" t="n">
        <v>24</v>
      </c>
      <c r="AF2024" t="n">
        <v>2</v>
      </c>
      <c r="AG2024" t="n">
        <v>6</v>
      </c>
      <c r="AH2024" t="n">
        <v>5</v>
      </c>
      <c r="AI2024" t="n">
        <v>8</v>
      </c>
      <c r="AJ2024" t="n">
        <v>7</v>
      </c>
      <c r="AK2024" t="n">
        <v>14</v>
      </c>
      <c r="AL2024" t="n">
        <v>3</v>
      </c>
      <c r="AM2024" t="n">
        <v>3</v>
      </c>
      <c r="AN2024" t="n">
        <v>0</v>
      </c>
      <c r="AO2024" t="n">
        <v>0</v>
      </c>
      <c r="AP2024" t="inlineStr">
        <is>
          <t>No</t>
        </is>
      </c>
      <c r="AQ2024" t="inlineStr">
        <is>
          <t>Yes</t>
        </is>
      </c>
      <c r="AR2024">
        <f>HYPERLINK("http://catalog.hathitrust.org/Record/000202540","HathiTrust Record")</f>
        <v/>
      </c>
      <c r="AS2024">
        <f>HYPERLINK("https://creighton-primo.hosted.exlibrisgroup.com/primo-explore/search?tab=default_tab&amp;search_scope=EVERYTHING&amp;vid=01CRU&amp;lang=en_US&amp;offset=0&amp;query=any,contains,991000231329702656","Catalog Record")</f>
        <v/>
      </c>
      <c r="AT2024">
        <f>HYPERLINK("http://www.worldcat.org/oclc/9643791","WorldCat Record")</f>
        <v/>
      </c>
      <c r="AU2024" t="inlineStr">
        <is>
          <t>2287485367:eng</t>
        </is>
      </c>
      <c r="AV2024" t="inlineStr">
        <is>
          <t>9643791</t>
        </is>
      </c>
      <c r="AW2024" t="inlineStr">
        <is>
          <t>991000231329702656</t>
        </is>
      </c>
      <c r="AX2024" t="inlineStr">
        <is>
          <t>991000231329702656</t>
        </is>
      </c>
      <c r="AY2024" t="inlineStr">
        <is>
          <t>2270235210002656</t>
        </is>
      </c>
      <c r="AZ2024" t="inlineStr">
        <is>
          <t>BOOK</t>
        </is>
      </c>
      <c r="BB2024" t="inlineStr">
        <is>
          <t>9780865316287</t>
        </is>
      </c>
      <c r="BC2024" t="inlineStr">
        <is>
          <t>32285000338557</t>
        </is>
      </c>
      <c r="BD2024" t="inlineStr">
        <is>
          <t>893784080</t>
        </is>
      </c>
    </row>
    <row r="2025">
      <c r="A2025" t="inlineStr">
        <is>
          <t>No</t>
        </is>
      </c>
      <c r="B2025" t="inlineStr">
        <is>
          <t>DS754.17 .K8413 2002</t>
        </is>
      </c>
      <c r="C2025" t="inlineStr">
        <is>
          <t>0                      DS 0754170K  8413        2002</t>
        </is>
      </c>
      <c r="D2025" t="inlineStr">
        <is>
          <t>Origins of the modern Chinese State / Philip A. Kuhn.</t>
        </is>
      </c>
      <c r="F2025" t="inlineStr">
        <is>
          <t>No</t>
        </is>
      </c>
      <c r="G2025" t="inlineStr">
        <is>
          <t>1</t>
        </is>
      </c>
      <c r="H2025" t="inlineStr">
        <is>
          <t>No</t>
        </is>
      </c>
      <c r="I2025" t="inlineStr">
        <is>
          <t>No</t>
        </is>
      </c>
      <c r="J2025" t="inlineStr">
        <is>
          <t>0</t>
        </is>
      </c>
      <c r="K2025" t="inlineStr">
        <is>
          <t>Kuhn, Philip A.</t>
        </is>
      </c>
      <c r="L2025" t="inlineStr">
        <is>
          <t>Stanford, Calif. : Stanford University Press, 2002.</t>
        </is>
      </c>
      <c r="M2025" t="inlineStr">
        <is>
          <t>2002</t>
        </is>
      </c>
      <c r="N2025" t="inlineStr">
        <is>
          <t>English ed.</t>
        </is>
      </c>
      <c r="O2025" t="inlineStr">
        <is>
          <t>eng</t>
        </is>
      </c>
      <c r="P2025" t="inlineStr">
        <is>
          <t>cau</t>
        </is>
      </c>
      <c r="R2025" t="inlineStr">
        <is>
          <t xml:space="preserve">DS </t>
        </is>
      </c>
      <c r="S2025" t="n">
        <v>5</v>
      </c>
      <c r="T2025" t="n">
        <v>5</v>
      </c>
      <c r="U2025" t="inlineStr">
        <is>
          <t>2006-04-18</t>
        </is>
      </c>
      <c r="V2025" t="inlineStr">
        <is>
          <t>2006-04-18</t>
        </is>
      </c>
      <c r="W2025" t="inlineStr">
        <is>
          <t>2002-07-10</t>
        </is>
      </c>
      <c r="X2025" t="inlineStr">
        <is>
          <t>2002-07-10</t>
        </is>
      </c>
      <c r="Y2025" t="n">
        <v>400</v>
      </c>
      <c r="Z2025" t="n">
        <v>318</v>
      </c>
      <c r="AA2025" t="n">
        <v>342</v>
      </c>
      <c r="AB2025" t="n">
        <v>3</v>
      </c>
      <c r="AC2025" t="n">
        <v>3</v>
      </c>
      <c r="AD2025" t="n">
        <v>24</v>
      </c>
      <c r="AE2025" t="n">
        <v>26</v>
      </c>
      <c r="AF2025" t="n">
        <v>8</v>
      </c>
      <c r="AG2025" t="n">
        <v>9</v>
      </c>
      <c r="AH2025" t="n">
        <v>7</v>
      </c>
      <c r="AI2025" t="n">
        <v>8</v>
      </c>
      <c r="AJ2025" t="n">
        <v>12</v>
      </c>
      <c r="AK2025" t="n">
        <v>13</v>
      </c>
      <c r="AL2025" t="n">
        <v>2</v>
      </c>
      <c r="AM2025" t="n">
        <v>2</v>
      </c>
      <c r="AN2025" t="n">
        <v>0</v>
      </c>
      <c r="AO2025" t="n">
        <v>0</v>
      </c>
      <c r="AP2025" t="inlineStr">
        <is>
          <t>No</t>
        </is>
      </c>
      <c r="AQ2025" t="inlineStr">
        <is>
          <t>No</t>
        </is>
      </c>
      <c r="AS2025">
        <f>HYPERLINK("https://creighton-primo.hosted.exlibrisgroup.com/primo-explore/search?tab=default_tab&amp;search_scope=EVERYTHING&amp;vid=01CRU&amp;lang=en_US&amp;offset=0&amp;query=any,contains,991003820739702656","Catalog Record")</f>
        <v/>
      </c>
      <c r="AT2025">
        <f>HYPERLINK("http://www.worldcat.org/oclc/48871121","WorldCat Record")</f>
        <v/>
      </c>
      <c r="AU2025" t="inlineStr">
        <is>
          <t>1809563132:eng</t>
        </is>
      </c>
      <c r="AV2025" t="inlineStr">
        <is>
          <t>48871121</t>
        </is>
      </c>
      <c r="AW2025" t="inlineStr">
        <is>
          <t>991003820739702656</t>
        </is>
      </c>
      <c r="AX2025" t="inlineStr">
        <is>
          <t>991003820739702656</t>
        </is>
      </c>
      <c r="AY2025" t="inlineStr">
        <is>
          <t>2255748620002656</t>
        </is>
      </c>
      <c r="AZ2025" t="inlineStr">
        <is>
          <t>BOOK</t>
        </is>
      </c>
      <c r="BB2025" t="inlineStr">
        <is>
          <t>9780804742832</t>
        </is>
      </c>
      <c r="BC2025" t="inlineStr">
        <is>
          <t>32285004497383</t>
        </is>
      </c>
      <c r="BD2025" t="inlineStr">
        <is>
          <t>893410737</t>
        </is>
      </c>
    </row>
    <row r="2026">
      <c r="A2026" t="inlineStr">
        <is>
          <t>No</t>
        </is>
      </c>
      <c r="B2026" t="inlineStr">
        <is>
          <t>DS754.18 .M36 1984</t>
        </is>
      </c>
      <c r="C2026" t="inlineStr">
        <is>
          <t>0                      DS 0754180M  36          1984</t>
        </is>
      </c>
      <c r="D2026" t="inlineStr">
        <is>
          <t>China at the center : 300 years of foreign policy / Mark Mancall.</t>
        </is>
      </c>
      <c r="F2026" t="inlineStr">
        <is>
          <t>No</t>
        </is>
      </c>
      <c r="G2026" t="inlineStr">
        <is>
          <t>1</t>
        </is>
      </c>
      <c r="H2026" t="inlineStr">
        <is>
          <t>No</t>
        </is>
      </c>
      <c r="I2026" t="inlineStr">
        <is>
          <t>No</t>
        </is>
      </c>
      <c r="J2026" t="inlineStr">
        <is>
          <t>0</t>
        </is>
      </c>
      <c r="K2026" t="inlineStr">
        <is>
          <t>Mancall, Mark.</t>
        </is>
      </c>
      <c r="L2026" t="inlineStr">
        <is>
          <t>New York : Free Press ; London : Collier Macmillan, c1984.</t>
        </is>
      </c>
      <c r="M2026" t="inlineStr">
        <is>
          <t>1984</t>
        </is>
      </c>
      <c r="O2026" t="inlineStr">
        <is>
          <t>eng</t>
        </is>
      </c>
      <c r="P2026" t="inlineStr">
        <is>
          <t>nyu</t>
        </is>
      </c>
      <c r="Q2026" t="inlineStr">
        <is>
          <t>The Transformation of modern China series</t>
        </is>
      </c>
      <c r="R2026" t="inlineStr">
        <is>
          <t xml:space="preserve">DS </t>
        </is>
      </c>
      <c r="S2026" t="n">
        <v>10</v>
      </c>
      <c r="T2026" t="n">
        <v>10</v>
      </c>
      <c r="U2026" t="inlineStr">
        <is>
          <t>2007-03-11</t>
        </is>
      </c>
      <c r="V2026" t="inlineStr">
        <is>
          <t>2007-03-11</t>
        </is>
      </c>
      <c r="W2026" t="inlineStr">
        <is>
          <t>1990-08-09</t>
        </is>
      </c>
      <c r="X2026" t="inlineStr">
        <is>
          <t>1990-08-09</t>
        </is>
      </c>
      <c r="Y2026" t="n">
        <v>738</v>
      </c>
      <c r="Z2026" t="n">
        <v>622</v>
      </c>
      <c r="AA2026" t="n">
        <v>628</v>
      </c>
      <c r="AB2026" t="n">
        <v>4</v>
      </c>
      <c r="AC2026" t="n">
        <v>4</v>
      </c>
      <c r="AD2026" t="n">
        <v>30</v>
      </c>
      <c r="AE2026" t="n">
        <v>30</v>
      </c>
      <c r="AF2026" t="n">
        <v>11</v>
      </c>
      <c r="AG2026" t="n">
        <v>11</v>
      </c>
      <c r="AH2026" t="n">
        <v>7</v>
      </c>
      <c r="AI2026" t="n">
        <v>7</v>
      </c>
      <c r="AJ2026" t="n">
        <v>16</v>
      </c>
      <c r="AK2026" t="n">
        <v>16</v>
      </c>
      <c r="AL2026" t="n">
        <v>3</v>
      </c>
      <c r="AM2026" t="n">
        <v>3</v>
      </c>
      <c r="AN2026" t="n">
        <v>0</v>
      </c>
      <c r="AO2026" t="n">
        <v>0</v>
      </c>
      <c r="AP2026" t="inlineStr">
        <is>
          <t>No</t>
        </is>
      </c>
      <c r="AQ2026" t="inlineStr">
        <is>
          <t>Yes</t>
        </is>
      </c>
      <c r="AR2026">
        <f>HYPERLINK("http://catalog.hathitrust.org/Record/000203839","HathiTrust Record")</f>
        <v/>
      </c>
      <c r="AS2026">
        <f>HYPERLINK("https://creighton-primo.hosted.exlibrisgroup.com/primo-explore/search?tab=default_tab&amp;search_scope=EVERYTHING&amp;vid=01CRU&amp;lang=en_US&amp;offset=0&amp;query=any,contains,991000215489702656","Catalog Record")</f>
        <v/>
      </c>
      <c r="AT2026">
        <f>HYPERLINK("http://www.worldcat.org/oclc/9557616","WorldCat Record")</f>
        <v/>
      </c>
      <c r="AU2026" t="inlineStr">
        <is>
          <t>795302666:eng</t>
        </is>
      </c>
      <c r="AV2026" t="inlineStr">
        <is>
          <t>9557616</t>
        </is>
      </c>
      <c r="AW2026" t="inlineStr">
        <is>
          <t>991000215489702656</t>
        </is>
      </c>
      <c r="AX2026" t="inlineStr">
        <is>
          <t>991000215489702656</t>
        </is>
      </c>
      <c r="AY2026" t="inlineStr">
        <is>
          <t>2266898770002656</t>
        </is>
      </c>
      <c r="AZ2026" t="inlineStr">
        <is>
          <t>BOOK</t>
        </is>
      </c>
      <c r="BB2026" t="inlineStr">
        <is>
          <t>9780029198100</t>
        </is>
      </c>
      <c r="BC2026" t="inlineStr">
        <is>
          <t>32285000272723</t>
        </is>
      </c>
      <c r="BD2026" t="inlineStr">
        <is>
          <t>893515112</t>
        </is>
      </c>
    </row>
    <row r="2027">
      <c r="A2027" t="inlineStr">
        <is>
          <t>No</t>
        </is>
      </c>
      <c r="B2027" t="inlineStr">
        <is>
          <t>DS754.4.C53 A33 1974</t>
        </is>
      </c>
      <c r="C2027" t="inlineStr">
        <is>
          <t>0                      DS 0754400C  53                 A  33          1974</t>
        </is>
      </c>
      <c r="D2027" t="inlineStr">
        <is>
          <t>Emperor of China; self portrait of Kʻang Hsi, by Jonathan D. Spence.</t>
        </is>
      </c>
      <c r="F2027" t="inlineStr">
        <is>
          <t>No</t>
        </is>
      </c>
      <c r="G2027" t="inlineStr">
        <is>
          <t>1</t>
        </is>
      </c>
      <c r="H2027" t="inlineStr">
        <is>
          <t>No</t>
        </is>
      </c>
      <c r="I2027" t="inlineStr">
        <is>
          <t>No</t>
        </is>
      </c>
      <c r="J2027" t="inlineStr">
        <is>
          <t>0</t>
        </is>
      </c>
      <c r="K2027" t="inlineStr">
        <is>
          <t>Kangxi, Emperor of China, 1654-1722.</t>
        </is>
      </c>
      <c r="L2027" t="inlineStr">
        <is>
          <t>New York, Knopf; [distributed by Random House] 1974.</t>
        </is>
      </c>
      <c r="M2027" t="inlineStr">
        <is>
          <t>1974</t>
        </is>
      </c>
      <c r="N2027" t="inlineStr">
        <is>
          <t>[1st ed.]</t>
        </is>
      </c>
      <c r="O2027" t="inlineStr">
        <is>
          <t>eng</t>
        </is>
      </c>
      <c r="P2027" t="inlineStr">
        <is>
          <t>nyu</t>
        </is>
      </c>
      <c r="R2027" t="inlineStr">
        <is>
          <t xml:space="preserve">DS </t>
        </is>
      </c>
      <c r="S2027" t="n">
        <v>11</v>
      </c>
      <c r="T2027" t="n">
        <v>11</v>
      </c>
      <c r="U2027" t="inlineStr">
        <is>
          <t>2007-12-04</t>
        </is>
      </c>
      <c r="V2027" t="inlineStr">
        <is>
          <t>2007-12-04</t>
        </is>
      </c>
      <c r="W2027" t="inlineStr">
        <is>
          <t>1997-03-13</t>
        </is>
      </c>
      <c r="X2027" t="inlineStr">
        <is>
          <t>1997-03-13</t>
        </is>
      </c>
      <c r="Y2027" t="n">
        <v>931</v>
      </c>
      <c r="Z2027" t="n">
        <v>866</v>
      </c>
      <c r="AA2027" t="n">
        <v>1299</v>
      </c>
      <c r="AB2027" t="n">
        <v>8</v>
      </c>
      <c r="AC2027" t="n">
        <v>12</v>
      </c>
      <c r="AD2027" t="n">
        <v>26</v>
      </c>
      <c r="AE2027" t="n">
        <v>41</v>
      </c>
      <c r="AF2027" t="n">
        <v>11</v>
      </c>
      <c r="AG2027" t="n">
        <v>16</v>
      </c>
      <c r="AH2027" t="n">
        <v>7</v>
      </c>
      <c r="AI2027" t="n">
        <v>9</v>
      </c>
      <c r="AJ2027" t="n">
        <v>13</v>
      </c>
      <c r="AK2027" t="n">
        <v>20</v>
      </c>
      <c r="AL2027" t="n">
        <v>3</v>
      </c>
      <c r="AM2027" t="n">
        <v>7</v>
      </c>
      <c r="AN2027" t="n">
        <v>0</v>
      </c>
      <c r="AO2027" t="n">
        <v>1</v>
      </c>
      <c r="AP2027" t="inlineStr">
        <is>
          <t>No</t>
        </is>
      </c>
      <c r="AQ2027" t="inlineStr">
        <is>
          <t>Yes</t>
        </is>
      </c>
      <c r="AR2027">
        <f>HYPERLINK("http://catalog.hathitrust.org/Record/001267518","HathiTrust Record")</f>
        <v/>
      </c>
      <c r="AS2027">
        <f>HYPERLINK("https://creighton-primo.hosted.exlibrisgroup.com/primo-explore/search?tab=default_tab&amp;search_scope=EVERYTHING&amp;vid=01CRU&amp;lang=en_US&amp;offset=0&amp;query=any,contains,991003282869702656","Catalog Record")</f>
        <v/>
      </c>
      <c r="AT2027">
        <f>HYPERLINK("http://www.worldcat.org/oclc/805015","WorldCat Record")</f>
        <v/>
      </c>
      <c r="AU2027" t="inlineStr">
        <is>
          <t>462403:eng</t>
        </is>
      </c>
      <c r="AV2027" t="inlineStr">
        <is>
          <t>805015</t>
        </is>
      </c>
      <c r="AW2027" t="inlineStr">
        <is>
          <t>991003282869702656</t>
        </is>
      </c>
      <c r="AX2027" t="inlineStr">
        <is>
          <t>991003282869702656</t>
        </is>
      </c>
      <c r="AY2027" t="inlineStr">
        <is>
          <t>2265405710002656</t>
        </is>
      </c>
      <c r="AZ2027" t="inlineStr">
        <is>
          <t>BOOK</t>
        </is>
      </c>
      <c r="BB2027" t="inlineStr">
        <is>
          <t>9780394488356</t>
        </is>
      </c>
      <c r="BC2027" t="inlineStr">
        <is>
          <t>32285002447281</t>
        </is>
      </c>
      <c r="BD2027" t="inlineStr">
        <is>
          <t>893317838</t>
        </is>
      </c>
    </row>
    <row r="2028">
      <c r="A2028" t="inlineStr">
        <is>
          <t>No</t>
        </is>
      </c>
      <c r="B2028" t="inlineStr">
        <is>
          <t>DS754.4.C53 K47</t>
        </is>
      </c>
      <c r="C2028" t="inlineStr">
        <is>
          <t>0                      DS 0754400C  53                 K  47</t>
        </is>
      </c>
      <c r="D2028" t="inlineStr">
        <is>
          <t>Kʻang-hsi and the consolidation of Chʻing rule, 1661-1684 / Lawrence D. Kessler.</t>
        </is>
      </c>
      <c r="F2028" t="inlineStr">
        <is>
          <t>No</t>
        </is>
      </c>
      <c r="G2028" t="inlineStr">
        <is>
          <t>1</t>
        </is>
      </c>
      <c r="H2028" t="inlineStr">
        <is>
          <t>No</t>
        </is>
      </c>
      <c r="I2028" t="inlineStr">
        <is>
          <t>No</t>
        </is>
      </c>
      <c r="J2028" t="inlineStr">
        <is>
          <t>0</t>
        </is>
      </c>
      <c r="K2028" t="inlineStr">
        <is>
          <t>Kessler, Lawrence D.</t>
        </is>
      </c>
      <c r="L2028" t="inlineStr">
        <is>
          <t>Chicago : University of Chicago Press, 1976.</t>
        </is>
      </c>
      <c r="M2028" t="inlineStr">
        <is>
          <t>1976</t>
        </is>
      </c>
      <c r="O2028" t="inlineStr">
        <is>
          <t>eng</t>
        </is>
      </c>
      <c r="P2028" t="inlineStr">
        <is>
          <t>ilu</t>
        </is>
      </c>
      <c r="R2028" t="inlineStr">
        <is>
          <t xml:space="preserve">DS </t>
        </is>
      </c>
      <c r="S2028" t="n">
        <v>2</v>
      </c>
      <c r="T2028" t="n">
        <v>2</v>
      </c>
      <c r="U2028" t="inlineStr">
        <is>
          <t>1995-03-16</t>
        </is>
      </c>
      <c r="V2028" t="inlineStr">
        <is>
          <t>1995-03-16</t>
        </is>
      </c>
      <c r="W2028" t="inlineStr">
        <is>
          <t>1990-10-18</t>
        </is>
      </c>
      <c r="X2028" t="inlineStr">
        <is>
          <t>1990-10-18</t>
        </is>
      </c>
      <c r="Y2028" t="n">
        <v>463</v>
      </c>
      <c r="Z2028" t="n">
        <v>374</v>
      </c>
      <c r="AA2028" t="n">
        <v>379</v>
      </c>
      <c r="AB2028" t="n">
        <v>3</v>
      </c>
      <c r="AC2028" t="n">
        <v>3</v>
      </c>
      <c r="AD2028" t="n">
        <v>17</v>
      </c>
      <c r="AE2028" t="n">
        <v>17</v>
      </c>
      <c r="AF2028" t="n">
        <v>4</v>
      </c>
      <c r="AG2028" t="n">
        <v>4</v>
      </c>
      <c r="AH2028" t="n">
        <v>3</v>
      </c>
      <c r="AI2028" t="n">
        <v>3</v>
      </c>
      <c r="AJ2028" t="n">
        <v>10</v>
      </c>
      <c r="AK2028" t="n">
        <v>10</v>
      </c>
      <c r="AL2028" t="n">
        <v>2</v>
      </c>
      <c r="AM2028" t="n">
        <v>2</v>
      </c>
      <c r="AN2028" t="n">
        <v>1</v>
      </c>
      <c r="AO2028" t="n">
        <v>1</v>
      </c>
      <c r="AP2028" t="inlineStr">
        <is>
          <t>No</t>
        </is>
      </c>
      <c r="AQ2028" t="inlineStr">
        <is>
          <t>No</t>
        </is>
      </c>
      <c r="AS2028">
        <f>HYPERLINK("https://creighton-primo.hosted.exlibrisgroup.com/primo-explore/search?tab=default_tab&amp;search_scope=EVERYTHING&amp;vid=01CRU&amp;lang=en_US&amp;offset=0&amp;query=any,contains,991003980869702656","Catalog Record")</f>
        <v/>
      </c>
      <c r="AT2028">
        <f>HYPERLINK("http://www.worldcat.org/oclc/2020026","WorldCat Record")</f>
        <v/>
      </c>
      <c r="AU2028" t="inlineStr">
        <is>
          <t>418658:eng</t>
        </is>
      </c>
      <c r="AV2028" t="inlineStr">
        <is>
          <t>2020026</t>
        </is>
      </c>
      <c r="AW2028" t="inlineStr">
        <is>
          <t>991003980869702656</t>
        </is>
      </c>
      <c r="AX2028" t="inlineStr">
        <is>
          <t>991003980869702656</t>
        </is>
      </c>
      <c r="AY2028" t="inlineStr">
        <is>
          <t>2271699990002656</t>
        </is>
      </c>
      <c r="AZ2028" t="inlineStr">
        <is>
          <t>BOOK</t>
        </is>
      </c>
      <c r="BB2028" t="inlineStr">
        <is>
          <t>9780226432038</t>
        </is>
      </c>
      <c r="BC2028" t="inlineStr">
        <is>
          <t>32285000338565</t>
        </is>
      </c>
      <c r="BD2028" t="inlineStr">
        <is>
          <t>893331064</t>
        </is>
      </c>
    </row>
    <row r="2029">
      <c r="A2029" t="inlineStr">
        <is>
          <t>No</t>
        </is>
      </c>
      <c r="B2029" t="inlineStr">
        <is>
          <t>DS754.4.T72 S66</t>
        </is>
      </c>
      <c r="C2029" t="inlineStr">
        <is>
          <t>0                      DS 0754400T  72                 S  66</t>
        </is>
      </c>
      <c r="D2029" t="inlineStr">
        <is>
          <t>Tsʻao Yin and the Kʻang-hsi Emperor; bondservant and master, by Jonathan D. Spence.</t>
        </is>
      </c>
      <c r="F2029" t="inlineStr">
        <is>
          <t>No</t>
        </is>
      </c>
      <c r="G2029" t="inlineStr">
        <is>
          <t>1</t>
        </is>
      </c>
      <c r="H2029" t="inlineStr">
        <is>
          <t>No</t>
        </is>
      </c>
      <c r="I2029" t="inlineStr">
        <is>
          <t>No</t>
        </is>
      </c>
      <c r="J2029" t="inlineStr">
        <is>
          <t>0</t>
        </is>
      </c>
      <c r="K2029" t="inlineStr">
        <is>
          <t>Spence, Jonathan D.</t>
        </is>
      </c>
      <c r="L2029" t="inlineStr">
        <is>
          <t>New Haven, Yale University Press, 1966.</t>
        </is>
      </c>
      <c r="M2029" t="inlineStr">
        <is>
          <t>1966</t>
        </is>
      </c>
      <c r="O2029" t="inlineStr">
        <is>
          <t>eng</t>
        </is>
      </c>
      <c r="P2029" t="inlineStr">
        <is>
          <t>ctu</t>
        </is>
      </c>
      <c r="Q2029" t="inlineStr">
        <is>
          <t>Yale historical publications. Miscellany ; 85</t>
        </is>
      </c>
      <c r="R2029" t="inlineStr">
        <is>
          <t xml:space="preserve">DS </t>
        </is>
      </c>
      <c r="S2029" t="n">
        <v>1</v>
      </c>
      <c r="T2029" t="n">
        <v>1</v>
      </c>
      <c r="U2029" t="inlineStr">
        <is>
          <t>2005-09-30</t>
        </is>
      </c>
      <c r="V2029" t="inlineStr">
        <is>
          <t>2005-09-30</t>
        </is>
      </c>
      <c r="W2029" t="inlineStr">
        <is>
          <t>1997-03-13</t>
        </is>
      </c>
      <c r="X2029" t="inlineStr">
        <is>
          <t>1997-03-13</t>
        </is>
      </c>
      <c r="Y2029" t="n">
        <v>596</v>
      </c>
      <c r="Z2029" t="n">
        <v>507</v>
      </c>
      <c r="AA2029" t="n">
        <v>621</v>
      </c>
      <c r="AB2029" t="n">
        <v>4</v>
      </c>
      <c r="AC2029" t="n">
        <v>5</v>
      </c>
      <c r="AD2029" t="n">
        <v>27</v>
      </c>
      <c r="AE2029" t="n">
        <v>34</v>
      </c>
      <c r="AF2029" t="n">
        <v>8</v>
      </c>
      <c r="AG2029" t="n">
        <v>12</v>
      </c>
      <c r="AH2029" t="n">
        <v>7</v>
      </c>
      <c r="AI2029" t="n">
        <v>10</v>
      </c>
      <c r="AJ2029" t="n">
        <v>14</v>
      </c>
      <c r="AK2029" t="n">
        <v>16</v>
      </c>
      <c r="AL2029" t="n">
        <v>3</v>
      </c>
      <c r="AM2029" t="n">
        <v>4</v>
      </c>
      <c r="AN2029" t="n">
        <v>1</v>
      </c>
      <c r="AO2029" t="n">
        <v>1</v>
      </c>
      <c r="AP2029" t="inlineStr">
        <is>
          <t>No</t>
        </is>
      </c>
      <c r="AQ2029" t="inlineStr">
        <is>
          <t>Yes</t>
        </is>
      </c>
      <c r="AR2029">
        <f>HYPERLINK("http://catalog.hathitrust.org/Record/001871745","HathiTrust Record")</f>
        <v/>
      </c>
      <c r="AS2029">
        <f>HYPERLINK("https://creighton-primo.hosted.exlibrisgroup.com/primo-explore/search?tab=default_tab&amp;search_scope=EVERYTHING&amp;vid=01CRU&amp;lang=en_US&amp;offset=0&amp;query=any,contains,991002721939702656","Catalog Record")</f>
        <v/>
      </c>
      <c r="AT2029">
        <f>HYPERLINK("http://www.worldcat.org/oclc/412869","WorldCat Record")</f>
        <v/>
      </c>
      <c r="AU2029" t="inlineStr">
        <is>
          <t>53968801:eng</t>
        </is>
      </c>
      <c r="AV2029" t="inlineStr">
        <is>
          <t>412869</t>
        </is>
      </c>
      <c r="AW2029" t="inlineStr">
        <is>
          <t>991002721939702656</t>
        </is>
      </c>
      <c r="AX2029" t="inlineStr">
        <is>
          <t>991002721939702656</t>
        </is>
      </c>
      <c r="AY2029" t="inlineStr">
        <is>
          <t>2264500000002656</t>
        </is>
      </c>
      <c r="AZ2029" t="inlineStr">
        <is>
          <t>BOOK</t>
        </is>
      </c>
      <c r="BC2029" t="inlineStr">
        <is>
          <t>32285002447299</t>
        </is>
      </c>
      <c r="BD2029" t="inlineStr">
        <is>
          <t>893504741</t>
        </is>
      </c>
    </row>
    <row r="2030">
      <c r="A2030" t="inlineStr">
        <is>
          <t>No</t>
        </is>
      </c>
      <c r="B2030" t="inlineStr">
        <is>
          <t>DS755 .C63 1984</t>
        </is>
      </c>
      <c r="C2030" t="inlineStr">
        <is>
          <t>0                      DS 0755000C  63          1984</t>
        </is>
      </c>
      <c r="D2030" t="inlineStr">
        <is>
          <t>Discovering history in China : American historical writing on the recent Chinese past / Paul A. Cohen.</t>
        </is>
      </c>
      <c r="F2030" t="inlineStr">
        <is>
          <t>No</t>
        </is>
      </c>
      <c r="G2030" t="inlineStr">
        <is>
          <t>1</t>
        </is>
      </c>
      <c r="H2030" t="inlineStr">
        <is>
          <t>No</t>
        </is>
      </c>
      <c r="I2030" t="inlineStr">
        <is>
          <t>No</t>
        </is>
      </c>
      <c r="J2030" t="inlineStr">
        <is>
          <t>0</t>
        </is>
      </c>
      <c r="K2030" t="inlineStr">
        <is>
          <t>Cohen, Paul A.</t>
        </is>
      </c>
      <c r="L2030" t="inlineStr">
        <is>
          <t>New York : Columbia University Press, 1984.</t>
        </is>
      </c>
      <c r="M2030" t="inlineStr">
        <is>
          <t>1984</t>
        </is>
      </c>
      <c r="O2030" t="inlineStr">
        <is>
          <t>eng</t>
        </is>
      </c>
      <c r="P2030" t="inlineStr">
        <is>
          <t>nyu</t>
        </is>
      </c>
      <c r="Q2030" t="inlineStr">
        <is>
          <t>Studies of the East Asian Institute</t>
        </is>
      </c>
      <c r="R2030" t="inlineStr">
        <is>
          <t xml:space="preserve">DS </t>
        </is>
      </c>
      <c r="S2030" t="n">
        <v>6</v>
      </c>
      <c r="T2030" t="n">
        <v>6</v>
      </c>
      <c r="U2030" t="inlineStr">
        <is>
          <t>2005-12-08</t>
        </is>
      </c>
      <c r="V2030" t="inlineStr">
        <is>
          <t>2005-12-08</t>
        </is>
      </c>
      <c r="W2030" t="inlineStr">
        <is>
          <t>1993-11-29</t>
        </is>
      </c>
      <c r="X2030" t="inlineStr">
        <is>
          <t>1993-11-29</t>
        </is>
      </c>
      <c r="Y2030" t="n">
        <v>680</v>
      </c>
      <c r="Z2030" t="n">
        <v>554</v>
      </c>
      <c r="AA2030" t="n">
        <v>695</v>
      </c>
      <c r="AB2030" t="n">
        <v>4</v>
      </c>
      <c r="AC2030" t="n">
        <v>5</v>
      </c>
      <c r="AD2030" t="n">
        <v>27</v>
      </c>
      <c r="AE2030" t="n">
        <v>36</v>
      </c>
      <c r="AF2030" t="n">
        <v>12</v>
      </c>
      <c r="AG2030" t="n">
        <v>17</v>
      </c>
      <c r="AH2030" t="n">
        <v>8</v>
      </c>
      <c r="AI2030" t="n">
        <v>10</v>
      </c>
      <c r="AJ2030" t="n">
        <v>14</v>
      </c>
      <c r="AK2030" t="n">
        <v>16</v>
      </c>
      <c r="AL2030" t="n">
        <v>3</v>
      </c>
      <c r="AM2030" t="n">
        <v>4</v>
      </c>
      <c r="AN2030" t="n">
        <v>0</v>
      </c>
      <c r="AO2030" t="n">
        <v>0</v>
      </c>
      <c r="AP2030" t="inlineStr">
        <is>
          <t>No</t>
        </is>
      </c>
      <c r="AQ2030" t="inlineStr">
        <is>
          <t>No</t>
        </is>
      </c>
      <c r="AS2030">
        <f>HYPERLINK("https://creighton-primo.hosted.exlibrisgroup.com/primo-explore/search?tab=default_tab&amp;search_scope=EVERYTHING&amp;vid=01CRU&amp;lang=en_US&amp;offset=0&amp;query=any,contains,991000292819702656","Catalog Record")</f>
        <v/>
      </c>
      <c r="AT2030">
        <f>HYPERLINK("http://www.worldcat.org/oclc/9970587","WorldCat Record")</f>
        <v/>
      </c>
      <c r="AU2030" t="inlineStr">
        <is>
          <t>9677535:eng</t>
        </is>
      </c>
      <c r="AV2030" t="inlineStr">
        <is>
          <t>9970587</t>
        </is>
      </c>
      <c r="AW2030" t="inlineStr">
        <is>
          <t>991000292819702656</t>
        </is>
      </c>
      <c r="AX2030" t="inlineStr">
        <is>
          <t>991000292819702656</t>
        </is>
      </c>
      <c r="AY2030" t="inlineStr">
        <is>
          <t>2254725350002656</t>
        </is>
      </c>
      <c r="AZ2030" t="inlineStr">
        <is>
          <t>BOOK</t>
        </is>
      </c>
      <c r="BB2030" t="inlineStr">
        <is>
          <t>9780231058100</t>
        </is>
      </c>
      <c r="BC2030" t="inlineStr">
        <is>
          <t>32285001813509</t>
        </is>
      </c>
      <c r="BD2030" t="inlineStr">
        <is>
          <t>893896762</t>
        </is>
      </c>
    </row>
    <row r="2031">
      <c r="A2031" t="inlineStr">
        <is>
          <t>No</t>
        </is>
      </c>
      <c r="B2031" t="inlineStr">
        <is>
          <t>DS755 .W72</t>
        </is>
      </c>
      <c r="C2031" t="inlineStr">
        <is>
          <t>0                      DS 0755000W  72</t>
        </is>
      </c>
      <c r="D2031" t="inlineStr">
        <is>
          <t>A history of China : being the historical chapters from "The Middle kingdom" / by the late S. Wells Williams. With a concluding chapter narrating recent events, by Frederick Wells Williams.</t>
        </is>
      </c>
      <c r="F2031" t="inlineStr">
        <is>
          <t>No</t>
        </is>
      </c>
      <c r="G2031" t="inlineStr">
        <is>
          <t>1</t>
        </is>
      </c>
      <c r="H2031" t="inlineStr">
        <is>
          <t>No</t>
        </is>
      </c>
      <c r="I2031" t="inlineStr">
        <is>
          <t>No</t>
        </is>
      </c>
      <c r="J2031" t="inlineStr">
        <is>
          <t>0</t>
        </is>
      </c>
      <c r="K2031" t="inlineStr">
        <is>
          <t>Williams, S. Wells (Samuel Wells), 1812-1884.</t>
        </is>
      </c>
      <c r="L2031" t="inlineStr">
        <is>
          <t>New York : C. Scribner's sons, 1897.</t>
        </is>
      </c>
      <c r="M2031" t="inlineStr">
        <is>
          <t>1897</t>
        </is>
      </c>
      <c r="O2031" t="inlineStr">
        <is>
          <t>eng</t>
        </is>
      </c>
      <c r="P2031" t="inlineStr">
        <is>
          <t xml:space="preserve">xx </t>
        </is>
      </c>
      <c r="R2031" t="inlineStr">
        <is>
          <t xml:space="preserve">DS </t>
        </is>
      </c>
      <c r="S2031" t="n">
        <v>9</v>
      </c>
      <c r="T2031" t="n">
        <v>9</v>
      </c>
      <c r="U2031" t="inlineStr">
        <is>
          <t>2001-10-30</t>
        </is>
      </c>
      <c r="V2031" t="inlineStr">
        <is>
          <t>2001-10-30</t>
        </is>
      </c>
      <c r="W2031" t="inlineStr">
        <is>
          <t>1993-04-23</t>
        </is>
      </c>
      <c r="X2031" t="inlineStr">
        <is>
          <t>1993-04-23</t>
        </is>
      </c>
      <c r="Y2031" t="n">
        <v>107</v>
      </c>
      <c r="Z2031" t="n">
        <v>93</v>
      </c>
      <c r="AA2031" t="n">
        <v>150</v>
      </c>
      <c r="AB2031" t="n">
        <v>1</v>
      </c>
      <c r="AC2031" t="n">
        <v>1</v>
      </c>
      <c r="AD2031" t="n">
        <v>2</v>
      </c>
      <c r="AE2031" t="n">
        <v>2</v>
      </c>
      <c r="AF2031" t="n">
        <v>2</v>
      </c>
      <c r="AG2031" t="n">
        <v>2</v>
      </c>
      <c r="AH2031" t="n">
        <v>0</v>
      </c>
      <c r="AI2031" t="n">
        <v>0</v>
      </c>
      <c r="AJ2031" t="n">
        <v>1</v>
      </c>
      <c r="AK2031" t="n">
        <v>1</v>
      </c>
      <c r="AL2031" t="n">
        <v>0</v>
      </c>
      <c r="AM2031" t="n">
        <v>0</v>
      </c>
      <c r="AN2031" t="n">
        <v>0</v>
      </c>
      <c r="AO2031" t="n">
        <v>0</v>
      </c>
      <c r="AP2031" t="inlineStr">
        <is>
          <t>Yes</t>
        </is>
      </c>
      <c r="AQ2031" t="inlineStr">
        <is>
          <t>No</t>
        </is>
      </c>
      <c r="AR2031">
        <f>HYPERLINK("http://catalog.hathitrust.org/Record/004749983","HathiTrust Record")</f>
        <v/>
      </c>
      <c r="AS2031">
        <f>HYPERLINK("https://creighton-primo.hosted.exlibrisgroup.com/primo-explore/search?tab=default_tab&amp;search_scope=EVERYTHING&amp;vid=01CRU&amp;lang=en_US&amp;offset=0&amp;query=any,contains,991003799979702656","Catalog Record")</f>
        <v/>
      </c>
      <c r="AT2031">
        <f>HYPERLINK("http://www.worldcat.org/oclc/1526532","WorldCat Record")</f>
        <v/>
      </c>
      <c r="AU2031" t="inlineStr">
        <is>
          <t>2379046:eng</t>
        </is>
      </c>
      <c r="AV2031" t="inlineStr">
        <is>
          <t>1526532</t>
        </is>
      </c>
      <c r="AW2031" t="inlineStr">
        <is>
          <t>991003799979702656</t>
        </is>
      </c>
      <c r="AX2031" t="inlineStr">
        <is>
          <t>991003799979702656</t>
        </is>
      </c>
      <c r="AY2031" t="inlineStr">
        <is>
          <t>2258870740002656</t>
        </is>
      </c>
      <c r="AZ2031" t="inlineStr">
        <is>
          <t>BOOK</t>
        </is>
      </c>
      <c r="BC2031" t="inlineStr">
        <is>
          <t>32285001623437</t>
        </is>
      </c>
      <c r="BD2031" t="inlineStr">
        <is>
          <t>893531603</t>
        </is>
      </c>
    </row>
    <row r="2032">
      <c r="A2032" t="inlineStr">
        <is>
          <t>No</t>
        </is>
      </c>
      <c r="B2032" t="inlineStr">
        <is>
          <t>DS755.2 .M63 1998</t>
        </is>
      </c>
      <c r="C2032" t="inlineStr">
        <is>
          <t>0                      DS 0755200M  63          1998</t>
        </is>
      </c>
      <c r="D2032" t="inlineStr">
        <is>
          <t>Modern China : an encyclopedia of history, culture, and nationalism / editor Wang Ke-wen.</t>
        </is>
      </c>
      <c r="F2032" t="inlineStr">
        <is>
          <t>No</t>
        </is>
      </c>
      <c r="G2032" t="inlineStr">
        <is>
          <t>1</t>
        </is>
      </c>
      <c r="H2032" t="inlineStr">
        <is>
          <t>No</t>
        </is>
      </c>
      <c r="I2032" t="inlineStr">
        <is>
          <t>No</t>
        </is>
      </c>
      <c r="J2032" t="inlineStr">
        <is>
          <t>0</t>
        </is>
      </c>
      <c r="L2032" t="inlineStr">
        <is>
          <t>New York : Garland Pub., 1998.</t>
        </is>
      </c>
      <c r="M2032" t="inlineStr">
        <is>
          <t>1998</t>
        </is>
      </c>
      <c r="O2032" t="inlineStr">
        <is>
          <t>eng</t>
        </is>
      </c>
      <c r="P2032" t="inlineStr">
        <is>
          <t>nyu</t>
        </is>
      </c>
      <c r="Q2032" t="inlineStr">
        <is>
          <t>Garland reference library of the humanities ; v. 1519</t>
        </is>
      </c>
      <c r="R2032" t="inlineStr">
        <is>
          <t xml:space="preserve">DS </t>
        </is>
      </c>
      <c r="S2032" t="n">
        <v>6</v>
      </c>
      <c r="T2032" t="n">
        <v>6</v>
      </c>
      <c r="U2032" t="inlineStr">
        <is>
          <t>2007-02-27</t>
        </is>
      </c>
      <c r="V2032" t="inlineStr">
        <is>
          <t>2007-02-27</t>
        </is>
      </c>
      <c r="W2032" t="inlineStr">
        <is>
          <t>2000-01-31</t>
        </is>
      </c>
      <c r="X2032" t="inlineStr">
        <is>
          <t>2000-01-31</t>
        </is>
      </c>
      <c r="Y2032" t="n">
        <v>911</v>
      </c>
      <c r="Z2032" t="n">
        <v>790</v>
      </c>
      <c r="AA2032" t="n">
        <v>1707</v>
      </c>
      <c r="AB2032" t="n">
        <v>10</v>
      </c>
      <c r="AC2032" t="n">
        <v>17</v>
      </c>
      <c r="AD2032" t="n">
        <v>34</v>
      </c>
      <c r="AE2032" t="n">
        <v>47</v>
      </c>
      <c r="AF2032" t="n">
        <v>13</v>
      </c>
      <c r="AG2032" t="n">
        <v>17</v>
      </c>
      <c r="AH2032" t="n">
        <v>7</v>
      </c>
      <c r="AI2032" t="n">
        <v>8</v>
      </c>
      <c r="AJ2032" t="n">
        <v>10</v>
      </c>
      <c r="AK2032" t="n">
        <v>15</v>
      </c>
      <c r="AL2032" t="n">
        <v>9</v>
      </c>
      <c r="AM2032" t="n">
        <v>15</v>
      </c>
      <c r="AN2032" t="n">
        <v>0</v>
      </c>
      <c r="AO2032" t="n">
        <v>0</v>
      </c>
      <c r="AP2032" t="inlineStr">
        <is>
          <t>No</t>
        </is>
      </c>
      <c r="AQ2032" t="inlineStr">
        <is>
          <t>No</t>
        </is>
      </c>
      <c r="AS2032">
        <f>HYPERLINK("https://creighton-primo.hosted.exlibrisgroup.com/primo-explore/search?tab=default_tab&amp;search_scope=EVERYTHING&amp;vid=01CRU&amp;lang=en_US&amp;offset=0&amp;query=any,contains,991002801119702656","Catalog Record")</f>
        <v/>
      </c>
      <c r="AT2032">
        <f>HYPERLINK("http://www.worldcat.org/oclc/36798358","WorldCat Record")</f>
        <v/>
      </c>
      <c r="AU2032" t="inlineStr">
        <is>
          <t>799903320:eng</t>
        </is>
      </c>
      <c r="AV2032" t="inlineStr">
        <is>
          <t>36798358</t>
        </is>
      </c>
      <c r="AW2032" t="inlineStr">
        <is>
          <t>991002801119702656</t>
        </is>
      </c>
      <c r="AX2032" t="inlineStr">
        <is>
          <t>991002801119702656</t>
        </is>
      </c>
      <c r="AY2032" t="inlineStr">
        <is>
          <t>2257054080002656</t>
        </is>
      </c>
      <c r="AZ2032" t="inlineStr">
        <is>
          <t>BOOK</t>
        </is>
      </c>
      <c r="BB2032" t="inlineStr">
        <is>
          <t>9780815307204</t>
        </is>
      </c>
      <c r="BC2032" t="inlineStr">
        <is>
          <t>32285003656922</t>
        </is>
      </c>
      <c r="BD2032" t="inlineStr">
        <is>
          <t>893335729</t>
        </is>
      </c>
    </row>
    <row r="2033">
      <c r="A2033" t="inlineStr">
        <is>
          <t>No</t>
        </is>
      </c>
      <c r="B2033" t="inlineStr">
        <is>
          <t>DS755.2 .Z463 2004</t>
        </is>
      </c>
      <c r="C2033" t="inlineStr">
        <is>
          <t>0                      DS 0755200Z  463         2004</t>
        </is>
      </c>
      <c r="D2033" t="inlineStr">
        <is>
          <t>A nation-state by construction : dynamics of modern Chinese nationalism / Suisheng Zhao.</t>
        </is>
      </c>
      <c r="F2033" t="inlineStr">
        <is>
          <t>No</t>
        </is>
      </c>
      <c r="G2033" t="inlineStr">
        <is>
          <t>1</t>
        </is>
      </c>
      <c r="H2033" t="inlineStr">
        <is>
          <t>No</t>
        </is>
      </c>
      <c r="I2033" t="inlineStr">
        <is>
          <t>No</t>
        </is>
      </c>
      <c r="J2033" t="inlineStr">
        <is>
          <t>0</t>
        </is>
      </c>
      <c r="K2033" t="inlineStr">
        <is>
          <t>Zhao, Suisheng.</t>
        </is>
      </c>
      <c r="L2033" t="inlineStr">
        <is>
          <t>Stanford, Calif. : Stanford University Press, 2004.</t>
        </is>
      </c>
      <c r="M2033" t="inlineStr">
        <is>
          <t>2004</t>
        </is>
      </c>
      <c r="O2033" t="inlineStr">
        <is>
          <t>eng</t>
        </is>
      </c>
      <c r="P2033" t="inlineStr">
        <is>
          <t>cau</t>
        </is>
      </c>
      <c r="R2033" t="inlineStr">
        <is>
          <t xml:space="preserve">DS </t>
        </is>
      </c>
      <c r="S2033" t="n">
        <v>5</v>
      </c>
      <c r="T2033" t="n">
        <v>5</v>
      </c>
      <c r="U2033" t="inlineStr">
        <is>
          <t>2006-04-19</t>
        </is>
      </c>
      <c r="V2033" t="inlineStr">
        <is>
          <t>2006-04-19</t>
        </is>
      </c>
      <c r="W2033" t="inlineStr">
        <is>
          <t>2005-10-04</t>
        </is>
      </c>
      <c r="X2033" t="inlineStr">
        <is>
          <t>2005-10-04</t>
        </is>
      </c>
      <c r="Y2033" t="n">
        <v>451</v>
      </c>
      <c r="Z2033" t="n">
        <v>338</v>
      </c>
      <c r="AA2033" t="n">
        <v>339</v>
      </c>
      <c r="AB2033" t="n">
        <v>3</v>
      </c>
      <c r="AC2033" t="n">
        <v>3</v>
      </c>
      <c r="AD2033" t="n">
        <v>22</v>
      </c>
      <c r="AE2033" t="n">
        <v>22</v>
      </c>
      <c r="AF2033" t="n">
        <v>8</v>
      </c>
      <c r="AG2033" t="n">
        <v>8</v>
      </c>
      <c r="AH2033" t="n">
        <v>6</v>
      </c>
      <c r="AI2033" t="n">
        <v>6</v>
      </c>
      <c r="AJ2033" t="n">
        <v>12</v>
      </c>
      <c r="AK2033" t="n">
        <v>12</v>
      </c>
      <c r="AL2033" t="n">
        <v>2</v>
      </c>
      <c r="AM2033" t="n">
        <v>2</v>
      </c>
      <c r="AN2033" t="n">
        <v>0</v>
      </c>
      <c r="AO2033" t="n">
        <v>0</v>
      </c>
      <c r="AP2033" t="inlineStr">
        <is>
          <t>No</t>
        </is>
      </c>
      <c r="AQ2033" t="inlineStr">
        <is>
          <t>Yes</t>
        </is>
      </c>
      <c r="AR2033">
        <f>HYPERLINK("http://catalog.hathitrust.org/Record/004763690","HathiTrust Record")</f>
        <v/>
      </c>
      <c r="AS2033">
        <f>HYPERLINK("https://creighton-primo.hosted.exlibrisgroup.com/primo-explore/search?tab=default_tab&amp;search_scope=EVERYTHING&amp;vid=01CRU&amp;lang=en_US&amp;offset=0&amp;query=any,contains,991004642609702656","Catalog Record")</f>
        <v/>
      </c>
      <c r="AT2033">
        <f>HYPERLINK("http://www.worldcat.org/oclc/54694622","WorldCat Record")</f>
        <v/>
      </c>
      <c r="AU2033" t="inlineStr">
        <is>
          <t>367255430:eng</t>
        </is>
      </c>
      <c r="AV2033" t="inlineStr">
        <is>
          <t>54694622</t>
        </is>
      </c>
      <c r="AW2033" t="inlineStr">
        <is>
          <t>991004642609702656</t>
        </is>
      </c>
      <c r="AX2033" t="inlineStr">
        <is>
          <t>991004642609702656</t>
        </is>
      </c>
      <c r="AY2033" t="inlineStr">
        <is>
          <t>2260289990002656</t>
        </is>
      </c>
      <c r="AZ2033" t="inlineStr">
        <is>
          <t>BOOK</t>
        </is>
      </c>
      <c r="BB2033" t="inlineStr">
        <is>
          <t>9780804748971</t>
        </is>
      </c>
      <c r="BC2033" t="inlineStr">
        <is>
          <t>32285005087126</t>
        </is>
      </c>
      <c r="BD2033" t="inlineStr">
        <is>
          <t>893344075</t>
        </is>
      </c>
    </row>
    <row r="2034">
      <c r="A2034" t="inlineStr">
        <is>
          <t>No</t>
        </is>
      </c>
      <c r="B2034" t="inlineStr">
        <is>
          <t>DS757 .G7 1978</t>
        </is>
      </c>
      <c r="C2034" t="inlineStr">
        <is>
          <t>0                      DS 0757000G  7           1978</t>
        </is>
      </c>
      <c r="D2034" t="inlineStr">
        <is>
          <t>The China station : war and diplomacy 1830-1860 / by Gerald S. Graham.</t>
        </is>
      </c>
      <c r="F2034" t="inlineStr">
        <is>
          <t>No</t>
        </is>
      </c>
      <c r="G2034" t="inlineStr">
        <is>
          <t>1</t>
        </is>
      </c>
      <c r="H2034" t="inlineStr">
        <is>
          <t>No</t>
        </is>
      </c>
      <c r="I2034" t="inlineStr">
        <is>
          <t>No</t>
        </is>
      </c>
      <c r="J2034" t="inlineStr">
        <is>
          <t>0</t>
        </is>
      </c>
      <c r="K2034" t="inlineStr">
        <is>
          <t>Graham, Gerald S. (Gerald Sandford), 1903-1988.</t>
        </is>
      </c>
      <c r="L2034" t="inlineStr">
        <is>
          <t>Oxford [Eng.] : Clarendon Press ; New York : Oxford University Press, 1978.</t>
        </is>
      </c>
      <c r="M2034" t="inlineStr">
        <is>
          <t>1978</t>
        </is>
      </c>
      <c r="O2034" t="inlineStr">
        <is>
          <t>eng</t>
        </is>
      </c>
      <c r="P2034" t="inlineStr">
        <is>
          <t>enk</t>
        </is>
      </c>
      <c r="R2034" t="inlineStr">
        <is>
          <t xml:space="preserve">DS </t>
        </is>
      </c>
      <c r="S2034" t="n">
        <v>10</v>
      </c>
      <c r="T2034" t="n">
        <v>10</v>
      </c>
      <c r="U2034" t="inlineStr">
        <is>
          <t>2004-11-28</t>
        </is>
      </c>
      <c r="V2034" t="inlineStr">
        <is>
          <t>2004-11-28</t>
        </is>
      </c>
      <c r="W2034" t="inlineStr">
        <is>
          <t>1990-10-18</t>
        </is>
      </c>
      <c r="X2034" t="inlineStr">
        <is>
          <t>1990-10-18</t>
        </is>
      </c>
      <c r="Y2034" t="n">
        <v>423</v>
      </c>
      <c r="Z2034" t="n">
        <v>292</v>
      </c>
      <c r="AA2034" t="n">
        <v>294</v>
      </c>
      <c r="AB2034" t="n">
        <v>3</v>
      </c>
      <c r="AC2034" t="n">
        <v>3</v>
      </c>
      <c r="AD2034" t="n">
        <v>11</v>
      </c>
      <c r="AE2034" t="n">
        <v>11</v>
      </c>
      <c r="AF2034" t="n">
        <v>2</v>
      </c>
      <c r="AG2034" t="n">
        <v>2</v>
      </c>
      <c r="AH2034" t="n">
        <v>3</v>
      </c>
      <c r="AI2034" t="n">
        <v>3</v>
      </c>
      <c r="AJ2034" t="n">
        <v>6</v>
      </c>
      <c r="AK2034" t="n">
        <v>6</v>
      </c>
      <c r="AL2034" t="n">
        <v>2</v>
      </c>
      <c r="AM2034" t="n">
        <v>2</v>
      </c>
      <c r="AN2034" t="n">
        <v>0</v>
      </c>
      <c r="AO2034" t="n">
        <v>0</v>
      </c>
      <c r="AP2034" t="inlineStr">
        <is>
          <t>No</t>
        </is>
      </c>
      <c r="AQ2034" t="inlineStr">
        <is>
          <t>Yes</t>
        </is>
      </c>
      <c r="AR2034">
        <f>HYPERLINK("http://catalog.hathitrust.org/Record/000258836","HathiTrust Record")</f>
        <v/>
      </c>
      <c r="AS2034">
        <f>HYPERLINK("https://creighton-primo.hosted.exlibrisgroup.com/primo-explore/search?tab=default_tab&amp;search_scope=EVERYTHING&amp;vid=01CRU&amp;lang=en_US&amp;offset=0&amp;query=any,contains,991004682849702656","Catalog Record")</f>
        <v/>
      </c>
      <c r="AT2034">
        <f>HYPERLINK("http://www.worldcat.org/oclc/4578191","WorldCat Record")</f>
        <v/>
      </c>
      <c r="AU2034" t="inlineStr">
        <is>
          <t>14873505:eng</t>
        </is>
      </c>
      <c r="AV2034" t="inlineStr">
        <is>
          <t>4578191</t>
        </is>
      </c>
      <c r="AW2034" t="inlineStr">
        <is>
          <t>991004682849702656</t>
        </is>
      </c>
      <c r="AX2034" t="inlineStr">
        <is>
          <t>991004682849702656</t>
        </is>
      </c>
      <c r="AY2034" t="inlineStr">
        <is>
          <t>2261913550002656</t>
        </is>
      </c>
      <c r="AZ2034" t="inlineStr">
        <is>
          <t>BOOK</t>
        </is>
      </c>
      <c r="BB2034" t="inlineStr">
        <is>
          <t>9780198224723</t>
        </is>
      </c>
      <c r="BC2034" t="inlineStr">
        <is>
          <t>32285000338599</t>
        </is>
      </c>
      <c r="BD2034" t="inlineStr">
        <is>
          <t>893600118</t>
        </is>
      </c>
    </row>
    <row r="2035">
      <c r="A2035" t="inlineStr">
        <is>
          <t>No</t>
        </is>
      </c>
      <c r="B2035" t="inlineStr">
        <is>
          <t>DS757 .G98 1972</t>
        </is>
      </c>
      <c r="C2035" t="inlineStr">
        <is>
          <t>0                      DS 0757000G  98          1972</t>
        </is>
      </c>
      <c r="D2035" t="inlineStr">
        <is>
          <t>The life of Taou-Kwang, late Emperor of China: with memoirs of the court of Peking; including a sketch of the principal events in the history of the Chinese empire during the last fifty years, by the late Charles Gutzlaff.</t>
        </is>
      </c>
      <c r="F2035" t="inlineStr">
        <is>
          <t>No</t>
        </is>
      </c>
      <c r="G2035" t="inlineStr">
        <is>
          <t>1</t>
        </is>
      </c>
      <c r="H2035" t="inlineStr">
        <is>
          <t>No</t>
        </is>
      </c>
      <c r="I2035" t="inlineStr">
        <is>
          <t>No</t>
        </is>
      </c>
      <c r="J2035" t="inlineStr">
        <is>
          <t>0</t>
        </is>
      </c>
      <c r="K2035" t="inlineStr">
        <is>
          <t>Gützlaff, Karl Friedrich August, 1803-1851.</t>
        </is>
      </c>
      <c r="L2035" t="inlineStr">
        <is>
          <t>Wilmington, Del., Scholarly Resources [1972]</t>
        </is>
      </c>
      <c r="M2035" t="inlineStr">
        <is>
          <t>1972</t>
        </is>
      </c>
      <c r="O2035" t="inlineStr">
        <is>
          <t>eng</t>
        </is>
      </c>
      <c r="P2035" t="inlineStr">
        <is>
          <t>deu</t>
        </is>
      </c>
      <c r="R2035" t="inlineStr">
        <is>
          <t xml:space="preserve">DS </t>
        </is>
      </c>
      <c r="S2035" t="n">
        <v>3</v>
      </c>
      <c r="T2035" t="n">
        <v>3</v>
      </c>
      <c r="U2035" t="inlineStr">
        <is>
          <t>2008-03-22</t>
        </is>
      </c>
      <c r="V2035" t="inlineStr">
        <is>
          <t>2008-03-22</t>
        </is>
      </c>
      <c r="W2035" t="inlineStr">
        <is>
          <t>1997-03-13</t>
        </is>
      </c>
      <c r="X2035" t="inlineStr">
        <is>
          <t>1997-03-13</t>
        </is>
      </c>
      <c r="Y2035" t="n">
        <v>157</v>
      </c>
      <c r="Z2035" t="n">
        <v>135</v>
      </c>
      <c r="AA2035" t="n">
        <v>137</v>
      </c>
      <c r="AB2035" t="n">
        <v>1</v>
      </c>
      <c r="AC2035" t="n">
        <v>1</v>
      </c>
      <c r="AD2035" t="n">
        <v>8</v>
      </c>
      <c r="AE2035" t="n">
        <v>8</v>
      </c>
      <c r="AF2035" t="n">
        <v>1</v>
      </c>
      <c r="AG2035" t="n">
        <v>1</v>
      </c>
      <c r="AH2035" t="n">
        <v>4</v>
      </c>
      <c r="AI2035" t="n">
        <v>4</v>
      </c>
      <c r="AJ2035" t="n">
        <v>5</v>
      </c>
      <c r="AK2035" t="n">
        <v>5</v>
      </c>
      <c r="AL2035" t="n">
        <v>0</v>
      </c>
      <c r="AM2035" t="n">
        <v>0</v>
      </c>
      <c r="AN2035" t="n">
        <v>0</v>
      </c>
      <c r="AO2035" t="n">
        <v>0</v>
      </c>
      <c r="AP2035" t="inlineStr">
        <is>
          <t>No</t>
        </is>
      </c>
      <c r="AQ2035" t="inlineStr">
        <is>
          <t>Yes</t>
        </is>
      </c>
      <c r="AR2035">
        <f>HYPERLINK("http://catalog.hathitrust.org/Record/000011810","HathiTrust Record")</f>
        <v/>
      </c>
      <c r="AS2035">
        <f>HYPERLINK("https://creighton-primo.hosted.exlibrisgroup.com/primo-explore/search?tab=default_tab&amp;search_scope=EVERYTHING&amp;vid=01CRU&amp;lang=en_US&amp;offset=0&amp;query=any,contains,991003271969702656","Catalog Record")</f>
        <v/>
      </c>
      <c r="AT2035">
        <f>HYPERLINK("http://www.worldcat.org/oclc/797637","WorldCat Record")</f>
        <v/>
      </c>
      <c r="AU2035" t="inlineStr">
        <is>
          <t>9593770942:eng</t>
        </is>
      </c>
      <c r="AV2035" t="inlineStr">
        <is>
          <t>797637</t>
        </is>
      </c>
      <c r="AW2035" t="inlineStr">
        <is>
          <t>991003271969702656</t>
        </is>
      </c>
      <c r="AX2035" t="inlineStr">
        <is>
          <t>991003271969702656</t>
        </is>
      </c>
      <c r="AY2035" t="inlineStr">
        <is>
          <t>2258270080002656</t>
        </is>
      </c>
      <c r="AZ2035" t="inlineStr">
        <is>
          <t>BOOK</t>
        </is>
      </c>
      <c r="BB2035" t="inlineStr">
        <is>
          <t>9780842013512</t>
        </is>
      </c>
      <c r="BC2035" t="inlineStr">
        <is>
          <t>32285002447315</t>
        </is>
      </c>
      <c r="BD2035" t="inlineStr">
        <is>
          <t>893686383</t>
        </is>
      </c>
    </row>
    <row r="2036">
      <c r="A2036" t="inlineStr">
        <is>
          <t>No</t>
        </is>
      </c>
      <c r="B2036" t="inlineStr">
        <is>
          <t>DS757.5 .C45</t>
        </is>
      </c>
      <c r="C2036" t="inlineStr">
        <is>
          <t>0                      DS 0757500C  45</t>
        </is>
      </c>
      <c r="D2036" t="inlineStr">
        <is>
          <t>Commissioner Lin and the Opium War.</t>
        </is>
      </c>
      <c r="F2036" t="inlineStr">
        <is>
          <t>No</t>
        </is>
      </c>
      <c r="G2036" t="inlineStr">
        <is>
          <t>1</t>
        </is>
      </c>
      <c r="H2036" t="inlineStr">
        <is>
          <t>No</t>
        </is>
      </c>
      <c r="I2036" t="inlineStr">
        <is>
          <t>No</t>
        </is>
      </c>
      <c r="J2036" t="inlineStr">
        <is>
          <t>0</t>
        </is>
      </c>
      <c r="K2036" t="inlineStr">
        <is>
          <t>Chang, Hsin-pao, 1922-</t>
        </is>
      </c>
      <c r="L2036" t="inlineStr">
        <is>
          <t>Cambridge : Harvard University Press, 1964.</t>
        </is>
      </c>
      <c r="M2036" t="inlineStr">
        <is>
          <t>1964</t>
        </is>
      </c>
      <c r="O2036" t="inlineStr">
        <is>
          <t>eng</t>
        </is>
      </c>
      <c r="P2036" t="inlineStr">
        <is>
          <t>mau</t>
        </is>
      </c>
      <c r="Q2036" t="inlineStr">
        <is>
          <t>Harvard East Asian series ; 18</t>
        </is>
      </c>
      <c r="R2036" t="inlineStr">
        <is>
          <t xml:space="preserve">DS </t>
        </is>
      </c>
      <c r="S2036" t="n">
        <v>20</v>
      </c>
      <c r="T2036" t="n">
        <v>20</v>
      </c>
      <c r="U2036" t="inlineStr">
        <is>
          <t>2004-11-30</t>
        </is>
      </c>
      <c r="V2036" t="inlineStr">
        <is>
          <t>2004-11-30</t>
        </is>
      </c>
      <c r="W2036" t="inlineStr">
        <is>
          <t>1993-04-12</t>
        </is>
      </c>
      <c r="X2036" t="inlineStr">
        <is>
          <t>1993-04-12</t>
        </is>
      </c>
      <c r="Y2036" t="n">
        <v>752</v>
      </c>
      <c r="Z2036" t="n">
        <v>643</v>
      </c>
      <c r="AA2036" t="n">
        <v>763</v>
      </c>
      <c r="AB2036" t="n">
        <v>7</v>
      </c>
      <c r="AC2036" t="n">
        <v>9</v>
      </c>
      <c r="AD2036" t="n">
        <v>36</v>
      </c>
      <c r="AE2036" t="n">
        <v>43</v>
      </c>
      <c r="AF2036" t="n">
        <v>16</v>
      </c>
      <c r="AG2036" t="n">
        <v>19</v>
      </c>
      <c r="AH2036" t="n">
        <v>6</v>
      </c>
      <c r="AI2036" t="n">
        <v>7</v>
      </c>
      <c r="AJ2036" t="n">
        <v>17</v>
      </c>
      <c r="AK2036" t="n">
        <v>19</v>
      </c>
      <c r="AL2036" t="n">
        <v>6</v>
      </c>
      <c r="AM2036" t="n">
        <v>8</v>
      </c>
      <c r="AN2036" t="n">
        <v>0</v>
      </c>
      <c r="AO2036" t="n">
        <v>0</v>
      </c>
      <c r="AP2036" t="inlineStr">
        <is>
          <t>No</t>
        </is>
      </c>
      <c r="AQ2036" t="inlineStr">
        <is>
          <t>Yes</t>
        </is>
      </c>
      <c r="AR2036">
        <f>HYPERLINK("http://catalog.hathitrust.org/Record/001257950","HathiTrust Record")</f>
        <v/>
      </c>
      <c r="AS2036">
        <f>HYPERLINK("https://creighton-primo.hosted.exlibrisgroup.com/primo-explore/search?tab=default_tab&amp;search_scope=EVERYTHING&amp;vid=01CRU&amp;lang=en_US&amp;offset=0&amp;query=any,contains,991002718159702656","Catalog Record")</f>
        <v/>
      </c>
      <c r="AT2036">
        <f>HYPERLINK("http://www.worldcat.org/oclc/411914","WorldCat Record")</f>
        <v/>
      </c>
      <c r="AU2036" t="inlineStr">
        <is>
          <t>118486282:eng</t>
        </is>
      </c>
      <c r="AV2036" t="inlineStr">
        <is>
          <t>411914</t>
        </is>
      </c>
      <c r="AW2036" t="inlineStr">
        <is>
          <t>991002718159702656</t>
        </is>
      </c>
      <c r="AX2036" t="inlineStr">
        <is>
          <t>991002718159702656</t>
        </is>
      </c>
      <c r="AY2036" t="inlineStr">
        <is>
          <t>2264643340002656</t>
        </is>
      </c>
      <c r="AZ2036" t="inlineStr">
        <is>
          <t>BOOK</t>
        </is>
      </c>
      <c r="BC2036" t="inlineStr">
        <is>
          <t>32285001615896</t>
        </is>
      </c>
      <c r="BD2036" t="inlineStr">
        <is>
          <t>893504735</t>
        </is>
      </c>
    </row>
    <row r="2037">
      <c r="A2037" t="inlineStr">
        <is>
          <t>No</t>
        </is>
      </c>
      <c r="B2037" t="inlineStr">
        <is>
          <t>DS757.5 .M62</t>
        </is>
      </c>
      <c r="C2037" t="inlineStr">
        <is>
          <t>0                      DS 0757500M  62</t>
        </is>
      </c>
      <c r="D2037" t="inlineStr">
        <is>
          <t>Modern China : from mandarin to commissar / translations and introductions by Dun J. Li.</t>
        </is>
      </c>
      <c r="F2037" t="inlineStr">
        <is>
          <t>No</t>
        </is>
      </c>
      <c r="G2037" t="inlineStr">
        <is>
          <t>1</t>
        </is>
      </c>
      <c r="H2037" t="inlineStr">
        <is>
          <t>No</t>
        </is>
      </c>
      <c r="I2037" t="inlineStr">
        <is>
          <t>No</t>
        </is>
      </c>
      <c r="J2037" t="inlineStr">
        <is>
          <t>0</t>
        </is>
      </c>
      <c r="L2037" t="inlineStr">
        <is>
          <t>New York : Scribner, c1978.</t>
        </is>
      </c>
      <c r="M2037" t="inlineStr">
        <is>
          <t>1978</t>
        </is>
      </c>
      <c r="O2037" t="inlineStr">
        <is>
          <t>eng</t>
        </is>
      </c>
      <c r="P2037" t="inlineStr">
        <is>
          <t>nyu</t>
        </is>
      </c>
      <c r="R2037" t="inlineStr">
        <is>
          <t xml:space="preserve">DS </t>
        </is>
      </c>
      <c r="S2037" t="n">
        <v>5</v>
      </c>
      <c r="T2037" t="n">
        <v>5</v>
      </c>
      <c r="U2037" t="inlineStr">
        <is>
          <t>1995-10-12</t>
        </is>
      </c>
      <c r="V2037" t="inlineStr">
        <is>
          <t>1995-10-12</t>
        </is>
      </c>
      <c r="W2037" t="inlineStr">
        <is>
          <t>1994-12-22</t>
        </is>
      </c>
      <c r="X2037" t="inlineStr">
        <is>
          <t>1994-12-22</t>
        </is>
      </c>
      <c r="Y2037" t="n">
        <v>551</v>
      </c>
      <c r="Z2037" t="n">
        <v>490</v>
      </c>
      <c r="AA2037" t="n">
        <v>492</v>
      </c>
      <c r="AB2037" t="n">
        <v>5</v>
      </c>
      <c r="AC2037" t="n">
        <v>5</v>
      </c>
      <c r="AD2037" t="n">
        <v>21</v>
      </c>
      <c r="AE2037" t="n">
        <v>21</v>
      </c>
      <c r="AF2037" t="n">
        <v>6</v>
      </c>
      <c r="AG2037" t="n">
        <v>6</v>
      </c>
      <c r="AH2037" t="n">
        <v>7</v>
      </c>
      <c r="AI2037" t="n">
        <v>7</v>
      </c>
      <c r="AJ2037" t="n">
        <v>9</v>
      </c>
      <c r="AK2037" t="n">
        <v>9</v>
      </c>
      <c r="AL2037" t="n">
        <v>4</v>
      </c>
      <c r="AM2037" t="n">
        <v>4</v>
      </c>
      <c r="AN2037" t="n">
        <v>0</v>
      </c>
      <c r="AO2037" t="n">
        <v>0</v>
      </c>
      <c r="AP2037" t="inlineStr">
        <is>
          <t>No</t>
        </is>
      </c>
      <c r="AQ2037" t="inlineStr">
        <is>
          <t>Yes</t>
        </is>
      </c>
      <c r="AR2037">
        <f>HYPERLINK("http://catalog.hathitrust.org/Record/000748312","HathiTrust Record")</f>
        <v/>
      </c>
      <c r="AS2037">
        <f>HYPERLINK("https://creighton-primo.hosted.exlibrisgroup.com/primo-explore/search?tab=default_tab&amp;search_scope=EVERYTHING&amp;vid=01CRU&amp;lang=en_US&amp;offset=0&amp;query=any,contains,991004402549702656","Catalog Record")</f>
        <v/>
      </c>
      <c r="AT2037">
        <f>HYPERLINK("http://www.worldcat.org/oclc/3310323","WorldCat Record")</f>
        <v/>
      </c>
      <c r="AU2037" t="inlineStr">
        <is>
          <t>859768036:eng</t>
        </is>
      </c>
      <c r="AV2037" t="inlineStr">
        <is>
          <t>3310323</t>
        </is>
      </c>
      <c r="AW2037" t="inlineStr">
        <is>
          <t>991004402549702656</t>
        </is>
      </c>
      <c r="AX2037" t="inlineStr">
        <is>
          <t>991004402549702656</t>
        </is>
      </c>
      <c r="AY2037" t="inlineStr">
        <is>
          <t>2269968820002656</t>
        </is>
      </c>
      <c r="AZ2037" t="inlineStr">
        <is>
          <t>BOOK</t>
        </is>
      </c>
      <c r="BB2037" t="inlineStr">
        <is>
          <t>9780684153735</t>
        </is>
      </c>
      <c r="BC2037" t="inlineStr">
        <is>
          <t>32285001985414</t>
        </is>
      </c>
      <c r="BD2037" t="inlineStr">
        <is>
          <t>893343794</t>
        </is>
      </c>
    </row>
    <row r="2038">
      <c r="A2038" t="inlineStr">
        <is>
          <t>No</t>
        </is>
      </c>
      <c r="B2038" t="inlineStr">
        <is>
          <t>DS759 .G7 1969b</t>
        </is>
      </c>
      <c r="C2038" t="inlineStr">
        <is>
          <t>0                      DS 0759000G  7           1969b</t>
        </is>
      </c>
      <c r="D2038" t="inlineStr">
        <is>
          <t>Great Britain and the Taipings / by J. S. Gregory.</t>
        </is>
      </c>
      <c r="F2038" t="inlineStr">
        <is>
          <t>No</t>
        </is>
      </c>
      <c r="G2038" t="inlineStr">
        <is>
          <t>1</t>
        </is>
      </c>
      <c r="H2038" t="inlineStr">
        <is>
          <t>No</t>
        </is>
      </c>
      <c r="I2038" t="inlineStr">
        <is>
          <t>No</t>
        </is>
      </c>
      <c r="J2038" t="inlineStr">
        <is>
          <t>0</t>
        </is>
      </c>
      <c r="K2038" t="inlineStr">
        <is>
          <t>Gregory, J. S. (John Stradbroke), 1923-</t>
        </is>
      </c>
      <c r="L2038" t="inlineStr">
        <is>
          <t>New York : Praeger, [1969]</t>
        </is>
      </c>
      <c r="M2038" t="inlineStr">
        <is>
          <t>1969</t>
        </is>
      </c>
      <c r="O2038" t="inlineStr">
        <is>
          <t>eng</t>
        </is>
      </c>
      <c r="P2038" t="inlineStr">
        <is>
          <t>nyu</t>
        </is>
      </c>
      <c r="R2038" t="inlineStr">
        <is>
          <t xml:space="preserve">DS </t>
        </is>
      </c>
      <c r="S2038" t="n">
        <v>4</v>
      </c>
      <c r="T2038" t="n">
        <v>4</v>
      </c>
      <c r="U2038" t="inlineStr">
        <is>
          <t>1996-04-19</t>
        </is>
      </c>
      <c r="V2038" t="inlineStr">
        <is>
          <t>1996-04-19</t>
        </is>
      </c>
      <c r="W2038" t="inlineStr">
        <is>
          <t>1993-11-18</t>
        </is>
      </c>
      <c r="X2038" t="inlineStr">
        <is>
          <t>1993-11-18</t>
        </is>
      </c>
      <c r="Y2038" t="n">
        <v>327</v>
      </c>
      <c r="Z2038" t="n">
        <v>308</v>
      </c>
      <c r="AA2038" t="n">
        <v>389</v>
      </c>
      <c r="AB2038" t="n">
        <v>6</v>
      </c>
      <c r="AC2038" t="n">
        <v>6</v>
      </c>
      <c r="AD2038" t="n">
        <v>17</v>
      </c>
      <c r="AE2038" t="n">
        <v>21</v>
      </c>
      <c r="AF2038" t="n">
        <v>5</v>
      </c>
      <c r="AG2038" t="n">
        <v>6</v>
      </c>
      <c r="AH2038" t="n">
        <v>4</v>
      </c>
      <c r="AI2038" t="n">
        <v>5</v>
      </c>
      <c r="AJ2038" t="n">
        <v>8</v>
      </c>
      <c r="AK2038" t="n">
        <v>10</v>
      </c>
      <c r="AL2038" t="n">
        <v>5</v>
      </c>
      <c r="AM2038" t="n">
        <v>5</v>
      </c>
      <c r="AN2038" t="n">
        <v>0</v>
      </c>
      <c r="AO2038" t="n">
        <v>0</v>
      </c>
      <c r="AP2038" t="inlineStr">
        <is>
          <t>No</t>
        </is>
      </c>
      <c r="AQ2038" t="inlineStr">
        <is>
          <t>Yes</t>
        </is>
      </c>
      <c r="AR2038">
        <f>HYPERLINK("http://catalog.hathitrust.org/Record/001257966","HathiTrust Record")</f>
        <v/>
      </c>
      <c r="AS2038">
        <f>HYPERLINK("https://creighton-primo.hosted.exlibrisgroup.com/primo-explore/search?tab=default_tab&amp;search_scope=EVERYTHING&amp;vid=01CRU&amp;lang=en_US&amp;offset=0&amp;query=any,contains,991005436469702656","Catalog Record")</f>
        <v/>
      </c>
      <c r="AT2038">
        <f>HYPERLINK("http://www.worldcat.org/oclc/4429","WorldCat Record")</f>
        <v/>
      </c>
      <c r="AU2038" t="inlineStr">
        <is>
          <t>1127922:eng</t>
        </is>
      </c>
      <c r="AV2038" t="inlineStr">
        <is>
          <t>4429</t>
        </is>
      </c>
      <c r="AW2038" t="inlineStr">
        <is>
          <t>991005436469702656</t>
        </is>
      </c>
      <c r="AX2038" t="inlineStr">
        <is>
          <t>991005436469702656</t>
        </is>
      </c>
      <c r="AY2038" t="inlineStr">
        <is>
          <t>2266272630002656</t>
        </is>
      </c>
      <c r="AZ2038" t="inlineStr">
        <is>
          <t>BOOK</t>
        </is>
      </c>
      <c r="BC2038" t="inlineStr">
        <is>
          <t>32285001799666</t>
        </is>
      </c>
      <c r="BD2038" t="inlineStr">
        <is>
          <t>893808454</t>
        </is>
      </c>
    </row>
    <row r="2039">
      <c r="A2039" t="inlineStr">
        <is>
          <t>No</t>
        </is>
      </c>
      <c r="B2039" t="inlineStr">
        <is>
          <t>DS759 .H15 1964</t>
        </is>
      </c>
      <c r="C2039" t="inlineStr">
        <is>
          <t>0                      DS 0759000H  15          1964</t>
        </is>
      </c>
      <c r="D2039" t="inlineStr">
        <is>
          <t>Tsêng Kuo-fan and the Taiping Rebellion : with a short sketch of his later career.</t>
        </is>
      </c>
      <c r="F2039" t="inlineStr">
        <is>
          <t>No</t>
        </is>
      </c>
      <c r="G2039" t="inlineStr">
        <is>
          <t>1</t>
        </is>
      </c>
      <c r="H2039" t="inlineStr">
        <is>
          <t>No</t>
        </is>
      </c>
      <c r="I2039" t="inlineStr">
        <is>
          <t>No</t>
        </is>
      </c>
      <c r="J2039" t="inlineStr">
        <is>
          <t>0</t>
        </is>
      </c>
      <c r="K2039" t="inlineStr">
        <is>
          <t>Hail, William James, 1877-</t>
        </is>
      </c>
      <c r="L2039" t="inlineStr">
        <is>
          <t>New York : Paragon Book Reprint Corp., 1964 [c1927]</t>
        </is>
      </c>
      <c r="M2039" t="inlineStr">
        <is>
          <t>1964</t>
        </is>
      </c>
      <c r="N2039" t="inlineStr">
        <is>
          <t>2d ed.</t>
        </is>
      </c>
      <c r="O2039" t="inlineStr">
        <is>
          <t>eng</t>
        </is>
      </c>
      <c r="P2039" t="inlineStr">
        <is>
          <t>nyu</t>
        </is>
      </c>
      <c r="Q2039" t="inlineStr">
        <is>
          <t>Yale historical publications. Miscellany ; 18</t>
        </is>
      </c>
      <c r="R2039" t="inlineStr">
        <is>
          <t xml:space="preserve">DS </t>
        </is>
      </c>
      <c r="S2039" t="n">
        <v>3</v>
      </c>
      <c r="T2039" t="n">
        <v>3</v>
      </c>
      <c r="U2039" t="inlineStr">
        <is>
          <t>1996-04-19</t>
        </is>
      </c>
      <c r="V2039" t="inlineStr">
        <is>
          <t>1996-04-19</t>
        </is>
      </c>
      <c r="W2039" t="inlineStr">
        <is>
          <t>1994-12-16</t>
        </is>
      </c>
      <c r="X2039" t="inlineStr">
        <is>
          <t>1994-12-16</t>
        </is>
      </c>
      <c r="Y2039" t="n">
        <v>373</v>
      </c>
      <c r="Z2039" t="n">
        <v>311</v>
      </c>
      <c r="AA2039" t="n">
        <v>382</v>
      </c>
      <c r="AB2039" t="n">
        <v>2</v>
      </c>
      <c r="AC2039" t="n">
        <v>3</v>
      </c>
      <c r="AD2039" t="n">
        <v>13</v>
      </c>
      <c r="AE2039" t="n">
        <v>15</v>
      </c>
      <c r="AF2039" t="n">
        <v>5</v>
      </c>
      <c r="AG2039" t="n">
        <v>6</v>
      </c>
      <c r="AH2039" t="n">
        <v>3</v>
      </c>
      <c r="AI2039" t="n">
        <v>3</v>
      </c>
      <c r="AJ2039" t="n">
        <v>7</v>
      </c>
      <c r="AK2039" t="n">
        <v>7</v>
      </c>
      <c r="AL2039" t="n">
        <v>1</v>
      </c>
      <c r="AM2039" t="n">
        <v>2</v>
      </c>
      <c r="AN2039" t="n">
        <v>0</v>
      </c>
      <c r="AO2039" t="n">
        <v>0</v>
      </c>
      <c r="AP2039" t="inlineStr">
        <is>
          <t>No</t>
        </is>
      </c>
      <c r="AQ2039" t="inlineStr">
        <is>
          <t>No</t>
        </is>
      </c>
      <c r="AR2039">
        <f>HYPERLINK("http://catalog.hathitrust.org/Record/001257968","HathiTrust Record")</f>
        <v/>
      </c>
      <c r="AS2039">
        <f>HYPERLINK("https://creighton-primo.hosted.exlibrisgroup.com/primo-explore/search?tab=default_tab&amp;search_scope=EVERYTHING&amp;vid=01CRU&amp;lang=en_US&amp;offset=0&amp;query=any,contains,991004283559702656","Catalog Record")</f>
        <v/>
      </c>
      <c r="AT2039">
        <f>HYPERLINK("http://www.worldcat.org/oclc/2916819","WorldCat Record")</f>
        <v/>
      </c>
      <c r="AU2039" t="inlineStr">
        <is>
          <t>207137328:eng</t>
        </is>
      </c>
      <c r="AV2039" t="inlineStr">
        <is>
          <t>2916819</t>
        </is>
      </c>
      <c r="AW2039" t="inlineStr">
        <is>
          <t>991004283559702656</t>
        </is>
      </c>
      <c r="AX2039" t="inlineStr">
        <is>
          <t>991004283559702656</t>
        </is>
      </c>
      <c r="AY2039" t="inlineStr">
        <is>
          <t>2270232140002656</t>
        </is>
      </c>
      <c r="AZ2039" t="inlineStr">
        <is>
          <t>BOOK</t>
        </is>
      </c>
      <c r="BC2039" t="inlineStr">
        <is>
          <t>32285001984060</t>
        </is>
      </c>
      <c r="BD2039" t="inlineStr">
        <is>
          <t>893700054</t>
        </is>
      </c>
    </row>
    <row r="2040">
      <c r="A2040" t="inlineStr">
        <is>
          <t>No</t>
        </is>
      </c>
      <c r="B2040" t="inlineStr">
        <is>
          <t>DS759 .M14 1972</t>
        </is>
      </c>
      <c r="C2040" t="inlineStr">
        <is>
          <t>0                      DS 0759000M  14          1972</t>
        </is>
      </c>
      <c r="D2040" t="inlineStr">
        <is>
          <t>The Chinese revolution : with details of the habits, manners, and customs of China and the Chinese.</t>
        </is>
      </c>
      <c r="F2040" t="inlineStr">
        <is>
          <t>No</t>
        </is>
      </c>
      <c r="G2040" t="inlineStr">
        <is>
          <t>1</t>
        </is>
      </c>
      <c r="H2040" t="inlineStr">
        <is>
          <t>No</t>
        </is>
      </c>
      <c r="I2040" t="inlineStr">
        <is>
          <t>No</t>
        </is>
      </c>
      <c r="J2040" t="inlineStr">
        <is>
          <t>0</t>
        </is>
      </c>
      <c r="K2040" t="inlineStr">
        <is>
          <t>MacFarlane, Charles, 1799-1858.</t>
        </is>
      </c>
      <c r="L2040" t="inlineStr">
        <is>
          <t>Wilmington, Del. : Scholarly Resources, [1972]</t>
        </is>
      </c>
      <c r="M2040" t="inlineStr">
        <is>
          <t>1972</t>
        </is>
      </c>
      <c r="O2040" t="inlineStr">
        <is>
          <t>eng</t>
        </is>
      </c>
      <c r="P2040" t="inlineStr">
        <is>
          <t>deu</t>
        </is>
      </c>
      <c r="R2040" t="inlineStr">
        <is>
          <t xml:space="preserve">DS </t>
        </is>
      </c>
      <c r="S2040" t="n">
        <v>1</v>
      </c>
      <c r="T2040" t="n">
        <v>1</v>
      </c>
      <c r="U2040" t="inlineStr">
        <is>
          <t>2003-02-05</t>
        </is>
      </c>
      <c r="V2040" t="inlineStr">
        <is>
          <t>2003-02-05</t>
        </is>
      </c>
      <c r="W2040" t="inlineStr">
        <is>
          <t>1993-11-18</t>
        </is>
      </c>
      <c r="X2040" t="inlineStr">
        <is>
          <t>1993-11-18</t>
        </is>
      </c>
      <c r="Y2040" t="n">
        <v>149</v>
      </c>
      <c r="Z2040" t="n">
        <v>123</v>
      </c>
      <c r="AA2040" t="n">
        <v>157</v>
      </c>
      <c r="AB2040" t="n">
        <v>1</v>
      </c>
      <c r="AC2040" t="n">
        <v>1</v>
      </c>
      <c r="AD2040" t="n">
        <v>8</v>
      </c>
      <c r="AE2040" t="n">
        <v>8</v>
      </c>
      <c r="AF2040" t="n">
        <v>1</v>
      </c>
      <c r="AG2040" t="n">
        <v>1</v>
      </c>
      <c r="AH2040" t="n">
        <v>5</v>
      </c>
      <c r="AI2040" t="n">
        <v>5</v>
      </c>
      <c r="AJ2040" t="n">
        <v>5</v>
      </c>
      <c r="AK2040" t="n">
        <v>5</v>
      </c>
      <c r="AL2040" t="n">
        <v>0</v>
      </c>
      <c r="AM2040" t="n">
        <v>0</v>
      </c>
      <c r="AN2040" t="n">
        <v>0</v>
      </c>
      <c r="AO2040" t="n">
        <v>0</v>
      </c>
      <c r="AP2040" t="inlineStr">
        <is>
          <t>No</t>
        </is>
      </c>
      <c r="AQ2040" t="inlineStr">
        <is>
          <t>Yes</t>
        </is>
      </c>
      <c r="AR2040">
        <f>HYPERLINK("http://catalog.hathitrust.org/Record/000007882","HathiTrust Record")</f>
        <v/>
      </c>
      <c r="AS2040">
        <f>HYPERLINK("https://creighton-primo.hosted.exlibrisgroup.com/primo-explore/search?tab=default_tab&amp;search_scope=EVERYTHING&amp;vid=01CRU&amp;lang=en_US&amp;offset=0&amp;query=any,contains,991003018679702656","Catalog Record")</f>
        <v/>
      </c>
      <c r="AT2040">
        <f>HYPERLINK("http://www.worldcat.org/oclc/583516","WorldCat Record")</f>
        <v/>
      </c>
      <c r="AU2040" t="inlineStr">
        <is>
          <t>1737797:eng</t>
        </is>
      </c>
      <c r="AV2040" t="inlineStr">
        <is>
          <t>583516</t>
        </is>
      </c>
      <c r="AW2040" t="inlineStr">
        <is>
          <t>991003018679702656</t>
        </is>
      </c>
      <c r="AX2040" t="inlineStr">
        <is>
          <t>991003018679702656</t>
        </is>
      </c>
      <c r="AY2040" t="inlineStr">
        <is>
          <t>2272222160002656</t>
        </is>
      </c>
      <c r="AZ2040" t="inlineStr">
        <is>
          <t>BOOK</t>
        </is>
      </c>
      <c r="BB2040" t="inlineStr">
        <is>
          <t>9780842013581</t>
        </is>
      </c>
      <c r="BC2040" t="inlineStr">
        <is>
          <t>32285001799658</t>
        </is>
      </c>
      <c r="BD2040" t="inlineStr">
        <is>
          <t>893440832</t>
        </is>
      </c>
    </row>
    <row r="2041">
      <c r="A2041" t="inlineStr">
        <is>
          <t>No</t>
        </is>
      </c>
      <c r="B2041" t="inlineStr">
        <is>
          <t>DS759 .T455</t>
        </is>
      </c>
      <c r="C2041" t="inlineStr">
        <is>
          <t>0                      DS 0759000T  455</t>
        </is>
      </c>
      <c r="D2041" t="inlineStr">
        <is>
          <t>The Taiping rebellion and the Western powers : a comprehensive survey / [by] S. Y. Teng.</t>
        </is>
      </c>
      <c r="F2041" t="inlineStr">
        <is>
          <t>No</t>
        </is>
      </c>
      <c r="G2041" t="inlineStr">
        <is>
          <t>1</t>
        </is>
      </c>
      <c r="H2041" t="inlineStr">
        <is>
          <t>No</t>
        </is>
      </c>
      <c r="I2041" t="inlineStr">
        <is>
          <t>No</t>
        </is>
      </c>
      <c r="J2041" t="inlineStr">
        <is>
          <t>0</t>
        </is>
      </c>
      <c r="K2041" t="inlineStr">
        <is>
          <t>Teng, Ssu-yü, 1906-1988.</t>
        </is>
      </c>
      <c r="L2041" t="inlineStr">
        <is>
          <t>Oxford : Clarendon P., 1971.</t>
        </is>
      </c>
      <c r="M2041" t="inlineStr">
        <is>
          <t>1971</t>
        </is>
      </c>
      <c r="O2041" t="inlineStr">
        <is>
          <t>eng</t>
        </is>
      </c>
      <c r="P2041" t="inlineStr">
        <is>
          <t>enk</t>
        </is>
      </c>
      <c r="R2041" t="inlineStr">
        <is>
          <t xml:space="preserve">DS </t>
        </is>
      </c>
      <c r="S2041" t="n">
        <v>3</v>
      </c>
      <c r="T2041" t="n">
        <v>3</v>
      </c>
      <c r="U2041" t="inlineStr">
        <is>
          <t>2005-12-08</t>
        </is>
      </c>
      <c r="V2041" t="inlineStr">
        <is>
          <t>2005-12-08</t>
        </is>
      </c>
      <c r="W2041" t="inlineStr">
        <is>
          <t>1994-12-16</t>
        </is>
      </c>
      <c r="X2041" t="inlineStr">
        <is>
          <t>1994-12-16</t>
        </is>
      </c>
      <c r="Y2041" t="n">
        <v>552</v>
      </c>
      <c r="Z2041" t="n">
        <v>410</v>
      </c>
      <c r="AA2041" t="n">
        <v>415</v>
      </c>
      <c r="AB2041" t="n">
        <v>4</v>
      </c>
      <c r="AC2041" t="n">
        <v>4</v>
      </c>
      <c r="AD2041" t="n">
        <v>19</v>
      </c>
      <c r="AE2041" t="n">
        <v>19</v>
      </c>
      <c r="AF2041" t="n">
        <v>6</v>
      </c>
      <c r="AG2041" t="n">
        <v>6</v>
      </c>
      <c r="AH2041" t="n">
        <v>6</v>
      </c>
      <c r="AI2041" t="n">
        <v>6</v>
      </c>
      <c r="AJ2041" t="n">
        <v>7</v>
      </c>
      <c r="AK2041" t="n">
        <v>7</v>
      </c>
      <c r="AL2041" t="n">
        <v>3</v>
      </c>
      <c r="AM2041" t="n">
        <v>3</v>
      </c>
      <c r="AN2041" t="n">
        <v>0</v>
      </c>
      <c r="AO2041" t="n">
        <v>0</v>
      </c>
      <c r="AP2041" t="inlineStr">
        <is>
          <t>No</t>
        </is>
      </c>
      <c r="AQ2041" t="inlineStr">
        <is>
          <t>Yes</t>
        </is>
      </c>
      <c r="AR2041">
        <f>HYPERLINK("http://catalog.hathitrust.org/Record/001257976","HathiTrust Record")</f>
        <v/>
      </c>
      <c r="AS2041">
        <f>HYPERLINK("https://creighton-primo.hosted.exlibrisgroup.com/primo-explore/search?tab=default_tab&amp;search_scope=EVERYTHING&amp;vid=01CRU&amp;lang=en_US&amp;offset=0&amp;query=any,contains,991001218949702656","Catalog Record")</f>
        <v/>
      </c>
      <c r="AT2041">
        <f>HYPERLINK("http://www.worldcat.org/oclc/195831","WorldCat Record")</f>
        <v/>
      </c>
      <c r="AU2041" t="inlineStr">
        <is>
          <t>1365508:eng</t>
        </is>
      </c>
      <c r="AV2041" t="inlineStr">
        <is>
          <t>195831</t>
        </is>
      </c>
      <c r="AW2041" t="inlineStr">
        <is>
          <t>991001218949702656</t>
        </is>
      </c>
      <c r="AX2041" t="inlineStr">
        <is>
          <t>991001218949702656</t>
        </is>
      </c>
      <c r="AY2041" t="inlineStr">
        <is>
          <t>2267353440002656</t>
        </is>
      </c>
      <c r="AZ2041" t="inlineStr">
        <is>
          <t>BOOK</t>
        </is>
      </c>
      <c r="BB2041" t="inlineStr">
        <is>
          <t>9780198215486</t>
        </is>
      </c>
      <c r="BC2041" t="inlineStr">
        <is>
          <t>32285001984052</t>
        </is>
      </c>
      <c r="BD2041" t="inlineStr">
        <is>
          <t>893772407</t>
        </is>
      </c>
    </row>
    <row r="2042">
      <c r="A2042" t="inlineStr">
        <is>
          <t>No</t>
        </is>
      </c>
      <c r="B2042" t="inlineStr">
        <is>
          <t>DS76.4 .P6613 1999</t>
        </is>
      </c>
      <c r="C2042" t="inlineStr">
        <is>
          <t>0                      DS 0076400P  6613        1999</t>
        </is>
      </c>
      <c r="D2042" t="inlineStr">
        <is>
          <t>The revolt of African slaves in Iraq in the 3rd/9th century / Alexandre Popovic ; with a new introduction by Henry Louis Gates, Jr. ; translated from French by Léon King.</t>
        </is>
      </c>
      <c r="F2042" t="inlineStr">
        <is>
          <t>No</t>
        </is>
      </c>
      <c r="G2042" t="inlineStr">
        <is>
          <t>1</t>
        </is>
      </c>
      <c r="H2042" t="inlineStr">
        <is>
          <t>No</t>
        </is>
      </c>
      <c r="I2042" t="inlineStr">
        <is>
          <t>No</t>
        </is>
      </c>
      <c r="J2042" t="inlineStr">
        <is>
          <t>0</t>
        </is>
      </c>
      <c r="K2042" t="inlineStr">
        <is>
          <t>Popović, Alexandre.</t>
        </is>
      </c>
      <c r="L2042" t="inlineStr">
        <is>
          <t>Princeton, N.J. : Markus Wiener Publishers, c1999.</t>
        </is>
      </c>
      <c r="M2042" t="inlineStr">
        <is>
          <t>1999</t>
        </is>
      </c>
      <c r="O2042" t="inlineStr">
        <is>
          <t>eng</t>
        </is>
      </c>
      <c r="P2042" t="inlineStr">
        <is>
          <t>nju</t>
        </is>
      </c>
      <c r="Q2042" t="inlineStr">
        <is>
          <t>Princeton series on the Middle East</t>
        </is>
      </c>
      <c r="R2042" t="inlineStr">
        <is>
          <t xml:space="preserve">DS </t>
        </is>
      </c>
      <c r="S2042" t="n">
        <v>4</v>
      </c>
      <c r="T2042" t="n">
        <v>4</v>
      </c>
      <c r="U2042" t="inlineStr">
        <is>
          <t>2005-03-29</t>
        </is>
      </c>
      <c r="V2042" t="inlineStr">
        <is>
          <t>2005-03-29</t>
        </is>
      </c>
      <c r="W2042" t="inlineStr">
        <is>
          <t>2000-01-05</t>
        </is>
      </c>
      <c r="X2042" t="inlineStr">
        <is>
          <t>2000-01-05</t>
        </is>
      </c>
      <c r="Y2042" t="n">
        <v>327</v>
      </c>
      <c r="Z2042" t="n">
        <v>287</v>
      </c>
      <c r="AA2042" t="n">
        <v>295</v>
      </c>
      <c r="AB2042" t="n">
        <v>3</v>
      </c>
      <c r="AC2042" t="n">
        <v>3</v>
      </c>
      <c r="AD2042" t="n">
        <v>18</v>
      </c>
      <c r="AE2042" t="n">
        <v>19</v>
      </c>
      <c r="AF2042" t="n">
        <v>6</v>
      </c>
      <c r="AG2042" t="n">
        <v>7</v>
      </c>
      <c r="AH2042" t="n">
        <v>5</v>
      </c>
      <c r="AI2042" t="n">
        <v>5</v>
      </c>
      <c r="AJ2042" t="n">
        <v>11</v>
      </c>
      <c r="AK2042" t="n">
        <v>11</v>
      </c>
      <c r="AL2042" t="n">
        <v>2</v>
      </c>
      <c r="AM2042" t="n">
        <v>2</v>
      </c>
      <c r="AN2042" t="n">
        <v>0</v>
      </c>
      <c r="AO2042" t="n">
        <v>0</v>
      </c>
      <c r="AP2042" t="inlineStr">
        <is>
          <t>No</t>
        </is>
      </c>
      <c r="AQ2042" t="inlineStr">
        <is>
          <t>Yes</t>
        </is>
      </c>
      <c r="AR2042">
        <f>HYPERLINK("http://catalog.hathitrust.org/Record/004013815","HathiTrust Record")</f>
        <v/>
      </c>
      <c r="AS2042">
        <f>HYPERLINK("https://creighton-primo.hosted.exlibrisgroup.com/primo-explore/search?tab=default_tab&amp;search_scope=EVERYTHING&amp;vid=01CRU&amp;lang=en_US&amp;offset=0&amp;query=any,contains,991002957679702656","Catalog Record")</f>
        <v/>
      </c>
      <c r="AT2042">
        <f>HYPERLINK("http://www.worldcat.org/oclc/39505710","WorldCat Record")</f>
        <v/>
      </c>
      <c r="AU2042" t="inlineStr">
        <is>
          <t>498119900:eng</t>
        </is>
      </c>
      <c r="AV2042" t="inlineStr">
        <is>
          <t>39505710</t>
        </is>
      </c>
      <c r="AW2042" t="inlineStr">
        <is>
          <t>991002957679702656</t>
        </is>
      </c>
      <c r="AX2042" t="inlineStr">
        <is>
          <t>991002957679702656</t>
        </is>
      </c>
      <c r="AY2042" t="inlineStr">
        <is>
          <t>2266102480002656</t>
        </is>
      </c>
      <c r="AZ2042" t="inlineStr">
        <is>
          <t>BOOK</t>
        </is>
      </c>
      <c r="BB2042" t="inlineStr">
        <is>
          <t>9781558761629</t>
        </is>
      </c>
      <c r="BC2042" t="inlineStr">
        <is>
          <t>32285003636999</t>
        </is>
      </c>
      <c r="BD2042" t="inlineStr">
        <is>
          <t>893805264</t>
        </is>
      </c>
    </row>
    <row r="2043">
      <c r="A2043" t="inlineStr">
        <is>
          <t>No</t>
        </is>
      </c>
      <c r="B2043" t="inlineStr">
        <is>
          <t>DS760 .B3</t>
        </is>
      </c>
      <c r="C2043" t="inlineStr">
        <is>
          <t>0                      DS 0760000B  3</t>
        </is>
      </c>
      <c r="D2043" t="inlineStr">
        <is>
          <t>China and the West, 1858-1861: the origins of the Tsungli yamen.</t>
        </is>
      </c>
      <c r="F2043" t="inlineStr">
        <is>
          <t>No</t>
        </is>
      </c>
      <c r="G2043" t="inlineStr">
        <is>
          <t>1</t>
        </is>
      </c>
      <c r="H2043" t="inlineStr">
        <is>
          <t>No</t>
        </is>
      </c>
      <c r="I2043" t="inlineStr">
        <is>
          <t>No</t>
        </is>
      </c>
      <c r="J2043" t="inlineStr">
        <is>
          <t>0</t>
        </is>
      </c>
      <c r="K2043" t="inlineStr">
        <is>
          <t>Banno, Masataka, 1916-1985.</t>
        </is>
      </c>
      <c r="L2043" t="inlineStr">
        <is>
          <t>Cambridge, Harvard University Press, 1964.</t>
        </is>
      </c>
      <c r="M2043" t="inlineStr">
        <is>
          <t>1964</t>
        </is>
      </c>
      <c r="O2043" t="inlineStr">
        <is>
          <t>eng</t>
        </is>
      </c>
      <c r="P2043" t="inlineStr">
        <is>
          <t>mau</t>
        </is>
      </c>
      <c r="Q2043" t="inlineStr">
        <is>
          <t>Harvard East Asian series ; 15</t>
        </is>
      </c>
      <c r="R2043" t="inlineStr">
        <is>
          <t xml:space="preserve">DS </t>
        </is>
      </c>
      <c r="S2043" t="n">
        <v>4</v>
      </c>
      <c r="T2043" t="n">
        <v>4</v>
      </c>
      <c r="U2043" t="inlineStr">
        <is>
          <t>2006-11-27</t>
        </is>
      </c>
      <c r="V2043" t="inlineStr">
        <is>
          <t>2006-11-27</t>
        </is>
      </c>
      <c r="W2043" t="inlineStr">
        <is>
          <t>1992-03-31</t>
        </is>
      </c>
      <c r="X2043" t="inlineStr">
        <is>
          <t>1992-03-31</t>
        </is>
      </c>
      <c r="Y2043" t="n">
        <v>636</v>
      </c>
      <c r="Z2043" t="n">
        <v>517</v>
      </c>
      <c r="AA2043" t="n">
        <v>531</v>
      </c>
      <c r="AB2043" t="n">
        <v>3</v>
      </c>
      <c r="AC2043" t="n">
        <v>3</v>
      </c>
      <c r="AD2043" t="n">
        <v>28</v>
      </c>
      <c r="AE2043" t="n">
        <v>28</v>
      </c>
      <c r="AF2043" t="n">
        <v>12</v>
      </c>
      <c r="AG2043" t="n">
        <v>12</v>
      </c>
      <c r="AH2043" t="n">
        <v>8</v>
      </c>
      <c r="AI2043" t="n">
        <v>8</v>
      </c>
      <c r="AJ2043" t="n">
        <v>16</v>
      </c>
      <c r="AK2043" t="n">
        <v>16</v>
      </c>
      <c r="AL2043" t="n">
        <v>2</v>
      </c>
      <c r="AM2043" t="n">
        <v>2</v>
      </c>
      <c r="AN2043" t="n">
        <v>0</v>
      </c>
      <c r="AO2043" t="n">
        <v>0</v>
      </c>
      <c r="AP2043" t="inlineStr">
        <is>
          <t>No</t>
        </is>
      </c>
      <c r="AQ2043" t="inlineStr">
        <is>
          <t>Yes</t>
        </is>
      </c>
      <c r="AR2043">
        <f>HYPERLINK("http://catalog.hathitrust.org/Record/001652797","HathiTrust Record")</f>
        <v/>
      </c>
      <c r="AS2043">
        <f>HYPERLINK("https://creighton-primo.hosted.exlibrisgroup.com/primo-explore/search?tab=default_tab&amp;search_scope=EVERYTHING&amp;vid=01CRU&amp;lang=en_US&amp;offset=0&amp;query=any,contains,991002718859702656","Catalog Record")</f>
        <v/>
      </c>
      <c r="AT2043">
        <f>HYPERLINK("http://www.worldcat.org/oclc/411988","WorldCat Record")</f>
        <v/>
      </c>
      <c r="AU2043" t="inlineStr">
        <is>
          <t>193973348:eng</t>
        </is>
      </c>
      <c r="AV2043" t="inlineStr">
        <is>
          <t>411988</t>
        </is>
      </c>
      <c r="AW2043" t="inlineStr">
        <is>
          <t>991002718859702656</t>
        </is>
      </c>
      <c r="AX2043" t="inlineStr">
        <is>
          <t>991002718859702656</t>
        </is>
      </c>
      <c r="AY2043" t="inlineStr">
        <is>
          <t>2264652480002656</t>
        </is>
      </c>
      <c r="AZ2043" t="inlineStr">
        <is>
          <t>BOOK</t>
        </is>
      </c>
      <c r="BC2043" t="inlineStr">
        <is>
          <t>32285001050052</t>
        </is>
      </c>
      <c r="BD2043" t="inlineStr">
        <is>
          <t>893427927</t>
        </is>
      </c>
    </row>
    <row r="2044">
      <c r="A2044" t="inlineStr">
        <is>
          <t>No</t>
        </is>
      </c>
      <c r="B2044" t="inlineStr">
        <is>
          <t>DS761 .P8</t>
        </is>
      </c>
      <c r="C2044" t="inlineStr">
        <is>
          <t>0                      DS 0761000P  8</t>
        </is>
      </c>
      <c r="D2044" t="inlineStr">
        <is>
          <t>The Boxer Uprising, a background study.</t>
        </is>
      </c>
      <c r="F2044" t="inlineStr">
        <is>
          <t>No</t>
        </is>
      </c>
      <c r="G2044" t="inlineStr">
        <is>
          <t>1</t>
        </is>
      </c>
      <c r="H2044" t="inlineStr">
        <is>
          <t>No</t>
        </is>
      </c>
      <c r="I2044" t="inlineStr">
        <is>
          <t>No</t>
        </is>
      </c>
      <c r="J2044" t="inlineStr">
        <is>
          <t>0</t>
        </is>
      </c>
      <c r="K2044" t="inlineStr">
        <is>
          <t>Purcell, Victor, 1896-1965.</t>
        </is>
      </c>
      <c r="L2044" t="inlineStr">
        <is>
          <t>Cambridge [Eng.] University Press, 1963.</t>
        </is>
      </c>
      <c r="M2044" t="inlineStr">
        <is>
          <t>1963</t>
        </is>
      </c>
      <c r="O2044" t="inlineStr">
        <is>
          <t>eng</t>
        </is>
      </c>
      <c r="P2044" t="inlineStr">
        <is>
          <t>enk</t>
        </is>
      </c>
      <c r="R2044" t="inlineStr">
        <is>
          <t xml:space="preserve">DS </t>
        </is>
      </c>
      <c r="S2044" t="n">
        <v>3</v>
      </c>
      <c r="T2044" t="n">
        <v>3</v>
      </c>
      <c r="U2044" t="inlineStr">
        <is>
          <t>2007-04-10</t>
        </is>
      </c>
      <c r="V2044" t="inlineStr">
        <is>
          <t>2007-04-10</t>
        </is>
      </c>
      <c r="W2044" t="inlineStr">
        <is>
          <t>1997-03-13</t>
        </is>
      </c>
      <c r="X2044" t="inlineStr">
        <is>
          <t>1997-03-13</t>
        </is>
      </c>
      <c r="Y2044" t="n">
        <v>919</v>
      </c>
      <c r="Z2044" t="n">
        <v>761</v>
      </c>
      <c r="AA2044" t="n">
        <v>892</v>
      </c>
      <c r="AB2044" t="n">
        <v>7</v>
      </c>
      <c r="AC2044" t="n">
        <v>7</v>
      </c>
      <c r="AD2044" t="n">
        <v>37</v>
      </c>
      <c r="AE2044" t="n">
        <v>39</v>
      </c>
      <c r="AF2044" t="n">
        <v>17</v>
      </c>
      <c r="AG2044" t="n">
        <v>18</v>
      </c>
      <c r="AH2044" t="n">
        <v>8</v>
      </c>
      <c r="AI2044" t="n">
        <v>10</v>
      </c>
      <c r="AJ2044" t="n">
        <v>17</v>
      </c>
      <c r="AK2044" t="n">
        <v>17</v>
      </c>
      <c r="AL2044" t="n">
        <v>5</v>
      </c>
      <c r="AM2044" t="n">
        <v>5</v>
      </c>
      <c r="AN2044" t="n">
        <v>0</v>
      </c>
      <c r="AO2044" t="n">
        <v>0</v>
      </c>
      <c r="AP2044" t="inlineStr">
        <is>
          <t>No</t>
        </is>
      </c>
      <c r="AQ2044" t="inlineStr">
        <is>
          <t>Yes</t>
        </is>
      </c>
      <c r="AR2044">
        <f>HYPERLINK("http://catalog.hathitrust.org/Record/001258033","HathiTrust Record")</f>
        <v/>
      </c>
      <c r="AS2044">
        <f>HYPERLINK("https://creighton-primo.hosted.exlibrisgroup.com/primo-explore/search?tab=default_tab&amp;search_scope=EVERYTHING&amp;vid=01CRU&amp;lang=en_US&amp;offset=0&amp;query=any,contains,991002717709702656","Catalog Record")</f>
        <v/>
      </c>
      <c r="AT2044">
        <f>HYPERLINK("http://www.worldcat.org/oclc/411717","WorldCat Record")</f>
        <v/>
      </c>
      <c r="AU2044" t="inlineStr">
        <is>
          <t>1459245:eng</t>
        </is>
      </c>
      <c r="AV2044" t="inlineStr">
        <is>
          <t>411717</t>
        </is>
      </c>
      <c r="AW2044" t="inlineStr">
        <is>
          <t>991002717709702656</t>
        </is>
      </c>
      <c r="AX2044" t="inlineStr">
        <is>
          <t>991002717709702656</t>
        </is>
      </c>
      <c r="AY2044" t="inlineStr">
        <is>
          <t>2264721830002656</t>
        </is>
      </c>
      <c r="AZ2044" t="inlineStr">
        <is>
          <t>BOOK</t>
        </is>
      </c>
      <c r="BC2044" t="inlineStr">
        <is>
          <t>32285002447448</t>
        </is>
      </c>
      <c r="BD2044" t="inlineStr">
        <is>
          <t>893691915</t>
        </is>
      </c>
    </row>
    <row r="2045">
      <c r="A2045" t="inlineStr">
        <is>
          <t>No</t>
        </is>
      </c>
      <c r="B2045" t="inlineStr">
        <is>
          <t>DS762 .C6</t>
        </is>
      </c>
      <c r="C2045" t="inlineStr">
        <is>
          <t>0                      DS 0762000C  6</t>
        </is>
      </c>
      <c r="D2045" t="inlineStr">
        <is>
          <t>China and Christianity : the missionary movement and the growth of Chinese antiforeignism, 1860-1870.</t>
        </is>
      </c>
      <c r="F2045" t="inlineStr">
        <is>
          <t>No</t>
        </is>
      </c>
      <c r="G2045" t="inlineStr">
        <is>
          <t>1</t>
        </is>
      </c>
      <c r="H2045" t="inlineStr">
        <is>
          <t>No</t>
        </is>
      </c>
      <c r="I2045" t="inlineStr">
        <is>
          <t>No</t>
        </is>
      </c>
      <c r="J2045" t="inlineStr">
        <is>
          <t>0</t>
        </is>
      </c>
      <c r="K2045" t="inlineStr">
        <is>
          <t>Cohen, Paul A.</t>
        </is>
      </c>
      <c r="L2045" t="inlineStr">
        <is>
          <t>Cambridge : Harvard University Press, 1963.</t>
        </is>
      </c>
      <c r="M2045" t="inlineStr">
        <is>
          <t>1963</t>
        </is>
      </c>
      <c r="O2045" t="inlineStr">
        <is>
          <t>eng</t>
        </is>
      </c>
      <c r="P2045" t="inlineStr">
        <is>
          <t>mau</t>
        </is>
      </c>
      <c r="Q2045" t="inlineStr">
        <is>
          <t>Harvard East Asian series ; 11</t>
        </is>
      </c>
      <c r="R2045" t="inlineStr">
        <is>
          <t xml:space="preserve">DS </t>
        </is>
      </c>
      <c r="S2045" t="n">
        <v>2</v>
      </c>
      <c r="T2045" t="n">
        <v>2</v>
      </c>
      <c r="U2045" t="inlineStr">
        <is>
          <t>2005-02-18</t>
        </is>
      </c>
      <c r="V2045" t="inlineStr">
        <is>
          <t>2005-02-18</t>
        </is>
      </c>
      <c r="W2045" t="inlineStr">
        <is>
          <t>1994-04-21</t>
        </is>
      </c>
      <c r="X2045" t="inlineStr">
        <is>
          <t>1994-04-21</t>
        </is>
      </c>
      <c r="Y2045" t="n">
        <v>968</v>
      </c>
      <c r="Z2045" t="n">
        <v>818</v>
      </c>
      <c r="AA2045" t="n">
        <v>829</v>
      </c>
      <c r="AB2045" t="n">
        <v>5</v>
      </c>
      <c r="AC2045" t="n">
        <v>5</v>
      </c>
      <c r="AD2045" t="n">
        <v>41</v>
      </c>
      <c r="AE2045" t="n">
        <v>41</v>
      </c>
      <c r="AF2045" t="n">
        <v>18</v>
      </c>
      <c r="AG2045" t="n">
        <v>18</v>
      </c>
      <c r="AH2045" t="n">
        <v>9</v>
      </c>
      <c r="AI2045" t="n">
        <v>9</v>
      </c>
      <c r="AJ2045" t="n">
        <v>21</v>
      </c>
      <c r="AK2045" t="n">
        <v>21</v>
      </c>
      <c r="AL2045" t="n">
        <v>4</v>
      </c>
      <c r="AM2045" t="n">
        <v>4</v>
      </c>
      <c r="AN2045" t="n">
        <v>0</v>
      </c>
      <c r="AO2045" t="n">
        <v>0</v>
      </c>
      <c r="AP2045" t="inlineStr">
        <is>
          <t>No</t>
        </is>
      </c>
      <c r="AQ2045" t="inlineStr">
        <is>
          <t>Yes</t>
        </is>
      </c>
      <c r="AR2045">
        <f>HYPERLINK("http://catalog.hathitrust.org/Record/001257998","HathiTrust Record")</f>
        <v/>
      </c>
      <c r="AS2045">
        <f>HYPERLINK("https://creighton-primo.hosted.exlibrisgroup.com/primo-explore/search?tab=default_tab&amp;search_scope=EVERYTHING&amp;vid=01CRU&amp;lang=en_US&amp;offset=0&amp;query=any,contains,991003177049702656","Catalog Record")</f>
        <v/>
      </c>
      <c r="AT2045">
        <f>HYPERLINK("http://www.worldcat.org/oclc/710958","WorldCat Record")</f>
        <v/>
      </c>
      <c r="AU2045" t="inlineStr">
        <is>
          <t>836663759:eng</t>
        </is>
      </c>
      <c r="AV2045" t="inlineStr">
        <is>
          <t>710958</t>
        </is>
      </c>
      <c r="AW2045" t="inlineStr">
        <is>
          <t>991003177049702656</t>
        </is>
      </c>
      <c r="AX2045" t="inlineStr">
        <is>
          <t>991003177049702656</t>
        </is>
      </c>
      <c r="AY2045" t="inlineStr">
        <is>
          <t>2262450400002656</t>
        </is>
      </c>
      <c r="AZ2045" t="inlineStr">
        <is>
          <t>BOOK</t>
        </is>
      </c>
      <c r="BC2045" t="inlineStr">
        <is>
          <t>32285001890705</t>
        </is>
      </c>
      <c r="BD2045" t="inlineStr">
        <is>
          <t>893698724</t>
        </is>
      </c>
    </row>
    <row r="2046">
      <c r="A2046" t="inlineStr">
        <is>
          <t>No</t>
        </is>
      </c>
      <c r="B2046" t="inlineStr">
        <is>
          <t>DS763.P2 L3 1973</t>
        </is>
      </c>
      <c r="C2046" t="inlineStr">
        <is>
          <t>0                      DS 0763000P  2                  L  3           1973</t>
        </is>
      </c>
      <c r="D2046" t="inlineStr">
        <is>
          <t>The life of Sir Harry Parkes, K.C.B., G.C.M.G., sometime Her Majesty's mminister to China &amp; Japan.</t>
        </is>
      </c>
      <c r="E2046" t="inlineStr">
        <is>
          <t>V.1</t>
        </is>
      </c>
      <c r="F2046" t="inlineStr">
        <is>
          <t>Yes</t>
        </is>
      </c>
      <c r="G2046" t="inlineStr">
        <is>
          <t>1</t>
        </is>
      </c>
      <c r="H2046" t="inlineStr">
        <is>
          <t>No</t>
        </is>
      </c>
      <c r="I2046" t="inlineStr">
        <is>
          <t>No</t>
        </is>
      </c>
      <c r="J2046" t="inlineStr">
        <is>
          <t>0</t>
        </is>
      </c>
      <c r="K2046" t="inlineStr">
        <is>
          <t>Lane-Poole, Stanley, 1854-1931.</t>
        </is>
      </c>
      <c r="L2046" t="inlineStr">
        <is>
          <t>Wilmington, Del., Scholarly Resources [1973]</t>
        </is>
      </c>
      <c r="M2046" t="inlineStr">
        <is>
          <t>1973</t>
        </is>
      </c>
      <c r="O2046" t="inlineStr">
        <is>
          <t>eng</t>
        </is>
      </c>
      <c r="P2046" t="inlineStr">
        <is>
          <t xml:space="preserve">xx </t>
        </is>
      </c>
      <c r="R2046" t="inlineStr">
        <is>
          <t xml:space="preserve">DS </t>
        </is>
      </c>
      <c r="S2046" t="n">
        <v>0</v>
      </c>
      <c r="T2046" t="n">
        <v>0</v>
      </c>
      <c r="U2046" t="inlineStr">
        <is>
          <t>2001-08-14</t>
        </is>
      </c>
      <c r="V2046" t="inlineStr">
        <is>
          <t>2001-08-14</t>
        </is>
      </c>
      <c r="W2046" t="inlineStr">
        <is>
          <t>1996-08-09</t>
        </is>
      </c>
      <c r="X2046" t="inlineStr">
        <is>
          <t>1996-08-09</t>
        </is>
      </c>
      <c r="Y2046" t="n">
        <v>49</v>
      </c>
      <c r="Z2046" t="n">
        <v>45</v>
      </c>
      <c r="AA2046" t="n">
        <v>139</v>
      </c>
      <c r="AB2046" t="n">
        <v>1</v>
      </c>
      <c r="AC2046" t="n">
        <v>2</v>
      </c>
      <c r="AD2046" t="n">
        <v>1</v>
      </c>
      <c r="AE2046" t="n">
        <v>4</v>
      </c>
      <c r="AF2046" t="n">
        <v>0</v>
      </c>
      <c r="AG2046" t="n">
        <v>0</v>
      </c>
      <c r="AH2046" t="n">
        <v>1</v>
      </c>
      <c r="AI2046" t="n">
        <v>3</v>
      </c>
      <c r="AJ2046" t="n">
        <v>0</v>
      </c>
      <c r="AK2046" t="n">
        <v>2</v>
      </c>
      <c r="AL2046" t="n">
        <v>0</v>
      </c>
      <c r="AM2046" t="n">
        <v>1</v>
      </c>
      <c r="AN2046" t="n">
        <v>0</v>
      </c>
      <c r="AO2046" t="n">
        <v>0</v>
      </c>
      <c r="AP2046" t="inlineStr">
        <is>
          <t>No</t>
        </is>
      </c>
      <c r="AQ2046" t="inlineStr">
        <is>
          <t>No</t>
        </is>
      </c>
      <c r="AS2046">
        <f>HYPERLINK("https://creighton-primo.hosted.exlibrisgroup.com/primo-explore/search?tab=default_tab&amp;search_scope=EVERYTHING&amp;vid=01CRU&amp;lang=en_US&amp;offset=0&amp;query=any,contains,991003095969702656","Catalog Record")</f>
        <v/>
      </c>
      <c r="AT2046">
        <f>HYPERLINK("http://www.worldcat.org/oclc/645510","WorldCat Record")</f>
        <v/>
      </c>
      <c r="AU2046" t="inlineStr">
        <is>
          <t>10043204:eng</t>
        </is>
      </c>
      <c r="AV2046" t="inlineStr">
        <is>
          <t>645510</t>
        </is>
      </c>
      <c r="AW2046" t="inlineStr">
        <is>
          <t>991003095969702656</t>
        </is>
      </c>
      <c r="AX2046" t="inlineStr">
        <is>
          <t>991003095969702656</t>
        </is>
      </c>
      <c r="AY2046" t="inlineStr">
        <is>
          <t>2259705850002656</t>
        </is>
      </c>
      <c r="AZ2046" t="inlineStr">
        <is>
          <t>BOOK</t>
        </is>
      </c>
      <c r="BC2046" t="inlineStr">
        <is>
          <t>32285002273687</t>
        </is>
      </c>
      <c r="BD2046" t="inlineStr">
        <is>
          <t>893239882</t>
        </is>
      </c>
    </row>
    <row r="2047">
      <c r="A2047" t="inlineStr">
        <is>
          <t>No</t>
        </is>
      </c>
      <c r="B2047" t="inlineStr">
        <is>
          <t>DS763.P2 L3 1973</t>
        </is>
      </c>
      <c r="C2047" t="inlineStr">
        <is>
          <t>0                      DS 0763000P  2                  L  3           1973</t>
        </is>
      </c>
      <c r="D2047" t="inlineStr">
        <is>
          <t>The life of Sir Harry Parkes, K.C.B., G.C.M.G., sometime Her Majesty's mminister to China &amp; Japan.</t>
        </is>
      </c>
      <c r="E2047" t="inlineStr">
        <is>
          <t>V.2</t>
        </is>
      </c>
      <c r="F2047" t="inlineStr">
        <is>
          <t>Yes</t>
        </is>
      </c>
      <c r="G2047" t="inlineStr">
        <is>
          <t>1</t>
        </is>
      </c>
      <c r="H2047" t="inlineStr">
        <is>
          <t>No</t>
        </is>
      </c>
      <c r="I2047" t="inlineStr">
        <is>
          <t>No</t>
        </is>
      </c>
      <c r="J2047" t="inlineStr">
        <is>
          <t>0</t>
        </is>
      </c>
      <c r="K2047" t="inlineStr">
        <is>
          <t>Lane-Poole, Stanley, 1854-1931.</t>
        </is>
      </c>
      <c r="L2047" t="inlineStr">
        <is>
          <t>Wilmington, Del., Scholarly Resources [1973]</t>
        </is>
      </c>
      <c r="M2047" t="inlineStr">
        <is>
          <t>1973</t>
        </is>
      </c>
      <c r="O2047" t="inlineStr">
        <is>
          <t>eng</t>
        </is>
      </c>
      <c r="P2047" t="inlineStr">
        <is>
          <t xml:space="preserve">xx </t>
        </is>
      </c>
      <c r="R2047" t="inlineStr">
        <is>
          <t xml:space="preserve">DS </t>
        </is>
      </c>
      <c r="S2047" t="n">
        <v>0</v>
      </c>
      <c r="T2047" t="n">
        <v>0</v>
      </c>
      <c r="U2047" t="inlineStr">
        <is>
          <t>2001-08-14</t>
        </is>
      </c>
      <c r="V2047" t="inlineStr">
        <is>
          <t>2001-08-14</t>
        </is>
      </c>
      <c r="W2047" t="inlineStr">
        <is>
          <t>1996-08-09</t>
        </is>
      </c>
      <c r="X2047" t="inlineStr">
        <is>
          <t>1996-08-09</t>
        </is>
      </c>
      <c r="Y2047" t="n">
        <v>49</v>
      </c>
      <c r="Z2047" t="n">
        <v>45</v>
      </c>
      <c r="AA2047" t="n">
        <v>139</v>
      </c>
      <c r="AB2047" t="n">
        <v>1</v>
      </c>
      <c r="AC2047" t="n">
        <v>2</v>
      </c>
      <c r="AD2047" t="n">
        <v>1</v>
      </c>
      <c r="AE2047" t="n">
        <v>4</v>
      </c>
      <c r="AF2047" t="n">
        <v>0</v>
      </c>
      <c r="AG2047" t="n">
        <v>0</v>
      </c>
      <c r="AH2047" t="n">
        <v>1</v>
      </c>
      <c r="AI2047" t="n">
        <v>3</v>
      </c>
      <c r="AJ2047" t="n">
        <v>0</v>
      </c>
      <c r="AK2047" t="n">
        <v>2</v>
      </c>
      <c r="AL2047" t="n">
        <v>0</v>
      </c>
      <c r="AM2047" t="n">
        <v>1</v>
      </c>
      <c r="AN2047" t="n">
        <v>0</v>
      </c>
      <c r="AO2047" t="n">
        <v>0</v>
      </c>
      <c r="AP2047" t="inlineStr">
        <is>
          <t>No</t>
        </is>
      </c>
      <c r="AQ2047" t="inlineStr">
        <is>
          <t>No</t>
        </is>
      </c>
      <c r="AS2047">
        <f>HYPERLINK("https://creighton-primo.hosted.exlibrisgroup.com/primo-explore/search?tab=default_tab&amp;search_scope=EVERYTHING&amp;vid=01CRU&amp;lang=en_US&amp;offset=0&amp;query=any,contains,991003095969702656","Catalog Record")</f>
        <v/>
      </c>
      <c r="AT2047">
        <f>HYPERLINK("http://www.worldcat.org/oclc/645510","WorldCat Record")</f>
        <v/>
      </c>
      <c r="AU2047" t="inlineStr">
        <is>
          <t>10043204:eng</t>
        </is>
      </c>
      <c r="AV2047" t="inlineStr">
        <is>
          <t>645510</t>
        </is>
      </c>
      <c r="AW2047" t="inlineStr">
        <is>
          <t>991003095969702656</t>
        </is>
      </c>
      <c r="AX2047" t="inlineStr">
        <is>
          <t>991003095969702656</t>
        </is>
      </c>
      <c r="AY2047" t="inlineStr">
        <is>
          <t>2259705850002656</t>
        </is>
      </c>
      <c r="AZ2047" t="inlineStr">
        <is>
          <t>BOOK</t>
        </is>
      </c>
      <c r="BC2047" t="inlineStr">
        <is>
          <t>32285002273695</t>
        </is>
      </c>
      <c r="BD2047" t="inlineStr">
        <is>
          <t>893246022</t>
        </is>
      </c>
    </row>
    <row r="2048">
      <c r="A2048" t="inlineStr">
        <is>
          <t>No</t>
        </is>
      </c>
      <c r="B2048" t="inlineStr">
        <is>
          <t>DS763.T8 V32 1936a</t>
        </is>
      </c>
      <c r="C2048" t="inlineStr">
        <is>
          <t>0                      DS 0763000T  8                  V  32          1936a</t>
        </is>
      </c>
      <c r="D2048" t="inlineStr">
        <is>
          <t>The last empress.</t>
        </is>
      </c>
      <c r="F2048" t="inlineStr">
        <is>
          <t>No</t>
        </is>
      </c>
      <c r="G2048" t="inlineStr">
        <is>
          <t>1</t>
        </is>
      </c>
      <c r="H2048" t="inlineStr">
        <is>
          <t>No</t>
        </is>
      </c>
      <c r="I2048" t="inlineStr">
        <is>
          <t>No</t>
        </is>
      </c>
      <c r="J2048" t="inlineStr">
        <is>
          <t>0</t>
        </is>
      </c>
      <c r="K2048" t="inlineStr">
        <is>
          <t>Varè, Daniele, 1880-1956.</t>
        </is>
      </c>
      <c r="L2048" t="inlineStr">
        <is>
          <t>New York, Doubleday, Doran &amp; Company, inc., 1936.</t>
        </is>
      </c>
      <c r="M2048" t="inlineStr">
        <is>
          <t>1936</t>
        </is>
      </c>
      <c r="O2048" t="inlineStr">
        <is>
          <t>eng</t>
        </is>
      </c>
      <c r="P2048" t="inlineStr">
        <is>
          <t>nyu</t>
        </is>
      </c>
      <c r="R2048" t="inlineStr">
        <is>
          <t xml:space="preserve">DS </t>
        </is>
      </c>
      <c r="S2048" t="n">
        <v>8</v>
      </c>
      <c r="T2048" t="n">
        <v>8</v>
      </c>
      <c r="U2048" t="inlineStr">
        <is>
          <t>2007-12-04</t>
        </is>
      </c>
      <c r="V2048" t="inlineStr">
        <is>
          <t>2007-12-04</t>
        </is>
      </c>
      <c r="W2048" t="inlineStr">
        <is>
          <t>1997-03-13</t>
        </is>
      </c>
      <c r="X2048" t="inlineStr">
        <is>
          <t>1997-03-13</t>
        </is>
      </c>
      <c r="Y2048" t="n">
        <v>283</v>
      </c>
      <c r="Z2048" t="n">
        <v>268</v>
      </c>
      <c r="AA2048" t="n">
        <v>517</v>
      </c>
      <c r="AB2048" t="n">
        <v>2</v>
      </c>
      <c r="AC2048" t="n">
        <v>3</v>
      </c>
      <c r="AD2048" t="n">
        <v>13</v>
      </c>
      <c r="AE2048" t="n">
        <v>25</v>
      </c>
      <c r="AF2048" t="n">
        <v>5</v>
      </c>
      <c r="AG2048" t="n">
        <v>12</v>
      </c>
      <c r="AH2048" t="n">
        <v>3</v>
      </c>
      <c r="AI2048" t="n">
        <v>5</v>
      </c>
      <c r="AJ2048" t="n">
        <v>10</v>
      </c>
      <c r="AK2048" t="n">
        <v>16</v>
      </c>
      <c r="AL2048" t="n">
        <v>1</v>
      </c>
      <c r="AM2048" t="n">
        <v>2</v>
      </c>
      <c r="AN2048" t="n">
        <v>0</v>
      </c>
      <c r="AO2048" t="n">
        <v>0</v>
      </c>
      <c r="AP2048" t="inlineStr">
        <is>
          <t>No</t>
        </is>
      </c>
      <c r="AQ2048" t="inlineStr">
        <is>
          <t>Yes</t>
        </is>
      </c>
      <c r="AR2048">
        <f>HYPERLINK("http://catalog.hathitrust.org/Record/006770601","HathiTrust Record")</f>
        <v/>
      </c>
      <c r="AS2048">
        <f>HYPERLINK("https://creighton-primo.hosted.exlibrisgroup.com/primo-explore/search?tab=default_tab&amp;search_scope=EVERYTHING&amp;vid=01CRU&amp;lang=en_US&amp;offset=0&amp;query=any,contains,991004327819702656","Catalog Record")</f>
        <v/>
      </c>
      <c r="AT2048">
        <f>HYPERLINK("http://www.worldcat.org/oclc/3048625","WorldCat Record")</f>
        <v/>
      </c>
      <c r="AU2048" t="inlineStr">
        <is>
          <t>8066445:eng</t>
        </is>
      </c>
      <c r="AV2048" t="inlineStr">
        <is>
          <t>3048625</t>
        </is>
      </c>
      <c r="AW2048" t="inlineStr">
        <is>
          <t>991004327819702656</t>
        </is>
      </c>
      <c r="AX2048" t="inlineStr">
        <is>
          <t>991004327819702656</t>
        </is>
      </c>
      <c r="AY2048" t="inlineStr">
        <is>
          <t>2262470280002656</t>
        </is>
      </c>
      <c r="AZ2048" t="inlineStr">
        <is>
          <t>BOOK</t>
        </is>
      </c>
      <c r="BC2048" t="inlineStr">
        <is>
          <t>32285002447497</t>
        </is>
      </c>
      <c r="BD2048" t="inlineStr">
        <is>
          <t>893525955</t>
        </is>
      </c>
    </row>
    <row r="2049">
      <c r="A2049" t="inlineStr">
        <is>
          <t>No</t>
        </is>
      </c>
      <c r="B2049" t="inlineStr">
        <is>
          <t>DS763.T8 W37 1972</t>
        </is>
      </c>
      <c r="C2049" t="inlineStr">
        <is>
          <t>0                      DS 0763000T  8                  W  37          1972</t>
        </is>
      </c>
      <c r="D2049" t="inlineStr">
        <is>
          <t>The Dragon Empress; the life and times of Tzʻu-hsi, Empress Dowager of China, 1835-1908.</t>
        </is>
      </c>
      <c r="F2049" t="inlineStr">
        <is>
          <t>No</t>
        </is>
      </c>
      <c r="G2049" t="inlineStr">
        <is>
          <t>1</t>
        </is>
      </c>
      <c r="H2049" t="inlineStr">
        <is>
          <t>No</t>
        </is>
      </c>
      <c r="I2049" t="inlineStr">
        <is>
          <t>No</t>
        </is>
      </c>
      <c r="J2049" t="inlineStr">
        <is>
          <t>0</t>
        </is>
      </c>
      <c r="K2049" t="inlineStr">
        <is>
          <t>Warner, Marina, 1946-</t>
        </is>
      </c>
      <c r="L2049" t="inlineStr">
        <is>
          <t>New York, Macmillan [1972]</t>
        </is>
      </c>
      <c r="M2049" t="inlineStr">
        <is>
          <t>1972</t>
        </is>
      </c>
      <c r="N2049" t="inlineStr">
        <is>
          <t>[1st American ed.]</t>
        </is>
      </c>
      <c r="O2049" t="inlineStr">
        <is>
          <t>eng</t>
        </is>
      </c>
      <c r="P2049" t="inlineStr">
        <is>
          <t>nyu</t>
        </is>
      </c>
      <c r="R2049" t="inlineStr">
        <is>
          <t xml:space="preserve">DS </t>
        </is>
      </c>
      <c r="S2049" t="n">
        <v>9</v>
      </c>
      <c r="T2049" t="n">
        <v>9</v>
      </c>
      <c r="U2049" t="inlineStr">
        <is>
          <t>2005-12-08</t>
        </is>
      </c>
      <c r="V2049" t="inlineStr">
        <is>
          <t>2005-12-08</t>
        </is>
      </c>
      <c r="W2049" t="inlineStr">
        <is>
          <t>1997-03-13</t>
        </is>
      </c>
      <c r="X2049" t="inlineStr">
        <is>
          <t>1997-03-13</t>
        </is>
      </c>
      <c r="Y2049" t="n">
        <v>790</v>
      </c>
      <c r="Z2049" t="n">
        <v>749</v>
      </c>
      <c r="AA2049" t="n">
        <v>968</v>
      </c>
      <c r="AB2049" t="n">
        <v>6</v>
      </c>
      <c r="AC2049" t="n">
        <v>7</v>
      </c>
      <c r="AD2049" t="n">
        <v>22</v>
      </c>
      <c r="AE2049" t="n">
        <v>30</v>
      </c>
      <c r="AF2049" t="n">
        <v>9</v>
      </c>
      <c r="AG2049" t="n">
        <v>13</v>
      </c>
      <c r="AH2049" t="n">
        <v>4</v>
      </c>
      <c r="AI2049" t="n">
        <v>5</v>
      </c>
      <c r="AJ2049" t="n">
        <v>11</v>
      </c>
      <c r="AK2049" t="n">
        <v>15</v>
      </c>
      <c r="AL2049" t="n">
        <v>4</v>
      </c>
      <c r="AM2049" t="n">
        <v>5</v>
      </c>
      <c r="AN2049" t="n">
        <v>0</v>
      </c>
      <c r="AO2049" t="n">
        <v>0</v>
      </c>
      <c r="AP2049" t="inlineStr">
        <is>
          <t>No</t>
        </is>
      </c>
      <c r="AQ2049" t="inlineStr">
        <is>
          <t>Yes</t>
        </is>
      </c>
      <c r="AR2049">
        <f>HYPERLINK("http://catalog.hathitrust.org/Record/007156768","HathiTrust Record")</f>
        <v/>
      </c>
      <c r="AS2049">
        <f>HYPERLINK("https://creighton-primo.hosted.exlibrisgroup.com/primo-explore/search?tab=default_tab&amp;search_scope=EVERYTHING&amp;vid=01CRU&amp;lang=en_US&amp;offset=0&amp;query=any,contains,991002897799702656","Catalog Record")</f>
        <v/>
      </c>
      <c r="AT2049">
        <f>HYPERLINK("http://www.worldcat.org/oclc/514835","WorldCat Record")</f>
        <v/>
      </c>
      <c r="AU2049" t="inlineStr">
        <is>
          <t>1802133:eng</t>
        </is>
      </c>
      <c r="AV2049" t="inlineStr">
        <is>
          <t>514835</t>
        </is>
      </c>
      <c r="AW2049" t="inlineStr">
        <is>
          <t>991002897799702656</t>
        </is>
      </c>
      <c r="AX2049" t="inlineStr">
        <is>
          <t>991002897799702656</t>
        </is>
      </c>
      <c r="AY2049" t="inlineStr">
        <is>
          <t>2261997610002656</t>
        </is>
      </c>
      <c r="AZ2049" t="inlineStr">
        <is>
          <t>BOOK</t>
        </is>
      </c>
      <c r="BC2049" t="inlineStr">
        <is>
          <t>32285002447505</t>
        </is>
      </c>
      <c r="BD2049" t="inlineStr">
        <is>
          <t>893329692</t>
        </is>
      </c>
    </row>
    <row r="2050">
      <c r="A2050" t="inlineStr">
        <is>
          <t>No</t>
        </is>
      </c>
      <c r="B2050" t="inlineStr">
        <is>
          <t>DS765 .M8913 1982</t>
        </is>
      </c>
      <c r="C2050" t="inlineStr">
        <is>
          <t>0                      DS 0765000M  8913        1982</t>
        </is>
      </c>
      <c r="D2050" t="inlineStr">
        <is>
          <t>A diplomatic record of the Sino-Japanese War, 1894-95 / Mutsu Munemitsu ; edited and translated with historical notes by Gordon Mark Berger.</t>
        </is>
      </c>
      <c r="F2050" t="inlineStr">
        <is>
          <t>No</t>
        </is>
      </c>
      <c r="G2050" t="inlineStr">
        <is>
          <t>1</t>
        </is>
      </c>
      <c r="H2050" t="inlineStr">
        <is>
          <t>No</t>
        </is>
      </c>
      <c r="I2050" t="inlineStr">
        <is>
          <t>No</t>
        </is>
      </c>
      <c r="J2050" t="inlineStr">
        <is>
          <t>0</t>
        </is>
      </c>
      <c r="K2050" t="inlineStr">
        <is>
          <t>Mutsu, Munemitsu, 1844-1897.</t>
        </is>
      </c>
      <c r="L2050" t="inlineStr">
        <is>
          <t>Princeton, NJ : Princeton University Press ; [Tokyo] : University of Tokyo Press, c1982.</t>
        </is>
      </c>
      <c r="M2050" t="inlineStr">
        <is>
          <t>1982</t>
        </is>
      </c>
      <c r="O2050" t="inlineStr">
        <is>
          <t>eng</t>
        </is>
      </c>
      <c r="P2050" t="inlineStr">
        <is>
          <t>nju</t>
        </is>
      </c>
      <c r="Q2050" t="inlineStr">
        <is>
          <t>Princeton library of Asian translations</t>
        </is>
      </c>
      <c r="R2050" t="inlineStr">
        <is>
          <t xml:space="preserve">DS </t>
        </is>
      </c>
      <c r="S2050" t="n">
        <v>8</v>
      </c>
      <c r="T2050" t="n">
        <v>8</v>
      </c>
      <c r="U2050" t="inlineStr">
        <is>
          <t>1995-10-20</t>
        </is>
      </c>
      <c r="V2050" t="inlineStr">
        <is>
          <t>1995-10-20</t>
        </is>
      </c>
      <c r="W2050" t="inlineStr">
        <is>
          <t>1990-10-19</t>
        </is>
      </c>
      <c r="X2050" t="inlineStr">
        <is>
          <t>1990-10-19</t>
        </is>
      </c>
      <c r="Y2050" t="n">
        <v>304</v>
      </c>
      <c r="Z2050" t="n">
        <v>231</v>
      </c>
      <c r="AA2050" t="n">
        <v>313</v>
      </c>
      <c r="AB2050" t="n">
        <v>2</v>
      </c>
      <c r="AC2050" t="n">
        <v>2</v>
      </c>
      <c r="AD2050" t="n">
        <v>14</v>
      </c>
      <c r="AE2050" t="n">
        <v>17</v>
      </c>
      <c r="AF2050" t="n">
        <v>2</v>
      </c>
      <c r="AG2050" t="n">
        <v>3</v>
      </c>
      <c r="AH2050" t="n">
        <v>3</v>
      </c>
      <c r="AI2050" t="n">
        <v>5</v>
      </c>
      <c r="AJ2050" t="n">
        <v>10</v>
      </c>
      <c r="AK2050" t="n">
        <v>12</v>
      </c>
      <c r="AL2050" t="n">
        <v>1</v>
      </c>
      <c r="AM2050" t="n">
        <v>1</v>
      </c>
      <c r="AN2050" t="n">
        <v>0</v>
      </c>
      <c r="AO2050" t="n">
        <v>0</v>
      </c>
      <c r="AP2050" t="inlineStr">
        <is>
          <t>No</t>
        </is>
      </c>
      <c r="AQ2050" t="inlineStr">
        <is>
          <t>No</t>
        </is>
      </c>
      <c r="AS2050">
        <f>HYPERLINK("https://creighton-primo.hosted.exlibrisgroup.com/primo-explore/search?tab=default_tab&amp;search_scope=EVERYTHING&amp;vid=01CRU&amp;lang=en_US&amp;offset=0&amp;query=any,contains,991005225089702656","Catalog Record")</f>
        <v/>
      </c>
      <c r="AT2050">
        <f>HYPERLINK("http://www.worldcat.org/oclc/8280496","WorldCat Record")</f>
        <v/>
      </c>
      <c r="AU2050" t="inlineStr">
        <is>
          <t>5652336:eng</t>
        </is>
      </c>
      <c r="AV2050" t="inlineStr">
        <is>
          <t>8280496</t>
        </is>
      </c>
      <c r="AW2050" t="inlineStr">
        <is>
          <t>991005225089702656</t>
        </is>
      </c>
      <c r="AX2050" t="inlineStr">
        <is>
          <t>991005225089702656</t>
        </is>
      </c>
      <c r="AY2050" t="inlineStr">
        <is>
          <t>2257263490002656</t>
        </is>
      </c>
      <c r="AZ2050" t="inlineStr">
        <is>
          <t>BOOK</t>
        </is>
      </c>
      <c r="BB2050" t="inlineStr">
        <is>
          <t>9780691031064</t>
        </is>
      </c>
      <c r="BC2050" t="inlineStr">
        <is>
          <t>32285000338623</t>
        </is>
      </c>
      <c r="BD2050" t="inlineStr">
        <is>
          <t>893437362</t>
        </is>
      </c>
    </row>
    <row r="2051">
      <c r="A2051" t="inlineStr">
        <is>
          <t>No</t>
        </is>
      </c>
      <c r="B2051" t="inlineStr">
        <is>
          <t>DS771 .D84</t>
        </is>
      </c>
      <c r="C2051" t="inlineStr">
        <is>
          <t>0                      DS 0771000D  84</t>
        </is>
      </c>
      <c r="D2051" t="inlineStr">
        <is>
          <t>Cultures in collision : the boxer rebellion / William J. Duiker. --</t>
        </is>
      </c>
      <c r="F2051" t="inlineStr">
        <is>
          <t>No</t>
        </is>
      </c>
      <c r="G2051" t="inlineStr">
        <is>
          <t>1</t>
        </is>
      </c>
      <c r="H2051" t="inlineStr">
        <is>
          <t>No</t>
        </is>
      </c>
      <c r="I2051" t="inlineStr">
        <is>
          <t>No</t>
        </is>
      </c>
      <c r="J2051" t="inlineStr">
        <is>
          <t>0</t>
        </is>
      </c>
      <c r="K2051" t="inlineStr">
        <is>
          <t>Duiker, William J., 1932-</t>
        </is>
      </c>
      <c r="L2051" t="inlineStr">
        <is>
          <t>[San Rafael, CA] : Presidio Press, [1978]</t>
        </is>
      </c>
      <c r="M2051" t="inlineStr">
        <is>
          <t>1978</t>
        </is>
      </c>
      <c r="O2051" t="inlineStr">
        <is>
          <t>eng</t>
        </is>
      </c>
      <c r="P2051" t="inlineStr">
        <is>
          <t>cau</t>
        </is>
      </c>
      <c r="R2051" t="inlineStr">
        <is>
          <t xml:space="preserve">DS </t>
        </is>
      </c>
      <c r="S2051" t="n">
        <v>19</v>
      </c>
      <c r="T2051" t="n">
        <v>19</v>
      </c>
      <c r="U2051" t="inlineStr">
        <is>
          <t>2010-03-23</t>
        </is>
      </c>
      <c r="V2051" t="inlineStr">
        <is>
          <t>2010-03-23</t>
        </is>
      </c>
      <c r="W2051" t="inlineStr">
        <is>
          <t>1990-10-19</t>
        </is>
      </c>
      <c r="X2051" t="inlineStr">
        <is>
          <t>1990-10-19</t>
        </is>
      </c>
      <c r="Y2051" t="n">
        <v>564</v>
      </c>
      <c r="Z2051" t="n">
        <v>508</v>
      </c>
      <c r="AA2051" t="n">
        <v>513</v>
      </c>
      <c r="AB2051" t="n">
        <v>4</v>
      </c>
      <c r="AC2051" t="n">
        <v>4</v>
      </c>
      <c r="AD2051" t="n">
        <v>19</v>
      </c>
      <c r="AE2051" t="n">
        <v>19</v>
      </c>
      <c r="AF2051" t="n">
        <v>6</v>
      </c>
      <c r="AG2051" t="n">
        <v>6</v>
      </c>
      <c r="AH2051" t="n">
        <v>4</v>
      </c>
      <c r="AI2051" t="n">
        <v>4</v>
      </c>
      <c r="AJ2051" t="n">
        <v>10</v>
      </c>
      <c r="AK2051" t="n">
        <v>10</v>
      </c>
      <c r="AL2051" t="n">
        <v>3</v>
      </c>
      <c r="AM2051" t="n">
        <v>3</v>
      </c>
      <c r="AN2051" t="n">
        <v>0</v>
      </c>
      <c r="AO2051" t="n">
        <v>0</v>
      </c>
      <c r="AP2051" t="inlineStr">
        <is>
          <t>No</t>
        </is>
      </c>
      <c r="AQ2051" t="inlineStr">
        <is>
          <t>No</t>
        </is>
      </c>
      <c r="AS2051">
        <f>HYPERLINK("https://creighton-primo.hosted.exlibrisgroup.com/primo-explore/search?tab=default_tab&amp;search_scope=EVERYTHING&amp;vid=01CRU&amp;lang=en_US&amp;offset=0&amp;query=any,contains,991004482899702656","Catalog Record")</f>
        <v/>
      </c>
      <c r="AT2051">
        <f>HYPERLINK("http://www.worldcat.org/oclc/3630779","WorldCat Record")</f>
        <v/>
      </c>
      <c r="AU2051" t="inlineStr">
        <is>
          <t>11753041:eng</t>
        </is>
      </c>
      <c r="AV2051" t="inlineStr">
        <is>
          <t>3630779</t>
        </is>
      </c>
      <c r="AW2051" t="inlineStr">
        <is>
          <t>991004482899702656</t>
        </is>
      </c>
      <c r="AX2051" t="inlineStr">
        <is>
          <t>991004482899702656</t>
        </is>
      </c>
      <c r="AY2051" t="inlineStr">
        <is>
          <t>2258571500002656</t>
        </is>
      </c>
      <c r="AZ2051" t="inlineStr">
        <is>
          <t>BOOK</t>
        </is>
      </c>
      <c r="BB2051" t="inlineStr">
        <is>
          <t>9780891410287</t>
        </is>
      </c>
      <c r="BC2051" t="inlineStr">
        <is>
          <t>32285000338631</t>
        </is>
      </c>
      <c r="BD2051" t="inlineStr">
        <is>
          <t>893526136</t>
        </is>
      </c>
    </row>
    <row r="2052">
      <c r="A2052" t="inlineStr">
        <is>
          <t>No</t>
        </is>
      </c>
      <c r="B2052" t="inlineStr">
        <is>
          <t>DS773 .C51513 1967</t>
        </is>
      </c>
      <c r="C2052" t="inlineStr">
        <is>
          <t>0                      DS 0773000C  51513       1967</t>
        </is>
      </c>
      <c r="D2052" t="inlineStr">
        <is>
          <t>The last Manchu : the autobiography of Henry Pu Yi, last Emperor of China / Edited, with an introduction by Paul Kramer; Translated by Kuo Ying Paul Tsai.</t>
        </is>
      </c>
      <c r="F2052" t="inlineStr">
        <is>
          <t>No</t>
        </is>
      </c>
      <c r="G2052" t="inlineStr">
        <is>
          <t>1</t>
        </is>
      </c>
      <c r="H2052" t="inlineStr">
        <is>
          <t>No</t>
        </is>
      </c>
      <c r="I2052" t="inlineStr">
        <is>
          <t>No</t>
        </is>
      </c>
      <c r="J2052" t="inlineStr">
        <is>
          <t>0</t>
        </is>
      </c>
      <c r="K2052" t="inlineStr">
        <is>
          <t>Puyi, 1906-1967.</t>
        </is>
      </c>
      <c r="L2052" t="inlineStr">
        <is>
          <t>New York : Putnam, [1967]</t>
        </is>
      </c>
      <c r="M2052" t="inlineStr">
        <is>
          <t>1967</t>
        </is>
      </c>
      <c r="O2052" t="inlineStr">
        <is>
          <t>eng</t>
        </is>
      </c>
      <c r="P2052" t="inlineStr">
        <is>
          <t>nyu</t>
        </is>
      </c>
      <c r="R2052" t="inlineStr">
        <is>
          <t xml:space="preserve">DS </t>
        </is>
      </c>
      <c r="S2052" t="n">
        <v>12</v>
      </c>
      <c r="T2052" t="n">
        <v>12</v>
      </c>
      <c r="U2052" t="inlineStr">
        <is>
          <t>1998-05-20</t>
        </is>
      </c>
      <c r="V2052" t="inlineStr">
        <is>
          <t>1998-05-20</t>
        </is>
      </c>
      <c r="W2052" t="inlineStr">
        <is>
          <t>1990-10-19</t>
        </is>
      </c>
      <c r="X2052" t="inlineStr">
        <is>
          <t>1990-10-19</t>
        </is>
      </c>
      <c r="Y2052" t="n">
        <v>554</v>
      </c>
      <c r="Z2052" t="n">
        <v>515</v>
      </c>
      <c r="AA2052" t="n">
        <v>806</v>
      </c>
      <c r="AB2052" t="n">
        <v>3</v>
      </c>
      <c r="AC2052" t="n">
        <v>3</v>
      </c>
      <c r="AD2052" t="n">
        <v>16</v>
      </c>
      <c r="AE2052" t="n">
        <v>23</v>
      </c>
      <c r="AF2052" t="n">
        <v>4</v>
      </c>
      <c r="AG2052" t="n">
        <v>8</v>
      </c>
      <c r="AH2052" t="n">
        <v>5</v>
      </c>
      <c r="AI2052" t="n">
        <v>6</v>
      </c>
      <c r="AJ2052" t="n">
        <v>9</v>
      </c>
      <c r="AK2052" t="n">
        <v>13</v>
      </c>
      <c r="AL2052" t="n">
        <v>2</v>
      </c>
      <c r="AM2052" t="n">
        <v>2</v>
      </c>
      <c r="AN2052" t="n">
        <v>0</v>
      </c>
      <c r="AO2052" t="n">
        <v>0</v>
      </c>
      <c r="AP2052" t="inlineStr">
        <is>
          <t>No</t>
        </is>
      </c>
      <c r="AQ2052" t="inlineStr">
        <is>
          <t>No</t>
        </is>
      </c>
      <c r="AS2052">
        <f>HYPERLINK("https://creighton-primo.hosted.exlibrisgroup.com/primo-explore/search?tab=default_tab&amp;search_scope=EVERYTHING&amp;vid=01CRU&amp;lang=en_US&amp;offset=0&amp;query=any,contains,991003092649702656","Catalog Record")</f>
        <v/>
      </c>
      <c r="AT2052">
        <f>HYPERLINK("http://www.worldcat.org/oclc/642804","WorldCat Record")</f>
        <v/>
      </c>
      <c r="AU2052" t="inlineStr">
        <is>
          <t>1866211432:eng</t>
        </is>
      </c>
      <c r="AV2052" t="inlineStr">
        <is>
          <t>642804</t>
        </is>
      </c>
      <c r="AW2052" t="inlineStr">
        <is>
          <t>991003092649702656</t>
        </is>
      </c>
      <c r="AX2052" t="inlineStr">
        <is>
          <t>991003092649702656</t>
        </is>
      </c>
      <c r="AY2052" t="inlineStr">
        <is>
          <t>2262026880002656</t>
        </is>
      </c>
      <c r="AZ2052" t="inlineStr">
        <is>
          <t>BOOK</t>
        </is>
      </c>
      <c r="BC2052" t="inlineStr">
        <is>
          <t>32285000338649</t>
        </is>
      </c>
      <c r="BD2052" t="inlineStr">
        <is>
          <t>893342233</t>
        </is>
      </c>
    </row>
    <row r="2053">
      <c r="A2053" t="inlineStr">
        <is>
          <t>No</t>
        </is>
      </c>
      <c r="B2053" t="inlineStr">
        <is>
          <t>DS773 .E83</t>
        </is>
      </c>
      <c r="C2053" t="inlineStr">
        <is>
          <t>0                      DS 0773000E  83</t>
        </is>
      </c>
      <c r="D2053" t="inlineStr">
        <is>
          <t>Reform and revolution in China : the 1911 revolution in Hunan and Hubei / Joseph W. Esherick.</t>
        </is>
      </c>
      <c r="F2053" t="inlineStr">
        <is>
          <t>No</t>
        </is>
      </c>
      <c r="G2053" t="inlineStr">
        <is>
          <t>1</t>
        </is>
      </c>
      <c r="H2053" t="inlineStr">
        <is>
          <t>No</t>
        </is>
      </c>
      <c r="I2053" t="inlineStr">
        <is>
          <t>No</t>
        </is>
      </c>
      <c r="J2053" t="inlineStr">
        <is>
          <t>0</t>
        </is>
      </c>
      <c r="K2053" t="inlineStr">
        <is>
          <t>Esherick, Joseph.</t>
        </is>
      </c>
      <c r="L2053" t="inlineStr">
        <is>
          <t>Berkeley : University of California Press, c1976.</t>
        </is>
      </c>
      <c r="M2053" t="inlineStr">
        <is>
          <t>1976</t>
        </is>
      </c>
      <c r="O2053" t="inlineStr">
        <is>
          <t>eng</t>
        </is>
      </c>
      <c r="P2053" t="inlineStr">
        <is>
          <t>cau</t>
        </is>
      </c>
      <c r="Q2053" t="inlineStr">
        <is>
          <t>Michigan studies on China</t>
        </is>
      </c>
      <c r="R2053" t="inlineStr">
        <is>
          <t xml:space="preserve">DS </t>
        </is>
      </c>
      <c r="S2053" t="n">
        <v>3</v>
      </c>
      <c r="T2053" t="n">
        <v>3</v>
      </c>
      <c r="U2053" t="inlineStr">
        <is>
          <t>2003-04-01</t>
        </is>
      </c>
      <c r="V2053" t="inlineStr">
        <is>
          <t>2003-04-01</t>
        </is>
      </c>
      <c r="W2053" t="inlineStr">
        <is>
          <t>1997-03-13</t>
        </is>
      </c>
      <c r="X2053" t="inlineStr">
        <is>
          <t>1997-03-13</t>
        </is>
      </c>
      <c r="Y2053" t="n">
        <v>628</v>
      </c>
      <c r="Z2053" t="n">
        <v>474</v>
      </c>
      <c r="AA2053" t="n">
        <v>494</v>
      </c>
      <c r="AB2053" t="n">
        <v>4</v>
      </c>
      <c r="AC2053" t="n">
        <v>4</v>
      </c>
      <c r="AD2053" t="n">
        <v>24</v>
      </c>
      <c r="AE2053" t="n">
        <v>25</v>
      </c>
      <c r="AF2053" t="n">
        <v>9</v>
      </c>
      <c r="AG2053" t="n">
        <v>10</v>
      </c>
      <c r="AH2053" t="n">
        <v>5</v>
      </c>
      <c r="AI2053" t="n">
        <v>5</v>
      </c>
      <c r="AJ2053" t="n">
        <v>13</v>
      </c>
      <c r="AK2053" t="n">
        <v>13</v>
      </c>
      <c r="AL2053" t="n">
        <v>3</v>
      </c>
      <c r="AM2053" t="n">
        <v>3</v>
      </c>
      <c r="AN2053" t="n">
        <v>0</v>
      </c>
      <c r="AO2053" t="n">
        <v>0</v>
      </c>
      <c r="AP2053" t="inlineStr">
        <is>
          <t>No</t>
        </is>
      </c>
      <c r="AQ2053" t="inlineStr">
        <is>
          <t>No</t>
        </is>
      </c>
      <c r="AS2053">
        <f>HYPERLINK("https://creighton-primo.hosted.exlibrisgroup.com/primo-explore/search?tab=default_tab&amp;search_scope=EVERYTHING&amp;vid=01CRU&amp;lang=en_US&amp;offset=0&amp;query=any,contains,991004139909702656","Catalog Record")</f>
        <v/>
      </c>
      <c r="AT2053">
        <f>HYPERLINK("http://www.worldcat.org/oclc/2494494","WorldCat Record")</f>
        <v/>
      </c>
      <c r="AU2053" t="inlineStr">
        <is>
          <t>9348539:eng</t>
        </is>
      </c>
      <c r="AV2053" t="inlineStr">
        <is>
          <t>2494494</t>
        </is>
      </c>
      <c r="AW2053" t="inlineStr">
        <is>
          <t>991004139909702656</t>
        </is>
      </c>
      <c r="AX2053" t="inlineStr">
        <is>
          <t>991004139909702656</t>
        </is>
      </c>
      <c r="AY2053" t="inlineStr">
        <is>
          <t>2255182420002656</t>
        </is>
      </c>
      <c r="AZ2053" t="inlineStr">
        <is>
          <t>BOOK</t>
        </is>
      </c>
      <c r="BB2053" t="inlineStr">
        <is>
          <t>9780520030848</t>
        </is>
      </c>
      <c r="BC2053" t="inlineStr">
        <is>
          <t>32285002447570</t>
        </is>
      </c>
      <c r="BD2053" t="inlineStr">
        <is>
          <t>893253291</t>
        </is>
      </c>
    </row>
    <row r="2054">
      <c r="A2054" t="inlineStr">
        <is>
          <t>No</t>
        </is>
      </c>
      <c r="B2054" t="inlineStr">
        <is>
          <t>DS773 .G35</t>
        </is>
      </c>
      <c r="C2054" t="inlineStr">
        <is>
          <t>0                      DS 0773000G  35</t>
        </is>
      </c>
      <c r="D2054" t="inlineStr">
        <is>
          <t>Chinese intellectuals and the revolution of 1911; the birth of modern Chinese radicalism.</t>
        </is>
      </c>
      <c r="F2054" t="inlineStr">
        <is>
          <t>No</t>
        </is>
      </c>
      <c r="G2054" t="inlineStr">
        <is>
          <t>1</t>
        </is>
      </c>
      <c r="H2054" t="inlineStr">
        <is>
          <t>No</t>
        </is>
      </c>
      <c r="I2054" t="inlineStr">
        <is>
          <t>No</t>
        </is>
      </c>
      <c r="J2054" t="inlineStr">
        <is>
          <t>0</t>
        </is>
      </c>
      <c r="K2054" t="inlineStr">
        <is>
          <t>Gasster, Michael, 1930-</t>
        </is>
      </c>
      <c r="L2054" t="inlineStr">
        <is>
          <t>Seattle, University of Washington Press [1969]</t>
        </is>
      </c>
      <c r="M2054" t="inlineStr">
        <is>
          <t>1969</t>
        </is>
      </c>
      <c r="O2054" t="inlineStr">
        <is>
          <t>eng</t>
        </is>
      </c>
      <c r="P2054" t="inlineStr">
        <is>
          <t>wau</t>
        </is>
      </c>
      <c r="Q2054" t="inlineStr">
        <is>
          <t>Far Eastern and Russian Institute publications on Asia ; no. 19</t>
        </is>
      </c>
      <c r="R2054" t="inlineStr">
        <is>
          <t xml:space="preserve">DS </t>
        </is>
      </c>
      <c r="S2054" t="n">
        <v>3</v>
      </c>
      <c r="T2054" t="n">
        <v>3</v>
      </c>
      <c r="U2054" t="inlineStr">
        <is>
          <t>2003-04-01</t>
        </is>
      </c>
      <c r="V2054" t="inlineStr">
        <is>
          <t>2003-04-01</t>
        </is>
      </c>
      <c r="W2054" t="inlineStr">
        <is>
          <t>1997-03-13</t>
        </is>
      </c>
      <c r="X2054" t="inlineStr">
        <is>
          <t>1997-03-13</t>
        </is>
      </c>
      <c r="Y2054" t="n">
        <v>766</v>
      </c>
      <c r="Z2054" t="n">
        <v>646</v>
      </c>
      <c r="AA2054" t="n">
        <v>650</v>
      </c>
      <c r="AB2054" t="n">
        <v>7</v>
      </c>
      <c r="AC2054" t="n">
        <v>7</v>
      </c>
      <c r="AD2054" t="n">
        <v>34</v>
      </c>
      <c r="AE2054" t="n">
        <v>34</v>
      </c>
      <c r="AF2054" t="n">
        <v>14</v>
      </c>
      <c r="AG2054" t="n">
        <v>14</v>
      </c>
      <c r="AH2054" t="n">
        <v>6</v>
      </c>
      <c r="AI2054" t="n">
        <v>6</v>
      </c>
      <c r="AJ2054" t="n">
        <v>15</v>
      </c>
      <c r="AK2054" t="n">
        <v>15</v>
      </c>
      <c r="AL2054" t="n">
        <v>6</v>
      </c>
      <c r="AM2054" t="n">
        <v>6</v>
      </c>
      <c r="AN2054" t="n">
        <v>0</v>
      </c>
      <c r="AO2054" t="n">
        <v>0</v>
      </c>
      <c r="AP2054" t="inlineStr">
        <is>
          <t>No</t>
        </is>
      </c>
      <c r="AQ2054" t="inlineStr">
        <is>
          <t>Yes</t>
        </is>
      </c>
      <c r="AR2054">
        <f>HYPERLINK("http://catalog.hathitrust.org/Record/001258048","HathiTrust Record")</f>
        <v/>
      </c>
      <c r="AS2054">
        <f>HYPERLINK("https://creighton-primo.hosted.exlibrisgroup.com/primo-explore/search?tab=default_tab&amp;search_scope=EVERYTHING&amp;vid=01CRU&amp;lang=en_US&amp;offset=0&amp;query=any,contains,991000037289702656","Catalog Record")</f>
        <v/>
      </c>
      <c r="AT2054">
        <f>HYPERLINK("http://www.worldcat.org/oclc/20700","WorldCat Record")</f>
        <v/>
      </c>
      <c r="AU2054" t="inlineStr">
        <is>
          <t>836623158:eng</t>
        </is>
      </c>
      <c r="AV2054" t="inlineStr">
        <is>
          <t>20700</t>
        </is>
      </c>
      <c r="AW2054" t="inlineStr">
        <is>
          <t>991000037289702656</t>
        </is>
      </c>
      <c r="AX2054" t="inlineStr">
        <is>
          <t>991000037289702656</t>
        </is>
      </c>
      <c r="AY2054" t="inlineStr">
        <is>
          <t>2261647410002656</t>
        </is>
      </c>
      <c r="AZ2054" t="inlineStr">
        <is>
          <t>BOOK</t>
        </is>
      </c>
      <c r="BC2054" t="inlineStr">
        <is>
          <t>32285002447596</t>
        </is>
      </c>
      <c r="BD2054" t="inlineStr">
        <is>
          <t>893701781</t>
        </is>
      </c>
    </row>
    <row r="2055">
      <c r="A2055" t="inlineStr">
        <is>
          <t>No</t>
        </is>
      </c>
      <c r="B2055" t="inlineStr">
        <is>
          <t>DS773 .L8 1991</t>
        </is>
      </c>
      <c r="C2055" t="inlineStr">
        <is>
          <t>0                      DS 0773000L  8           1991</t>
        </is>
      </c>
      <c r="D2055" t="inlineStr">
        <is>
          <t>The Revolution of 1911 : turning point in modern Chinese history / edited by Dong Caishi ; written by Lu Bowei and Wang Guoping ; [translated by He Fei].</t>
        </is>
      </c>
      <c r="F2055" t="inlineStr">
        <is>
          <t>No</t>
        </is>
      </c>
      <c r="G2055" t="inlineStr">
        <is>
          <t>1</t>
        </is>
      </c>
      <c r="H2055" t="inlineStr">
        <is>
          <t>No</t>
        </is>
      </c>
      <c r="I2055" t="inlineStr">
        <is>
          <t>No</t>
        </is>
      </c>
      <c r="J2055" t="inlineStr">
        <is>
          <t>0</t>
        </is>
      </c>
      <c r="K2055" t="inlineStr">
        <is>
          <t>Lu, Bowei.</t>
        </is>
      </c>
      <c r="L2055" t="inlineStr">
        <is>
          <t>Beijing : Foreign Languages Press, 1991.</t>
        </is>
      </c>
      <c r="M2055" t="inlineStr">
        <is>
          <t>1991</t>
        </is>
      </c>
      <c r="N2055" t="inlineStr">
        <is>
          <t>1st ed.</t>
        </is>
      </c>
      <c r="O2055" t="inlineStr">
        <is>
          <t>chi</t>
        </is>
      </c>
      <c r="P2055" t="inlineStr">
        <is>
          <t xml:space="preserve">cc </t>
        </is>
      </c>
      <c r="R2055" t="inlineStr">
        <is>
          <t xml:space="preserve">DS </t>
        </is>
      </c>
      <c r="S2055" t="n">
        <v>3</v>
      </c>
      <c r="T2055" t="n">
        <v>3</v>
      </c>
      <c r="U2055" t="inlineStr">
        <is>
          <t>2003-04-01</t>
        </is>
      </c>
      <c r="V2055" t="inlineStr">
        <is>
          <t>2003-04-01</t>
        </is>
      </c>
      <c r="W2055" t="inlineStr">
        <is>
          <t>1996-05-29</t>
        </is>
      </c>
      <c r="X2055" t="inlineStr">
        <is>
          <t>1996-05-29</t>
        </is>
      </c>
      <c r="Y2055" t="n">
        <v>55</v>
      </c>
      <c r="Z2055" t="n">
        <v>43</v>
      </c>
      <c r="AA2055" t="n">
        <v>43</v>
      </c>
      <c r="AB2055" t="n">
        <v>1</v>
      </c>
      <c r="AC2055" t="n">
        <v>1</v>
      </c>
      <c r="AD2055" t="n">
        <v>1</v>
      </c>
      <c r="AE2055" t="n">
        <v>1</v>
      </c>
      <c r="AF2055" t="n">
        <v>0</v>
      </c>
      <c r="AG2055" t="n">
        <v>0</v>
      </c>
      <c r="AH2055" t="n">
        <v>0</v>
      </c>
      <c r="AI2055" t="n">
        <v>0</v>
      </c>
      <c r="AJ2055" t="n">
        <v>1</v>
      </c>
      <c r="AK2055" t="n">
        <v>1</v>
      </c>
      <c r="AL2055" t="n">
        <v>0</v>
      </c>
      <c r="AM2055" t="n">
        <v>0</v>
      </c>
      <c r="AN2055" t="n">
        <v>0</v>
      </c>
      <c r="AO2055" t="n">
        <v>0</v>
      </c>
      <c r="AP2055" t="inlineStr">
        <is>
          <t>No</t>
        </is>
      </c>
      <c r="AQ2055" t="inlineStr">
        <is>
          <t>No</t>
        </is>
      </c>
      <c r="AS2055">
        <f>HYPERLINK("https://creighton-primo.hosted.exlibrisgroup.com/primo-explore/search?tab=default_tab&amp;search_scope=EVERYTHING&amp;vid=01CRU&amp;lang=en_US&amp;offset=0&amp;query=any,contains,991002136669702656","Catalog Record")</f>
        <v/>
      </c>
      <c r="AT2055">
        <f>HYPERLINK("http://www.worldcat.org/oclc/27412915","WorldCat Record")</f>
        <v/>
      </c>
      <c r="AU2055" t="inlineStr">
        <is>
          <t>57512285:chi</t>
        </is>
      </c>
      <c r="AV2055" t="inlineStr">
        <is>
          <t>27412915</t>
        </is>
      </c>
      <c r="AW2055" t="inlineStr">
        <is>
          <t>991002136669702656</t>
        </is>
      </c>
      <c r="AX2055" t="inlineStr">
        <is>
          <t>991002136669702656</t>
        </is>
      </c>
      <c r="AY2055" t="inlineStr">
        <is>
          <t>2260931450002656</t>
        </is>
      </c>
      <c r="AZ2055" t="inlineStr">
        <is>
          <t>BOOK</t>
        </is>
      </c>
      <c r="BB2055" t="inlineStr">
        <is>
          <t>9780835128889</t>
        </is>
      </c>
      <c r="BC2055" t="inlineStr">
        <is>
          <t>32285002178969</t>
        </is>
      </c>
      <c r="BD2055" t="inlineStr">
        <is>
          <t>893773255</t>
        </is>
      </c>
    </row>
    <row r="2056">
      <c r="A2056" t="inlineStr">
        <is>
          <t>No</t>
        </is>
      </c>
      <c r="B2056" t="inlineStr">
        <is>
          <t>DS773 .M28</t>
        </is>
      </c>
      <c r="C2056" t="inlineStr">
        <is>
          <t>0                      DS 0773000M  28</t>
        </is>
      </c>
      <c r="D2056" t="inlineStr">
        <is>
          <t>A dream of Tartary : the origins and misfortunes of Henry Pʻu Yi / by Henry McAleavy.</t>
        </is>
      </c>
      <c r="F2056" t="inlineStr">
        <is>
          <t>No</t>
        </is>
      </c>
      <c r="G2056" t="inlineStr">
        <is>
          <t>1</t>
        </is>
      </c>
      <c r="H2056" t="inlineStr">
        <is>
          <t>No</t>
        </is>
      </c>
      <c r="I2056" t="inlineStr">
        <is>
          <t>No</t>
        </is>
      </c>
      <c r="J2056" t="inlineStr">
        <is>
          <t>0</t>
        </is>
      </c>
      <c r="K2056" t="inlineStr">
        <is>
          <t>McAleavy, Henry.</t>
        </is>
      </c>
      <c r="L2056" t="inlineStr">
        <is>
          <t>London : G. Allen &amp; Unwin, 1963.</t>
        </is>
      </c>
      <c r="M2056" t="inlineStr">
        <is>
          <t>1963</t>
        </is>
      </c>
      <c r="O2056" t="inlineStr">
        <is>
          <t>eng</t>
        </is>
      </c>
      <c r="P2056" t="inlineStr">
        <is>
          <t>enk</t>
        </is>
      </c>
      <c r="R2056" t="inlineStr">
        <is>
          <t xml:space="preserve">DS </t>
        </is>
      </c>
      <c r="S2056" t="n">
        <v>1</v>
      </c>
      <c r="T2056" t="n">
        <v>1</v>
      </c>
      <c r="U2056" t="inlineStr">
        <is>
          <t>1998-06-02</t>
        </is>
      </c>
      <c r="V2056" t="inlineStr">
        <is>
          <t>1998-06-02</t>
        </is>
      </c>
      <c r="W2056" t="inlineStr">
        <is>
          <t>1997-03-13</t>
        </is>
      </c>
      <c r="X2056" t="inlineStr">
        <is>
          <t>1997-03-13</t>
        </is>
      </c>
      <c r="Y2056" t="n">
        <v>284</v>
      </c>
      <c r="Z2056" t="n">
        <v>210</v>
      </c>
      <c r="AA2056" t="n">
        <v>212</v>
      </c>
      <c r="AB2056" t="n">
        <v>3</v>
      </c>
      <c r="AC2056" t="n">
        <v>3</v>
      </c>
      <c r="AD2056" t="n">
        <v>5</v>
      </c>
      <c r="AE2056" t="n">
        <v>5</v>
      </c>
      <c r="AF2056" t="n">
        <v>1</v>
      </c>
      <c r="AG2056" t="n">
        <v>1</v>
      </c>
      <c r="AH2056" t="n">
        <v>1</v>
      </c>
      <c r="AI2056" t="n">
        <v>1</v>
      </c>
      <c r="AJ2056" t="n">
        <v>2</v>
      </c>
      <c r="AK2056" t="n">
        <v>2</v>
      </c>
      <c r="AL2056" t="n">
        <v>2</v>
      </c>
      <c r="AM2056" t="n">
        <v>2</v>
      </c>
      <c r="AN2056" t="n">
        <v>0</v>
      </c>
      <c r="AO2056" t="n">
        <v>0</v>
      </c>
      <c r="AP2056" t="inlineStr">
        <is>
          <t>No</t>
        </is>
      </c>
      <c r="AQ2056" t="inlineStr">
        <is>
          <t>Yes</t>
        </is>
      </c>
      <c r="AR2056">
        <f>HYPERLINK("http://catalog.hathitrust.org/Record/001267546","HathiTrust Record")</f>
        <v/>
      </c>
      <c r="AS2056">
        <f>HYPERLINK("https://creighton-primo.hosted.exlibrisgroup.com/primo-explore/search?tab=default_tab&amp;search_scope=EVERYTHING&amp;vid=01CRU&amp;lang=en_US&amp;offset=0&amp;query=any,contains,991003399949702656","Catalog Record")</f>
        <v/>
      </c>
      <c r="AT2056">
        <f>HYPERLINK("http://www.worldcat.org/oclc/940036","WorldCat Record")</f>
        <v/>
      </c>
      <c r="AU2056" t="inlineStr">
        <is>
          <t>34370500:eng</t>
        </is>
      </c>
      <c r="AV2056" t="inlineStr">
        <is>
          <t>940036</t>
        </is>
      </c>
      <c r="AW2056" t="inlineStr">
        <is>
          <t>991003399949702656</t>
        </is>
      </c>
      <c r="AX2056" t="inlineStr">
        <is>
          <t>991003399949702656</t>
        </is>
      </c>
      <c r="AY2056" t="inlineStr">
        <is>
          <t>2261724280002656</t>
        </is>
      </c>
      <c r="AZ2056" t="inlineStr">
        <is>
          <t>BOOK</t>
        </is>
      </c>
      <c r="BC2056" t="inlineStr">
        <is>
          <t>32285002447620</t>
        </is>
      </c>
      <c r="BD2056" t="inlineStr">
        <is>
          <t>893441251</t>
        </is>
      </c>
    </row>
    <row r="2057">
      <c r="A2057" t="inlineStr">
        <is>
          <t>No</t>
        </is>
      </c>
      <c r="B2057" t="inlineStr">
        <is>
          <t>DS773 .W86 1964</t>
        </is>
      </c>
      <c r="C2057" t="inlineStr">
        <is>
          <t>0                      DS 0773000W  86          1964</t>
        </is>
      </c>
      <c r="D2057" t="inlineStr">
        <is>
          <t>The revolution of 1911 : a great democratic revolution of China / Wu Yu-Chang.</t>
        </is>
      </c>
      <c r="F2057" t="inlineStr">
        <is>
          <t>No</t>
        </is>
      </c>
      <c r="G2057" t="inlineStr">
        <is>
          <t>1</t>
        </is>
      </c>
      <c r="H2057" t="inlineStr">
        <is>
          <t>No</t>
        </is>
      </c>
      <c r="I2057" t="inlineStr">
        <is>
          <t>No</t>
        </is>
      </c>
      <c r="J2057" t="inlineStr">
        <is>
          <t>0</t>
        </is>
      </c>
      <c r="K2057" t="inlineStr">
        <is>
          <t>Wu, Yuzhang, 1878-1966.</t>
        </is>
      </c>
      <c r="L2057" t="inlineStr">
        <is>
          <t>Peking : Foreign Languages Press, 1964.</t>
        </is>
      </c>
      <c r="M2057" t="inlineStr">
        <is>
          <t>1964</t>
        </is>
      </c>
      <c r="N2057" t="inlineStr">
        <is>
          <t>3rd ed., rev. translation.</t>
        </is>
      </c>
      <c r="O2057" t="inlineStr">
        <is>
          <t>eng</t>
        </is>
      </c>
      <c r="P2057" t="inlineStr">
        <is>
          <t xml:space="preserve">cc </t>
        </is>
      </c>
      <c r="R2057" t="inlineStr">
        <is>
          <t xml:space="preserve">DS </t>
        </is>
      </c>
      <c r="S2057" t="n">
        <v>3</v>
      </c>
      <c r="T2057" t="n">
        <v>3</v>
      </c>
      <c r="U2057" t="inlineStr">
        <is>
          <t>2003-04-01</t>
        </is>
      </c>
      <c r="V2057" t="inlineStr">
        <is>
          <t>2003-04-01</t>
        </is>
      </c>
      <c r="W2057" t="inlineStr">
        <is>
          <t>1997-03-13</t>
        </is>
      </c>
      <c r="X2057" t="inlineStr">
        <is>
          <t>1997-03-13</t>
        </is>
      </c>
      <c r="Y2057" t="n">
        <v>109</v>
      </c>
      <c r="Z2057" t="n">
        <v>88</v>
      </c>
      <c r="AA2057" t="n">
        <v>257</v>
      </c>
      <c r="AB2057" t="n">
        <v>1</v>
      </c>
      <c r="AC2057" t="n">
        <v>1</v>
      </c>
      <c r="AD2057" t="n">
        <v>7</v>
      </c>
      <c r="AE2057" t="n">
        <v>11</v>
      </c>
      <c r="AF2057" t="n">
        <v>5</v>
      </c>
      <c r="AG2057" t="n">
        <v>6</v>
      </c>
      <c r="AH2057" t="n">
        <v>1</v>
      </c>
      <c r="AI2057" t="n">
        <v>3</v>
      </c>
      <c r="AJ2057" t="n">
        <v>3</v>
      </c>
      <c r="AK2057" t="n">
        <v>5</v>
      </c>
      <c r="AL2057" t="n">
        <v>0</v>
      </c>
      <c r="AM2057" t="n">
        <v>0</v>
      </c>
      <c r="AN2057" t="n">
        <v>0</v>
      </c>
      <c r="AO2057" t="n">
        <v>0</v>
      </c>
      <c r="AP2057" t="inlineStr">
        <is>
          <t>No</t>
        </is>
      </c>
      <c r="AQ2057" t="inlineStr">
        <is>
          <t>No</t>
        </is>
      </c>
      <c r="AS2057">
        <f>HYPERLINK("https://creighton-primo.hosted.exlibrisgroup.com/primo-explore/search?tab=default_tab&amp;search_scope=EVERYTHING&amp;vid=01CRU&amp;lang=en_US&amp;offset=0&amp;query=any,contains,991004537729702656","Catalog Record")</f>
        <v/>
      </c>
      <c r="AT2057">
        <f>HYPERLINK("http://www.worldcat.org/oclc/3875889","WorldCat Record")</f>
        <v/>
      </c>
      <c r="AU2057" t="inlineStr">
        <is>
          <t>16458869:eng</t>
        </is>
      </c>
      <c r="AV2057" t="inlineStr">
        <is>
          <t>3875889</t>
        </is>
      </c>
      <c r="AW2057" t="inlineStr">
        <is>
          <t>991004537729702656</t>
        </is>
      </c>
      <c r="AX2057" t="inlineStr">
        <is>
          <t>991004537729702656</t>
        </is>
      </c>
      <c r="AY2057" t="inlineStr">
        <is>
          <t>2269513620002656</t>
        </is>
      </c>
      <c r="AZ2057" t="inlineStr">
        <is>
          <t>BOOK</t>
        </is>
      </c>
      <c r="BC2057" t="inlineStr">
        <is>
          <t>32285002447661</t>
        </is>
      </c>
      <c r="BD2057" t="inlineStr">
        <is>
          <t>893876224</t>
        </is>
      </c>
    </row>
    <row r="2058">
      <c r="A2058" t="inlineStr">
        <is>
          <t>No</t>
        </is>
      </c>
      <c r="B2058" t="inlineStr">
        <is>
          <t>DS773.C4 F7</t>
        </is>
      </c>
      <c r="C2058" t="inlineStr">
        <is>
          <t>0                      DS 0773000C  4                  F  7</t>
        </is>
      </c>
      <c r="D2058" t="inlineStr">
        <is>
          <t>From Emperor to citizen : autobiography of Aisin-Gioro Pu Yi. [Translated by W. J. F. Jenner]</t>
        </is>
      </c>
      <c r="E2058" t="inlineStr">
        <is>
          <t>V.1</t>
        </is>
      </c>
      <c r="F2058" t="inlineStr">
        <is>
          <t>Yes</t>
        </is>
      </c>
      <c r="G2058" t="inlineStr">
        <is>
          <t>1</t>
        </is>
      </c>
      <c r="H2058" t="inlineStr">
        <is>
          <t>No</t>
        </is>
      </c>
      <c r="I2058" t="inlineStr">
        <is>
          <t>No</t>
        </is>
      </c>
      <c r="J2058" t="inlineStr">
        <is>
          <t>0</t>
        </is>
      </c>
      <c r="K2058" t="inlineStr">
        <is>
          <t>Puyi, 1906-1967.</t>
        </is>
      </c>
      <c r="L2058" t="inlineStr">
        <is>
          <t>Peking, Foreign Languages Press, 1964-65.</t>
        </is>
      </c>
      <c r="M2058" t="inlineStr">
        <is>
          <t>1964</t>
        </is>
      </c>
      <c r="O2058" t="inlineStr">
        <is>
          <t>eng</t>
        </is>
      </c>
      <c r="P2058" t="inlineStr">
        <is>
          <t xml:space="preserve">cc </t>
        </is>
      </c>
      <c r="R2058" t="inlineStr">
        <is>
          <t xml:space="preserve">DS </t>
        </is>
      </c>
      <c r="S2058" t="n">
        <v>2</v>
      </c>
      <c r="T2058" t="n">
        <v>4</v>
      </c>
      <c r="U2058" t="inlineStr">
        <is>
          <t>1998-06-02</t>
        </is>
      </c>
      <c r="V2058" t="inlineStr">
        <is>
          <t>1998-06-02</t>
        </is>
      </c>
      <c r="W2058" t="inlineStr">
        <is>
          <t>1996-08-12</t>
        </is>
      </c>
      <c r="X2058" t="inlineStr">
        <is>
          <t>1996-08-12</t>
        </is>
      </c>
      <c r="Y2058" t="n">
        <v>318</v>
      </c>
      <c r="Z2058" t="n">
        <v>256</v>
      </c>
      <c r="AA2058" t="n">
        <v>258</v>
      </c>
      <c r="AB2058" t="n">
        <v>2</v>
      </c>
      <c r="AC2058" t="n">
        <v>2</v>
      </c>
      <c r="AD2058" t="n">
        <v>6</v>
      </c>
      <c r="AE2058" t="n">
        <v>6</v>
      </c>
      <c r="AF2058" t="n">
        <v>1</v>
      </c>
      <c r="AG2058" t="n">
        <v>1</v>
      </c>
      <c r="AH2058" t="n">
        <v>2</v>
      </c>
      <c r="AI2058" t="n">
        <v>2</v>
      </c>
      <c r="AJ2058" t="n">
        <v>3</v>
      </c>
      <c r="AK2058" t="n">
        <v>3</v>
      </c>
      <c r="AL2058" t="n">
        <v>1</v>
      </c>
      <c r="AM2058" t="n">
        <v>1</v>
      </c>
      <c r="AN2058" t="n">
        <v>0</v>
      </c>
      <c r="AO2058" t="n">
        <v>0</v>
      </c>
      <c r="AP2058" t="inlineStr">
        <is>
          <t>No</t>
        </is>
      </c>
      <c r="AQ2058" t="inlineStr">
        <is>
          <t>Yes</t>
        </is>
      </c>
      <c r="AR2058">
        <f>HYPERLINK("http://catalog.hathitrust.org/Record/006783638","HathiTrust Record")</f>
        <v/>
      </c>
      <c r="AS2058">
        <f>HYPERLINK("https://creighton-primo.hosted.exlibrisgroup.com/primo-explore/search?tab=default_tab&amp;search_scope=EVERYTHING&amp;vid=01CRU&amp;lang=en_US&amp;offset=0&amp;query=any,contains,991004036759702656","Catalog Record")</f>
        <v/>
      </c>
      <c r="AT2058">
        <f>HYPERLINK("http://www.worldcat.org/oclc/2173237","WorldCat Record")</f>
        <v/>
      </c>
      <c r="AU2058" t="inlineStr">
        <is>
          <t>9622136624:eng</t>
        </is>
      </c>
      <c r="AV2058" t="inlineStr">
        <is>
          <t>2173237</t>
        </is>
      </c>
      <c r="AW2058" t="inlineStr">
        <is>
          <t>991004036759702656</t>
        </is>
      </c>
      <c r="AX2058" t="inlineStr">
        <is>
          <t>991004036759702656</t>
        </is>
      </c>
      <c r="AY2058" t="inlineStr">
        <is>
          <t>2265842630002656</t>
        </is>
      </c>
      <c r="AZ2058" t="inlineStr">
        <is>
          <t>BOOK</t>
        </is>
      </c>
      <c r="BB2058" t="inlineStr">
        <is>
          <t>9780835111591</t>
        </is>
      </c>
      <c r="BC2058" t="inlineStr">
        <is>
          <t>32285002274032</t>
        </is>
      </c>
      <c r="BD2058" t="inlineStr">
        <is>
          <t>893593194</t>
        </is>
      </c>
    </row>
    <row r="2059">
      <c r="A2059" t="inlineStr">
        <is>
          <t>No</t>
        </is>
      </c>
      <c r="B2059" t="inlineStr">
        <is>
          <t>DS774 .B27 2001</t>
        </is>
      </c>
      <c r="C2059" t="inlineStr">
        <is>
          <t>0                      DS 0774000B  27          2001</t>
        </is>
      </c>
      <c r="D2059" t="inlineStr">
        <is>
          <t>China in the twentieth century / Paul J. Bailey.</t>
        </is>
      </c>
      <c r="F2059" t="inlineStr">
        <is>
          <t>No</t>
        </is>
      </c>
      <c r="G2059" t="inlineStr">
        <is>
          <t>1</t>
        </is>
      </c>
      <c r="H2059" t="inlineStr">
        <is>
          <t>No</t>
        </is>
      </c>
      <c r="I2059" t="inlineStr">
        <is>
          <t>No</t>
        </is>
      </c>
      <c r="J2059" t="inlineStr">
        <is>
          <t>0</t>
        </is>
      </c>
      <c r="K2059" t="inlineStr">
        <is>
          <t>Bailey, Paul John, 1950-</t>
        </is>
      </c>
      <c r="L2059" t="inlineStr">
        <is>
          <t>Oxford ; Malden, Mass. : Blackwell Publishers, 2001.</t>
        </is>
      </c>
      <c r="M2059" t="inlineStr">
        <is>
          <t>2001</t>
        </is>
      </c>
      <c r="N2059" t="inlineStr">
        <is>
          <t>2nd ed.</t>
        </is>
      </c>
      <c r="O2059" t="inlineStr">
        <is>
          <t>eng</t>
        </is>
      </c>
      <c r="P2059" t="inlineStr">
        <is>
          <t>enk</t>
        </is>
      </c>
      <c r="Q2059" t="inlineStr">
        <is>
          <t>Historical Association studies</t>
        </is>
      </c>
      <c r="R2059" t="inlineStr">
        <is>
          <t xml:space="preserve">DS </t>
        </is>
      </c>
      <c r="S2059" t="n">
        <v>8</v>
      </c>
      <c r="T2059" t="n">
        <v>8</v>
      </c>
      <c r="U2059" t="inlineStr">
        <is>
          <t>2008-01-28</t>
        </is>
      </c>
      <c r="V2059" t="inlineStr">
        <is>
          <t>2008-01-28</t>
        </is>
      </c>
      <c r="W2059" t="inlineStr">
        <is>
          <t>2003-05-12</t>
        </is>
      </c>
      <c r="X2059" t="inlineStr">
        <is>
          <t>2003-05-12</t>
        </is>
      </c>
      <c r="Y2059" t="n">
        <v>299</v>
      </c>
      <c r="Z2059" t="n">
        <v>197</v>
      </c>
      <c r="AA2059" t="n">
        <v>263</v>
      </c>
      <c r="AB2059" t="n">
        <v>1</v>
      </c>
      <c r="AC2059" t="n">
        <v>2</v>
      </c>
      <c r="AD2059" t="n">
        <v>8</v>
      </c>
      <c r="AE2059" t="n">
        <v>10</v>
      </c>
      <c r="AF2059" t="n">
        <v>2</v>
      </c>
      <c r="AG2059" t="n">
        <v>3</v>
      </c>
      <c r="AH2059" t="n">
        <v>3</v>
      </c>
      <c r="AI2059" t="n">
        <v>3</v>
      </c>
      <c r="AJ2059" t="n">
        <v>6</v>
      </c>
      <c r="AK2059" t="n">
        <v>7</v>
      </c>
      <c r="AL2059" t="n">
        <v>0</v>
      </c>
      <c r="AM2059" t="n">
        <v>1</v>
      </c>
      <c r="AN2059" t="n">
        <v>0</v>
      </c>
      <c r="AO2059" t="n">
        <v>0</v>
      </c>
      <c r="AP2059" t="inlineStr">
        <is>
          <t>No</t>
        </is>
      </c>
      <c r="AQ2059" t="inlineStr">
        <is>
          <t>No</t>
        </is>
      </c>
      <c r="AS2059">
        <f>HYPERLINK("https://creighton-primo.hosted.exlibrisgroup.com/primo-explore/search?tab=default_tab&amp;search_scope=EVERYTHING&amp;vid=01CRU&amp;lang=en_US&amp;offset=0&amp;query=any,contains,991004019019702656","Catalog Record")</f>
        <v/>
      </c>
      <c r="AT2059">
        <f>HYPERLINK("http://www.worldcat.org/oclc/45917231","WorldCat Record")</f>
        <v/>
      </c>
      <c r="AU2059" t="inlineStr">
        <is>
          <t>914794:eng</t>
        </is>
      </c>
      <c r="AV2059" t="inlineStr">
        <is>
          <t>45917231</t>
        </is>
      </c>
      <c r="AW2059" t="inlineStr">
        <is>
          <t>991004019019702656</t>
        </is>
      </c>
      <c r="AX2059" t="inlineStr">
        <is>
          <t>991004019019702656</t>
        </is>
      </c>
      <c r="AY2059" t="inlineStr">
        <is>
          <t>2268422690002656</t>
        </is>
      </c>
      <c r="AZ2059" t="inlineStr">
        <is>
          <t>BOOK</t>
        </is>
      </c>
      <c r="BB2059" t="inlineStr">
        <is>
          <t>9780631203285</t>
        </is>
      </c>
      <c r="BC2059" t="inlineStr">
        <is>
          <t>32285004745583</t>
        </is>
      </c>
      <c r="BD2059" t="inlineStr">
        <is>
          <t>893349514</t>
        </is>
      </c>
    </row>
    <row r="2060">
      <c r="A2060" t="inlineStr">
        <is>
          <t>No</t>
        </is>
      </c>
      <c r="B2060" t="inlineStr">
        <is>
          <t>DS774 .B47 2003</t>
        </is>
      </c>
      <c r="C2060" t="inlineStr">
        <is>
          <t>0                      DS 0774000B  47          2003</t>
        </is>
      </c>
      <c r="D2060" t="inlineStr">
        <is>
          <t>The United States marines in North China, 1894-1942 / by Chester M. Biggs, Jr.</t>
        </is>
      </c>
      <c r="F2060" t="inlineStr">
        <is>
          <t>No</t>
        </is>
      </c>
      <c r="G2060" t="inlineStr">
        <is>
          <t>1</t>
        </is>
      </c>
      <c r="H2060" t="inlineStr">
        <is>
          <t>No</t>
        </is>
      </c>
      <c r="I2060" t="inlineStr">
        <is>
          <t>No</t>
        </is>
      </c>
      <c r="J2060" t="inlineStr">
        <is>
          <t>0</t>
        </is>
      </c>
      <c r="K2060" t="inlineStr">
        <is>
          <t>Biggs, Chester M., 1921-</t>
        </is>
      </c>
      <c r="L2060" t="inlineStr">
        <is>
          <t>Jefferson, N.C. : McFarland &amp; Co. Publishers, c2003.</t>
        </is>
      </c>
      <c r="M2060" t="inlineStr">
        <is>
          <t>2003</t>
        </is>
      </c>
      <c r="O2060" t="inlineStr">
        <is>
          <t>eng</t>
        </is>
      </c>
      <c r="P2060" t="inlineStr">
        <is>
          <t>ncu</t>
        </is>
      </c>
      <c r="R2060" t="inlineStr">
        <is>
          <t xml:space="preserve">DS </t>
        </is>
      </c>
      <c r="S2060" t="n">
        <v>2</v>
      </c>
      <c r="T2060" t="n">
        <v>2</v>
      </c>
      <c r="U2060" t="inlineStr">
        <is>
          <t>2004-10-23</t>
        </is>
      </c>
      <c r="V2060" t="inlineStr">
        <is>
          <t>2004-10-23</t>
        </is>
      </c>
      <c r="W2060" t="inlineStr">
        <is>
          <t>2004-09-30</t>
        </is>
      </c>
      <c r="X2060" t="inlineStr">
        <is>
          <t>2004-09-30</t>
        </is>
      </c>
      <c r="Y2060" t="n">
        <v>223</v>
      </c>
      <c r="Z2060" t="n">
        <v>196</v>
      </c>
      <c r="AA2060" t="n">
        <v>198</v>
      </c>
      <c r="AB2060" t="n">
        <v>2</v>
      </c>
      <c r="AC2060" t="n">
        <v>2</v>
      </c>
      <c r="AD2060" t="n">
        <v>7</v>
      </c>
      <c r="AE2060" t="n">
        <v>7</v>
      </c>
      <c r="AF2060" t="n">
        <v>2</v>
      </c>
      <c r="AG2060" t="n">
        <v>2</v>
      </c>
      <c r="AH2060" t="n">
        <v>3</v>
      </c>
      <c r="AI2060" t="n">
        <v>3</v>
      </c>
      <c r="AJ2060" t="n">
        <v>5</v>
      </c>
      <c r="AK2060" t="n">
        <v>5</v>
      </c>
      <c r="AL2060" t="n">
        <v>1</v>
      </c>
      <c r="AM2060" t="n">
        <v>1</v>
      </c>
      <c r="AN2060" t="n">
        <v>0</v>
      </c>
      <c r="AO2060" t="n">
        <v>0</v>
      </c>
      <c r="AP2060" t="inlineStr">
        <is>
          <t>No</t>
        </is>
      </c>
      <c r="AQ2060" t="inlineStr">
        <is>
          <t>Yes</t>
        </is>
      </c>
      <c r="AR2060">
        <f>HYPERLINK("http://catalog.hathitrust.org/Record/004332226","HathiTrust Record")</f>
        <v/>
      </c>
      <c r="AS2060">
        <f>HYPERLINK("https://creighton-primo.hosted.exlibrisgroup.com/primo-explore/search?tab=default_tab&amp;search_scope=EVERYTHING&amp;vid=01CRU&amp;lang=en_US&amp;offset=0&amp;query=any,contains,991004359769702656","Catalog Record")</f>
        <v/>
      </c>
      <c r="AT2060">
        <f>HYPERLINK("http://www.worldcat.org/oclc/51898965","WorldCat Record")</f>
        <v/>
      </c>
      <c r="AU2060" t="inlineStr">
        <is>
          <t>770507:eng</t>
        </is>
      </c>
      <c r="AV2060" t="inlineStr">
        <is>
          <t>51898965</t>
        </is>
      </c>
      <c r="AW2060" t="inlineStr">
        <is>
          <t>991004359769702656</t>
        </is>
      </c>
      <c r="AX2060" t="inlineStr">
        <is>
          <t>991004359769702656</t>
        </is>
      </c>
      <c r="AY2060" t="inlineStr">
        <is>
          <t>2259187810002656</t>
        </is>
      </c>
      <c r="AZ2060" t="inlineStr">
        <is>
          <t>BOOK</t>
        </is>
      </c>
      <c r="BB2060" t="inlineStr">
        <is>
          <t>9780786414888</t>
        </is>
      </c>
      <c r="BC2060" t="inlineStr">
        <is>
          <t>32285005000301</t>
        </is>
      </c>
      <c r="BD2060" t="inlineStr">
        <is>
          <t>893693849</t>
        </is>
      </c>
    </row>
    <row r="2061">
      <c r="A2061" t="inlineStr">
        <is>
          <t>No</t>
        </is>
      </c>
      <c r="B2061" t="inlineStr">
        <is>
          <t>DS774 .C44</t>
        </is>
      </c>
      <c r="C2061" t="inlineStr">
        <is>
          <t>0                      DS 0774000C  44</t>
        </is>
      </c>
      <c r="D2061" t="inlineStr">
        <is>
          <t>China : the impact of revolution : a survey of twentieth century China / edited by Colin Mackerras ; contributors, Ian Davies ... [et al.].</t>
        </is>
      </c>
      <c r="F2061" t="inlineStr">
        <is>
          <t>No</t>
        </is>
      </c>
      <c r="G2061" t="inlineStr">
        <is>
          <t>1</t>
        </is>
      </c>
      <c r="H2061" t="inlineStr">
        <is>
          <t>No</t>
        </is>
      </c>
      <c r="I2061" t="inlineStr">
        <is>
          <t>No</t>
        </is>
      </c>
      <c r="J2061" t="inlineStr">
        <is>
          <t>0</t>
        </is>
      </c>
      <c r="L2061" t="inlineStr">
        <is>
          <t>Hawthorn, Australia : Longman, 1976.</t>
        </is>
      </c>
      <c r="M2061" t="inlineStr">
        <is>
          <t>1976</t>
        </is>
      </c>
      <c r="O2061" t="inlineStr">
        <is>
          <t>eng</t>
        </is>
      </c>
      <c r="P2061" t="inlineStr">
        <is>
          <t xml:space="preserve">at </t>
        </is>
      </c>
      <c r="R2061" t="inlineStr">
        <is>
          <t xml:space="preserve">DS </t>
        </is>
      </c>
      <c r="S2061" t="n">
        <v>1</v>
      </c>
      <c r="T2061" t="n">
        <v>1</v>
      </c>
      <c r="U2061" t="inlineStr">
        <is>
          <t>2005-12-07</t>
        </is>
      </c>
      <c r="V2061" t="inlineStr">
        <is>
          <t>2005-12-07</t>
        </is>
      </c>
      <c r="W2061" t="inlineStr">
        <is>
          <t>1997-03-13</t>
        </is>
      </c>
      <c r="X2061" t="inlineStr">
        <is>
          <t>1997-03-13</t>
        </is>
      </c>
      <c r="Y2061" t="n">
        <v>395</v>
      </c>
      <c r="Z2061" t="n">
        <v>270</v>
      </c>
      <c r="AA2061" t="n">
        <v>272</v>
      </c>
      <c r="AB2061" t="n">
        <v>3</v>
      </c>
      <c r="AC2061" t="n">
        <v>3</v>
      </c>
      <c r="AD2061" t="n">
        <v>12</v>
      </c>
      <c r="AE2061" t="n">
        <v>12</v>
      </c>
      <c r="AF2061" t="n">
        <v>3</v>
      </c>
      <c r="AG2061" t="n">
        <v>3</v>
      </c>
      <c r="AH2061" t="n">
        <v>5</v>
      </c>
      <c r="AI2061" t="n">
        <v>5</v>
      </c>
      <c r="AJ2061" t="n">
        <v>5</v>
      </c>
      <c r="AK2061" t="n">
        <v>5</v>
      </c>
      <c r="AL2061" t="n">
        <v>2</v>
      </c>
      <c r="AM2061" t="n">
        <v>2</v>
      </c>
      <c r="AN2061" t="n">
        <v>0</v>
      </c>
      <c r="AO2061" t="n">
        <v>0</v>
      </c>
      <c r="AP2061" t="inlineStr">
        <is>
          <t>No</t>
        </is>
      </c>
      <c r="AQ2061" t="inlineStr">
        <is>
          <t>No</t>
        </is>
      </c>
      <c r="AS2061">
        <f>HYPERLINK("https://creighton-primo.hosted.exlibrisgroup.com/primo-explore/search?tab=default_tab&amp;search_scope=EVERYTHING&amp;vid=01CRU&amp;lang=en_US&amp;offset=0&amp;query=any,contains,991004228799702656","Catalog Record")</f>
        <v/>
      </c>
      <c r="AT2061">
        <f>HYPERLINK("http://www.worldcat.org/oclc/2739233","WorldCat Record")</f>
        <v/>
      </c>
      <c r="AU2061" t="inlineStr">
        <is>
          <t>370450926:eng</t>
        </is>
      </c>
      <c r="AV2061" t="inlineStr">
        <is>
          <t>2739233</t>
        </is>
      </c>
      <c r="AW2061" t="inlineStr">
        <is>
          <t>991004228799702656</t>
        </is>
      </c>
      <c r="AX2061" t="inlineStr">
        <is>
          <t>991004228799702656</t>
        </is>
      </c>
      <c r="AY2061" t="inlineStr">
        <is>
          <t>2272054770002656</t>
        </is>
      </c>
      <c r="AZ2061" t="inlineStr">
        <is>
          <t>BOOK</t>
        </is>
      </c>
      <c r="BB2061" t="inlineStr">
        <is>
          <t>9780582686854</t>
        </is>
      </c>
      <c r="BC2061" t="inlineStr">
        <is>
          <t>32285002447679</t>
        </is>
      </c>
      <c r="BD2061" t="inlineStr">
        <is>
          <t>893618414</t>
        </is>
      </c>
    </row>
    <row r="2062">
      <c r="A2062" t="inlineStr">
        <is>
          <t>No</t>
        </is>
      </c>
      <c r="B2062" t="inlineStr">
        <is>
          <t>DS774 .C57 1972</t>
        </is>
      </c>
      <c r="C2062" t="inlineStr">
        <is>
          <t>0                      DS 0774000C  57          1972</t>
        </is>
      </c>
      <c r="D2062" t="inlineStr">
        <is>
          <t>20th century China, by O. Edmund Clubb.</t>
        </is>
      </c>
      <c r="F2062" t="inlineStr">
        <is>
          <t>No</t>
        </is>
      </c>
      <c r="G2062" t="inlineStr">
        <is>
          <t>1</t>
        </is>
      </c>
      <c r="H2062" t="inlineStr">
        <is>
          <t>No</t>
        </is>
      </c>
      <c r="I2062" t="inlineStr">
        <is>
          <t>No</t>
        </is>
      </c>
      <c r="J2062" t="inlineStr">
        <is>
          <t>0</t>
        </is>
      </c>
      <c r="K2062" t="inlineStr">
        <is>
          <t>Clubb, O. Edmund (Oliver Edmund), 1901-1989.</t>
        </is>
      </c>
      <c r="L2062" t="inlineStr">
        <is>
          <t>New York, Columbia University Press, 1972.</t>
        </is>
      </c>
      <c r="M2062" t="inlineStr">
        <is>
          <t>1972</t>
        </is>
      </c>
      <c r="N2062" t="inlineStr">
        <is>
          <t>2d ed.</t>
        </is>
      </c>
      <c r="O2062" t="inlineStr">
        <is>
          <t>eng</t>
        </is>
      </c>
      <c r="P2062" t="inlineStr">
        <is>
          <t>nyu</t>
        </is>
      </c>
      <c r="R2062" t="inlineStr">
        <is>
          <t xml:space="preserve">DS </t>
        </is>
      </c>
      <c r="S2062" t="n">
        <v>3</v>
      </c>
      <c r="T2062" t="n">
        <v>3</v>
      </c>
      <c r="U2062" t="inlineStr">
        <is>
          <t>2006-04-25</t>
        </is>
      </c>
      <c r="V2062" t="inlineStr">
        <is>
          <t>2006-04-25</t>
        </is>
      </c>
      <c r="W2062" t="inlineStr">
        <is>
          <t>1997-03-13</t>
        </is>
      </c>
      <c r="X2062" t="inlineStr">
        <is>
          <t>1997-03-13</t>
        </is>
      </c>
      <c r="Y2062" t="n">
        <v>916</v>
      </c>
      <c r="Z2062" t="n">
        <v>799</v>
      </c>
      <c r="AA2062" t="n">
        <v>1822</v>
      </c>
      <c r="AB2062" t="n">
        <v>7</v>
      </c>
      <c r="AC2062" t="n">
        <v>10</v>
      </c>
      <c r="AD2062" t="n">
        <v>24</v>
      </c>
      <c r="AE2062" t="n">
        <v>56</v>
      </c>
      <c r="AF2062" t="n">
        <v>8</v>
      </c>
      <c r="AG2062" t="n">
        <v>26</v>
      </c>
      <c r="AH2062" t="n">
        <v>5</v>
      </c>
      <c r="AI2062" t="n">
        <v>9</v>
      </c>
      <c r="AJ2062" t="n">
        <v>10</v>
      </c>
      <c r="AK2062" t="n">
        <v>24</v>
      </c>
      <c r="AL2062" t="n">
        <v>6</v>
      </c>
      <c r="AM2062" t="n">
        <v>9</v>
      </c>
      <c r="AN2062" t="n">
        <v>1</v>
      </c>
      <c r="AO2062" t="n">
        <v>1</v>
      </c>
      <c r="AP2062" t="inlineStr">
        <is>
          <t>No</t>
        </is>
      </c>
      <c r="AQ2062" t="inlineStr">
        <is>
          <t>Yes</t>
        </is>
      </c>
      <c r="AR2062">
        <f>HYPERLINK("http://catalog.hathitrust.org/Record/001258067","HathiTrust Record")</f>
        <v/>
      </c>
      <c r="AS2062">
        <f>HYPERLINK("https://creighton-primo.hosted.exlibrisgroup.com/primo-explore/search?tab=default_tab&amp;search_scope=EVERYTHING&amp;vid=01CRU&amp;lang=en_US&amp;offset=0&amp;query=any,contains,991002700539702656","Catalog Record")</f>
        <v/>
      </c>
      <c r="AT2062">
        <f>HYPERLINK("http://www.worldcat.org/oclc/405391","WorldCat Record")</f>
        <v/>
      </c>
      <c r="AU2062" t="inlineStr">
        <is>
          <t>184082331:eng</t>
        </is>
      </c>
      <c r="AV2062" t="inlineStr">
        <is>
          <t>405391</t>
        </is>
      </c>
      <c r="AW2062" t="inlineStr">
        <is>
          <t>991002700539702656</t>
        </is>
      </c>
      <c r="AX2062" t="inlineStr">
        <is>
          <t>991002700539702656</t>
        </is>
      </c>
      <c r="AY2062" t="inlineStr">
        <is>
          <t>2260516950002656</t>
        </is>
      </c>
      <c r="AZ2062" t="inlineStr">
        <is>
          <t>BOOK</t>
        </is>
      </c>
      <c r="BB2062" t="inlineStr">
        <is>
          <t>9780231036481</t>
        </is>
      </c>
      <c r="BC2062" t="inlineStr">
        <is>
          <t>32285002447687</t>
        </is>
      </c>
      <c r="BD2062" t="inlineStr">
        <is>
          <t>893710567</t>
        </is>
      </c>
    </row>
    <row r="2063">
      <c r="A2063" t="inlineStr">
        <is>
          <t>No</t>
        </is>
      </c>
      <c r="B2063" t="inlineStr">
        <is>
          <t>DS774 .H796 2001</t>
        </is>
      </c>
      <c r="C2063" t="inlineStr">
        <is>
          <t>0                      DS 0774000H  796         2001</t>
        </is>
      </c>
      <c r="D2063" t="inlineStr">
        <is>
          <t>Modern China : a guide to a century of change / Graham Hutchings.</t>
        </is>
      </c>
      <c r="F2063" t="inlineStr">
        <is>
          <t>No</t>
        </is>
      </c>
      <c r="G2063" t="inlineStr">
        <is>
          <t>1</t>
        </is>
      </c>
      <c r="H2063" t="inlineStr">
        <is>
          <t>No</t>
        </is>
      </c>
      <c r="I2063" t="inlineStr">
        <is>
          <t>No</t>
        </is>
      </c>
      <c r="J2063" t="inlineStr">
        <is>
          <t>0</t>
        </is>
      </c>
      <c r="K2063" t="inlineStr">
        <is>
          <t>Hutchings, Graham.</t>
        </is>
      </c>
      <c r="L2063" t="inlineStr">
        <is>
          <t>Cambridge, Mass. : Harvard University Press, 2001.</t>
        </is>
      </c>
      <c r="M2063" t="inlineStr">
        <is>
          <t>2001</t>
        </is>
      </c>
      <c r="O2063" t="inlineStr">
        <is>
          <t>eng</t>
        </is>
      </c>
      <c r="P2063" t="inlineStr">
        <is>
          <t>mau</t>
        </is>
      </c>
      <c r="R2063" t="inlineStr">
        <is>
          <t xml:space="preserve">DS </t>
        </is>
      </c>
      <c r="S2063" t="n">
        <v>5</v>
      </c>
      <c r="T2063" t="n">
        <v>5</v>
      </c>
      <c r="U2063" t="inlineStr">
        <is>
          <t>2006-10-30</t>
        </is>
      </c>
      <c r="V2063" t="inlineStr">
        <is>
          <t>2006-10-30</t>
        </is>
      </c>
      <c r="W2063" t="inlineStr">
        <is>
          <t>2002-03-04</t>
        </is>
      </c>
      <c r="X2063" t="inlineStr">
        <is>
          <t>2002-03-04</t>
        </is>
      </c>
      <c r="Y2063" t="n">
        <v>1037</v>
      </c>
      <c r="Z2063" t="n">
        <v>932</v>
      </c>
      <c r="AA2063" t="n">
        <v>935</v>
      </c>
      <c r="AB2063" t="n">
        <v>9</v>
      </c>
      <c r="AC2063" t="n">
        <v>9</v>
      </c>
      <c r="AD2063" t="n">
        <v>38</v>
      </c>
      <c r="AE2063" t="n">
        <v>39</v>
      </c>
      <c r="AF2063" t="n">
        <v>15</v>
      </c>
      <c r="AG2063" t="n">
        <v>15</v>
      </c>
      <c r="AH2063" t="n">
        <v>9</v>
      </c>
      <c r="AI2063" t="n">
        <v>10</v>
      </c>
      <c r="AJ2063" t="n">
        <v>15</v>
      </c>
      <c r="AK2063" t="n">
        <v>15</v>
      </c>
      <c r="AL2063" t="n">
        <v>7</v>
      </c>
      <c r="AM2063" t="n">
        <v>7</v>
      </c>
      <c r="AN2063" t="n">
        <v>2</v>
      </c>
      <c r="AO2063" t="n">
        <v>2</v>
      </c>
      <c r="AP2063" t="inlineStr">
        <is>
          <t>No</t>
        </is>
      </c>
      <c r="AQ2063" t="inlineStr">
        <is>
          <t>No</t>
        </is>
      </c>
      <c r="AS2063">
        <f>HYPERLINK("https://creighton-primo.hosted.exlibrisgroup.com/primo-explore/search?tab=default_tab&amp;search_scope=EVERYTHING&amp;vid=01CRU&amp;lang=en_US&amp;offset=0&amp;query=any,contains,991003717069702656","Catalog Record")</f>
        <v/>
      </c>
      <c r="AT2063">
        <f>HYPERLINK("http://www.worldcat.org/oclc/46575441","WorldCat Record")</f>
        <v/>
      </c>
      <c r="AU2063" t="inlineStr">
        <is>
          <t>35442782:eng</t>
        </is>
      </c>
      <c r="AV2063" t="inlineStr">
        <is>
          <t>46575441</t>
        </is>
      </c>
      <c r="AW2063" t="inlineStr">
        <is>
          <t>991003717069702656</t>
        </is>
      </c>
      <c r="AX2063" t="inlineStr">
        <is>
          <t>991003717069702656</t>
        </is>
      </c>
      <c r="AY2063" t="inlineStr">
        <is>
          <t>2272789270002656</t>
        </is>
      </c>
      <c r="AZ2063" t="inlineStr">
        <is>
          <t>BOOK</t>
        </is>
      </c>
      <c r="BB2063" t="inlineStr">
        <is>
          <t>9780674006584</t>
        </is>
      </c>
      <c r="BC2063" t="inlineStr">
        <is>
          <t>32285004458922</t>
        </is>
      </c>
      <c r="BD2063" t="inlineStr">
        <is>
          <t>893246666</t>
        </is>
      </c>
    </row>
    <row r="2064">
      <c r="A2064" t="inlineStr">
        <is>
          <t>No</t>
        </is>
      </c>
      <c r="B2064" t="inlineStr">
        <is>
          <t>DS774 .J6 1973</t>
        </is>
      </c>
      <c r="C2064" t="inlineStr">
        <is>
          <t>0                      DS 0774000J  6           1973</t>
        </is>
      </c>
      <c r="D2064" t="inlineStr">
        <is>
          <t>Twilight in the Forbidden City. With a pref. by the Emperor.</t>
        </is>
      </c>
      <c r="F2064" t="inlineStr">
        <is>
          <t>No</t>
        </is>
      </c>
      <c r="G2064" t="inlineStr">
        <is>
          <t>1</t>
        </is>
      </c>
      <c r="H2064" t="inlineStr">
        <is>
          <t>No</t>
        </is>
      </c>
      <c r="I2064" t="inlineStr">
        <is>
          <t>No</t>
        </is>
      </c>
      <c r="J2064" t="inlineStr">
        <is>
          <t>0</t>
        </is>
      </c>
      <c r="K2064" t="inlineStr">
        <is>
          <t>Johnston, Reginald Fleming, Sir, 1874-1938.</t>
        </is>
      </c>
      <c r="L2064" t="inlineStr">
        <is>
          <t>Wilmington, Del., Scholarly Resources [1973]</t>
        </is>
      </c>
      <c r="M2064" t="inlineStr">
        <is>
          <t>1973</t>
        </is>
      </c>
      <c r="O2064" t="inlineStr">
        <is>
          <t>eng</t>
        </is>
      </c>
      <c r="P2064" t="inlineStr">
        <is>
          <t>deu</t>
        </is>
      </c>
      <c r="R2064" t="inlineStr">
        <is>
          <t xml:space="preserve">DS </t>
        </is>
      </c>
      <c r="S2064" t="n">
        <v>9</v>
      </c>
      <c r="T2064" t="n">
        <v>9</v>
      </c>
      <c r="U2064" t="inlineStr">
        <is>
          <t>2001-04-06</t>
        </is>
      </c>
      <c r="V2064" t="inlineStr">
        <is>
          <t>2001-04-06</t>
        </is>
      </c>
      <c r="W2064" t="inlineStr">
        <is>
          <t>1992-04-01</t>
        </is>
      </c>
      <c r="X2064" t="inlineStr">
        <is>
          <t>1992-04-01</t>
        </is>
      </c>
      <c r="Y2064" t="n">
        <v>64</v>
      </c>
      <c r="Z2064" t="n">
        <v>58</v>
      </c>
      <c r="AA2064" t="n">
        <v>379</v>
      </c>
      <c r="AB2064" t="n">
        <v>1</v>
      </c>
      <c r="AC2064" t="n">
        <v>3</v>
      </c>
      <c r="AD2064" t="n">
        <v>2</v>
      </c>
      <c r="AE2064" t="n">
        <v>10</v>
      </c>
      <c r="AF2064" t="n">
        <v>1</v>
      </c>
      <c r="AG2064" t="n">
        <v>4</v>
      </c>
      <c r="AH2064" t="n">
        <v>1</v>
      </c>
      <c r="AI2064" t="n">
        <v>2</v>
      </c>
      <c r="AJ2064" t="n">
        <v>0</v>
      </c>
      <c r="AK2064" t="n">
        <v>6</v>
      </c>
      <c r="AL2064" t="n">
        <v>0</v>
      </c>
      <c r="AM2064" t="n">
        <v>1</v>
      </c>
      <c r="AN2064" t="n">
        <v>0</v>
      </c>
      <c r="AO2064" t="n">
        <v>0</v>
      </c>
      <c r="AP2064" t="inlineStr">
        <is>
          <t>No</t>
        </is>
      </c>
      <c r="AQ2064" t="inlineStr">
        <is>
          <t>Yes</t>
        </is>
      </c>
      <c r="AR2064">
        <f>HYPERLINK("http://catalog.hathitrust.org/Record/102065246","HathiTrust Record")</f>
        <v/>
      </c>
      <c r="AS2064">
        <f>HYPERLINK("https://creighton-primo.hosted.exlibrisgroup.com/primo-explore/search?tab=default_tab&amp;search_scope=EVERYTHING&amp;vid=01CRU&amp;lang=en_US&amp;offset=0&amp;query=any,contains,991003885969702656","Catalog Record")</f>
        <v/>
      </c>
      <c r="AT2064">
        <f>HYPERLINK("http://www.worldcat.org/oclc/1736985","WorldCat Record")</f>
        <v/>
      </c>
      <c r="AU2064" t="inlineStr">
        <is>
          <t>3943310408:eng</t>
        </is>
      </c>
      <c r="AV2064" t="inlineStr">
        <is>
          <t>1736985</t>
        </is>
      </c>
      <c r="AW2064" t="inlineStr">
        <is>
          <t>991003885969702656</t>
        </is>
      </c>
      <c r="AX2064" t="inlineStr">
        <is>
          <t>991003885969702656</t>
        </is>
      </c>
      <c r="AY2064" t="inlineStr">
        <is>
          <t>2271795820002656</t>
        </is>
      </c>
      <c r="AZ2064" t="inlineStr">
        <is>
          <t>BOOK</t>
        </is>
      </c>
      <c r="BB2064" t="inlineStr">
        <is>
          <t>9780842013789</t>
        </is>
      </c>
      <c r="BC2064" t="inlineStr">
        <is>
          <t>32285001050524</t>
        </is>
      </c>
      <c r="BD2064" t="inlineStr">
        <is>
          <t>893228604</t>
        </is>
      </c>
    </row>
    <row r="2065">
      <c r="A2065" t="inlineStr">
        <is>
          <t>No</t>
        </is>
      </c>
      <c r="B2065" t="inlineStr">
        <is>
          <t>DS774 .N38 1991</t>
        </is>
      </c>
      <c r="C2065" t="inlineStr">
        <is>
          <t>0                      DS 0774000N  38          1991</t>
        </is>
      </c>
      <c r="D2065" t="inlineStr">
        <is>
          <t>The Nationalist era in China, 1927-1949 / Lloyd E. Eastman ... [et al.].</t>
        </is>
      </c>
      <c r="F2065" t="inlineStr">
        <is>
          <t>No</t>
        </is>
      </c>
      <c r="G2065" t="inlineStr">
        <is>
          <t>1</t>
        </is>
      </c>
      <c r="H2065" t="inlineStr">
        <is>
          <t>No</t>
        </is>
      </c>
      <c r="I2065" t="inlineStr">
        <is>
          <t>No</t>
        </is>
      </c>
      <c r="J2065" t="inlineStr">
        <is>
          <t>0</t>
        </is>
      </c>
      <c r="L2065" t="inlineStr">
        <is>
          <t>Cambridge [England] ; New York : Cambridge University Press, 1991.</t>
        </is>
      </c>
      <c r="M2065" t="inlineStr">
        <is>
          <t>1991</t>
        </is>
      </c>
      <c r="O2065" t="inlineStr">
        <is>
          <t>eng</t>
        </is>
      </c>
      <c r="P2065" t="inlineStr">
        <is>
          <t>enk</t>
        </is>
      </c>
      <c r="R2065" t="inlineStr">
        <is>
          <t xml:space="preserve">DS </t>
        </is>
      </c>
      <c r="S2065" t="n">
        <v>3</v>
      </c>
      <c r="T2065" t="n">
        <v>3</v>
      </c>
      <c r="U2065" t="inlineStr">
        <is>
          <t>2005-12-05</t>
        </is>
      </c>
      <c r="V2065" t="inlineStr">
        <is>
          <t>2005-12-05</t>
        </is>
      </c>
      <c r="W2065" t="inlineStr">
        <is>
          <t>1992-03-25</t>
        </is>
      </c>
      <c r="X2065" t="inlineStr">
        <is>
          <t>1992-03-25</t>
        </is>
      </c>
      <c r="Y2065" t="n">
        <v>382</v>
      </c>
      <c r="Z2065" t="n">
        <v>267</v>
      </c>
      <c r="AA2065" t="n">
        <v>273</v>
      </c>
      <c r="AB2065" t="n">
        <v>2</v>
      </c>
      <c r="AC2065" t="n">
        <v>2</v>
      </c>
      <c r="AD2065" t="n">
        <v>15</v>
      </c>
      <c r="AE2065" t="n">
        <v>15</v>
      </c>
      <c r="AF2065" t="n">
        <v>8</v>
      </c>
      <c r="AG2065" t="n">
        <v>8</v>
      </c>
      <c r="AH2065" t="n">
        <v>4</v>
      </c>
      <c r="AI2065" t="n">
        <v>4</v>
      </c>
      <c r="AJ2065" t="n">
        <v>8</v>
      </c>
      <c r="AK2065" t="n">
        <v>8</v>
      </c>
      <c r="AL2065" t="n">
        <v>1</v>
      </c>
      <c r="AM2065" t="n">
        <v>1</v>
      </c>
      <c r="AN2065" t="n">
        <v>0</v>
      </c>
      <c r="AO2065" t="n">
        <v>0</v>
      </c>
      <c r="AP2065" t="inlineStr">
        <is>
          <t>No</t>
        </is>
      </c>
      <c r="AQ2065" t="inlineStr">
        <is>
          <t>No</t>
        </is>
      </c>
      <c r="AS2065">
        <f>HYPERLINK("https://creighton-primo.hosted.exlibrisgroup.com/primo-explore/search?tab=default_tab&amp;search_scope=EVERYTHING&amp;vid=01CRU&amp;lang=en_US&amp;offset=0&amp;query=any,contains,991001637359702656","Catalog Record")</f>
        <v/>
      </c>
      <c r="AT2065">
        <f>HYPERLINK("http://www.worldcat.org/oclc/20992381","WorldCat Record")</f>
        <v/>
      </c>
      <c r="AU2065" t="inlineStr">
        <is>
          <t>917506838:eng</t>
        </is>
      </c>
      <c r="AV2065" t="inlineStr">
        <is>
          <t>20992381</t>
        </is>
      </c>
      <c r="AW2065" t="inlineStr">
        <is>
          <t>991001637359702656</t>
        </is>
      </c>
      <c r="AX2065" t="inlineStr">
        <is>
          <t>991001637359702656</t>
        </is>
      </c>
      <c r="AY2065" t="inlineStr">
        <is>
          <t>2269094590002656</t>
        </is>
      </c>
      <c r="AZ2065" t="inlineStr">
        <is>
          <t>BOOK</t>
        </is>
      </c>
      <c r="BB2065" t="inlineStr">
        <is>
          <t>9780521385916</t>
        </is>
      </c>
      <c r="BC2065" t="inlineStr">
        <is>
          <t>32285001006112</t>
        </is>
      </c>
      <c r="BD2065" t="inlineStr">
        <is>
          <t>893778943</t>
        </is>
      </c>
    </row>
    <row r="2066">
      <c r="A2066" t="inlineStr">
        <is>
          <t>No</t>
        </is>
      </c>
      <c r="B2066" t="inlineStr">
        <is>
          <t>DS774 .P46 1981</t>
        </is>
      </c>
      <c r="C2066" t="inlineStr">
        <is>
          <t>0                      DS 0774000P  46          1981</t>
        </is>
      </c>
      <c r="D2066" t="inlineStr">
        <is>
          <t>A Pictorial history of the Republic of China : its founding and development.</t>
        </is>
      </c>
      <c r="E2066" t="inlineStr">
        <is>
          <t>V.2</t>
        </is>
      </c>
      <c r="F2066" t="inlineStr">
        <is>
          <t>Yes</t>
        </is>
      </c>
      <c r="G2066" t="inlineStr">
        <is>
          <t>1</t>
        </is>
      </c>
      <c r="H2066" t="inlineStr">
        <is>
          <t>No</t>
        </is>
      </c>
      <c r="I2066" t="inlineStr">
        <is>
          <t>No</t>
        </is>
      </c>
      <c r="J2066" t="inlineStr">
        <is>
          <t>0</t>
        </is>
      </c>
      <c r="L2066" t="inlineStr">
        <is>
          <t>Taipei, ROC : Modern China Press : Distributor, Chungyang wenwu Kungyingshe, 1981.</t>
        </is>
      </c>
      <c r="M2066" t="inlineStr">
        <is>
          <t>1981</t>
        </is>
      </c>
      <c r="N2066" t="inlineStr">
        <is>
          <t>1st ed.</t>
        </is>
      </c>
      <c r="O2066" t="inlineStr">
        <is>
          <t>eng</t>
        </is>
      </c>
      <c r="P2066" t="inlineStr">
        <is>
          <t xml:space="preserve">ch </t>
        </is>
      </c>
      <c r="R2066" t="inlineStr">
        <is>
          <t xml:space="preserve">DS </t>
        </is>
      </c>
      <c r="S2066" t="n">
        <v>2</v>
      </c>
      <c r="T2066" t="n">
        <v>2</v>
      </c>
      <c r="U2066" t="inlineStr">
        <is>
          <t>1993-02-15</t>
        </is>
      </c>
      <c r="V2066" t="inlineStr">
        <is>
          <t>1993-02-15</t>
        </is>
      </c>
      <c r="W2066" t="inlineStr">
        <is>
          <t>1990-10-19</t>
        </is>
      </c>
      <c r="X2066" t="inlineStr">
        <is>
          <t>1991-06-28</t>
        </is>
      </c>
      <c r="Y2066" t="n">
        <v>1220</v>
      </c>
      <c r="Z2066" t="n">
        <v>1097</v>
      </c>
      <c r="AA2066" t="n">
        <v>1108</v>
      </c>
      <c r="AB2066" t="n">
        <v>9</v>
      </c>
      <c r="AC2066" t="n">
        <v>9</v>
      </c>
      <c r="AD2066" t="n">
        <v>49</v>
      </c>
      <c r="AE2066" t="n">
        <v>49</v>
      </c>
      <c r="AF2066" t="n">
        <v>20</v>
      </c>
      <c r="AG2066" t="n">
        <v>20</v>
      </c>
      <c r="AH2066" t="n">
        <v>9</v>
      </c>
      <c r="AI2066" t="n">
        <v>9</v>
      </c>
      <c r="AJ2066" t="n">
        <v>20</v>
      </c>
      <c r="AK2066" t="n">
        <v>20</v>
      </c>
      <c r="AL2066" t="n">
        <v>8</v>
      </c>
      <c r="AM2066" t="n">
        <v>8</v>
      </c>
      <c r="AN2066" t="n">
        <v>2</v>
      </c>
      <c r="AO2066" t="n">
        <v>2</v>
      </c>
      <c r="AP2066" t="inlineStr">
        <is>
          <t>No</t>
        </is>
      </c>
      <c r="AQ2066" t="inlineStr">
        <is>
          <t>Yes</t>
        </is>
      </c>
      <c r="AR2066">
        <f>HYPERLINK("http://catalog.hathitrust.org/Record/000312261","HathiTrust Record")</f>
        <v/>
      </c>
      <c r="AS2066">
        <f>HYPERLINK("https://creighton-primo.hosted.exlibrisgroup.com/primo-explore/search?tab=default_tab&amp;search_scope=EVERYTHING&amp;vid=01CRU&amp;lang=en_US&amp;offset=0&amp;query=any,contains,991000089049702656","Catalog Record")</f>
        <v/>
      </c>
      <c r="AT2066">
        <f>HYPERLINK("http://www.worldcat.org/oclc/8883106","WorldCat Record")</f>
        <v/>
      </c>
      <c r="AU2066" t="inlineStr">
        <is>
          <t>42930713:eng</t>
        </is>
      </c>
      <c r="AV2066" t="inlineStr">
        <is>
          <t>8883106</t>
        </is>
      </c>
      <c r="AW2066" t="inlineStr">
        <is>
          <t>991000089049702656</t>
        </is>
      </c>
      <c r="AX2066" t="inlineStr">
        <is>
          <t>991000089049702656</t>
        </is>
      </c>
      <c r="AY2066" t="inlineStr">
        <is>
          <t>2266157800002656</t>
        </is>
      </c>
      <c r="AZ2066" t="inlineStr">
        <is>
          <t>BOOK</t>
        </is>
      </c>
      <c r="BC2066" t="inlineStr">
        <is>
          <t>32285000338672</t>
        </is>
      </c>
      <c r="BD2066" t="inlineStr">
        <is>
          <t>893314661</t>
        </is>
      </c>
    </row>
    <row r="2067">
      <c r="A2067" t="inlineStr">
        <is>
          <t>No</t>
        </is>
      </c>
      <c r="B2067" t="inlineStr">
        <is>
          <t>DS774 .P46 1981</t>
        </is>
      </c>
      <c r="C2067" t="inlineStr">
        <is>
          <t>0                      DS 0774000P  46          1981</t>
        </is>
      </c>
      <c r="D2067" t="inlineStr">
        <is>
          <t>A Pictorial history of the Republic of China : its founding and development.</t>
        </is>
      </c>
      <c r="E2067" t="inlineStr">
        <is>
          <t>V.1</t>
        </is>
      </c>
      <c r="F2067" t="inlineStr">
        <is>
          <t>Yes</t>
        </is>
      </c>
      <c r="G2067" t="inlineStr">
        <is>
          <t>1</t>
        </is>
      </c>
      <c r="H2067" t="inlineStr">
        <is>
          <t>No</t>
        </is>
      </c>
      <c r="I2067" t="inlineStr">
        <is>
          <t>No</t>
        </is>
      </c>
      <c r="J2067" t="inlineStr">
        <is>
          <t>0</t>
        </is>
      </c>
      <c r="L2067" t="inlineStr">
        <is>
          <t>Taipei, ROC : Modern China Press : Distributor, Chungyang wenwu Kungyingshe, 1981.</t>
        </is>
      </c>
      <c r="M2067" t="inlineStr">
        <is>
          <t>1981</t>
        </is>
      </c>
      <c r="N2067" t="inlineStr">
        <is>
          <t>1st ed.</t>
        </is>
      </c>
      <c r="O2067" t="inlineStr">
        <is>
          <t>eng</t>
        </is>
      </c>
      <c r="P2067" t="inlineStr">
        <is>
          <t xml:space="preserve">ch </t>
        </is>
      </c>
      <c r="R2067" t="inlineStr">
        <is>
          <t xml:space="preserve">DS </t>
        </is>
      </c>
      <c r="S2067" t="n">
        <v>0</v>
      </c>
      <c r="T2067" t="n">
        <v>2</v>
      </c>
      <c r="V2067" t="inlineStr">
        <is>
          <t>1993-02-15</t>
        </is>
      </c>
      <c r="W2067" t="inlineStr">
        <is>
          <t>1991-06-28</t>
        </is>
      </c>
      <c r="X2067" t="inlineStr">
        <is>
          <t>1991-06-28</t>
        </is>
      </c>
      <c r="Y2067" t="n">
        <v>1220</v>
      </c>
      <c r="Z2067" t="n">
        <v>1097</v>
      </c>
      <c r="AA2067" t="n">
        <v>1108</v>
      </c>
      <c r="AB2067" t="n">
        <v>9</v>
      </c>
      <c r="AC2067" t="n">
        <v>9</v>
      </c>
      <c r="AD2067" t="n">
        <v>49</v>
      </c>
      <c r="AE2067" t="n">
        <v>49</v>
      </c>
      <c r="AF2067" t="n">
        <v>20</v>
      </c>
      <c r="AG2067" t="n">
        <v>20</v>
      </c>
      <c r="AH2067" t="n">
        <v>9</v>
      </c>
      <c r="AI2067" t="n">
        <v>9</v>
      </c>
      <c r="AJ2067" t="n">
        <v>20</v>
      </c>
      <c r="AK2067" t="n">
        <v>20</v>
      </c>
      <c r="AL2067" t="n">
        <v>8</v>
      </c>
      <c r="AM2067" t="n">
        <v>8</v>
      </c>
      <c r="AN2067" t="n">
        <v>2</v>
      </c>
      <c r="AO2067" t="n">
        <v>2</v>
      </c>
      <c r="AP2067" t="inlineStr">
        <is>
          <t>No</t>
        </is>
      </c>
      <c r="AQ2067" t="inlineStr">
        <is>
          <t>Yes</t>
        </is>
      </c>
      <c r="AR2067">
        <f>HYPERLINK("http://catalog.hathitrust.org/Record/000312261","HathiTrust Record")</f>
        <v/>
      </c>
      <c r="AS2067">
        <f>HYPERLINK("https://creighton-primo.hosted.exlibrisgroup.com/primo-explore/search?tab=default_tab&amp;search_scope=EVERYTHING&amp;vid=01CRU&amp;lang=en_US&amp;offset=0&amp;query=any,contains,991000089049702656","Catalog Record")</f>
        <v/>
      </c>
      <c r="AT2067">
        <f>HYPERLINK("http://www.worldcat.org/oclc/8883106","WorldCat Record")</f>
        <v/>
      </c>
      <c r="AU2067" t="inlineStr">
        <is>
          <t>42930713:eng</t>
        </is>
      </c>
      <c r="AV2067" t="inlineStr">
        <is>
          <t>8883106</t>
        </is>
      </c>
      <c r="AW2067" t="inlineStr">
        <is>
          <t>991000089049702656</t>
        </is>
      </c>
      <c r="AX2067" t="inlineStr">
        <is>
          <t>991000089049702656</t>
        </is>
      </c>
      <c r="AY2067" t="inlineStr">
        <is>
          <t>2266157800002656</t>
        </is>
      </c>
      <c r="AZ2067" t="inlineStr">
        <is>
          <t>BOOK</t>
        </is>
      </c>
      <c r="BC2067" t="inlineStr">
        <is>
          <t>32285000672500</t>
        </is>
      </c>
      <c r="BD2067" t="inlineStr">
        <is>
          <t>893320794</t>
        </is>
      </c>
    </row>
    <row r="2068">
      <c r="A2068" t="inlineStr">
        <is>
          <t>No</t>
        </is>
      </c>
      <c r="B2068" t="inlineStr">
        <is>
          <t>DS774 .S59 1981</t>
        </is>
      </c>
      <c r="C2068" t="inlineStr">
        <is>
          <t>0                      DS 0774000S  59          1981</t>
        </is>
      </c>
      <c r="D2068" t="inlineStr">
        <is>
          <t>The Gate of Heavenly Peace : the Chinese and their revolution, 1895-1980 / Jonathan D. Spence.</t>
        </is>
      </c>
      <c r="F2068" t="inlineStr">
        <is>
          <t>No</t>
        </is>
      </c>
      <c r="G2068" t="inlineStr">
        <is>
          <t>1</t>
        </is>
      </c>
      <c r="H2068" t="inlineStr">
        <is>
          <t>No</t>
        </is>
      </c>
      <c r="I2068" t="inlineStr">
        <is>
          <t>No</t>
        </is>
      </c>
      <c r="J2068" t="inlineStr">
        <is>
          <t>0</t>
        </is>
      </c>
      <c r="K2068" t="inlineStr">
        <is>
          <t>Spence, Jonathan D.</t>
        </is>
      </c>
      <c r="L2068" t="inlineStr">
        <is>
          <t>New York : Viking Press, 1981.</t>
        </is>
      </c>
      <c r="M2068" t="inlineStr">
        <is>
          <t>1981</t>
        </is>
      </c>
      <c r="O2068" t="inlineStr">
        <is>
          <t>eng</t>
        </is>
      </c>
      <c r="P2068" t="inlineStr">
        <is>
          <t>nyu</t>
        </is>
      </c>
      <c r="R2068" t="inlineStr">
        <is>
          <t xml:space="preserve">DS </t>
        </is>
      </c>
      <c r="S2068" t="n">
        <v>3</v>
      </c>
      <c r="T2068" t="n">
        <v>3</v>
      </c>
      <c r="U2068" t="inlineStr">
        <is>
          <t>2008-05-06</t>
        </is>
      </c>
      <c r="V2068" t="inlineStr">
        <is>
          <t>2008-05-06</t>
        </is>
      </c>
      <c r="W2068" t="inlineStr">
        <is>
          <t>1990-08-09</t>
        </is>
      </c>
      <c r="X2068" t="inlineStr">
        <is>
          <t>1990-08-09</t>
        </is>
      </c>
      <c r="Y2068" t="n">
        <v>1712</v>
      </c>
      <c r="Z2068" t="n">
        <v>1582</v>
      </c>
      <c r="AA2068" t="n">
        <v>1893</v>
      </c>
      <c r="AB2068" t="n">
        <v>12</v>
      </c>
      <c r="AC2068" t="n">
        <v>13</v>
      </c>
      <c r="AD2068" t="n">
        <v>44</v>
      </c>
      <c r="AE2068" t="n">
        <v>53</v>
      </c>
      <c r="AF2068" t="n">
        <v>21</v>
      </c>
      <c r="AG2068" t="n">
        <v>22</v>
      </c>
      <c r="AH2068" t="n">
        <v>7</v>
      </c>
      <c r="AI2068" t="n">
        <v>10</v>
      </c>
      <c r="AJ2068" t="n">
        <v>18</v>
      </c>
      <c r="AK2068" t="n">
        <v>23</v>
      </c>
      <c r="AL2068" t="n">
        <v>8</v>
      </c>
      <c r="AM2068" t="n">
        <v>9</v>
      </c>
      <c r="AN2068" t="n">
        <v>0</v>
      </c>
      <c r="AO2068" t="n">
        <v>0</v>
      </c>
      <c r="AP2068" t="inlineStr">
        <is>
          <t>No</t>
        </is>
      </c>
      <c r="AQ2068" t="inlineStr">
        <is>
          <t>No</t>
        </is>
      </c>
      <c r="AS2068">
        <f>HYPERLINK("https://creighton-primo.hosted.exlibrisgroup.com/primo-explore/search?tab=default_tab&amp;search_scope=EVERYTHING&amp;vid=01CRU&amp;lang=en_US&amp;offset=0&amp;query=any,contains,991005128469702656","Catalog Record")</f>
        <v/>
      </c>
      <c r="AT2068">
        <f>HYPERLINK("http://www.worldcat.org/oclc/7555180","WorldCat Record")</f>
        <v/>
      </c>
      <c r="AU2068" t="inlineStr">
        <is>
          <t>7352816:eng</t>
        </is>
      </c>
      <c r="AV2068" t="inlineStr">
        <is>
          <t>7555180</t>
        </is>
      </c>
      <c r="AW2068" t="inlineStr">
        <is>
          <t>991005128469702656</t>
        </is>
      </c>
      <c r="AX2068" t="inlineStr">
        <is>
          <t>991005128469702656</t>
        </is>
      </c>
      <c r="AY2068" t="inlineStr">
        <is>
          <t>2266323750002656</t>
        </is>
      </c>
      <c r="AZ2068" t="inlineStr">
        <is>
          <t>BOOK</t>
        </is>
      </c>
      <c r="BB2068" t="inlineStr">
        <is>
          <t>9780670292479</t>
        </is>
      </c>
      <c r="BC2068" t="inlineStr">
        <is>
          <t>32285000272749</t>
        </is>
      </c>
      <c r="BD2068" t="inlineStr">
        <is>
          <t>893326210</t>
        </is>
      </c>
    </row>
    <row r="2069">
      <c r="A2069" t="inlineStr">
        <is>
          <t>No</t>
        </is>
      </c>
      <c r="B2069" t="inlineStr">
        <is>
          <t>DS775 .B66</t>
        </is>
      </c>
      <c r="C2069" t="inlineStr">
        <is>
          <t>0                      DS 0775000B  66</t>
        </is>
      </c>
      <c r="D2069" t="inlineStr">
        <is>
          <t>The protracted game; a wei-chʻi interpretation of Maoist revolutionary strategy [by] Scott A. Boorman.</t>
        </is>
      </c>
      <c r="F2069" t="inlineStr">
        <is>
          <t>No</t>
        </is>
      </c>
      <c r="G2069" t="inlineStr">
        <is>
          <t>1</t>
        </is>
      </c>
      <c r="H2069" t="inlineStr">
        <is>
          <t>No</t>
        </is>
      </c>
      <c r="I2069" t="inlineStr">
        <is>
          <t>No</t>
        </is>
      </c>
      <c r="J2069" t="inlineStr">
        <is>
          <t>0</t>
        </is>
      </c>
      <c r="K2069" t="inlineStr">
        <is>
          <t>Boorman, Scott A.</t>
        </is>
      </c>
      <c r="L2069" t="inlineStr">
        <is>
          <t>New York, Oxford University Press, 1969.</t>
        </is>
      </c>
      <c r="M2069" t="inlineStr">
        <is>
          <t>1969</t>
        </is>
      </c>
      <c r="O2069" t="inlineStr">
        <is>
          <t>eng</t>
        </is>
      </c>
      <c r="P2069" t="inlineStr">
        <is>
          <t>nyu</t>
        </is>
      </c>
      <c r="R2069" t="inlineStr">
        <is>
          <t xml:space="preserve">DS </t>
        </is>
      </c>
      <c r="S2069" t="n">
        <v>1</v>
      </c>
      <c r="T2069" t="n">
        <v>1</v>
      </c>
      <c r="U2069" t="inlineStr">
        <is>
          <t>2005-01-26</t>
        </is>
      </c>
      <c r="V2069" t="inlineStr">
        <is>
          <t>2005-01-26</t>
        </is>
      </c>
      <c r="W2069" t="inlineStr">
        <is>
          <t>1997-03-13</t>
        </is>
      </c>
      <c r="X2069" t="inlineStr">
        <is>
          <t>1997-03-13</t>
        </is>
      </c>
      <c r="Y2069" t="n">
        <v>630</v>
      </c>
      <c r="Z2069" t="n">
        <v>524</v>
      </c>
      <c r="AA2069" t="n">
        <v>539</v>
      </c>
      <c r="AB2069" t="n">
        <v>4</v>
      </c>
      <c r="AC2069" t="n">
        <v>4</v>
      </c>
      <c r="AD2069" t="n">
        <v>20</v>
      </c>
      <c r="AE2069" t="n">
        <v>20</v>
      </c>
      <c r="AF2069" t="n">
        <v>8</v>
      </c>
      <c r="AG2069" t="n">
        <v>8</v>
      </c>
      <c r="AH2069" t="n">
        <v>4</v>
      </c>
      <c r="AI2069" t="n">
        <v>4</v>
      </c>
      <c r="AJ2069" t="n">
        <v>13</v>
      </c>
      <c r="AK2069" t="n">
        <v>13</v>
      </c>
      <c r="AL2069" t="n">
        <v>2</v>
      </c>
      <c r="AM2069" t="n">
        <v>2</v>
      </c>
      <c r="AN2069" t="n">
        <v>0</v>
      </c>
      <c r="AO2069" t="n">
        <v>0</v>
      </c>
      <c r="AP2069" t="inlineStr">
        <is>
          <t>No</t>
        </is>
      </c>
      <c r="AQ2069" t="inlineStr">
        <is>
          <t>Yes</t>
        </is>
      </c>
      <c r="AR2069">
        <f>HYPERLINK("http://catalog.hathitrust.org/Record/000000417","HathiTrust Record")</f>
        <v/>
      </c>
      <c r="AS2069">
        <f>HYPERLINK("https://creighton-primo.hosted.exlibrisgroup.com/primo-explore/search?tab=default_tab&amp;search_scope=EVERYTHING&amp;vid=01CRU&amp;lang=en_US&amp;offset=0&amp;query=any,contains,991000100999702656","Catalog Record")</f>
        <v/>
      </c>
      <c r="AT2069">
        <f>HYPERLINK("http://www.worldcat.org/oclc/44515","WorldCat Record")</f>
        <v/>
      </c>
      <c r="AU2069" t="inlineStr">
        <is>
          <t>1213877:eng</t>
        </is>
      </c>
      <c r="AV2069" t="inlineStr">
        <is>
          <t>44515</t>
        </is>
      </c>
      <c r="AW2069" t="inlineStr">
        <is>
          <t>991000100999702656</t>
        </is>
      </c>
      <c r="AX2069" t="inlineStr">
        <is>
          <t>991000100999702656</t>
        </is>
      </c>
      <c r="AY2069" t="inlineStr">
        <is>
          <t>2261069660002656</t>
        </is>
      </c>
      <c r="AZ2069" t="inlineStr">
        <is>
          <t>BOOK</t>
        </is>
      </c>
      <c r="BC2069" t="inlineStr">
        <is>
          <t>32285002447729</t>
        </is>
      </c>
      <c r="BD2069" t="inlineStr">
        <is>
          <t>893714305</t>
        </is>
      </c>
    </row>
    <row r="2070">
      <c r="A2070" t="inlineStr">
        <is>
          <t>No</t>
        </is>
      </c>
      <c r="B2070" t="inlineStr">
        <is>
          <t>DS775 .H55 1974</t>
        </is>
      </c>
      <c r="C2070" t="inlineStr">
        <is>
          <t>0                      DS 0775000H  55          1974</t>
        </is>
      </c>
      <c r="D2070" t="inlineStr">
        <is>
          <t>The Chinese revolution : a phase in the regeneration of a world power / by Arthur N. Holcombe.</t>
        </is>
      </c>
      <c r="F2070" t="inlineStr">
        <is>
          <t>No</t>
        </is>
      </c>
      <c r="G2070" t="inlineStr">
        <is>
          <t>1</t>
        </is>
      </c>
      <c r="H2070" t="inlineStr">
        <is>
          <t>No</t>
        </is>
      </c>
      <c r="I2070" t="inlineStr">
        <is>
          <t>No</t>
        </is>
      </c>
      <c r="J2070" t="inlineStr">
        <is>
          <t>0</t>
        </is>
      </c>
      <c r="K2070" t="inlineStr">
        <is>
          <t>Holcombe, Arthur N. (Arthur Norman), 1884-1977.</t>
        </is>
      </c>
      <c r="L2070" t="inlineStr">
        <is>
          <t>New York : H. Fertig, 1974, [c1930]</t>
        </is>
      </c>
      <c r="M2070" t="inlineStr">
        <is>
          <t>1974</t>
        </is>
      </c>
      <c r="O2070" t="inlineStr">
        <is>
          <t>eng</t>
        </is>
      </c>
      <c r="P2070" t="inlineStr">
        <is>
          <t>nyu</t>
        </is>
      </c>
      <c r="R2070" t="inlineStr">
        <is>
          <t xml:space="preserve">DS </t>
        </is>
      </c>
      <c r="S2070" t="n">
        <v>4</v>
      </c>
      <c r="T2070" t="n">
        <v>4</v>
      </c>
      <c r="U2070" t="inlineStr">
        <is>
          <t>2003-04-01</t>
        </is>
      </c>
      <c r="V2070" t="inlineStr">
        <is>
          <t>2003-04-01</t>
        </is>
      </c>
      <c r="W2070" t="inlineStr">
        <is>
          <t>1995-01-14</t>
        </is>
      </c>
      <c r="X2070" t="inlineStr">
        <is>
          <t>1995-01-14</t>
        </is>
      </c>
      <c r="Y2070" t="n">
        <v>162</v>
      </c>
      <c r="Z2070" t="n">
        <v>127</v>
      </c>
      <c r="AA2070" t="n">
        <v>704</v>
      </c>
      <c r="AB2070" t="n">
        <v>1</v>
      </c>
      <c r="AC2070" t="n">
        <v>9</v>
      </c>
      <c r="AD2070" t="n">
        <v>3</v>
      </c>
      <c r="AE2070" t="n">
        <v>29</v>
      </c>
      <c r="AF2070" t="n">
        <v>2</v>
      </c>
      <c r="AG2070" t="n">
        <v>7</v>
      </c>
      <c r="AH2070" t="n">
        <v>1</v>
      </c>
      <c r="AI2070" t="n">
        <v>8</v>
      </c>
      <c r="AJ2070" t="n">
        <v>2</v>
      </c>
      <c r="AK2070" t="n">
        <v>10</v>
      </c>
      <c r="AL2070" t="n">
        <v>0</v>
      </c>
      <c r="AM2070" t="n">
        <v>8</v>
      </c>
      <c r="AN2070" t="n">
        <v>0</v>
      </c>
      <c r="AO2070" t="n">
        <v>1</v>
      </c>
      <c r="AP2070" t="inlineStr">
        <is>
          <t>No</t>
        </is>
      </c>
      <c r="AQ2070" t="inlineStr">
        <is>
          <t>Yes</t>
        </is>
      </c>
      <c r="AR2070">
        <f>HYPERLINK("http://catalog.hathitrust.org/Record/001258120","HathiTrust Record")</f>
        <v/>
      </c>
      <c r="AS2070">
        <f>HYPERLINK("https://creighton-primo.hosted.exlibrisgroup.com/primo-explore/search?tab=default_tab&amp;search_scope=EVERYTHING&amp;vid=01CRU&amp;lang=en_US&amp;offset=0&amp;query=any,contains,991003091669702656","Catalog Record")</f>
        <v/>
      </c>
      <c r="AT2070">
        <f>HYPERLINK("http://www.worldcat.org/oclc/641854","WorldCat Record")</f>
        <v/>
      </c>
      <c r="AU2070" t="inlineStr">
        <is>
          <t>233710069:eng</t>
        </is>
      </c>
      <c r="AV2070" t="inlineStr">
        <is>
          <t>641854</t>
        </is>
      </c>
      <c r="AW2070" t="inlineStr">
        <is>
          <t>991003091669702656</t>
        </is>
      </c>
      <c r="AX2070" t="inlineStr">
        <is>
          <t>991003091669702656</t>
        </is>
      </c>
      <c r="AY2070" t="inlineStr">
        <is>
          <t>2263994510002656</t>
        </is>
      </c>
      <c r="AZ2070" t="inlineStr">
        <is>
          <t>BOOK</t>
        </is>
      </c>
      <c r="BC2070" t="inlineStr">
        <is>
          <t>32285001987030</t>
        </is>
      </c>
      <c r="BD2070" t="inlineStr">
        <is>
          <t>893518134</t>
        </is>
      </c>
    </row>
    <row r="2071">
      <c r="A2071" t="inlineStr">
        <is>
          <t>No</t>
        </is>
      </c>
      <c r="B2071" t="inlineStr">
        <is>
          <t>DS775 .P6 1931</t>
        </is>
      </c>
      <c r="C2071" t="inlineStr">
        <is>
          <t>0                      DS 0775000P  6           1931</t>
        </is>
      </c>
      <c r="D2071" t="inlineStr">
        <is>
          <t>China's foreign relations, 1917-1931, by Robert T. Pollard.</t>
        </is>
      </c>
      <c r="F2071" t="inlineStr">
        <is>
          <t>No</t>
        </is>
      </c>
      <c r="G2071" t="inlineStr">
        <is>
          <t>1</t>
        </is>
      </c>
      <c r="H2071" t="inlineStr">
        <is>
          <t>No</t>
        </is>
      </c>
      <c r="I2071" t="inlineStr">
        <is>
          <t>No</t>
        </is>
      </c>
      <c r="J2071" t="inlineStr">
        <is>
          <t>0</t>
        </is>
      </c>
      <c r="K2071" t="inlineStr">
        <is>
          <t>Pollard, Robert Thomas, 1897-1939.</t>
        </is>
      </c>
      <c r="L2071" t="inlineStr">
        <is>
          <t>New York, The Macmillan Company, 1933.</t>
        </is>
      </c>
      <c r="M2071" t="inlineStr">
        <is>
          <t>1933</t>
        </is>
      </c>
      <c r="O2071" t="inlineStr">
        <is>
          <t>eng</t>
        </is>
      </c>
      <c r="P2071" t="inlineStr">
        <is>
          <t>nyu</t>
        </is>
      </c>
      <c r="R2071" t="inlineStr">
        <is>
          <t xml:space="preserve">DS </t>
        </is>
      </c>
      <c r="S2071" t="n">
        <v>1</v>
      </c>
      <c r="T2071" t="n">
        <v>1</v>
      </c>
      <c r="U2071" t="inlineStr">
        <is>
          <t>2006-04-04</t>
        </is>
      </c>
      <c r="V2071" t="inlineStr">
        <is>
          <t>2006-04-04</t>
        </is>
      </c>
      <c r="W2071" t="inlineStr">
        <is>
          <t>1997-03-13</t>
        </is>
      </c>
      <c r="X2071" t="inlineStr">
        <is>
          <t>1997-03-13</t>
        </is>
      </c>
      <c r="Y2071" t="n">
        <v>289</v>
      </c>
      <c r="Z2071" t="n">
        <v>251</v>
      </c>
      <c r="AA2071" t="n">
        <v>562</v>
      </c>
      <c r="AB2071" t="n">
        <v>2</v>
      </c>
      <c r="AC2071" t="n">
        <v>4</v>
      </c>
      <c r="AD2071" t="n">
        <v>11</v>
      </c>
      <c r="AE2071" t="n">
        <v>29</v>
      </c>
      <c r="AF2071" t="n">
        <v>4</v>
      </c>
      <c r="AG2071" t="n">
        <v>10</v>
      </c>
      <c r="AH2071" t="n">
        <v>2</v>
      </c>
      <c r="AI2071" t="n">
        <v>9</v>
      </c>
      <c r="AJ2071" t="n">
        <v>6</v>
      </c>
      <c r="AK2071" t="n">
        <v>14</v>
      </c>
      <c r="AL2071" t="n">
        <v>1</v>
      </c>
      <c r="AM2071" t="n">
        <v>3</v>
      </c>
      <c r="AN2071" t="n">
        <v>0</v>
      </c>
      <c r="AO2071" t="n">
        <v>0</v>
      </c>
      <c r="AP2071" t="inlineStr">
        <is>
          <t>Yes</t>
        </is>
      </c>
      <c r="AQ2071" t="inlineStr">
        <is>
          <t>No</t>
        </is>
      </c>
      <c r="AR2071">
        <f>HYPERLINK("http://catalog.hathitrust.org/Record/001258130","HathiTrust Record")</f>
        <v/>
      </c>
      <c r="AS2071">
        <f>HYPERLINK("https://creighton-primo.hosted.exlibrisgroup.com/primo-explore/search?tab=default_tab&amp;search_scope=EVERYTHING&amp;vid=01CRU&amp;lang=en_US&amp;offset=0&amp;query=any,contains,991001140139702656","Catalog Record")</f>
        <v/>
      </c>
      <c r="AT2071">
        <f>HYPERLINK("http://www.worldcat.org/oclc/1576445","WorldCat Record")</f>
        <v/>
      </c>
      <c r="AU2071" t="inlineStr">
        <is>
          <t>1332925:eng</t>
        </is>
      </c>
      <c r="AV2071" t="inlineStr">
        <is>
          <t>1576445</t>
        </is>
      </c>
      <c r="AW2071" t="inlineStr">
        <is>
          <t>991001140139702656</t>
        </is>
      </c>
      <c r="AX2071" t="inlineStr">
        <is>
          <t>991001140139702656</t>
        </is>
      </c>
      <c r="AY2071" t="inlineStr">
        <is>
          <t>2266212290002656</t>
        </is>
      </c>
      <c r="AZ2071" t="inlineStr">
        <is>
          <t>BOOK</t>
        </is>
      </c>
      <c r="BC2071" t="inlineStr">
        <is>
          <t>32285002447786</t>
        </is>
      </c>
      <c r="BD2071" t="inlineStr">
        <is>
          <t>893702770</t>
        </is>
      </c>
    </row>
    <row r="2072">
      <c r="A2072" t="inlineStr">
        <is>
          <t>No</t>
        </is>
      </c>
      <c r="B2072" t="inlineStr">
        <is>
          <t>DS775 .T7 1967</t>
        </is>
      </c>
      <c r="C2072" t="inlineStr">
        <is>
          <t>0                      DS 0775000T  7           1967</t>
        </is>
      </c>
      <c r="D2072" t="inlineStr">
        <is>
          <t>Problems of the Chinese Revolution. With appendices by Zinoviev, Vuyovitch, Nassonov &amp; others. With a new foreword by Max Shachtman.</t>
        </is>
      </c>
      <c r="F2072" t="inlineStr">
        <is>
          <t>No</t>
        </is>
      </c>
      <c r="G2072" t="inlineStr">
        <is>
          <t>1</t>
        </is>
      </c>
      <c r="H2072" t="inlineStr">
        <is>
          <t>No</t>
        </is>
      </c>
      <c r="I2072" t="inlineStr">
        <is>
          <t>No</t>
        </is>
      </c>
      <c r="J2072" t="inlineStr">
        <is>
          <t>0</t>
        </is>
      </c>
      <c r="K2072" t="inlineStr">
        <is>
          <t>Trotsky, Leon, 1879-1940.</t>
        </is>
      </c>
      <c r="L2072" t="inlineStr">
        <is>
          <t>[Ann Arbor] University of Michigan Press [1967]</t>
        </is>
      </c>
      <c r="M2072" t="inlineStr">
        <is>
          <t>1967</t>
        </is>
      </c>
      <c r="O2072" t="inlineStr">
        <is>
          <t>eng</t>
        </is>
      </c>
      <c r="P2072" t="inlineStr">
        <is>
          <t>miu</t>
        </is>
      </c>
      <c r="Q2072" t="inlineStr">
        <is>
          <t>Ann Arbor paperbacks for the study of communism and Marxism</t>
        </is>
      </c>
      <c r="R2072" t="inlineStr">
        <is>
          <t xml:space="preserve">DS </t>
        </is>
      </c>
      <c r="S2072" t="n">
        <v>1</v>
      </c>
      <c r="T2072" t="n">
        <v>1</v>
      </c>
      <c r="U2072" t="inlineStr">
        <is>
          <t>2000-05-30</t>
        </is>
      </c>
      <c r="V2072" t="inlineStr">
        <is>
          <t>2000-05-30</t>
        </is>
      </c>
      <c r="W2072" t="inlineStr">
        <is>
          <t>1997-03-13</t>
        </is>
      </c>
      <c r="X2072" t="inlineStr">
        <is>
          <t>1997-03-13</t>
        </is>
      </c>
      <c r="Y2072" t="n">
        <v>343</v>
      </c>
      <c r="Z2072" t="n">
        <v>297</v>
      </c>
      <c r="AA2072" t="n">
        <v>597</v>
      </c>
      <c r="AB2072" t="n">
        <v>4</v>
      </c>
      <c r="AC2072" t="n">
        <v>6</v>
      </c>
      <c r="AD2072" t="n">
        <v>21</v>
      </c>
      <c r="AE2072" t="n">
        <v>31</v>
      </c>
      <c r="AF2072" t="n">
        <v>10</v>
      </c>
      <c r="AG2072" t="n">
        <v>11</v>
      </c>
      <c r="AH2072" t="n">
        <v>5</v>
      </c>
      <c r="AI2072" t="n">
        <v>7</v>
      </c>
      <c r="AJ2072" t="n">
        <v>9</v>
      </c>
      <c r="AK2072" t="n">
        <v>15</v>
      </c>
      <c r="AL2072" t="n">
        <v>3</v>
      </c>
      <c r="AM2072" t="n">
        <v>5</v>
      </c>
      <c r="AN2072" t="n">
        <v>0</v>
      </c>
      <c r="AO2072" t="n">
        <v>0</v>
      </c>
      <c r="AP2072" t="inlineStr">
        <is>
          <t>No</t>
        </is>
      </c>
      <c r="AQ2072" t="inlineStr">
        <is>
          <t>Yes</t>
        </is>
      </c>
      <c r="AR2072">
        <f>HYPERLINK("http://catalog.hathitrust.org/Record/001871875","HathiTrust Record")</f>
        <v/>
      </c>
      <c r="AS2072">
        <f>HYPERLINK("https://creighton-primo.hosted.exlibrisgroup.com/primo-explore/search?tab=default_tab&amp;search_scope=EVERYTHING&amp;vid=01CRU&amp;lang=en_US&amp;offset=0&amp;query=any,contains,991005358029702656","Catalog Record")</f>
        <v/>
      </c>
      <c r="AT2072">
        <f>HYPERLINK("http://www.worldcat.org/oclc/1198769","WorldCat Record")</f>
        <v/>
      </c>
      <c r="AU2072" t="inlineStr">
        <is>
          <t>2162341:eng</t>
        </is>
      </c>
      <c r="AV2072" t="inlineStr">
        <is>
          <t>1198769</t>
        </is>
      </c>
      <c r="AW2072" t="inlineStr">
        <is>
          <t>991005358029702656</t>
        </is>
      </c>
      <c r="AX2072" t="inlineStr">
        <is>
          <t>991005358029702656</t>
        </is>
      </c>
      <c r="AY2072" t="inlineStr">
        <is>
          <t>2266831750002656</t>
        </is>
      </c>
      <c r="AZ2072" t="inlineStr">
        <is>
          <t>BOOK</t>
        </is>
      </c>
      <c r="BC2072" t="inlineStr">
        <is>
          <t>32285002447828</t>
        </is>
      </c>
      <c r="BD2072" t="inlineStr">
        <is>
          <t>893254881</t>
        </is>
      </c>
    </row>
    <row r="2073">
      <c r="A2073" t="inlineStr">
        <is>
          <t>No</t>
        </is>
      </c>
      <c r="B2073" t="inlineStr">
        <is>
          <t>DS775.2 .H53 2009</t>
        </is>
      </c>
      <c r="C2073" t="inlineStr">
        <is>
          <t>0                      DS 0775200H  53          2009</t>
        </is>
      </c>
      <c r="D2073" t="inlineStr">
        <is>
          <t>Letters home : an American in China, 1939 to 1944 / John Hlavacek.</t>
        </is>
      </c>
      <c r="F2073" t="inlineStr">
        <is>
          <t>No</t>
        </is>
      </c>
      <c r="G2073" t="inlineStr">
        <is>
          <t>1</t>
        </is>
      </c>
      <c r="H2073" t="inlineStr">
        <is>
          <t>No</t>
        </is>
      </c>
      <c r="I2073" t="inlineStr">
        <is>
          <t>No</t>
        </is>
      </c>
      <c r="J2073" t="inlineStr">
        <is>
          <t>0</t>
        </is>
      </c>
      <c r="K2073" t="inlineStr">
        <is>
          <t>Hlavacek, John.</t>
        </is>
      </c>
      <c r="L2073" t="inlineStr">
        <is>
          <t>Omaha, Neb. : Hlucky Books, 2009.</t>
        </is>
      </c>
      <c r="M2073" t="inlineStr">
        <is>
          <t>2009</t>
        </is>
      </c>
      <c r="N2073" t="inlineStr">
        <is>
          <t>Rev. and expanded 2nd ed.</t>
        </is>
      </c>
      <c r="O2073" t="inlineStr">
        <is>
          <t>eng</t>
        </is>
      </c>
      <c r="P2073" t="inlineStr">
        <is>
          <t>nbu</t>
        </is>
      </c>
      <c r="R2073" t="inlineStr">
        <is>
          <t xml:space="preserve">DS </t>
        </is>
      </c>
      <c r="S2073" t="n">
        <v>2</v>
      </c>
      <c r="T2073" t="n">
        <v>2</v>
      </c>
      <c r="U2073" t="inlineStr">
        <is>
          <t>2010-12-09</t>
        </is>
      </c>
      <c r="V2073" t="inlineStr">
        <is>
          <t>2010-12-09</t>
        </is>
      </c>
      <c r="W2073" t="inlineStr">
        <is>
          <t>2010-11-02</t>
        </is>
      </c>
      <c r="X2073" t="inlineStr">
        <is>
          <t>2010-11-02</t>
        </is>
      </c>
      <c r="Y2073" t="n">
        <v>3</v>
      </c>
      <c r="Z2073" t="n">
        <v>3</v>
      </c>
      <c r="AA2073" t="n">
        <v>12</v>
      </c>
      <c r="AB2073" t="n">
        <v>1</v>
      </c>
      <c r="AC2073" t="n">
        <v>5</v>
      </c>
      <c r="AD2073" t="n">
        <v>0</v>
      </c>
      <c r="AE2073" t="n">
        <v>1</v>
      </c>
      <c r="AF2073" t="n">
        <v>0</v>
      </c>
      <c r="AG2073" t="n">
        <v>0</v>
      </c>
      <c r="AH2073" t="n">
        <v>0</v>
      </c>
      <c r="AI2073" t="n">
        <v>0</v>
      </c>
      <c r="AJ2073" t="n">
        <v>0</v>
      </c>
      <c r="AK2073" t="n">
        <v>0</v>
      </c>
      <c r="AL2073" t="n">
        <v>0</v>
      </c>
      <c r="AM2073" t="n">
        <v>1</v>
      </c>
      <c r="AN2073" t="n">
        <v>0</v>
      </c>
      <c r="AO2073" t="n">
        <v>0</v>
      </c>
      <c r="AP2073" t="inlineStr">
        <is>
          <t>No</t>
        </is>
      </c>
      <c r="AQ2073" t="inlineStr">
        <is>
          <t>No</t>
        </is>
      </c>
      <c r="AS2073">
        <f>HYPERLINK("https://creighton-primo.hosted.exlibrisgroup.com/primo-explore/search?tab=default_tab&amp;search_scope=EVERYTHING&amp;vid=01CRU&amp;lang=en_US&amp;offset=0&amp;query=any,contains,991000191129702656","Catalog Record")</f>
        <v/>
      </c>
      <c r="AT2073">
        <f>HYPERLINK("http://www.worldcat.org/oclc/428424423","WorldCat Record")</f>
        <v/>
      </c>
      <c r="AU2073" t="inlineStr">
        <is>
          <t>315596495:eng</t>
        </is>
      </c>
      <c r="AV2073" t="inlineStr">
        <is>
          <t>428424423</t>
        </is>
      </c>
      <c r="AW2073" t="inlineStr">
        <is>
          <t>991000191129702656</t>
        </is>
      </c>
      <c r="AX2073" t="inlineStr">
        <is>
          <t>991000191129702656</t>
        </is>
      </c>
      <c r="AY2073" t="inlineStr">
        <is>
          <t>2263809520002656</t>
        </is>
      </c>
      <c r="AZ2073" t="inlineStr">
        <is>
          <t>BOOK</t>
        </is>
      </c>
      <c r="BB2073" t="inlineStr">
        <is>
          <t>9780981903453</t>
        </is>
      </c>
      <c r="BC2073" t="inlineStr">
        <is>
          <t>32285005603583</t>
        </is>
      </c>
      <c r="BD2073" t="inlineStr">
        <is>
          <t>893601564</t>
        </is>
      </c>
    </row>
    <row r="2074">
      <c r="A2074" t="inlineStr">
        <is>
          <t>No</t>
        </is>
      </c>
      <c r="B2074" t="inlineStr">
        <is>
          <t>DS775.7 .H67 1994</t>
        </is>
      </c>
      <c r="C2074" t="inlineStr">
        <is>
          <t>0                      DS 0775700H  67          1994</t>
        </is>
      </c>
      <c r="D2074" t="inlineStr">
        <is>
          <t>The State, identity, and the national question in China and Japan / Germaine A. Hoston.</t>
        </is>
      </c>
      <c r="F2074" t="inlineStr">
        <is>
          <t>No</t>
        </is>
      </c>
      <c r="G2074" t="inlineStr">
        <is>
          <t>1</t>
        </is>
      </c>
      <c r="H2074" t="inlineStr">
        <is>
          <t>No</t>
        </is>
      </c>
      <c r="I2074" t="inlineStr">
        <is>
          <t>No</t>
        </is>
      </c>
      <c r="J2074" t="inlineStr">
        <is>
          <t>0</t>
        </is>
      </c>
      <c r="K2074" t="inlineStr">
        <is>
          <t>Hoston, Germaine A., 1954-</t>
        </is>
      </c>
      <c r="L2074" t="inlineStr">
        <is>
          <t>Princeton, N.J. : Princeton University Press, c1994.</t>
        </is>
      </c>
      <c r="M2074" t="inlineStr">
        <is>
          <t>1994</t>
        </is>
      </c>
      <c r="O2074" t="inlineStr">
        <is>
          <t>eng</t>
        </is>
      </c>
      <c r="P2074" t="inlineStr">
        <is>
          <t>nju</t>
        </is>
      </c>
      <c r="R2074" t="inlineStr">
        <is>
          <t xml:space="preserve">DS </t>
        </is>
      </c>
      <c r="S2074" t="n">
        <v>4</v>
      </c>
      <c r="T2074" t="n">
        <v>4</v>
      </c>
      <c r="U2074" t="inlineStr">
        <is>
          <t>2006-04-19</t>
        </is>
      </c>
      <c r="V2074" t="inlineStr">
        <is>
          <t>2006-04-19</t>
        </is>
      </c>
      <c r="W2074" t="inlineStr">
        <is>
          <t>1996-04-23</t>
        </is>
      </c>
      <c r="X2074" t="inlineStr">
        <is>
          <t>1996-04-23</t>
        </is>
      </c>
      <c r="Y2074" t="n">
        <v>436</v>
      </c>
      <c r="Z2074" t="n">
        <v>308</v>
      </c>
      <c r="AA2074" t="n">
        <v>308</v>
      </c>
      <c r="AB2074" t="n">
        <v>3</v>
      </c>
      <c r="AC2074" t="n">
        <v>3</v>
      </c>
      <c r="AD2074" t="n">
        <v>16</v>
      </c>
      <c r="AE2074" t="n">
        <v>16</v>
      </c>
      <c r="AF2074" t="n">
        <v>5</v>
      </c>
      <c r="AG2074" t="n">
        <v>5</v>
      </c>
      <c r="AH2074" t="n">
        <v>5</v>
      </c>
      <c r="AI2074" t="n">
        <v>5</v>
      </c>
      <c r="AJ2074" t="n">
        <v>9</v>
      </c>
      <c r="AK2074" t="n">
        <v>9</v>
      </c>
      <c r="AL2074" t="n">
        <v>2</v>
      </c>
      <c r="AM2074" t="n">
        <v>2</v>
      </c>
      <c r="AN2074" t="n">
        <v>0</v>
      </c>
      <c r="AO2074" t="n">
        <v>0</v>
      </c>
      <c r="AP2074" t="inlineStr">
        <is>
          <t>No</t>
        </is>
      </c>
      <c r="AQ2074" t="inlineStr">
        <is>
          <t>No</t>
        </is>
      </c>
      <c r="AS2074">
        <f>HYPERLINK("https://creighton-primo.hosted.exlibrisgroup.com/primo-explore/search?tab=default_tab&amp;search_scope=EVERYTHING&amp;vid=01CRU&amp;lang=en_US&amp;offset=0&amp;query=any,contains,991002284909702656","Catalog Record")</f>
        <v/>
      </c>
      <c r="AT2074">
        <f>HYPERLINK("http://www.worldcat.org/oclc/29634279","WorldCat Record")</f>
        <v/>
      </c>
      <c r="AU2074" t="inlineStr">
        <is>
          <t>20921603:eng</t>
        </is>
      </c>
      <c r="AV2074" t="inlineStr">
        <is>
          <t>29634279</t>
        </is>
      </c>
      <c r="AW2074" t="inlineStr">
        <is>
          <t>991002284909702656</t>
        </is>
      </c>
      <c r="AX2074" t="inlineStr">
        <is>
          <t>991002284909702656</t>
        </is>
      </c>
      <c r="AY2074" t="inlineStr">
        <is>
          <t>2255487010002656</t>
        </is>
      </c>
      <c r="AZ2074" t="inlineStr">
        <is>
          <t>BOOK</t>
        </is>
      </c>
      <c r="BB2074" t="inlineStr">
        <is>
          <t>9780691023342</t>
        </is>
      </c>
      <c r="BC2074" t="inlineStr">
        <is>
          <t>32285002156072</t>
        </is>
      </c>
      <c r="BD2074" t="inlineStr">
        <is>
          <t>893597247</t>
        </is>
      </c>
    </row>
    <row r="2075">
      <c r="A2075" t="inlineStr">
        <is>
          <t>No</t>
        </is>
      </c>
      <c r="B2075" t="inlineStr">
        <is>
          <t>DS775.7 .T48 1982</t>
        </is>
      </c>
      <c r="C2075" t="inlineStr">
        <is>
          <t>0                      DS 0775700T  48          1982</t>
        </is>
      </c>
      <c r="D2075" t="inlineStr">
        <is>
          <t>China, a political history, 1917-1980 / Richard C. Thornton.</t>
        </is>
      </c>
      <c r="F2075" t="inlineStr">
        <is>
          <t>No</t>
        </is>
      </c>
      <c r="G2075" t="inlineStr">
        <is>
          <t>1</t>
        </is>
      </c>
      <c r="H2075" t="inlineStr">
        <is>
          <t>No</t>
        </is>
      </c>
      <c r="I2075" t="inlineStr">
        <is>
          <t>No</t>
        </is>
      </c>
      <c r="J2075" t="inlineStr">
        <is>
          <t>0</t>
        </is>
      </c>
      <c r="K2075" t="inlineStr">
        <is>
          <t>Thornton, Richard C.</t>
        </is>
      </c>
      <c r="L2075" t="inlineStr">
        <is>
          <t>Boulder, Colo. : Westview Press, 1982.</t>
        </is>
      </c>
      <c r="M2075" t="inlineStr">
        <is>
          <t>1982</t>
        </is>
      </c>
      <c r="O2075" t="inlineStr">
        <is>
          <t>eng</t>
        </is>
      </c>
      <c r="P2075" t="inlineStr">
        <is>
          <t>cou</t>
        </is>
      </c>
      <c r="R2075" t="inlineStr">
        <is>
          <t xml:space="preserve">DS </t>
        </is>
      </c>
      <c r="S2075" t="n">
        <v>6</v>
      </c>
      <c r="T2075" t="n">
        <v>6</v>
      </c>
      <c r="U2075" t="inlineStr">
        <is>
          <t>1997-10-22</t>
        </is>
      </c>
      <c r="V2075" t="inlineStr">
        <is>
          <t>1997-10-22</t>
        </is>
      </c>
      <c r="W2075" t="inlineStr">
        <is>
          <t>1990-02-13</t>
        </is>
      </c>
      <c r="X2075" t="inlineStr">
        <is>
          <t>1990-02-13</t>
        </is>
      </c>
      <c r="Y2075" t="n">
        <v>582</v>
      </c>
      <c r="Z2075" t="n">
        <v>438</v>
      </c>
      <c r="AA2075" t="n">
        <v>440</v>
      </c>
      <c r="AB2075" t="n">
        <v>3</v>
      </c>
      <c r="AC2075" t="n">
        <v>3</v>
      </c>
      <c r="AD2075" t="n">
        <v>18</v>
      </c>
      <c r="AE2075" t="n">
        <v>18</v>
      </c>
      <c r="AF2075" t="n">
        <v>5</v>
      </c>
      <c r="AG2075" t="n">
        <v>5</v>
      </c>
      <c r="AH2075" t="n">
        <v>5</v>
      </c>
      <c r="AI2075" t="n">
        <v>5</v>
      </c>
      <c r="AJ2075" t="n">
        <v>10</v>
      </c>
      <c r="AK2075" t="n">
        <v>10</v>
      </c>
      <c r="AL2075" t="n">
        <v>2</v>
      </c>
      <c r="AM2075" t="n">
        <v>2</v>
      </c>
      <c r="AN2075" t="n">
        <v>1</v>
      </c>
      <c r="AO2075" t="n">
        <v>1</v>
      </c>
      <c r="AP2075" t="inlineStr">
        <is>
          <t>No</t>
        </is>
      </c>
      <c r="AQ2075" t="inlineStr">
        <is>
          <t>Yes</t>
        </is>
      </c>
      <c r="AR2075">
        <f>HYPERLINK("http://catalog.hathitrust.org/Record/000762971","HathiTrust Record")</f>
        <v/>
      </c>
      <c r="AS2075">
        <f>HYPERLINK("https://creighton-primo.hosted.exlibrisgroup.com/primo-explore/search?tab=default_tab&amp;search_scope=EVERYTHING&amp;vid=01CRU&amp;lang=en_US&amp;offset=0&amp;query=any,contains,991005192849702656","Catalog Record")</f>
        <v/>
      </c>
      <c r="AT2075">
        <f>HYPERLINK("http://www.worldcat.org/oclc/8031396","WorldCat Record")</f>
        <v/>
      </c>
      <c r="AU2075" t="inlineStr">
        <is>
          <t>5620298421:eng</t>
        </is>
      </c>
      <c r="AV2075" t="inlineStr">
        <is>
          <t>8031396</t>
        </is>
      </c>
      <c r="AW2075" t="inlineStr">
        <is>
          <t>991005192849702656</t>
        </is>
      </c>
      <c r="AX2075" t="inlineStr">
        <is>
          <t>991005192849702656</t>
        </is>
      </c>
      <c r="AY2075" t="inlineStr">
        <is>
          <t>2257272130002656</t>
        </is>
      </c>
      <c r="AZ2075" t="inlineStr">
        <is>
          <t>BOOK</t>
        </is>
      </c>
      <c r="BB2075" t="inlineStr">
        <is>
          <t>9780865311978</t>
        </is>
      </c>
      <c r="BC2075" t="inlineStr">
        <is>
          <t>32285000050616</t>
        </is>
      </c>
      <c r="BD2075" t="inlineStr">
        <is>
          <t>893594632</t>
        </is>
      </c>
    </row>
    <row r="2076">
      <c r="A2076" t="inlineStr">
        <is>
          <t>No</t>
        </is>
      </c>
      <c r="B2076" t="inlineStr">
        <is>
          <t>DS777 .J3</t>
        </is>
      </c>
      <c r="C2076" t="inlineStr">
        <is>
          <t>0                      DS 0777000J  3</t>
        </is>
      </c>
      <c r="D2076" t="inlineStr">
        <is>
          <t>The Japanese and Sun Yat-sen.</t>
        </is>
      </c>
      <c r="F2076" t="inlineStr">
        <is>
          <t>No</t>
        </is>
      </c>
      <c r="G2076" t="inlineStr">
        <is>
          <t>1</t>
        </is>
      </c>
      <c r="H2076" t="inlineStr">
        <is>
          <t>No</t>
        </is>
      </c>
      <c r="I2076" t="inlineStr">
        <is>
          <t>No</t>
        </is>
      </c>
      <c r="J2076" t="inlineStr">
        <is>
          <t>0</t>
        </is>
      </c>
      <c r="K2076" t="inlineStr">
        <is>
          <t>Jansen, Marius B.</t>
        </is>
      </c>
      <c r="L2076" t="inlineStr">
        <is>
          <t>Cambridge, Harvard University Press, 1954.</t>
        </is>
      </c>
      <c r="M2076" t="inlineStr">
        <is>
          <t>1954</t>
        </is>
      </c>
      <c r="O2076" t="inlineStr">
        <is>
          <t>eng</t>
        </is>
      </c>
      <c r="P2076" t="inlineStr">
        <is>
          <t>mau</t>
        </is>
      </c>
      <c r="Q2076" t="inlineStr">
        <is>
          <t>Harvard historical monographs ; 27</t>
        </is>
      </c>
      <c r="R2076" t="inlineStr">
        <is>
          <t xml:space="preserve">DS </t>
        </is>
      </c>
      <c r="S2076" t="n">
        <v>3</v>
      </c>
      <c r="T2076" t="n">
        <v>3</v>
      </c>
      <c r="U2076" t="inlineStr">
        <is>
          <t>2004-12-03</t>
        </is>
      </c>
      <c r="V2076" t="inlineStr">
        <is>
          <t>2004-12-03</t>
        </is>
      </c>
      <c r="W2076" t="inlineStr">
        <is>
          <t>1992-04-22</t>
        </is>
      </c>
      <c r="X2076" t="inlineStr">
        <is>
          <t>1992-04-22</t>
        </is>
      </c>
      <c r="Y2076" t="n">
        <v>614</v>
      </c>
      <c r="Z2076" t="n">
        <v>543</v>
      </c>
      <c r="AA2076" t="n">
        <v>692</v>
      </c>
      <c r="AB2076" t="n">
        <v>4</v>
      </c>
      <c r="AC2076" t="n">
        <v>5</v>
      </c>
      <c r="AD2076" t="n">
        <v>27</v>
      </c>
      <c r="AE2076" t="n">
        <v>33</v>
      </c>
      <c r="AF2076" t="n">
        <v>10</v>
      </c>
      <c r="AG2076" t="n">
        <v>15</v>
      </c>
      <c r="AH2076" t="n">
        <v>6</v>
      </c>
      <c r="AI2076" t="n">
        <v>7</v>
      </c>
      <c r="AJ2076" t="n">
        <v>14</v>
      </c>
      <c r="AK2076" t="n">
        <v>16</v>
      </c>
      <c r="AL2076" t="n">
        <v>3</v>
      </c>
      <c r="AM2076" t="n">
        <v>4</v>
      </c>
      <c r="AN2076" t="n">
        <v>0</v>
      </c>
      <c r="AO2076" t="n">
        <v>0</v>
      </c>
      <c r="AP2076" t="inlineStr">
        <is>
          <t>No</t>
        </is>
      </c>
      <c r="AQ2076" t="inlineStr">
        <is>
          <t>Yes</t>
        </is>
      </c>
      <c r="AR2076">
        <f>HYPERLINK("http://catalog.hathitrust.org/Record/001258175","HathiTrust Record")</f>
        <v/>
      </c>
      <c r="AS2076">
        <f>HYPERLINK("https://creighton-primo.hosted.exlibrisgroup.com/primo-explore/search?tab=default_tab&amp;search_scope=EVERYTHING&amp;vid=01CRU&amp;lang=en_US&amp;offset=0&amp;query=any,contains,991002720549702656","Catalog Record")</f>
        <v/>
      </c>
      <c r="AT2076">
        <f>HYPERLINK("http://www.worldcat.org/oclc/412532","WorldCat Record")</f>
        <v/>
      </c>
      <c r="AU2076" t="inlineStr">
        <is>
          <t>1231660:eng</t>
        </is>
      </c>
      <c r="AV2076" t="inlineStr">
        <is>
          <t>412532</t>
        </is>
      </c>
      <c r="AW2076" t="inlineStr">
        <is>
          <t>991002720549702656</t>
        </is>
      </c>
      <c r="AX2076" t="inlineStr">
        <is>
          <t>991002720549702656</t>
        </is>
      </c>
      <c r="AY2076" t="inlineStr">
        <is>
          <t>2264544550002656</t>
        </is>
      </c>
      <c r="AZ2076" t="inlineStr">
        <is>
          <t>BOOK</t>
        </is>
      </c>
      <c r="BC2076" t="inlineStr">
        <is>
          <t>32285001054070</t>
        </is>
      </c>
      <c r="BD2076" t="inlineStr">
        <is>
          <t>893591683</t>
        </is>
      </c>
    </row>
    <row r="2077">
      <c r="A2077" t="inlineStr">
        <is>
          <t>No</t>
        </is>
      </c>
      <c r="B2077" t="inlineStr">
        <is>
          <t>DS777 .L4 1961</t>
        </is>
      </c>
      <c r="C2077" t="inlineStr">
        <is>
          <t>0                      DS 0777000L  4           1961</t>
        </is>
      </c>
      <c r="D2077" t="inlineStr">
        <is>
          <t>Sun Yat-sen and communism, by Shao Chuan Leng and Norman D. Palmer.</t>
        </is>
      </c>
      <c r="F2077" t="inlineStr">
        <is>
          <t>No</t>
        </is>
      </c>
      <c r="G2077" t="inlineStr">
        <is>
          <t>1</t>
        </is>
      </c>
      <c r="H2077" t="inlineStr">
        <is>
          <t>No</t>
        </is>
      </c>
      <c r="I2077" t="inlineStr">
        <is>
          <t>No</t>
        </is>
      </c>
      <c r="J2077" t="inlineStr">
        <is>
          <t>0</t>
        </is>
      </c>
      <c r="K2077" t="inlineStr">
        <is>
          <t>Leng, Shao Chuan, 1921-2000.</t>
        </is>
      </c>
      <c r="L2077" t="inlineStr">
        <is>
          <t>New York, F. A. Praeger [1961, c1960]</t>
        </is>
      </c>
      <c r="M2077" t="inlineStr">
        <is>
          <t>1961</t>
        </is>
      </c>
      <c r="O2077" t="inlineStr">
        <is>
          <t>eng</t>
        </is>
      </c>
      <c r="P2077" t="inlineStr">
        <is>
          <t>nyu</t>
        </is>
      </c>
      <c r="Q2077" t="inlineStr">
        <is>
          <t>The Foreign Policy Research Institute series, no. 10</t>
        </is>
      </c>
      <c r="R2077" t="inlineStr">
        <is>
          <t xml:space="preserve">DS </t>
        </is>
      </c>
      <c r="S2077" t="n">
        <v>5</v>
      </c>
      <c r="T2077" t="n">
        <v>5</v>
      </c>
      <c r="U2077" t="inlineStr">
        <is>
          <t>1995-10-25</t>
        </is>
      </c>
      <c r="V2077" t="inlineStr">
        <is>
          <t>1995-10-25</t>
        </is>
      </c>
      <c r="W2077" t="inlineStr">
        <is>
          <t>1992-04-22</t>
        </is>
      </c>
      <c r="X2077" t="inlineStr">
        <is>
          <t>1992-04-22</t>
        </is>
      </c>
      <c r="Y2077" t="n">
        <v>374</v>
      </c>
      <c r="Z2077" t="n">
        <v>348</v>
      </c>
      <c r="AA2077" t="n">
        <v>595</v>
      </c>
      <c r="AB2077" t="n">
        <v>5</v>
      </c>
      <c r="AC2077" t="n">
        <v>5</v>
      </c>
      <c r="AD2077" t="n">
        <v>19</v>
      </c>
      <c r="AE2077" t="n">
        <v>30</v>
      </c>
      <c r="AF2077" t="n">
        <v>7</v>
      </c>
      <c r="AG2077" t="n">
        <v>12</v>
      </c>
      <c r="AH2077" t="n">
        <v>4</v>
      </c>
      <c r="AI2077" t="n">
        <v>7</v>
      </c>
      <c r="AJ2077" t="n">
        <v>9</v>
      </c>
      <c r="AK2077" t="n">
        <v>15</v>
      </c>
      <c r="AL2077" t="n">
        <v>4</v>
      </c>
      <c r="AM2077" t="n">
        <v>4</v>
      </c>
      <c r="AN2077" t="n">
        <v>0</v>
      </c>
      <c r="AO2077" t="n">
        <v>0</v>
      </c>
      <c r="AP2077" t="inlineStr">
        <is>
          <t>No</t>
        </is>
      </c>
      <c r="AQ2077" t="inlineStr">
        <is>
          <t>Yes</t>
        </is>
      </c>
      <c r="AR2077">
        <f>HYPERLINK("http://catalog.hathitrust.org/Record/001258176","HathiTrust Record")</f>
        <v/>
      </c>
      <c r="AS2077">
        <f>HYPERLINK("https://creighton-primo.hosted.exlibrisgroup.com/primo-explore/search?tab=default_tab&amp;search_scope=EVERYTHING&amp;vid=01CRU&amp;lang=en_US&amp;offset=0&amp;query=any,contains,991004946279702656","Catalog Record")</f>
        <v/>
      </c>
      <c r="AT2077">
        <f>HYPERLINK("http://www.worldcat.org/oclc/6214287","WorldCat Record")</f>
        <v/>
      </c>
      <c r="AU2077" t="inlineStr">
        <is>
          <t>628825687:eng</t>
        </is>
      </c>
      <c r="AV2077" t="inlineStr">
        <is>
          <t>6214287</t>
        </is>
      </c>
      <c r="AW2077" t="inlineStr">
        <is>
          <t>991004946279702656</t>
        </is>
      </c>
      <c r="AX2077" t="inlineStr">
        <is>
          <t>991004946279702656</t>
        </is>
      </c>
      <c r="AY2077" t="inlineStr">
        <is>
          <t>2260926940002656</t>
        </is>
      </c>
      <c r="AZ2077" t="inlineStr">
        <is>
          <t>BOOK</t>
        </is>
      </c>
      <c r="BC2077" t="inlineStr">
        <is>
          <t>32285001054088</t>
        </is>
      </c>
      <c r="BD2077" t="inlineStr">
        <is>
          <t>893713249</t>
        </is>
      </c>
    </row>
    <row r="2078">
      <c r="A2078" t="inlineStr">
        <is>
          <t>No</t>
        </is>
      </c>
      <c r="B2078" t="inlineStr">
        <is>
          <t>DS777 .M3 1970</t>
        </is>
      </c>
      <c r="C2078" t="inlineStr">
        <is>
          <t>0                      DS 0777000M  3           1970</t>
        </is>
      </c>
      <c r="D2078" t="inlineStr">
        <is>
          <t>Strange vigour; a biography of Sun Yat-sen.</t>
        </is>
      </c>
      <c r="F2078" t="inlineStr">
        <is>
          <t>No</t>
        </is>
      </c>
      <c r="G2078" t="inlineStr">
        <is>
          <t>1</t>
        </is>
      </c>
      <c r="H2078" t="inlineStr">
        <is>
          <t>No</t>
        </is>
      </c>
      <c r="I2078" t="inlineStr">
        <is>
          <t>No</t>
        </is>
      </c>
      <c r="J2078" t="inlineStr">
        <is>
          <t>0</t>
        </is>
      </c>
      <c r="K2078" t="inlineStr">
        <is>
          <t>Martin, Bernard, 1897-1986.</t>
        </is>
      </c>
      <c r="L2078" t="inlineStr">
        <is>
          <t>Port Washington, N.Y., Kennikat Press [1970]</t>
        </is>
      </c>
      <c r="M2078" t="inlineStr">
        <is>
          <t>1970</t>
        </is>
      </c>
      <c r="O2078" t="inlineStr">
        <is>
          <t>eng</t>
        </is>
      </c>
      <c r="P2078" t="inlineStr">
        <is>
          <t>nyu</t>
        </is>
      </c>
      <c r="R2078" t="inlineStr">
        <is>
          <t xml:space="preserve">DS </t>
        </is>
      </c>
      <c r="S2078" t="n">
        <v>7</v>
      </c>
      <c r="T2078" t="n">
        <v>7</v>
      </c>
      <c r="U2078" t="inlineStr">
        <is>
          <t>1995-10-25</t>
        </is>
      </c>
      <c r="V2078" t="inlineStr">
        <is>
          <t>1995-10-25</t>
        </is>
      </c>
      <c r="W2078" t="inlineStr">
        <is>
          <t>1992-04-22</t>
        </is>
      </c>
      <c r="X2078" t="inlineStr">
        <is>
          <t>1992-04-22</t>
        </is>
      </c>
      <c r="Y2078" t="n">
        <v>152</v>
      </c>
      <c r="Z2078" t="n">
        <v>136</v>
      </c>
      <c r="AA2078" t="n">
        <v>253</v>
      </c>
      <c r="AB2078" t="n">
        <v>2</v>
      </c>
      <c r="AC2078" t="n">
        <v>3</v>
      </c>
      <c r="AD2078" t="n">
        <v>9</v>
      </c>
      <c r="AE2078" t="n">
        <v>12</v>
      </c>
      <c r="AF2078" t="n">
        <v>4</v>
      </c>
      <c r="AG2078" t="n">
        <v>6</v>
      </c>
      <c r="AH2078" t="n">
        <v>2</v>
      </c>
      <c r="AI2078" t="n">
        <v>3</v>
      </c>
      <c r="AJ2078" t="n">
        <v>4</v>
      </c>
      <c r="AK2078" t="n">
        <v>5</v>
      </c>
      <c r="AL2078" t="n">
        <v>1</v>
      </c>
      <c r="AM2078" t="n">
        <v>2</v>
      </c>
      <c r="AN2078" t="n">
        <v>0</v>
      </c>
      <c r="AO2078" t="n">
        <v>0</v>
      </c>
      <c r="AP2078" t="inlineStr">
        <is>
          <t>No</t>
        </is>
      </c>
      <c r="AQ2078" t="inlineStr">
        <is>
          <t>No</t>
        </is>
      </c>
      <c r="AS2078">
        <f>HYPERLINK("https://creighton-primo.hosted.exlibrisgroup.com/primo-explore/search?tab=default_tab&amp;search_scope=EVERYTHING&amp;vid=01CRU&amp;lang=en_US&amp;offset=0&amp;query=any,contains,991000615739702656","Catalog Record")</f>
        <v/>
      </c>
      <c r="AT2078">
        <f>HYPERLINK("http://www.worldcat.org/oclc/101616","WorldCat Record")</f>
        <v/>
      </c>
      <c r="AU2078" t="inlineStr">
        <is>
          <t>1172108:eng</t>
        </is>
      </c>
      <c r="AV2078" t="inlineStr">
        <is>
          <t>101616</t>
        </is>
      </c>
      <c r="AW2078" t="inlineStr">
        <is>
          <t>991000615739702656</t>
        </is>
      </c>
      <c r="AX2078" t="inlineStr">
        <is>
          <t>991000615739702656</t>
        </is>
      </c>
      <c r="AY2078" t="inlineStr">
        <is>
          <t>2261359690002656</t>
        </is>
      </c>
      <c r="AZ2078" t="inlineStr">
        <is>
          <t>BOOK</t>
        </is>
      </c>
      <c r="BB2078" t="inlineStr">
        <is>
          <t>9780804610810</t>
        </is>
      </c>
      <c r="BC2078" t="inlineStr">
        <is>
          <t>32285001054096</t>
        </is>
      </c>
      <c r="BD2078" t="inlineStr">
        <is>
          <t>893225154</t>
        </is>
      </c>
    </row>
    <row r="2079">
      <c r="A2079" t="inlineStr">
        <is>
          <t>No</t>
        </is>
      </c>
      <c r="B2079" t="inlineStr">
        <is>
          <t>DS777 .S33</t>
        </is>
      </c>
      <c r="C2079" t="inlineStr">
        <is>
          <t>0                      DS 0777000S  33</t>
        </is>
      </c>
      <c r="D2079" t="inlineStr">
        <is>
          <t>Sun Yat-sen, reluctant revolutionary / by Harold Z. Schiffrin.</t>
        </is>
      </c>
      <c r="F2079" t="inlineStr">
        <is>
          <t>No</t>
        </is>
      </c>
      <c r="G2079" t="inlineStr">
        <is>
          <t>1</t>
        </is>
      </c>
      <c r="H2079" t="inlineStr">
        <is>
          <t>No</t>
        </is>
      </c>
      <c r="I2079" t="inlineStr">
        <is>
          <t>No</t>
        </is>
      </c>
      <c r="J2079" t="inlineStr">
        <is>
          <t>0</t>
        </is>
      </c>
      <c r="K2079" t="inlineStr">
        <is>
          <t>Schiffrin, Harold Z.</t>
        </is>
      </c>
      <c r="L2079" t="inlineStr">
        <is>
          <t>Boston : Little, Brown, c1980.</t>
        </is>
      </c>
      <c r="M2079" t="inlineStr">
        <is>
          <t>1980</t>
        </is>
      </c>
      <c r="N2079" t="inlineStr">
        <is>
          <t>1st ed.</t>
        </is>
      </c>
      <c r="O2079" t="inlineStr">
        <is>
          <t>eng</t>
        </is>
      </c>
      <c r="P2079" t="inlineStr">
        <is>
          <t>mau</t>
        </is>
      </c>
      <c r="Q2079" t="inlineStr">
        <is>
          <t>The Library of world biography</t>
        </is>
      </c>
      <c r="R2079" t="inlineStr">
        <is>
          <t xml:space="preserve">DS </t>
        </is>
      </c>
      <c r="S2079" t="n">
        <v>9</v>
      </c>
      <c r="T2079" t="n">
        <v>9</v>
      </c>
      <c r="U2079" t="inlineStr">
        <is>
          <t>1999-11-11</t>
        </is>
      </c>
      <c r="V2079" t="inlineStr">
        <is>
          <t>1999-11-11</t>
        </is>
      </c>
      <c r="W2079" t="inlineStr">
        <is>
          <t>1990-10-19</t>
        </is>
      </c>
      <c r="X2079" t="inlineStr">
        <is>
          <t>1990-10-19</t>
        </is>
      </c>
      <c r="Y2079" t="n">
        <v>970</v>
      </c>
      <c r="Z2079" t="n">
        <v>842</v>
      </c>
      <c r="AA2079" t="n">
        <v>843</v>
      </c>
      <c r="AB2079" t="n">
        <v>4</v>
      </c>
      <c r="AC2079" t="n">
        <v>4</v>
      </c>
      <c r="AD2079" t="n">
        <v>26</v>
      </c>
      <c r="AE2079" t="n">
        <v>26</v>
      </c>
      <c r="AF2079" t="n">
        <v>14</v>
      </c>
      <c r="AG2079" t="n">
        <v>14</v>
      </c>
      <c r="AH2079" t="n">
        <v>7</v>
      </c>
      <c r="AI2079" t="n">
        <v>7</v>
      </c>
      <c r="AJ2079" t="n">
        <v>10</v>
      </c>
      <c r="AK2079" t="n">
        <v>10</v>
      </c>
      <c r="AL2079" t="n">
        <v>3</v>
      </c>
      <c r="AM2079" t="n">
        <v>3</v>
      </c>
      <c r="AN2079" t="n">
        <v>0</v>
      </c>
      <c r="AO2079" t="n">
        <v>0</v>
      </c>
      <c r="AP2079" t="inlineStr">
        <is>
          <t>No</t>
        </is>
      </c>
      <c r="AQ2079" t="inlineStr">
        <is>
          <t>No</t>
        </is>
      </c>
      <c r="AS2079">
        <f>HYPERLINK("https://creighton-primo.hosted.exlibrisgroup.com/primo-explore/search?tab=default_tab&amp;search_scope=EVERYTHING&amp;vid=01CRU&amp;lang=en_US&amp;offset=0&amp;query=any,contains,991004965819702656","Catalog Record")</f>
        <v/>
      </c>
      <c r="AT2079">
        <f>HYPERLINK("http://www.worldcat.org/oclc/6331543","WorldCat Record")</f>
        <v/>
      </c>
      <c r="AU2079" t="inlineStr">
        <is>
          <t>366325195:eng</t>
        </is>
      </c>
      <c r="AV2079" t="inlineStr">
        <is>
          <t>6331543</t>
        </is>
      </c>
      <c r="AW2079" t="inlineStr">
        <is>
          <t>991004965819702656</t>
        </is>
      </c>
      <c r="AX2079" t="inlineStr">
        <is>
          <t>991004965819702656</t>
        </is>
      </c>
      <c r="AY2079" t="inlineStr">
        <is>
          <t>2272383170002656</t>
        </is>
      </c>
      <c r="AZ2079" t="inlineStr">
        <is>
          <t>BOOK</t>
        </is>
      </c>
      <c r="BB2079" t="inlineStr">
        <is>
          <t>9780316773393</t>
        </is>
      </c>
      <c r="BC2079" t="inlineStr">
        <is>
          <t>32285000338722</t>
        </is>
      </c>
      <c r="BD2079" t="inlineStr">
        <is>
          <t>893436970</t>
        </is>
      </c>
    </row>
    <row r="2080">
      <c r="A2080" t="inlineStr">
        <is>
          <t>No</t>
        </is>
      </c>
      <c r="B2080" t="inlineStr">
        <is>
          <t>DS777.2 .C48 1972</t>
        </is>
      </c>
      <c r="C2080" t="inlineStr">
        <is>
          <t>0                      DS 0777200C  48          1972</t>
        </is>
      </c>
      <c r="D2080" t="inlineStr">
        <is>
          <t>Yuan Shih-kʻai.</t>
        </is>
      </c>
      <c r="F2080" t="inlineStr">
        <is>
          <t>No</t>
        </is>
      </c>
      <c r="G2080" t="inlineStr">
        <is>
          <t>1</t>
        </is>
      </c>
      <c r="H2080" t="inlineStr">
        <is>
          <t>No</t>
        </is>
      </c>
      <c r="I2080" t="inlineStr">
        <is>
          <t>No</t>
        </is>
      </c>
      <c r="J2080" t="inlineStr">
        <is>
          <t>0</t>
        </is>
      </c>
      <c r="K2080" t="inlineStr">
        <is>
          <t>Chʼên, Jerome, 1919-2019.</t>
        </is>
      </c>
      <c r="L2080" t="inlineStr">
        <is>
          <t>Stanford, Calif., Stanford University Press, 1972.</t>
        </is>
      </c>
      <c r="M2080" t="inlineStr">
        <is>
          <t>1972</t>
        </is>
      </c>
      <c r="N2080" t="inlineStr">
        <is>
          <t>2d ed.</t>
        </is>
      </c>
      <c r="O2080" t="inlineStr">
        <is>
          <t>eng</t>
        </is>
      </c>
      <c r="P2080" t="inlineStr">
        <is>
          <t>cau</t>
        </is>
      </c>
      <c r="R2080" t="inlineStr">
        <is>
          <t xml:space="preserve">DS </t>
        </is>
      </c>
      <c r="S2080" t="n">
        <v>1</v>
      </c>
      <c r="T2080" t="n">
        <v>1</v>
      </c>
      <c r="U2080" t="inlineStr">
        <is>
          <t>2008-07-08</t>
        </is>
      </c>
      <c r="V2080" t="inlineStr">
        <is>
          <t>2008-07-08</t>
        </is>
      </c>
      <c r="W2080" t="inlineStr">
        <is>
          <t>1997-03-13</t>
        </is>
      </c>
      <c r="X2080" t="inlineStr">
        <is>
          <t>1997-03-13</t>
        </is>
      </c>
      <c r="Y2080" t="n">
        <v>527</v>
      </c>
      <c r="Z2080" t="n">
        <v>441</v>
      </c>
      <c r="AA2080" t="n">
        <v>448</v>
      </c>
      <c r="AB2080" t="n">
        <v>5</v>
      </c>
      <c r="AC2080" t="n">
        <v>5</v>
      </c>
      <c r="AD2080" t="n">
        <v>23</v>
      </c>
      <c r="AE2080" t="n">
        <v>24</v>
      </c>
      <c r="AF2080" t="n">
        <v>9</v>
      </c>
      <c r="AG2080" t="n">
        <v>10</v>
      </c>
      <c r="AH2080" t="n">
        <v>6</v>
      </c>
      <c r="AI2080" t="n">
        <v>6</v>
      </c>
      <c r="AJ2080" t="n">
        <v>9</v>
      </c>
      <c r="AK2080" t="n">
        <v>10</v>
      </c>
      <c r="AL2080" t="n">
        <v>4</v>
      </c>
      <c r="AM2080" t="n">
        <v>4</v>
      </c>
      <c r="AN2080" t="n">
        <v>0</v>
      </c>
      <c r="AO2080" t="n">
        <v>0</v>
      </c>
      <c r="AP2080" t="inlineStr">
        <is>
          <t>No</t>
        </is>
      </c>
      <c r="AQ2080" t="inlineStr">
        <is>
          <t>No</t>
        </is>
      </c>
      <c r="AS2080">
        <f>HYPERLINK("https://creighton-primo.hosted.exlibrisgroup.com/primo-explore/search?tab=default_tab&amp;search_scope=EVERYTHING&amp;vid=01CRU&amp;lang=en_US&amp;offset=0&amp;query=any,contains,991002295589702656","Catalog Record")</f>
        <v/>
      </c>
      <c r="AT2080">
        <f>HYPERLINK("http://www.worldcat.org/oclc/315291","WorldCat Record")</f>
        <v/>
      </c>
      <c r="AU2080" t="inlineStr">
        <is>
          <t>3901376606:eng</t>
        </is>
      </c>
      <c r="AV2080" t="inlineStr">
        <is>
          <t>315291</t>
        </is>
      </c>
      <c r="AW2080" t="inlineStr">
        <is>
          <t>991002295589702656</t>
        </is>
      </c>
      <c r="AX2080" t="inlineStr">
        <is>
          <t>991002295589702656</t>
        </is>
      </c>
      <c r="AY2080" t="inlineStr">
        <is>
          <t>2270873900002656</t>
        </is>
      </c>
      <c r="AZ2080" t="inlineStr">
        <is>
          <t>BOOK</t>
        </is>
      </c>
      <c r="BB2080" t="inlineStr">
        <is>
          <t>9780804707893</t>
        </is>
      </c>
      <c r="BC2080" t="inlineStr">
        <is>
          <t>32285002447851</t>
        </is>
      </c>
      <c r="BD2080" t="inlineStr">
        <is>
          <t>893627056</t>
        </is>
      </c>
    </row>
    <row r="2081">
      <c r="A2081" t="inlineStr">
        <is>
          <t>No</t>
        </is>
      </c>
      <c r="B2081" t="inlineStr">
        <is>
          <t>DS777.47 .A6</t>
        </is>
      </c>
      <c r="C2081" t="inlineStr">
        <is>
          <t>0                      DS 0777470A  6</t>
        </is>
      </c>
      <c r="D2081" t="inlineStr">
        <is>
          <t>My life in China, 1926-1941 [by] Hallett Abend.</t>
        </is>
      </c>
      <c r="F2081" t="inlineStr">
        <is>
          <t>No</t>
        </is>
      </c>
      <c r="G2081" t="inlineStr">
        <is>
          <t>1</t>
        </is>
      </c>
      <c r="H2081" t="inlineStr">
        <is>
          <t>No</t>
        </is>
      </c>
      <c r="I2081" t="inlineStr">
        <is>
          <t>No</t>
        </is>
      </c>
      <c r="J2081" t="inlineStr">
        <is>
          <t>0</t>
        </is>
      </c>
      <c r="K2081" t="inlineStr">
        <is>
          <t>Abend, Hallett, 1884-1955.</t>
        </is>
      </c>
      <c r="L2081" t="inlineStr">
        <is>
          <t>New York, Harcourt, Brace and Company [1943]</t>
        </is>
      </c>
      <c r="M2081" t="inlineStr">
        <is>
          <t>1943</t>
        </is>
      </c>
      <c r="O2081" t="inlineStr">
        <is>
          <t>eng</t>
        </is>
      </c>
      <c r="P2081" t="inlineStr">
        <is>
          <t>nyu</t>
        </is>
      </c>
      <c r="R2081" t="inlineStr">
        <is>
          <t xml:space="preserve">DS </t>
        </is>
      </c>
      <c r="S2081" t="n">
        <v>1</v>
      </c>
      <c r="T2081" t="n">
        <v>1</v>
      </c>
      <c r="U2081" t="inlineStr">
        <is>
          <t>2008-07-08</t>
        </is>
      </c>
      <c r="V2081" t="inlineStr">
        <is>
          <t>2008-07-08</t>
        </is>
      </c>
      <c r="W2081" t="inlineStr">
        <is>
          <t>1997-03-13</t>
        </is>
      </c>
      <c r="X2081" t="inlineStr">
        <is>
          <t>1997-03-13</t>
        </is>
      </c>
      <c r="Y2081" t="n">
        <v>448</v>
      </c>
      <c r="Z2081" t="n">
        <v>406</v>
      </c>
      <c r="AA2081" t="n">
        <v>424</v>
      </c>
      <c r="AB2081" t="n">
        <v>5</v>
      </c>
      <c r="AC2081" t="n">
        <v>5</v>
      </c>
      <c r="AD2081" t="n">
        <v>19</v>
      </c>
      <c r="AE2081" t="n">
        <v>19</v>
      </c>
      <c r="AF2081" t="n">
        <v>5</v>
      </c>
      <c r="AG2081" t="n">
        <v>5</v>
      </c>
      <c r="AH2081" t="n">
        <v>5</v>
      </c>
      <c r="AI2081" t="n">
        <v>5</v>
      </c>
      <c r="AJ2081" t="n">
        <v>11</v>
      </c>
      <c r="AK2081" t="n">
        <v>11</v>
      </c>
      <c r="AL2081" t="n">
        <v>4</v>
      </c>
      <c r="AM2081" t="n">
        <v>4</v>
      </c>
      <c r="AN2081" t="n">
        <v>0</v>
      </c>
      <c r="AO2081" t="n">
        <v>0</v>
      </c>
      <c r="AP2081" t="inlineStr">
        <is>
          <t>Yes</t>
        </is>
      </c>
      <c r="AQ2081" t="inlineStr">
        <is>
          <t>No</t>
        </is>
      </c>
      <c r="AR2081">
        <f>HYPERLINK("http://catalog.hathitrust.org/Record/006574055","HathiTrust Record")</f>
        <v/>
      </c>
      <c r="AS2081">
        <f>HYPERLINK("https://creighton-primo.hosted.exlibrisgroup.com/primo-explore/search?tab=default_tab&amp;search_scope=EVERYTHING&amp;vid=01CRU&amp;lang=en_US&amp;offset=0&amp;query=any,contains,991003493229702656","Catalog Record")</f>
        <v/>
      </c>
      <c r="AT2081">
        <f>HYPERLINK("http://www.worldcat.org/oclc/1043453","WorldCat Record")</f>
        <v/>
      </c>
      <c r="AU2081" t="inlineStr">
        <is>
          <t>2013715:eng</t>
        </is>
      </c>
      <c r="AV2081" t="inlineStr">
        <is>
          <t>1043453</t>
        </is>
      </c>
      <c r="AW2081" t="inlineStr">
        <is>
          <t>991003493229702656</t>
        </is>
      </c>
      <c r="AX2081" t="inlineStr">
        <is>
          <t>991003493229702656</t>
        </is>
      </c>
      <c r="AY2081" t="inlineStr">
        <is>
          <t>2267127830002656</t>
        </is>
      </c>
      <c r="AZ2081" t="inlineStr">
        <is>
          <t>BOOK</t>
        </is>
      </c>
      <c r="BC2081" t="inlineStr">
        <is>
          <t>32285002447877</t>
        </is>
      </c>
      <c r="BD2081" t="inlineStr">
        <is>
          <t>893422622</t>
        </is>
      </c>
    </row>
    <row r="2082">
      <c r="A2082" t="inlineStr">
        <is>
          <t>No</t>
        </is>
      </c>
      <c r="B2082" t="inlineStr">
        <is>
          <t>DS777.47 .C495</t>
        </is>
      </c>
      <c r="C2082" t="inlineStr">
        <is>
          <t>0                      DS 0777470C  495</t>
        </is>
      </c>
      <c r="D2082" t="inlineStr">
        <is>
          <t>China at the crossroads : Nationalists and Communists, 1927-1949 / edited by F. Gilbert Chan.</t>
        </is>
      </c>
      <c r="F2082" t="inlineStr">
        <is>
          <t>No</t>
        </is>
      </c>
      <c r="G2082" t="inlineStr">
        <is>
          <t>1</t>
        </is>
      </c>
      <c r="H2082" t="inlineStr">
        <is>
          <t>No</t>
        </is>
      </c>
      <c r="I2082" t="inlineStr">
        <is>
          <t>No</t>
        </is>
      </c>
      <c r="J2082" t="inlineStr">
        <is>
          <t>0</t>
        </is>
      </c>
      <c r="L2082" t="inlineStr">
        <is>
          <t>Boulder, Colo. : Westview Press, 1980.</t>
        </is>
      </c>
      <c r="M2082" t="inlineStr">
        <is>
          <t>1980</t>
        </is>
      </c>
      <c r="O2082" t="inlineStr">
        <is>
          <t>eng</t>
        </is>
      </c>
      <c r="P2082" t="inlineStr">
        <is>
          <t>cou</t>
        </is>
      </c>
      <c r="Q2082" t="inlineStr">
        <is>
          <t>A Westview replica edition</t>
        </is>
      </c>
      <c r="R2082" t="inlineStr">
        <is>
          <t xml:space="preserve">DS </t>
        </is>
      </c>
      <c r="S2082" t="n">
        <v>4</v>
      </c>
      <c r="T2082" t="n">
        <v>4</v>
      </c>
      <c r="U2082" t="inlineStr">
        <is>
          <t>2005-12-05</t>
        </is>
      </c>
      <c r="V2082" t="inlineStr">
        <is>
          <t>2005-12-05</t>
        </is>
      </c>
      <c r="W2082" t="inlineStr">
        <is>
          <t>1990-10-19</t>
        </is>
      </c>
      <c r="X2082" t="inlineStr">
        <is>
          <t>1990-10-19</t>
        </is>
      </c>
      <c r="Y2082" t="n">
        <v>447</v>
      </c>
      <c r="Z2082" t="n">
        <v>347</v>
      </c>
      <c r="AA2082" t="n">
        <v>365</v>
      </c>
      <c r="AB2082" t="n">
        <v>4</v>
      </c>
      <c r="AC2082" t="n">
        <v>4</v>
      </c>
      <c r="AD2082" t="n">
        <v>15</v>
      </c>
      <c r="AE2082" t="n">
        <v>15</v>
      </c>
      <c r="AF2082" t="n">
        <v>8</v>
      </c>
      <c r="AG2082" t="n">
        <v>8</v>
      </c>
      <c r="AH2082" t="n">
        <v>3</v>
      </c>
      <c r="AI2082" t="n">
        <v>3</v>
      </c>
      <c r="AJ2082" t="n">
        <v>6</v>
      </c>
      <c r="AK2082" t="n">
        <v>6</v>
      </c>
      <c r="AL2082" t="n">
        <v>3</v>
      </c>
      <c r="AM2082" t="n">
        <v>3</v>
      </c>
      <c r="AN2082" t="n">
        <v>0</v>
      </c>
      <c r="AO2082" t="n">
        <v>0</v>
      </c>
      <c r="AP2082" t="inlineStr">
        <is>
          <t>No</t>
        </is>
      </c>
      <c r="AQ2082" t="inlineStr">
        <is>
          <t>Yes</t>
        </is>
      </c>
      <c r="AR2082">
        <f>HYPERLINK("http://catalog.hathitrust.org/Record/000722249","HathiTrust Record")</f>
        <v/>
      </c>
      <c r="AS2082">
        <f>HYPERLINK("https://creighton-primo.hosted.exlibrisgroup.com/primo-explore/search?tab=default_tab&amp;search_scope=EVERYTHING&amp;vid=01CRU&amp;lang=en_US&amp;offset=0&amp;query=any,contains,991004943739702656","Catalog Record")</f>
        <v/>
      </c>
      <c r="AT2082">
        <f>HYPERLINK("http://www.worldcat.org/oclc/6196662","WorldCat Record")</f>
        <v/>
      </c>
      <c r="AU2082" t="inlineStr">
        <is>
          <t>859759338:eng</t>
        </is>
      </c>
      <c r="AV2082" t="inlineStr">
        <is>
          <t>6196662</t>
        </is>
      </c>
      <c r="AW2082" t="inlineStr">
        <is>
          <t>991004943739702656</t>
        </is>
      </c>
      <c r="AX2082" t="inlineStr">
        <is>
          <t>991004943739702656</t>
        </is>
      </c>
      <c r="AY2082" t="inlineStr">
        <is>
          <t>2266185390002656</t>
        </is>
      </c>
      <c r="AZ2082" t="inlineStr">
        <is>
          <t>BOOK</t>
        </is>
      </c>
      <c r="BB2082" t="inlineStr">
        <is>
          <t>9780891589136</t>
        </is>
      </c>
      <c r="BC2082" t="inlineStr">
        <is>
          <t>32285000338748</t>
        </is>
      </c>
      <c r="BD2082" t="inlineStr">
        <is>
          <t>893782826</t>
        </is>
      </c>
    </row>
    <row r="2083">
      <c r="A2083" t="inlineStr">
        <is>
          <t>No</t>
        </is>
      </c>
      <c r="B2083" t="inlineStr">
        <is>
          <t>DS777.488.C515 L52 2006</t>
        </is>
      </c>
      <c r="C2083" t="inlineStr">
        <is>
          <t>0                      DS 0777488C  515                L  52          2006</t>
        </is>
      </c>
      <c r="D2083" t="inlineStr">
        <is>
          <t>Madame Chiang Kai-Shek : China's eternal first lady / Laura Tyson Li.</t>
        </is>
      </c>
      <c r="F2083" t="inlineStr">
        <is>
          <t>No</t>
        </is>
      </c>
      <c r="G2083" t="inlineStr">
        <is>
          <t>1</t>
        </is>
      </c>
      <c r="H2083" t="inlineStr">
        <is>
          <t>No</t>
        </is>
      </c>
      <c r="I2083" t="inlineStr">
        <is>
          <t>No</t>
        </is>
      </c>
      <c r="J2083" t="inlineStr">
        <is>
          <t>0</t>
        </is>
      </c>
      <c r="K2083" t="inlineStr">
        <is>
          <t>Li, Laura Tyson.</t>
        </is>
      </c>
      <c r="L2083" t="inlineStr">
        <is>
          <t>New York : Atlantic Monthly Press : Distributed by Publishers Group West, c2006.</t>
        </is>
      </c>
      <c r="M2083" t="inlineStr">
        <is>
          <t>2006</t>
        </is>
      </c>
      <c r="N2083" t="inlineStr">
        <is>
          <t>1st ed.</t>
        </is>
      </c>
      <c r="O2083" t="inlineStr">
        <is>
          <t>eng</t>
        </is>
      </c>
      <c r="P2083" t="inlineStr">
        <is>
          <t>nyu</t>
        </is>
      </c>
      <c r="R2083" t="inlineStr">
        <is>
          <t xml:space="preserve">DS </t>
        </is>
      </c>
      <c r="S2083" t="n">
        <v>2</v>
      </c>
      <c r="T2083" t="n">
        <v>2</v>
      </c>
      <c r="U2083" t="inlineStr">
        <is>
          <t>2006-10-13</t>
        </is>
      </c>
      <c r="V2083" t="inlineStr">
        <is>
          <t>2006-10-13</t>
        </is>
      </c>
      <c r="W2083" t="inlineStr">
        <is>
          <t>2006-09-25</t>
        </is>
      </c>
      <c r="X2083" t="inlineStr">
        <is>
          <t>2006-09-25</t>
        </is>
      </c>
      <c r="Y2083" t="n">
        <v>939</v>
      </c>
      <c r="Z2083" t="n">
        <v>861</v>
      </c>
      <c r="AA2083" t="n">
        <v>921</v>
      </c>
      <c r="AB2083" t="n">
        <v>7</v>
      </c>
      <c r="AC2083" t="n">
        <v>8</v>
      </c>
      <c r="AD2083" t="n">
        <v>17</v>
      </c>
      <c r="AE2083" t="n">
        <v>21</v>
      </c>
      <c r="AF2083" t="n">
        <v>5</v>
      </c>
      <c r="AG2083" t="n">
        <v>7</v>
      </c>
      <c r="AH2083" t="n">
        <v>5</v>
      </c>
      <c r="AI2083" t="n">
        <v>6</v>
      </c>
      <c r="AJ2083" t="n">
        <v>8</v>
      </c>
      <c r="AK2083" t="n">
        <v>10</v>
      </c>
      <c r="AL2083" t="n">
        <v>3</v>
      </c>
      <c r="AM2083" t="n">
        <v>4</v>
      </c>
      <c r="AN2083" t="n">
        <v>0</v>
      </c>
      <c r="AO2083" t="n">
        <v>0</v>
      </c>
      <c r="AP2083" t="inlineStr">
        <is>
          <t>No</t>
        </is>
      </c>
      <c r="AQ2083" t="inlineStr">
        <is>
          <t>Yes</t>
        </is>
      </c>
      <c r="AR2083">
        <f>HYPERLINK("http://catalog.hathitrust.org/Record/005288025","HathiTrust Record")</f>
        <v/>
      </c>
      <c r="AS2083">
        <f>HYPERLINK("https://creighton-primo.hosted.exlibrisgroup.com/primo-explore/search?tab=default_tab&amp;search_scope=EVERYTHING&amp;vid=01CRU&amp;lang=en_US&amp;offset=0&amp;query=any,contains,991004843079702656","Catalog Record")</f>
        <v/>
      </c>
      <c r="AT2083">
        <f>HYPERLINK("http://www.worldcat.org/oclc/62732875","WorldCat Record")</f>
        <v/>
      </c>
      <c r="AU2083" t="inlineStr">
        <is>
          <t>47053644:eng</t>
        </is>
      </c>
      <c r="AV2083" t="inlineStr">
        <is>
          <t>62732875</t>
        </is>
      </c>
      <c r="AW2083" t="inlineStr">
        <is>
          <t>991004843079702656</t>
        </is>
      </c>
      <c r="AX2083" t="inlineStr">
        <is>
          <t>991004843079702656</t>
        </is>
      </c>
      <c r="AY2083" t="inlineStr">
        <is>
          <t>2258795830002656</t>
        </is>
      </c>
      <c r="AZ2083" t="inlineStr">
        <is>
          <t>BOOK</t>
        </is>
      </c>
      <c r="BB2083" t="inlineStr">
        <is>
          <t>9780871139337</t>
        </is>
      </c>
      <c r="BC2083" t="inlineStr">
        <is>
          <t>32285005225429</t>
        </is>
      </c>
      <c r="BD2083" t="inlineStr">
        <is>
          <t>893418078</t>
        </is>
      </c>
    </row>
    <row r="2084">
      <c r="A2084" t="inlineStr">
        <is>
          <t>No</t>
        </is>
      </c>
      <c r="B2084" t="inlineStr">
        <is>
          <t>DS777.488.C515 P35 2009</t>
        </is>
      </c>
      <c r="C2084" t="inlineStr">
        <is>
          <t>0                      DS 0777488C  515                P  35          2009</t>
        </is>
      </c>
      <c r="D2084" t="inlineStr">
        <is>
          <t>The last empress : Madame Chiang Kai-Shek and the birth of modern China / Hannah Pakula.</t>
        </is>
      </c>
      <c r="F2084" t="inlineStr">
        <is>
          <t>No</t>
        </is>
      </c>
      <c r="G2084" t="inlineStr">
        <is>
          <t>1</t>
        </is>
      </c>
      <c r="H2084" t="inlineStr">
        <is>
          <t>No</t>
        </is>
      </c>
      <c r="I2084" t="inlineStr">
        <is>
          <t>No</t>
        </is>
      </c>
      <c r="J2084" t="inlineStr">
        <is>
          <t>0</t>
        </is>
      </c>
      <c r="K2084" t="inlineStr">
        <is>
          <t>Pakula, Hannah.</t>
        </is>
      </c>
      <c r="L2084" t="inlineStr">
        <is>
          <t>New York : Simon &amp; Schuster, 2009.</t>
        </is>
      </c>
      <c r="M2084" t="inlineStr">
        <is>
          <t>2009</t>
        </is>
      </c>
      <c r="N2084" t="inlineStr">
        <is>
          <t>1st Simon &amp; Schuster hardcover ed.</t>
        </is>
      </c>
      <c r="O2084" t="inlineStr">
        <is>
          <t>eng</t>
        </is>
      </c>
      <c r="P2084" t="inlineStr">
        <is>
          <t>nyu</t>
        </is>
      </c>
      <c r="R2084" t="inlineStr">
        <is>
          <t xml:space="preserve">DS </t>
        </is>
      </c>
      <c r="S2084" t="n">
        <v>2</v>
      </c>
      <c r="T2084" t="n">
        <v>2</v>
      </c>
      <c r="U2084" t="inlineStr">
        <is>
          <t>2010-03-12</t>
        </is>
      </c>
      <c r="V2084" t="inlineStr">
        <is>
          <t>2010-03-12</t>
        </is>
      </c>
      <c r="W2084" t="inlineStr">
        <is>
          <t>2010-03-01</t>
        </is>
      </c>
      <c r="X2084" t="inlineStr">
        <is>
          <t>2010-03-01</t>
        </is>
      </c>
      <c r="Y2084" t="n">
        <v>1292</v>
      </c>
      <c r="Z2084" t="n">
        <v>1192</v>
      </c>
      <c r="AA2084" t="n">
        <v>1244</v>
      </c>
      <c r="AB2084" t="n">
        <v>10</v>
      </c>
      <c r="AC2084" t="n">
        <v>10</v>
      </c>
      <c r="AD2084" t="n">
        <v>27</v>
      </c>
      <c r="AE2084" t="n">
        <v>28</v>
      </c>
      <c r="AF2084" t="n">
        <v>13</v>
      </c>
      <c r="AG2084" t="n">
        <v>13</v>
      </c>
      <c r="AH2084" t="n">
        <v>6</v>
      </c>
      <c r="AI2084" t="n">
        <v>6</v>
      </c>
      <c r="AJ2084" t="n">
        <v>12</v>
      </c>
      <c r="AK2084" t="n">
        <v>13</v>
      </c>
      <c r="AL2084" t="n">
        <v>3</v>
      </c>
      <c r="AM2084" t="n">
        <v>3</v>
      </c>
      <c r="AN2084" t="n">
        <v>0</v>
      </c>
      <c r="AO2084" t="n">
        <v>0</v>
      </c>
      <c r="AP2084" t="inlineStr">
        <is>
          <t>No</t>
        </is>
      </c>
      <c r="AQ2084" t="inlineStr">
        <is>
          <t>No</t>
        </is>
      </c>
      <c r="AS2084">
        <f>HYPERLINK("https://creighton-primo.hosted.exlibrisgroup.com/primo-explore/search?tab=default_tab&amp;search_scope=EVERYTHING&amp;vid=01CRU&amp;lang=en_US&amp;offset=0&amp;query=any,contains,991005365179702656","Catalog Record")</f>
        <v/>
      </c>
      <c r="AT2084">
        <f>HYPERLINK("http://www.worldcat.org/oclc/310397746","WorldCat Record")</f>
        <v/>
      </c>
      <c r="AU2084" t="inlineStr">
        <is>
          <t>793232588:eng</t>
        </is>
      </c>
      <c r="AV2084" t="inlineStr">
        <is>
          <t>310397746</t>
        </is>
      </c>
      <c r="AW2084" t="inlineStr">
        <is>
          <t>991005365179702656</t>
        </is>
      </c>
      <c r="AX2084" t="inlineStr">
        <is>
          <t>991005365179702656</t>
        </is>
      </c>
      <c r="AY2084" t="inlineStr">
        <is>
          <t>2255042040002656</t>
        </is>
      </c>
      <c r="AZ2084" t="inlineStr">
        <is>
          <t>BOOK</t>
        </is>
      </c>
      <c r="BB2084" t="inlineStr">
        <is>
          <t>9781439148938</t>
        </is>
      </c>
      <c r="BC2084" t="inlineStr">
        <is>
          <t>32285005575807</t>
        </is>
      </c>
      <c r="BD2084" t="inlineStr">
        <is>
          <t>893808297</t>
        </is>
      </c>
    </row>
    <row r="2085">
      <c r="A2085" t="inlineStr">
        <is>
          <t>No</t>
        </is>
      </c>
      <c r="B2085" t="inlineStr">
        <is>
          <t>DS777.488.Q28 Q287 2006</t>
        </is>
      </c>
      <c r="C2085" t="inlineStr">
        <is>
          <t>0                      DS 0777488Q  28                 Q  287         2006</t>
        </is>
      </c>
      <c r="D2085" t="inlineStr">
        <is>
          <t>Superfluous words / Qu Qiubai ; translation and commentary by Jamie Greenbaum.</t>
        </is>
      </c>
      <c r="F2085" t="inlineStr">
        <is>
          <t>No</t>
        </is>
      </c>
      <c r="G2085" t="inlineStr">
        <is>
          <t>1</t>
        </is>
      </c>
      <c r="H2085" t="inlineStr">
        <is>
          <t>No</t>
        </is>
      </c>
      <c r="I2085" t="inlineStr">
        <is>
          <t>No</t>
        </is>
      </c>
      <c r="J2085" t="inlineStr">
        <is>
          <t>0</t>
        </is>
      </c>
      <c r="K2085" t="inlineStr">
        <is>
          <t>Qu, Qiubai, 1899-1935.</t>
        </is>
      </c>
      <c r="L2085" t="inlineStr">
        <is>
          <t>Canberra : Pandanus Books, 2006.</t>
        </is>
      </c>
      <c r="M2085" t="inlineStr">
        <is>
          <t>2006</t>
        </is>
      </c>
      <c r="O2085" t="inlineStr">
        <is>
          <t>eng</t>
        </is>
      </c>
      <c r="P2085" t="inlineStr">
        <is>
          <t xml:space="preserve">at </t>
        </is>
      </c>
      <c r="R2085" t="inlineStr">
        <is>
          <t xml:space="preserve">DS </t>
        </is>
      </c>
      <c r="S2085" t="n">
        <v>2</v>
      </c>
      <c r="T2085" t="n">
        <v>2</v>
      </c>
      <c r="U2085" t="inlineStr">
        <is>
          <t>2007-06-12</t>
        </is>
      </c>
      <c r="V2085" t="inlineStr">
        <is>
          <t>2007-06-12</t>
        </is>
      </c>
      <c r="W2085" t="inlineStr">
        <is>
          <t>2007-06-12</t>
        </is>
      </c>
      <c r="X2085" t="inlineStr">
        <is>
          <t>2007-06-12</t>
        </is>
      </c>
      <c r="Y2085" t="n">
        <v>82</v>
      </c>
      <c r="Z2085" t="n">
        <v>56</v>
      </c>
      <c r="AA2085" t="n">
        <v>64</v>
      </c>
      <c r="AB2085" t="n">
        <v>1</v>
      </c>
      <c r="AC2085" t="n">
        <v>1</v>
      </c>
      <c r="AD2085" t="n">
        <v>3</v>
      </c>
      <c r="AE2085" t="n">
        <v>4</v>
      </c>
      <c r="AF2085" t="n">
        <v>1</v>
      </c>
      <c r="AG2085" t="n">
        <v>1</v>
      </c>
      <c r="AH2085" t="n">
        <v>1</v>
      </c>
      <c r="AI2085" t="n">
        <v>1</v>
      </c>
      <c r="AJ2085" t="n">
        <v>3</v>
      </c>
      <c r="AK2085" t="n">
        <v>4</v>
      </c>
      <c r="AL2085" t="n">
        <v>0</v>
      </c>
      <c r="AM2085" t="n">
        <v>0</v>
      </c>
      <c r="AN2085" t="n">
        <v>0</v>
      </c>
      <c r="AO2085" t="n">
        <v>0</v>
      </c>
      <c r="AP2085" t="inlineStr">
        <is>
          <t>No</t>
        </is>
      </c>
      <c r="AQ2085" t="inlineStr">
        <is>
          <t>Yes</t>
        </is>
      </c>
      <c r="AR2085">
        <f>HYPERLINK("http://catalog.hathitrust.org/Record/005232863","HathiTrust Record")</f>
        <v/>
      </c>
      <c r="AS2085">
        <f>HYPERLINK("https://creighton-primo.hosted.exlibrisgroup.com/primo-explore/search?tab=default_tab&amp;search_scope=EVERYTHING&amp;vid=01CRU&amp;lang=en_US&amp;offset=0&amp;query=any,contains,991005083209702656","Catalog Record")</f>
        <v/>
      </c>
      <c r="AT2085">
        <f>HYPERLINK("http://www.worldcat.org/oclc/71242104","WorldCat Record")</f>
        <v/>
      </c>
      <c r="AU2085" t="inlineStr">
        <is>
          <t>178652542:eng</t>
        </is>
      </c>
      <c r="AV2085" t="inlineStr">
        <is>
          <t>71242104</t>
        </is>
      </c>
      <c r="AW2085" t="inlineStr">
        <is>
          <t>991005083209702656</t>
        </is>
      </c>
      <c r="AX2085" t="inlineStr">
        <is>
          <t>991005083209702656</t>
        </is>
      </c>
      <c r="AY2085" t="inlineStr">
        <is>
          <t>2261815720002656</t>
        </is>
      </c>
      <c r="AZ2085" t="inlineStr">
        <is>
          <t>BOOK</t>
        </is>
      </c>
      <c r="BB2085" t="inlineStr">
        <is>
          <t>9781740761208</t>
        </is>
      </c>
      <c r="BC2085" t="inlineStr">
        <is>
          <t>32285005316004</t>
        </is>
      </c>
      <c r="BD2085" t="inlineStr">
        <is>
          <t>893619417</t>
        </is>
      </c>
    </row>
    <row r="2086">
      <c r="A2086" t="inlineStr">
        <is>
          <t>No</t>
        </is>
      </c>
      <c r="B2086" t="inlineStr">
        <is>
          <t>DS777.5134 .S34 1985</t>
        </is>
      </c>
      <c r="C2086" t="inlineStr">
        <is>
          <t>0                      DS 0777000                                                           .5134 .S34 1985</t>
        </is>
      </c>
      <c r="D2086" t="inlineStr">
        <is>
          <t>The Long March : the untold story / Harrison E. Salisbury.</t>
        </is>
      </c>
      <c r="F2086" t="inlineStr">
        <is>
          <t>No</t>
        </is>
      </c>
      <c r="G2086" t="inlineStr">
        <is>
          <t>1</t>
        </is>
      </c>
      <c r="H2086" t="inlineStr">
        <is>
          <t>No</t>
        </is>
      </c>
      <c r="I2086" t="inlineStr">
        <is>
          <t>No</t>
        </is>
      </c>
      <c r="J2086" t="inlineStr">
        <is>
          <t>0</t>
        </is>
      </c>
      <c r="K2086" t="inlineStr">
        <is>
          <t>Salisbury, Harrison E. (Harrison Evans), 1908-1993.</t>
        </is>
      </c>
      <c r="L2086" t="inlineStr">
        <is>
          <t>New York : Harper &amp; Row, c1985.</t>
        </is>
      </c>
      <c r="M2086" t="inlineStr">
        <is>
          <t>1985</t>
        </is>
      </c>
      <c r="N2086" t="inlineStr">
        <is>
          <t>1st Harper &amp; Row ed.</t>
        </is>
      </c>
      <c r="O2086" t="inlineStr">
        <is>
          <t>eng</t>
        </is>
      </c>
      <c r="P2086" t="inlineStr">
        <is>
          <t>nyu</t>
        </is>
      </c>
      <c r="R2086" t="inlineStr">
        <is>
          <t xml:space="preserve">DS </t>
        </is>
      </c>
      <c r="S2086" t="n">
        <v>6</v>
      </c>
      <c r="T2086" t="n">
        <v>6</v>
      </c>
      <c r="U2086" t="inlineStr">
        <is>
          <t>2006-10-30</t>
        </is>
      </c>
      <c r="V2086" t="inlineStr">
        <is>
          <t>2006-10-30</t>
        </is>
      </c>
      <c r="W2086" t="inlineStr">
        <is>
          <t>1990-08-09</t>
        </is>
      </c>
      <c r="X2086" t="inlineStr">
        <is>
          <t>1990-08-09</t>
        </is>
      </c>
      <c r="Y2086" t="n">
        <v>1643</v>
      </c>
      <c r="Z2086" t="n">
        <v>1545</v>
      </c>
      <c r="AA2086" t="n">
        <v>1621</v>
      </c>
      <c r="AB2086" t="n">
        <v>13</v>
      </c>
      <c r="AC2086" t="n">
        <v>13</v>
      </c>
      <c r="AD2086" t="n">
        <v>34</v>
      </c>
      <c r="AE2086" t="n">
        <v>38</v>
      </c>
      <c r="AF2086" t="n">
        <v>12</v>
      </c>
      <c r="AG2086" t="n">
        <v>14</v>
      </c>
      <c r="AH2086" t="n">
        <v>6</v>
      </c>
      <c r="AI2086" t="n">
        <v>8</v>
      </c>
      <c r="AJ2086" t="n">
        <v>14</v>
      </c>
      <c r="AK2086" t="n">
        <v>17</v>
      </c>
      <c r="AL2086" t="n">
        <v>7</v>
      </c>
      <c r="AM2086" t="n">
        <v>7</v>
      </c>
      <c r="AN2086" t="n">
        <v>0</v>
      </c>
      <c r="AO2086" t="n">
        <v>0</v>
      </c>
      <c r="AP2086" t="inlineStr">
        <is>
          <t>No</t>
        </is>
      </c>
      <c r="AQ2086" t="inlineStr">
        <is>
          <t>Yes</t>
        </is>
      </c>
      <c r="AR2086">
        <f>HYPERLINK("http://catalog.hathitrust.org/Record/000655825","HathiTrust Record")</f>
        <v/>
      </c>
      <c r="AS2086">
        <f>HYPERLINK("https://creighton-primo.hosted.exlibrisgroup.com/primo-explore/search?tab=default_tab&amp;search_scope=EVERYTHING&amp;vid=01CRU&amp;lang=en_US&amp;offset=0&amp;query=any,contains,991000597779702656","Catalog Record")</f>
        <v/>
      </c>
      <c r="AT2086">
        <f>HYPERLINK("http://www.worldcat.org/oclc/11814595","WorldCat Record")</f>
        <v/>
      </c>
      <c r="AU2086" t="inlineStr">
        <is>
          <t>69668441:eng</t>
        </is>
      </c>
      <c r="AV2086" t="inlineStr">
        <is>
          <t>11814595</t>
        </is>
      </c>
      <c r="AW2086" t="inlineStr">
        <is>
          <t>991000597779702656</t>
        </is>
      </c>
      <c r="AX2086" t="inlineStr">
        <is>
          <t>991000597779702656</t>
        </is>
      </c>
      <c r="AY2086" t="inlineStr">
        <is>
          <t>2261029410002656</t>
        </is>
      </c>
      <c r="AZ2086" t="inlineStr">
        <is>
          <t>BOOK</t>
        </is>
      </c>
      <c r="BB2086" t="inlineStr">
        <is>
          <t>9780060390440</t>
        </is>
      </c>
      <c r="BC2086" t="inlineStr">
        <is>
          <t>32285000272756</t>
        </is>
      </c>
      <c r="BD2086" t="inlineStr">
        <is>
          <t>893796809</t>
        </is>
      </c>
    </row>
    <row r="2087">
      <c r="A2087" t="inlineStr">
        <is>
          <t>No</t>
        </is>
      </c>
      <c r="B2087" t="inlineStr">
        <is>
          <t>DS777.53 .A52 1942</t>
        </is>
      </c>
      <c r="C2087" t="inlineStr">
        <is>
          <t>0                      DS 0777530A  52          1942</t>
        </is>
      </c>
      <c r="D2087" t="inlineStr">
        <is>
          <t>China after five years of war. Prepared under the auspices of the ministry of Information of the Republic of China.</t>
        </is>
      </c>
      <c r="F2087" t="inlineStr">
        <is>
          <t>No</t>
        </is>
      </c>
      <c r="G2087" t="inlineStr">
        <is>
          <t>1</t>
        </is>
      </c>
      <c r="H2087" t="inlineStr">
        <is>
          <t>No</t>
        </is>
      </c>
      <c r="I2087" t="inlineStr">
        <is>
          <t>No</t>
        </is>
      </c>
      <c r="J2087" t="inlineStr">
        <is>
          <t>0</t>
        </is>
      </c>
      <c r="K2087" t="inlineStr">
        <is>
          <t>China. Hsüan chʻuan pu.</t>
        </is>
      </c>
      <c r="L2087" t="inlineStr">
        <is>
          <t>New York, Chinese News Service [1942]</t>
        </is>
      </c>
      <c r="M2087" t="inlineStr">
        <is>
          <t>1942</t>
        </is>
      </c>
      <c r="O2087" t="inlineStr">
        <is>
          <t>eng</t>
        </is>
      </c>
      <c r="P2087" t="inlineStr">
        <is>
          <t xml:space="preserve">xx </t>
        </is>
      </c>
      <c r="R2087" t="inlineStr">
        <is>
          <t xml:space="preserve">DS </t>
        </is>
      </c>
      <c r="S2087" t="n">
        <v>1</v>
      </c>
      <c r="T2087" t="n">
        <v>1</v>
      </c>
      <c r="U2087" t="inlineStr">
        <is>
          <t>2008-07-08</t>
        </is>
      </c>
      <c r="V2087" t="inlineStr">
        <is>
          <t>2008-07-08</t>
        </is>
      </c>
      <c r="W2087" t="inlineStr">
        <is>
          <t>1996-08-12</t>
        </is>
      </c>
      <c r="X2087" t="inlineStr">
        <is>
          <t>1996-08-12</t>
        </is>
      </c>
      <c r="Y2087" t="n">
        <v>240</v>
      </c>
      <c r="Z2087" t="n">
        <v>218</v>
      </c>
      <c r="AA2087" t="n">
        <v>242</v>
      </c>
      <c r="AB2087" t="n">
        <v>2</v>
      </c>
      <c r="AC2087" t="n">
        <v>3</v>
      </c>
      <c r="AD2087" t="n">
        <v>8</v>
      </c>
      <c r="AE2087" t="n">
        <v>11</v>
      </c>
      <c r="AF2087" t="n">
        <v>0</v>
      </c>
      <c r="AG2087" t="n">
        <v>1</v>
      </c>
      <c r="AH2087" t="n">
        <v>3</v>
      </c>
      <c r="AI2087" t="n">
        <v>4</v>
      </c>
      <c r="AJ2087" t="n">
        <v>5</v>
      </c>
      <c r="AK2087" t="n">
        <v>7</v>
      </c>
      <c r="AL2087" t="n">
        <v>1</v>
      </c>
      <c r="AM2087" t="n">
        <v>2</v>
      </c>
      <c r="AN2087" t="n">
        <v>0</v>
      </c>
      <c r="AO2087" t="n">
        <v>0</v>
      </c>
      <c r="AP2087" t="inlineStr">
        <is>
          <t>Yes</t>
        </is>
      </c>
      <c r="AQ2087" t="inlineStr">
        <is>
          <t>No</t>
        </is>
      </c>
      <c r="AR2087">
        <f>HYPERLINK("http://catalog.hathitrust.org/Record/001318422","HathiTrust Record")</f>
        <v/>
      </c>
      <c r="AS2087">
        <f>HYPERLINK("https://creighton-primo.hosted.exlibrisgroup.com/primo-explore/search?tab=default_tab&amp;search_scope=EVERYTHING&amp;vid=01CRU&amp;lang=en_US&amp;offset=0&amp;query=any,contains,991003644449702656","Catalog Record")</f>
        <v/>
      </c>
      <c r="AT2087">
        <f>HYPERLINK("http://www.worldcat.org/oclc/1243792","WorldCat Record")</f>
        <v/>
      </c>
      <c r="AU2087" t="inlineStr">
        <is>
          <t>1150923973:eng</t>
        </is>
      </c>
      <c r="AV2087" t="inlineStr">
        <is>
          <t>1243792</t>
        </is>
      </c>
      <c r="AW2087" t="inlineStr">
        <is>
          <t>991003644449702656</t>
        </is>
      </c>
      <c r="AX2087" t="inlineStr">
        <is>
          <t>991003644449702656</t>
        </is>
      </c>
      <c r="AY2087" t="inlineStr">
        <is>
          <t>2261506640002656</t>
        </is>
      </c>
      <c r="AZ2087" t="inlineStr">
        <is>
          <t>BOOK</t>
        </is>
      </c>
      <c r="BC2087" t="inlineStr">
        <is>
          <t>32285002274073</t>
        </is>
      </c>
      <c r="BD2087" t="inlineStr">
        <is>
          <t>893318213</t>
        </is>
      </c>
    </row>
    <row r="2088">
      <c r="A2088" t="inlineStr">
        <is>
          <t>No</t>
        </is>
      </c>
      <c r="B2088" t="inlineStr">
        <is>
          <t>DS777.53 .A8 1972</t>
        </is>
      </c>
      <c r="C2088" t="inlineStr">
        <is>
          <t>0                      DS 0777530A  8           1972</t>
        </is>
      </c>
      <c r="D2088" t="inlineStr">
        <is>
          <t>Journey to a war, by W. H. Auden &amp; Christopher Isherwood.</t>
        </is>
      </c>
      <c r="F2088" t="inlineStr">
        <is>
          <t>No</t>
        </is>
      </c>
      <c r="G2088" t="inlineStr">
        <is>
          <t>1</t>
        </is>
      </c>
      <c r="H2088" t="inlineStr">
        <is>
          <t>No</t>
        </is>
      </c>
      <c r="I2088" t="inlineStr">
        <is>
          <t>No</t>
        </is>
      </c>
      <c r="J2088" t="inlineStr">
        <is>
          <t>0</t>
        </is>
      </c>
      <c r="K2088" t="inlineStr">
        <is>
          <t>Auden, W. H. (Wystan Hugh), 1907-1973.</t>
        </is>
      </c>
      <c r="L2088" t="inlineStr">
        <is>
          <t>New York, Octagon Books, 1972 [c1939]</t>
        </is>
      </c>
      <c r="M2088" t="inlineStr">
        <is>
          <t>1972</t>
        </is>
      </c>
      <c r="O2088" t="inlineStr">
        <is>
          <t>eng</t>
        </is>
      </c>
      <c r="P2088" t="inlineStr">
        <is>
          <t>nyu</t>
        </is>
      </c>
      <c r="R2088" t="inlineStr">
        <is>
          <t xml:space="preserve">DS </t>
        </is>
      </c>
      <c r="S2088" t="n">
        <v>1</v>
      </c>
      <c r="T2088" t="n">
        <v>1</v>
      </c>
      <c r="U2088" t="inlineStr">
        <is>
          <t>2008-07-08</t>
        </is>
      </c>
      <c r="V2088" t="inlineStr">
        <is>
          <t>2008-07-08</t>
        </is>
      </c>
      <c r="W2088" t="inlineStr">
        <is>
          <t>1997-03-13</t>
        </is>
      </c>
      <c r="X2088" t="inlineStr">
        <is>
          <t>1997-03-13</t>
        </is>
      </c>
      <c r="Y2088" t="n">
        <v>228</v>
      </c>
      <c r="Z2088" t="n">
        <v>200</v>
      </c>
      <c r="AA2088" t="n">
        <v>557</v>
      </c>
      <c r="AB2088" t="n">
        <v>4</v>
      </c>
      <c r="AC2088" t="n">
        <v>4</v>
      </c>
      <c r="AD2088" t="n">
        <v>17</v>
      </c>
      <c r="AE2088" t="n">
        <v>27</v>
      </c>
      <c r="AF2088" t="n">
        <v>3</v>
      </c>
      <c r="AG2088" t="n">
        <v>9</v>
      </c>
      <c r="AH2088" t="n">
        <v>7</v>
      </c>
      <c r="AI2088" t="n">
        <v>9</v>
      </c>
      <c r="AJ2088" t="n">
        <v>9</v>
      </c>
      <c r="AK2088" t="n">
        <v>14</v>
      </c>
      <c r="AL2088" t="n">
        <v>3</v>
      </c>
      <c r="AM2088" t="n">
        <v>3</v>
      </c>
      <c r="AN2088" t="n">
        <v>0</v>
      </c>
      <c r="AO2088" t="n">
        <v>0</v>
      </c>
      <c r="AP2088" t="inlineStr">
        <is>
          <t>No</t>
        </is>
      </c>
      <c r="AQ2088" t="inlineStr">
        <is>
          <t>Yes</t>
        </is>
      </c>
      <c r="AR2088">
        <f>HYPERLINK("http://catalog.hathitrust.org/Record/004411732","HathiTrust Record")</f>
        <v/>
      </c>
      <c r="AS2088">
        <f>HYPERLINK("https://creighton-primo.hosted.exlibrisgroup.com/primo-explore/search?tab=default_tab&amp;search_scope=EVERYTHING&amp;vid=01CRU&amp;lang=en_US&amp;offset=0&amp;query=any,contains,991002113779702656","Catalog Record")</f>
        <v/>
      </c>
      <c r="AT2088">
        <f>HYPERLINK("http://www.worldcat.org/oclc/267830","WorldCat Record")</f>
        <v/>
      </c>
      <c r="AU2088" t="inlineStr">
        <is>
          <t>451028:eng</t>
        </is>
      </c>
      <c r="AV2088" t="inlineStr">
        <is>
          <t>267830</t>
        </is>
      </c>
      <c r="AW2088" t="inlineStr">
        <is>
          <t>991002113779702656</t>
        </is>
      </c>
      <c r="AX2088" t="inlineStr">
        <is>
          <t>991002113779702656</t>
        </is>
      </c>
      <c r="AY2088" t="inlineStr">
        <is>
          <t>2270662810002656</t>
        </is>
      </c>
      <c r="AZ2088" t="inlineStr">
        <is>
          <t>BOOK</t>
        </is>
      </c>
      <c r="BB2088" t="inlineStr">
        <is>
          <t>9780374903152</t>
        </is>
      </c>
      <c r="BC2088" t="inlineStr">
        <is>
          <t>32285002447968</t>
        </is>
      </c>
      <c r="BD2088" t="inlineStr">
        <is>
          <t>893516912</t>
        </is>
      </c>
    </row>
    <row r="2089">
      <c r="A2089" t="inlineStr">
        <is>
          <t>No</t>
        </is>
      </c>
      <c r="B2089" t="inlineStr">
        <is>
          <t>DS777.53 .B5</t>
        </is>
      </c>
      <c r="C2089" t="inlineStr">
        <is>
          <t>0                      DS 0777530B  5</t>
        </is>
      </c>
      <c r="D2089" t="inlineStr">
        <is>
          <t>Japan in China, by T.A. Bisson.</t>
        </is>
      </c>
      <c r="F2089" t="inlineStr">
        <is>
          <t>No</t>
        </is>
      </c>
      <c r="G2089" t="inlineStr">
        <is>
          <t>1</t>
        </is>
      </c>
      <c r="H2089" t="inlineStr">
        <is>
          <t>No</t>
        </is>
      </c>
      <c r="I2089" t="inlineStr">
        <is>
          <t>No</t>
        </is>
      </c>
      <c r="J2089" t="inlineStr">
        <is>
          <t>0</t>
        </is>
      </c>
      <c r="K2089" t="inlineStr">
        <is>
          <t>Bisson, T. A. (Thomas Arthur), 1900-1979.</t>
        </is>
      </c>
      <c r="L2089" t="inlineStr">
        <is>
          <t>New York, The Macmillan Company, 1938.</t>
        </is>
      </c>
      <c r="M2089" t="inlineStr">
        <is>
          <t>1938</t>
        </is>
      </c>
      <c r="O2089" t="inlineStr">
        <is>
          <t>eng</t>
        </is>
      </c>
      <c r="P2089" t="inlineStr">
        <is>
          <t>nyu</t>
        </is>
      </c>
      <c r="R2089" t="inlineStr">
        <is>
          <t xml:space="preserve">DS </t>
        </is>
      </c>
      <c r="S2089" t="n">
        <v>5</v>
      </c>
      <c r="T2089" t="n">
        <v>5</v>
      </c>
      <c r="U2089" t="inlineStr">
        <is>
          <t>2005-11-22</t>
        </is>
      </c>
      <c r="V2089" t="inlineStr">
        <is>
          <t>2005-11-22</t>
        </is>
      </c>
      <c r="W2089" t="inlineStr">
        <is>
          <t>1997-03-13</t>
        </is>
      </c>
      <c r="X2089" t="inlineStr">
        <is>
          <t>1997-03-13</t>
        </is>
      </c>
      <c r="Y2089" t="n">
        <v>673</v>
      </c>
      <c r="Z2089" t="n">
        <v>608</v>
      </c>
      <c r="AA2089" t="n">
        <v>722</v>
      </c>
      <c r="AB2089" t="n">
        <v>7</v>
      </c>
      <c r="AC2089" t="n">
        <v>7</v>
      </c>
      <c r="AD2089" t="n">
        <v>36</v>
      </c>
      <c r="AE2089" t="n">
        <v>42</v>
      </c>
      <c r="AF2089" t="n">
        <v>15</v>
      </c>
      <c r="AG2089" t="n">
        <v>17</v>
      </c>
      <c r="AH2089" t="n">
        <v>6</v>
      </c>
      <c r="AI2089" t="n">
        <v>9</v>
      </c>
      <c r="AJ2089" t="n">
        <v>18</v>
      </c>
      <c r="AK2089" t="n">
        <v>20</v>
      </c>
      <c r="AL2089" t="n">
        <v>6</v>
      </c>
      <c r="AM2089" t="n">
        <v>6</v>
      </c>
      <c r="AN2089" t="n">
        <v>0</v>
      </c>
      <c r="AO2089" t="n">
        <v>0</v>
      </c>
      <c r="AP2089" t="inlineStr">
        <is>
          <t>Yes</t>
        </is>
      </c>
      <c r="AQ2089" t="inlineStr">
        <is>
          <t>No</t>
        </is>
      </c>
      <c r="AR2089">
        <f>HYPERLINK("http://catalog.hathitrust.org/Record/001258519","HathiTrust Record")</f>
        <v/>
      </c>
      <c r="AS2089">
        <f>HYPERLINK("https://creighton-primo.hosted.exlibrisgroup.com/primo-explore/search?tab=default_tab&amp;search_scope=EVERYTHING&amp;vid=01CRU&amp;lang=en_US&amp;offset=0&amp;query=any,contains,991002715239702656","Catalog Record")</f>
        <v/>
      </c>
      <c r="AT2089">
        <f>HYPERLINK("http://www.worldcat.org/oclc/411072","WorldCat Record")</f>
        <v/>
      </c>
      <c r="AU2089" t="inlineStr">
        <is>
          <t>1456521:eng</t>
        </is>
      </c>
      <c r="AV2089" t="inlineStr">
        <is>
          <t>411072</t>
        </is>
      </c>
      <c r="AW2089" t="inlineStr">
        <is>
          <t>991002715239702656</t>
        </is>
      </c>
      <c r="AX2089" t="inlineStr">
        <is>
          <t>991002715239702656</t>
        </is>
      </c>
      <c r="AY2089" t="inlineStr">
        <is>
          <t>2265051270002656</t>
        </is>
      </c>
      <c r="AZ2089" t="inlineStr">
        <is>
          <t>BOOK</t>
        </is>
      </c>
      <c r="BC2089" t="inlineStr">
        <is>
          <t>32285002447984</t>
        </is>
      </c>
      <c r="BD2089" t="inlineStr">
        <is>
          <t>893792821</t>
        </is>
      </c>
    </row>
    <row r="2090">
      <c r="A2090" t="inlineStr">
        <is>
          <t>No</t>
        </is>
      </c>
      <c r="B2090" t="inlineStr">
        <is>
          <t>DS777.53 .J6</t>
        </is>
      </c>
      <c r="C2090" t="inlineStr">
        <is>
          <t>0                      DS 0777530J  6</t>
        </is>
      </c>
      <c r="D2090" t="inlineStr">
        <is>
          <t>Chinese-Japanese war, 1937- / Compiled by Julia E. Johnsen.</t>
        </is>
      </c>
      <c r="F2090" t="inlineStr">
        <is>
          <t>No</t>
        </is>
      </c>
      <c r="G2090" t="inlineStr">
        <is>
          <t>1</t>
        </is>
      </c>
      <c r="H2090" t="inlineStr">
        <is>
          <t>No</t>
        </is>
      </c>
      <c r="I2090" t="inlineStr">
        <is>
          <t>No</t>
        </is>
      </c>
      <c r="J2090" t="inlineStr">
        <is>
          <t>0</t>
        </is>
      </c>
      <c r="K2090" t="inlineStr">
        <is>
          <t>Johnsen, Julia E. (Julia Emily), compiler.</t>
        </is>
      </c>
      <c r="L2090" t="inlineStr">
        <is>
          <t>New York : The H. W. Wilson company, 1938.</t>
        </is>
      </c>
      <c r="M2090" t="inlineStr">
        <is>
          <t>1938</t>
        </is>
      </c>
      <c r="O2090" t="inlineStr">
        <is>
          <t>eng</t>
        </is>
      </c>
      <c r="P2090" t="inlineStr">
        <is>
          <t>nyu</t>
        </is>
      </c>
      <c r="Q2090" t="inlineStr">
        <is>
          <t>The reference shelf. v. 11, no. 9</t>
        </is>
      </c>
      <c r="R2090" t="inlineStr">
        <is>
          <t xml:space="preserve">DS </t>
        </is>
      </c>
      <c r="S2090" t="n">
        <v>4</v>
      </c>
      <c r="T2090" t="n">
        <v>4</v>
      </c>
      <c r="U2090" t="inlineStr">
        <is>
          <t>2008-07-08</t>
        </is>
      </c>
      <c r="V2090" t="inlineStr">
        <is>
          <t>2008-07-08</t>
        </is>
      </c>
      <c r="W2090" t="inlineStr">
        <is>
          <t>1997-03-13</t>
        </is>
      </c>
      <c r="X2090" t="inlineStr">
        <is>
          <t>1997-03-13</t>
        </is>
      </c>
      <c r="Y2090" t="n">
        <v>337</v>
      </c>
      <c r="Z2090" t="n">
        <v>323</v>
      </c>
      <c r="AA2090" t="n">
        <v>325</v>
      </c>
      <c r="AB2090" t="n">
        <v>5</v>
      </c>
      <c r="AC2090" t="n">
        <v>5</v>
      </c>
      <c r="AD2090" t="n">
        <v>19</v>
      </c>
      <c r="AE2090" t="n">
        <v>19</v>
      </c>
      <c r="AF2090" t="n">
        <v>5</v>
      </c>
      <c r="AG2090" t="n">
        <v>5</v>
      </c>
      <c r="AH2090" t="n">
        <v>3</v>
      </c>
      <c r="AI2090" t="n">
        <v>3</v>
      </c>
      <c r="AJ2090" t="n">
        <v>9</v>
      </c>
      <c r="AK2090" t="n">
        <v>9</v>
      </c>
      <c r="AL2090" t="n">
        <v>4</v>
      </c>
      <c r="AM2090" t="n">
        <v>4</v>
      </c>
      <c r="AN2090" t="n">
        <v>0</v>
      </c>
      <c r="AO2090" t="n">
        <v>0</v>
      </c>
      <c r="AP2090" t="inlineStr">
        <is>
          <t>No</t>
        </is>
      </c>
      <c r="AQ2090" t="inlineStr">
        <is>
          <t>No</t>
        </is>
      </c>
      <c r="AR2090">
        <f>HYPERLINK("http://catalog.hathitrust.org/Record/101976019","HathiTrust Record")</f>
        <v/>
      </c>
      <c r="AS2090">
        <f>HYPERLINK("https://creighton-primo.hosted.exlibrisgroup.com/primo-explore/search?tab=default_tab&amp;search_scope=EVERYTHING&amp;vid=01CRU&amp;lang=en_US&amp;offset=0&amp;query=any,contains,991004770059702656","Catalog Record")</f>
        <v/>
      </c>
      <c r="AT2090">
        <f>HYPERLINK("http://www.worldcat.org/oclc/5053716","WorldCat Record")</f>
        <v/>
      </c>
      <c r="AU2090" t="inlineStr">
        <is>
          <t>33620479:eng</t>
        </is>
      </c>
      <c r="AV2090" t="inlineStr">
        <is>
          <t>5053716</t>
        </is>
      </c>
      <c r="AW2090" t="inlineStr">
        <is>
          <t>991004770059702656</t>
        </is>
      </c>
      <c r="AX2090" t="inlineStr">
        <is>
          <t>991004770059702656</t>
        </is>
      </c>
      <c r="AY2090" t="inlineStr">
        <is>
          <t>2260554430002656</t>
        </is>
      </c>
      <c r="AZ2090" t="inlineStr">
        <is>
          <t>BOOK</t>
        </is>
      </c>
      <c r="BC2090" t="inlineStr">
        <is>
          <t>32285002448024</t>
        </is>
      </c>
      <c r="BD2090" t="inlineStr">
        <is>
          <t>893789085</t>
        </is>
      </c>
    </row>
    <row r="2091">
      <c r="A2091" t="inlineStr">
        <is>
          <t>No</t>
        </is>
      </c>
      <c r="B2091" t="inlineStr">
        <is>
          <t>DS777.53 .L42 2006</t>
        </is>
      </c>
      <c r="C2091" t="inlineStr">
        <is>
          <t>0                      DS 0777530L  42          2006</t>
        </is>
      </c>
      <c r="D2091" t="inlineStr">
        <is>
          <t>Captives of empire : the Japanese internment of allied civilians in China, 1941-1945 / Greg Leck.</t>
        </is>
      </c>
      <c r="F2091" t="inlineStr">
        <is>
          <t>No</t>
        </is>
      </c>
      <c r="G2091" t="inlineStr">
        <is>
          <t>1</t>
        </is>
      </c>
      <c r="H2091" t="inlineStr">
        <is>
          <t>No</t>
        </is>
      </c>
      <c r="I2091" t="inlineStr">
        <is>
          <t>No</t>
        </is>
      </c>
      <c r="J2091" t="inlineStr">
        <is>
          <t>0</t>
        </is>
      </c>
      <c r="K2091" t="inlineStr">
        <is>
          <t>Leck, Greg, 1960-</t>
        </is>
      </c>
      <c r="L2091" t="inlineStr">
        <is>
          <t>[Bangor, PA] : Shandy Press, c2006.</t>
        </is>
      </c>
      <c r="M2091" t="inlineStr">
        <is>
          <t>2006</t>
        </is>
      </c>
      <c r="O2091" t="inlineStr">
        <is>
          <t>eng</t>
        </is>
      </c>
      <c r="P2091" t="inlineStr">
        <is>
          <t>pau</t>
        </is>
      </c>
      <c r="R2091" t="inlineStr">
        <is>
          <t xml:space="preserve">DS </t>
        </is>
      </c>
      <c r="S2091" t="n">
        <v>2</v>
      </c>
      <c r="T2091" t="n">
        <v>2</v>
      </c>
      <c r="U2091" t="inlineStr">
        <is>
          <t>2008-09-12</t>
        </is>
      </c>
      <c r="V2091" t="inlineStr">
        <is>
          <t>2008-09-12</t>
        </is>
      </c>
      <c r="W2091" t="inlineStr">
        <is>
          <t>2008-09-08</t>
        </is>
      </c>
      <c r="X2091" t="inlineStr">
        <is>
          <t>2008-09-08</t>
        </is>
      </c>
      <c r="Y2091" t="n">
        <v>210</v>
      </c>
      <c r="Z2091" t="n">
        <v>171</v>
      </c>
      <c r="AA2091" t="n">
        <v>172</v>
      </c>
      <c r="AB2091" t="n">
        <v>2</v>
      </c>
      <c r="AC2091" t="n">
        <v>2</v>
      </c>
      <c r="AD2091" t="n">
        <v>9</v>
      </c>
      <c r="AE2091" t="n">
        <v>9</v>
      </c>
      <c r="AF2091" t="n">
        <v>4</v>
      </c>
      <c r="AG2091" t="n">
        <v>4</v>
      </c>
      <c r="AH2091" t="n">
        <v>3</v>
      </c>
      <c r="AI2091" t="n">
        <v>3</v>
      </c>
      <c r="AJ2091" t="n">
        <v>6</v>
      </c>
      <c r="AK2091" t="n">
        <v>6</v>
      </c>
      <c r="AL2091" t="n">
        <v>1</v>
      </c>
      <c r="AM2091" t="n">
        <v>1</v>
      </c>
      <c r="AN2091" t="n">
        <v>0</v>
      </c>
      <c r="AO2091" t="n">
        <v>0</v>
      </c>
      <c r="AP2091" t="inlineStr">
        <is>
          <t>No</t>
        </is>
      </c>
      <c r="AQ2091" t="inlineStr">
        <is>
          <t>Yes</t>
        </is>
      </c>
      <c r="AR2091">
        <f>HYPERLINK("http://catalog.hathitrust.org/Record/005633160","HathiTrust Record")</f>
        <v/>
      </c>
      <c r="AS2091">
        <f>HYPERLINK("https://creighton-primo.hosted.exlibrisgroup.com/primo-explore/search?tab=default_tab&amp;search_scope=EVERYTHING&amp;vid=01CRU&amp;lang=en_US&amp;offset=0&amp;query=any,contains,991005256499702656","Catalog Record")</f>
        <v/>
      </c>
      <c r="AT2091">
        <f>HYPERLINK("http://www.worldcat.org/oclc/74986915","WorldCat Record")</f>
        <v/>
      </c>
      <c r="AU2091" t="inlineStr">
        <is>
          <t>61140982:eng</t>
        </is>
      </c>
      <c r="AV2091" t="inlineStr">
        <is>
          <t>74986915</t>
        </is>
      </c>
      <c r="AW2091" t="inlineStr">
        <is>
          <t>991005256499702656</t>
        </is>
      </c>
      <c r="AX2091" t="inlineStr">
        <is>
          <t>991005256499702656</t>
        </is>
      </c>
      <c r="AY2091" t="inlineStr">
        <is>
          <t>2255347240002656</t>
        </is>
      </c>
      <c r="AZ2091" t="inlineStr">
        <is>
          <t>BOOK</t>
        </is>
      </c>
      <c r="BB2091" t="inlineStr">
        <is>
          <t>9780977214105</t>
        </is>
      </c>
      <c r="BC2091" t="inlineStr">
        <is>
          <t>32285005457170</t>
        </is>
      </c>
      <c r="BD2091" t="inlineStr">
        <is>
          <t>893230450</t>
        </is>
      </c>
    </row>
    <row r="2092">
      <c r="A2092" t="inlineStr">
        <is>
          <t>No</t>
        </is>
      </c>
      <c r="B2092" t="inlineStr">
        <is>
          <t>DS777.53 .L4634</t>
        </is>
      </c>
      <c r="C2092" t="inlineStr">
        <is>
          <t>0                      DS 0777530L  4634</t>
        </is>
      </c>
      <c r="D2092" t="inlineStr">
        <is>
          <t>The Japanese Army in North China, 1937-1941 : problems of political and economic control / Lincoln Li.</t>
        </is>
      </c>
      <c r="F2092" t="inlineStr">
        <is>
          <t>No</t>
        </is>
      </c>
      <c r="G2092" t="inlineStr">
        <is>
          <t>1</t>
        </is>
      </c>
      <c r="H2092" t="inlineStr">
        <is>
          <t>No</t>
        </is>
      </c>
      <c r="I2092" t="inlineStr">
        <is>
          <t>No</t>
        </is>
      </c>
      <c r="J2092" t="inlineStr">
        <is>
          <t>0</t>
        </is>
      </c>
      <c r="K2092" t="inlineStr">
        <is>
          <t>Li, Lincoln.</t>
        </is>
      </c>
      <c r="L2092" t="inlineStr">
        <is>
          <t>Tokyo ; New York : Oxford University Press, 1975.</t>
        </is>
      </c>
      <c r="M2092" t="inlineStr">
        <is>
          <t>1975</t>
        </is>
      </c>
      <c r="O2092" t="inlineStr">
        <is>
          <t>eng</t>
        </is>
      </c>
      <c r="P2092" t="inlineStr">
        <is>
          <t xml:space="preserve">ja </t>
        </is>
      </c>
      <c r="Q2092" t="inlineStr">
        <is>
          <t>East Asian historical monographs</t>
        </is>
      </c>
      <c r="R2092" t="inlineStr">
        <is>
          <t xml:space="preserve">DS </t>
        </is>
      </c>
      <c r="S2092" t="n">
        <v>4</v>
      </c>
      <c r="T2092" t="n">
        <v>4</v>
      </c>
      <c r="U2092" t="inlineStr">
        <is>
          <t>2005-11-22</t>
        </is>
      </c>
      <c r="V2092" t="inlineStr">
        <is>
          <t>2005-11-22</t>
        </is>
      </c>
      <c r="W2092" t="inlineStr">
        <is>
          <t>1997-03-13</t>
        </is>
      </c>
      <c r="X2092" t="inlineStr">
        <is>
          <t>1997-03-13</t>
        </is>
      </c>
      <c r="Y2092" t="n">
        <v>389</v>
      </c>
      <c r="Z2092" t="n">
        <v>278</v>
      </c>
      <c r="AA2092" t="n">
        <v>281</v>
      </c>
      <c r="AB2092" t="n">
        <v>2</v>
      </c>
      <c r="AC2092" t="n">
        <v>2</v>
      </c>
      <c r="AD2092" t="n">
        <v>9</v>
      </c>
      <c r="AE2092" t="n">
        <v>9</v>
      </c>
      <c r="AF2092" t="n">
        <v>3</v>
      </c>
      <c r="AG2092" t="n">
        <v>3</v>
      </c>
      <c r="AH2092" t="n">
        <v>5</v>
      </c>
      <c r="AI2092" t="n">
        <v>5</v>
      </c>
      <c r="AJ2092" t="n">
        <v>5</v>
      </c>
      <c r="AK2092" t="n">
        <v>5</v>
      </c>
      <c r="AL2092" t="n">
        <v>1</v>
      </c>
      <c r="AM2092" t="n">
        <v>1</v>
      </c>
      <c r="AN2092" t="n">
        <v>0</v>
      </c>
      <c r="AO2092" t="n">
        <v>0</v>
      </c>
      <c r="AP2092" t="inlineStr">
        <is>
          <t>No</t>
        </is>
      </c>
      <c r="AQ2092" t="inlineStr">
        <is>
          <t>Yes</t>
        </is>
      </c>
      <c r="AR2092">
        <f>HYPERLINK("http://catalog.hathitrust.org/Record/000724035","HathiTrust Record")</f>
        <v/>
      </c>
      <c r="AS2092">
        <f>HYPERLINK("https://creighton-primo.hosted.exlibrisgroup.com/primo-explore/search?tab=default_tab&amp;search_scope=EVERYTHING&amp;vid=01CRU&amp;lang=en_US&amp;offset=0&amp;query=any,contains,991004072939702656","Catalog Record")</f>
        <v/>
      </c>
      <c r="AT2092">
        <f>HYPERLINK("http://www.worldcat.org/oclc/2309600","WorldCat Record")</f>
        <v/>
      </c>
      <c r="AU2092" t="inlineStr">
        <is>
          <t>200973347:eng</t>
        </is>
      </c>
      <c r="AV2092" t="inlineStr">
        <is>
          <t>2309600</t>
        </is>
      </c>
      <c r="AW2092" t="inlineStr">
        <is>
          <t>991004072939702656</t>
        </is>
      </c>
      <c r="AX2092" t="inlineStr">
        <is>
          <t>991004072939702656</t>
        </is>
      </c>
      <c r="AY2092" t="inlineStr">
        <is>
          <t>2265400520002656</t>
        </is>
      </c>
      <c r="AZ2092" t="inlineStr">
        <is>
          <t>BOOK</t>
        </is>
      </c>
      <c r="BB2092" t="inlineStr">
        <is>
          <t>9780195802696</t>
        </is>
      </c>
      <c r="BC2092" t="inlineStr">
        <is>
          <t>32285002448032</t>
        </is>
      </c>
      <c r="BD2092" t="inlineStr">
        <is>
          <t>893618200</t>
        </is>
      </c>
    </row>
    <row r="2093">
      <c r="A2093" t="inlineStr">
        <is>
          <t>No</t>
        </is>
      </c>
      <c r="B2093" t="inlineStr">
        <is>
          <t>DS777.53 .N6 1937</t>
        </is>
      </c>
      <c r="C2093" t="inlineStr">
        <is>
          <t>0                      DS 0777530N  6           1937</t>
        </is>
      </c>
      <c r="D2093" t="inlineStr">
        <is>
          <t>When Japan fights / by Percy Noël.</t>
        </is>
      </c>
      <c r="F2093" t="inlineStr">
        <is>
          <t>No</t>
        </is>
      </c>
      <c r="G2093" t="inlineStr">
        <is>
          <t>1</t>
        </is>
      </c>
      <c r="H2093" t="inlineStr">
        <is>
          <t>No</t>
        </is>
      </c>
      <c r="I2093" t="inlineStr">
        <is>
          <t>No</t>
        </is>
      </c>
      <c r="J2093" t="inlineStr">
        <is>
          <t>0</t>
        </is>
      </c>
      <c r="K2093" t="inlineStr">
        <is>
          <t>Noël, Percy.</t>
        </is>
      </c>
      <c r="L2093" t="inlineStr">
        <is>
          <t>Tokyo : The Hokuseido Press, 1937.</t>
        </is>
      </c>
      <c r="M2093" t="inlineStr">
        <is>
          <t>1937</t>
        </is>
      </c>
      <c r="O2093" t="inlineStr">
        <is>
          <t>eng</t>
        </is>
      </c>
      <c r="P2093" t="inlineStr">
        <is>
          <t xml:space="preserve">ja </t>
        </is>
      </c>
      <c r="R2093" t="inlineStr">
        <is>
          <t xml:space="preserve">DS </t>
        </is>
      </c>
      <c r="S2093" t="n">
        <v>4</v>
      </c>
      <c r="T2093" t="n">
        <v>4</v>
      </c>
      <c r="U2093" t="inlineStr">
        <is>
          <t>2004-12-03</t>
        </is>
      </c>
      <c r="V2093" t="inlineStr">
        <is>
          <t>2004-12-03</t>
        </is>
      </c>
      <c r="W2093" t="inlineStr">
        <is>
          <t>1990-10-19</t>
        </is>
      </c>
      <c r="X2093" t="inlineStr">
        <is>
          <t>1990-10-19</t>
        </is>
      </c>
      <c r="Y2093" t="n">
        <v>231</v>
      </c>
      <c r="Z2093" t="n">
        <v>188</v>
      </c>
      <c r="AA2093" t="n">
        <v>190</v>
      </c>
      <c r="AB2093" t="n">
        <v>3</v>
      </c>
      <c r="AC2093" t="n">
        <v>3</v>
      </c>
      <c r="AD2093" t="n">
        <v>7</v>
      </c>
      <c r="AE2093" t="n">
        <v>7</v>
      </c>
      <c r="AF2093" t="n">
        <v>3</v>
      </c>
      <c r="AG2093" t="n">
        <v>3</v>
      </c>
      <c r="AH2093" t="n">
        <v>0</v>
      </c>
      <c r="AI2093" t="n">
        <v>0</v>
      </c>
      <c r="AJ2093" t="n">
        <v>4</v>
      </c>
      <c r="AK2093" t="n">
        <v>4</v>
      </c>
      <c r="AL2093" t="n">
        <v>2</v>
      </c>
      <c r="AM2093" t="n">
        <v>2</v>
      </c>
      <c r="AN2093" t="n">
        <v>0</v>
      </c>
      <c r="AO2093" t="n">
        <v>0</v>
      </c>
      <c r="AP2093" t="inlineStr">
        <is>
          <t>No</t>
        </is>
      </c>
      <c r="AQ2093" t="inlineStr">
        <is>
          <t>Yes</t>
        </is>
      </c>
      <c r="AR2093">
        <f>HYPERLINK("http://catalog.hathitrust.org/Record/001258576","HathiTrust Record")</f>
        <v/>
      </c>
      <c r="AS2093">
        <f>HYPERLINK("https://creighton-primo.hosted.exlibrisgroup.com/primo-explore/search?tab=default_tab&amp;search_scope=EVERYTHING&amp;vid=01CRU&amp;lang=en_US&amp;offset=0&amp;query=any,contains,991004624269702656","Catalog Record")</f>
        <v/>
      </c>
      <c r="AT2093">
        <f>HYPERLINK("http://www.worldcat.org/oclc/4323928","WorldCat Record")</f>
        <v/>
      </c>
      <c r="AU2093" t="inlineStr">
        <is>
          <t>14695290:eng</t>
        </is>
      </c>
      <c r="AV2093" t="inlineStr">
        <is>
          <t>4323928</t>
        </is>
      </c>
      <c r="AW2093" t="inlineStr">
        <is>
          <t>991004624269702656</t>
        </is>
      </c>
      <c r="AX2093" t="inlineStr">
        <is>
          <t>991004624269702656</t>
        </is>
      </c>
      <c r="AY2093" t="inlineStr">
        <is>
          <t>2261499150002656</t>
        </is>
      </c>
      <c r="AZ2093" t="inlineStr">
        <is>
          <t>BOOK</t>
        </is>
      </c>
      <c r="BC2093" t="inlineStr">
        <is>
          <t>32285000338755</t>
        </is>
      </c>
      <c r="BD2093" t="inlineStr">
        <is>
          <t>893229556</t>
        </is>
      </c>
    </row>
    <row r="2094">
      <c r="A2094" t="inlineStr">
        <is>
          <t>No</t>
        </is>
      </c>
      <c r="B2094" t="inlineStr">
        <is>
          <t>DS777.53 .S64 1982</t>
        </is>
      </c>
      <c r="C2094" t="inlineStr">
        <is>
          <t>0                      DS 0777530S  64          1982</t>
        </is>
      </c>
      <c r="D2094" t="inlineStr">
        <is>
          <t>Prelude to Pearl Harbor / Roy M. Stanley II.</t>
        </is>
      </c>
      <c r="F2094" t="inlineStr">
        <is>
          <t>No</t>
        </is>
      </c>
      <c r="G2094" t="inlineStr">
        <is>
          <t>1</t>
        </is>
      </c>
      <c r="H2094" t="inlineStr">
        <is>
          <t>No</t>
        </is>
      </c>
      <c r="I2094" t="inlineStr">
        <is>
          <t>No</t>
        </is>
      </c>
      <c r="J2094" t="inlineStr">
        <is>
          <t>0</t>
        </is>
      </c>
      <c r="K2094" t="inlineStr">
        <is>
          <t>Stanley, Roy M., II.</t>
        </is>
      </c>
      <c r="L2094" t="inlineStr">
        <is>
          <t>New York : Scribner, c1982.</t>
        </is>
      </c>
      <c r="M2094" t="inlineStr">
        <is>
          <t>1982</t>
        </is>
      </c>
      <c r="O2094" t="inlineStr">
        <is>
          <t>eng</t>
        </is>
      </c>
      <c r="P2094" t="inlineStr">
        <is>
          <t>nyu</t>
        </is>
      </c>
      <c r="R2094" t="inlineStr">
        <is>
          <t xml:space="preserve">DS </t>
        </is>
      </c>
      <c r="S2094" t="n">
        <v>11</v>
      </c>
      <c r="T2094" t="n">
        <v>11</v>
      </c>
      <c r="U2094" t="inlineStr">
        <is>
          <t>1994-11-20</t>
        </is>
      </c>
      <c r="V2094" t="inlineStr">
        <is>
          <t>1994-11-20</t>
        </is>
      </c>
      <c r="W2094" t="inlineStr">
        <is>
          <t>1990-10-19</t>
        </is>
      </c>
      <c r="X2094" t="inlineStr">
        <is>
          <t>1990-10-19</t>
        </is>
      </c>
      <c r="Y2094" t="n">
        <v>590</v>
      </c>
      <c r="Z2094" t="n">
        <v>542</v>
      </c>
      <c r="AA2094" t="n">
        <v>551</v>
      </c>
      <c r="AB2094" t="n">
        <v>6</v>
      </c>
      <c r="AC2094" t="n">
        <v>6</v>
      </c>
      <c r="AD2094" t="n">
        <v>15</v>
      </c>
      <c r="AE2094" t="n">
        <v>15</v>
      </c>
      <c r="AF2094" t="n">
        <v>6</v>
      </c>
      <c r="AG2094" t="n">
        <v>6</v>
      </c>
      <c r="AH2094" t="n">
        <v>4</v>
      </c>
      <c r="AI2094" t="n">
        <v>4</v>
      </c>
      <c r="AJ2094" t="n">
        <v>7</v>
      </c>
      <c r="AK2094" t="n">
        <v>7</v>
      </c>
      <c r="AL2094" t="n">
        <v>3</v>
      </c>
      <c r="AM2094" t="n">
        <v>3</v>
      </c>
      <c r="AN2094" t="n">
        <v>0</v>
      </c>
      <c r="AO2094" t="n">
        <v>0</v>
      </c>
      <c r="AP2094" t="inlineStr">
        <is>
          <t>No</t>
        </is>
      </c>
      <c r="AQ2094" t="inlineStr">
        <is>
          <t>Yes</t>
        </is>
      </c>
      <c r="AR2094">
        <f>HYPERLINK("http://catalog.hathitrust.org/Record/000769446","HathiTrust Record")</f>
        <v/>
      </c>
      <c r="AS2094">
        <f>HYPERLINK("https://creighton-primo.hosted.exlibrisgroup.com/primo-explore/search?tab=default_tab&amp;search_scope=EVERYTHING&amp;vid=01CRU&amp;lang=en_US&amp;offset=0&amp;query=any,contains,991000025279702656","Catalog Record")</f>
        <v/>
      </c>
      <c r="AT2094">
        <f>HYPERLINK("http://www.worldcat.org/oclc/8588593","WorldCat Record")</f>
        <v/>
      </c>
      <c r="AU2094" t="inlineStr">
        <is>
          <t>433860:eng</t>
        </is>
      </c>
      <c r="AV2094" t="inlineStr">
        <is>
          <t>8588593</t>
        </is>
      </c>
      <c r="AW2094" t="inlineStr">
        <is>
          <t>991000025279702656</t>
        </is>
      </c>
      <c r="AX2094" t="inlineStr">
        <is>
          <t>991000025279702656</t>
        </is>
      </c>
      <c r="AY2094" t="inlineStr">
        <is>
          <t>2257603360002656</t>
        </is>
      </c>
      <c r="AZ2094" t="inlineStr">
        <is>
          <t>BOOK</t>
        </is>
      </c>
      <c r="BB2094" t="inlineStr">
        <is>
          <t>9780684176666</t>
        </is>
      </c>
      <c r="BC2094" t="inlineStr">
        <is>
          <t>32285000338771</t>
        </is>
      </c>
      <c r="BD2094" t="inlineStr">
        <is>
          <t>893242911</t>
        </is>
      </c>
    </row>
    <row r="2095">
      <c r="A2095" t="inlineStr">
        <is>
          <t>No</t>
        </is>
      </c>
      <c r="B2095" t="inlineStr">
        <is>
          <t>DS777.53 .T5</t>
        </is>
      </c>
      <c r="C2095" t="inlineStr">
        <is>
          <t>0                      DS 0777530T  5</t>
        </is>
      </c>
      <c r="D2095" t="inlineStr">
        <is>
          <t>Japanese terror in China, compiled and edited by H.J. Timperley ...</t>
        </is>
      </c>
      <c r="F2095" t="inlineStr">
        <is>
          <t>No</t>
        </is>
      </c>
      <c r="G2095" t="inlineStr">
        <is>
          <t>1</t>
        </is>
      </c>
      <c r="H2095" t="inlineStr">
        <is>
          <t>No</t>
        </is>
      </c>
      <c r="I2095" t="inlineStr">
        <is>
          <t>No</t>
        </is>
      </c>
      <c r="J2095" t="inlineStr">
        <is>
          <t>0</t>
        </is>
      </c>
      <c r="K2095" t="inlineStr">
        <is>
          <t>Timperley, Harold J. (Harold John), 1898-, editor.</t>
        </is>
      </c>
      <c r="L2095" t="inlineStr">
        <is>
          <t>New York, Modern Age Books, Inc. [c1938]</t>
        </is>
      </c>
      <c r="M2095" t="inlineStr">
        <is>
          <t>1938</t>
        </is>
      </c>
      <c r="O2095" t="inlineStr">
        <is>
          <t>eng</t>
        </is>
      </c>
      <c r="P2095" t="inlineStr">
        <is>
          <t>nyu</t>
        </is>
      </c>
      <c r="R2095" t="inlineStr">
        <is>
          <t xml:space="preserve">DS </t>
        </is>
      </c>
      <c r="S2095" t="n">
        <v>1</v>
      </c>
      <c r="T2095" t="n">
        <v>1</v>
      </c>
      <c r="U2095" t="inlineStr">
        <is>
          <t>2005-09-15</t>
        </is>
      </c>
      <c r="V2095" t="inlineStr">
        <is>
          <t>2005-09-15</t>
        </is>
      </c>
      <c r="W2095" t="inlineStr">
        <is>
          <t>1997-03-13</t>
        </is>
      </c>
      <c r="X2095" t="inlineStr">
        <is>
          <t>1997-03-13</t>
        </is>
      </c>
      <c r="Y2095" t="n">
        <v>507</v>
      </c>
      <c r="Z2095" t="n">
        <v>488</v>
      </c>
      <c r="AA2095" t="n">
        <v>598</v>
      </c>
      <c r="AB2095" t="n">
        <v>8</v>
      </c>
      <c r="AC2095" t="n">
        <v>8</v>
      </c>
      <c r="AD2095" t="n">
        <v>26</v>
      </c>
      <c r="AE2095" t="n">
        <v>31</v>
      </c>
      <c r="AF2095" t="n">
        <v>7</v>
      </c>
      <c r="AG2095" t="n">
        <v>11</v>
      </c>
      <c r="AH2095" t="n">
        <v>4</v>
      </c>
      <c r="AI2095" t="n">
        <v>6</v>
      </c>
      <c r="AJ2095" t="n">
        <v>10</v>
      </c>
      <c r="AK2095" t="n">
        <v>12</v>
      </c>
      <c r="AL2095" t="n">
        <v>7</v>
      </c>
      <c r="AM2095" t="n">
        <v>7</v>
      </c>
      <c r="AN2095" t="n">
        <v>0</v>
      </c>
      <c r="AO2095" t="n">
        <v>0</v>
      </c>
      <c r="AP2095" t="inlineStr">
        <is>
          <t>No</t>
        </is>
      </c>
      <c r="AQ2095" t="inlineStr">
        <is>
          <t>Yes</t>
        </is>
      </c>
      <c r="AR2095">
        <f>HYPERLINK("http://catalog.hathitrust.org/Record/001258612","HathiTrust Record")</f>
        <v/>
      </c>
      <c r="AS2095">
        <f>HYPERLINK("https://creighton-primo.hosted.exlibrisgroup.com/primo-explore/search?tab=default_tab&amp;search_scope=EVERYTHING&amp;vid=01CRU&amp;lang=en_US&amp;offset=0&amp;query=any,contains,991003228939702656","Catalog Record")</f>
        <v/>
      </c>
      <c r="AT2095">
        <f>HYPERLINK("http://www.worldcat.org/oclc/754026","WorldCat Record")</f>
        <v/>
      </c>
      <c r="AU2095" t="inlineStr">
        <is>
          <t>1186371:eng</t>
        </is>
      </c>
      <c r="AV2095" t="inlineStr">
        <is>
          <t>754026</t>
        </is>
      </c>
      <c r="AW2095" t="inlineStr">
        <is>
          <t>991003228939702656</t>
        </is>
      </c>
      <c r="AX2095" t="inlineStr">
        <is>
          <t>991003228939702656</t>
        </is>
      </c>
      <c r="AY2095" t="inlineStr">
        <is>
          <t>2270024570002656</t>
        </is>
      </c>
      <c r="AZ2095" t="inlineStr">
        <is>
          <t>BOOK</t>
        </is>
      </c>
      <c r="BB2095" t="inlineStr">
        <is>
          <t>9780836951707</t>
        </is>
      </c>
      <c r="BC2095" t="inlineStr">
        <is>
          <t>32285002448040</t>
        </is>
      </c>
      <c r="BD2095" t="inlineStr">
        <is>
          <t>893899745</t>
        </is>
      </c>
    </row>
    <row r="2096">
      <c r="A2096" t="inlineStr">
        <is>
          <t>No</t>
        </is>
      </c>
      <c r="B2096" t="inlineStr">
        <is>
          <t>DS777.53 .T866</t>
        </is>
      </c>
      <c r="C2096" t="inlineStr">
        <is>
          <t>0                      DS 0777530T  866</t>
        </is>
      </c>
      <c r="D2096" t="inlineStr">
        <is>
          <t>America's failure in China, 1941-50.</t>
        </is>
      </c>
      <c r="F2096" t="inlineStr">
        <is>
          <t>No</t>
        </is>
      </c>
      <c r="G2096" t="inlineStr">
        <is>
          <t>1</t>
        </is>
      </c>
      <c r="H2096" t="inlineStr">
        <is>
          <t>No</t>
        </is>
      </c>
      <c r="I2096" t="inlineStr">
        <is>
          <t>No</t>
        </is>
      </c>
      <c r="J2096" t="inlineStr">
        <is>
          <t>0</t>
        </is>
      </c>
      <c r="K2096" t="inlineStr">
        <is>
          <t>Tsou, Tang, 1918-1999.</t>
        </is>
      </c>
      <c r="L2096" t="inlineStr">
        <is>
          <t>[Chicago] University of Chicago Press [1963]</t>
        </is>
      </c>
      <c r="M2096" t="inlineStr">
        <is>
          <t>1963</t>
        </is>
      </c>
      <c r="O2096" t="inlineStr">
        <is>
          <t>eng</t>
        </is>
      </c>
      <c r="P2096" t="inlineStr">
        <is>
          <t>ilu</t>
        </is>
      </c>
      <c r="R2096" t="inlineStr">
        <is>
          <t xml:space="preserve">DS </t>
        </is>
      </c>
      <c r="S2096" t="n">
        <v>2</v>
      </c>
      <c r="T2096" t="n">
        <v>2</v>
      </c>
      <c r="U2096" t="inlineStr">
        <is>
          <t>2005-12-03</t>
        </is>
      </c>
      <c r="V2096" t="inlineStr">
        <is>
          <t>2005-12-03</t>
        </is>
      </c>
      <c r="W2096" t="inlineStr">
        <is>
          <t>1997-03-13</t>
        </is>
      </c>
      <c r="X2096" t="inlineStr">
        <is>
          <t>1997-03-13</t>
        </is>
      </c>
      <c r="Y2096" t="n">
        <v>1222</v>
      </c>
      <c r="Z2096" t="n">
        <v>1082</v>
      </c>
      <c r="AA2096" t="n">
        <v>1206</v>
      </c>
      <c r="AB2096" t="n">
        <v>10</v>
      </c>
      <c r="AC2096" t="n">
        <v>10</v>
      </c>
      <c r="AD2096" t="n">
        <v>50</v>
      </c>
      <c r="AE2096" t="n">
        <v>58</v>
      </c>
      <c r="AF2096" t="n">
        <v>20</v>
      </c>
      <c r="AG2096" t="n">
        <v>25</v>
      </c>
      <c r="AH2096" t="n">
        <v>8</v>
      </c>
      <c r="AI2096" t="n">
        <v>10</v>
      </c>
      <c r="AJ2096" t="n">
        <v>21</v>
      </c>
      <c r="AK2096" t="n">
        <v>23</v>
      </c>
      <c r="AL2096" t="n">
        <v>9</v>
      </c>
      <c r="AM2096" t="n">
        <v>9</v>
      </c>
      <c r="AN2096" t="n">
        <v>1</v>
      </c>
      <c r="AO2096" t="n">
        <v>3</v>
      </c>
      <c r="AP2096" t="inlineStr">
        <is>
          <t>No</t>
        </is>
      </c>
      <c r="AQ2096" t="inlineStr">
        <is>
          <t>No</t>
        </is>
      </c>
      <c r="AS2096">
        <f>HYPERLINK("https://creighton-primo.hosted.exlibrisgroup.com/primo-explore/search?tab=default_tab&amp;search_scope=EVERYTHING&amp;vid=01CRU&amp;lang=en_US&amp;offset=0&amp;query=any,contains,991002071679702656","Catalog Record")</f>
        <v/>
      </c>
      <c r="AT2096">
        <f>HYPERLINK("http://www.worldcat.org/oclc/263583","WorldCat Record")</f>
        <v/>
      </c>
      <c r="AU2096" t="inlineStr">
        <is>
          <t>3768598354:eng</t>
        </is>
      </c>
      <c r="AV2096" t="inlineStr">
        <is>
          <t>263583</t>
        </is>
      </c>
      <c r="AW2096" t="inlineStr">
        <is>
          <t>991002071679702656</t>
        </is>
      </c>
      <c r="AX2096" t="inlineStr">
        <is>
          <t>991002071679702656</t>
        </is>
      </c>
      <c r="AY2096" t="inlineStr">
        <is>
          <t>2268567300002656</t>
        </is>
      </c>
      <c r="AZ2096" t="inlineStr">
        <is>
          <t>BOOK</t>
        </is>
      </c>
      <c r="BC2096" t="inlineStr">
        <is>
          <t>32285002448057</t>
        </is>
      </c>
      <c r="BD2096" t="inlineStr">
        <is>
          <t>893804192</t>
        </is>
      </c>
    </row>
    <row r="2097">
      <c r="A2097" t="inlineStr">
        <is>
          <t>No</t>
        </is>
      </c>
      <c r="B2097" t="inlineStr">
        <is>
          <t>DS777.5316.N36 H6613 1999</t>
        </is>
      </c>
      <c r="C2097" t="inlineStr">
        <is>
          <t>0                      DS 0777000                                                           .5316.N36 H6613 1999</t>
        </is>
      </c>
      <c r="D2097" t="inlineStr">
        <is>
          <t>The Nanjing massacre : a Japanese journalist confronts Japan's national shame / Honda Katsuichi ; edited by Frank Gibney ; translated by Karen Sandness</t>
        </is>
      </c>
      <c r="F2097" t="inlineStr">
        <is>
          <t>No</t>
        </is>
      </c>
      <c r="G2097" t="inlineStr">
        <is>
          <t>1</t>
        </is>
      </c>
      <c r="H2097" t="inlineStr">
        <is>
          <t>No</t>
        </is>
      </c>
      <c r="I2097" t="inlineStr">
        <is>
          <t>No</t>
        </is>
      </c>
      <c r="J2097" t="inlineStr">
        <is>
          <t>0</t>
        </is>
      </c>
      <c r="K2097" t="inlineStr">
        <is>
          <t>Honda, Katsuichi, 1933-</t>
        </is>
      </c>
      <c r="L2097" t="inlineStr">
        <is>
          <t>Armonk, N.Y. : M.E. Sharpe, c1999.</t>
        </is>
      </c>
      <c r="M2097" t="inlineStr">
        <is>
          <t>1999</t>
        </is>
      </c>
      <c r="O2097" t="inlineStr">
        <is>
          <t>eng</t>
        </is>
      </c>
      <c r="P2097" t="inlineStr">
        <is>
          <t>nyu</t>
        </is>
      </c>
      <c r="R2097" t="inlineStr">
        <is>
          <t xml:space="preserve">DS </t>
        </is>
      </c>
      <c r="S2097" t="n">
        <v>7</v>
      </c>
      <c r="T2097" t="n">
        <v>7</v>
      </c>
      <c r="U2097" t="inlineStr">
        <is>
          <t>2005-11-14</t>
        </is>
      </c>
      <c r="V2097" t="inlineStr">
        <is>
          <t>2005-11-14</t>
        </is>
      </c>
      <c r="W2097" t="inlineStr">
        <is>
          <t>2001-06-04</t>
        </is>
      </c>
      <c r="X2097" t="inlineStr">
        <is>
          <t>2001-06-04</t>
        </is>
      </c>
      <c r="Y2097" t="n">
        <v>814</v>
      </c>
      <c r="Z2097" t="n">
        <v>693</v>
      </c>
      <c r="AA2097" t="n">
        <v>720</v>
      </c>
      <c r="AB2097" t="n">
        <v>7</v>
      </c>
      <c r="AC2097" t="n">
        <v>7</v>
      </c>
      <c r="AD2097" t="n">
        <v>30</v>
      </c>
      <c r="AE2097" t="n">
        <v>30</v>
      </c>
      <c r="AF2097" t="n">
        <v>14</v>
      </c>
      <c r="AG2097" t="n">
        <v>14</v>
      </c>
      <c r="AH2097" t="n">
        <v>7</v>
      </c>
      <c r="AI2097" t="n">
        <v>7</v>
      </c>
      <c r="AJ2097" t="n">
        <v>14</v>
      </c>
      <c r="AK2097" t="n">
        <v>14</v>
      </c>
      <c r="AL2097" t="n">
        <v>5</v>
      </c>
      <c r="AM2097" t="n">
        <v>5</v>
      </c>
      <c r="AN2097" t="n">
        <v>0</v>
      </c>
      <c r="AO2097" t="n">
        <v>0</v>
      </c>
      <c r="AP2097" t="inlineStr">
        <is>
          <t>No</t>
        </is>
      </c>
      <c r="AQ2097" t="inlineStr">
        <is>
          <t>Yes</t>
        </is>
      </c>
      <c r="AR2097">
        <f>HYPERLINK("http://catalog.hathitrust.org/Record/004044350","HathiTrust Record")</f>
        <v/>
      </c>
      <c r="AS2097">
        <f>HYPERLINK("https://creighton-primo.hosted.exlibrisgroup.com/primo-explore/search?tab=default_tab&amp;search_scope=EVERYTHING&amp;vid=01CRU&amp;lang=en_US&amp;offset=0&amp;query=any,contains,991003541949702656","Catalog Record")</f>
        <v/>
      </c>
      <c r="AT2097">
        <f>HYPERLINK("http://www.worldcat.org/oclc/39786798","WorldCat Record")</f>
        <v/>
      </c>
      <c r="AU2097" t="inlineStr">
        <is>
          <t>2006303:eng</t>
        </is>
      </c>
      <c r="AV2097" t="inlineStr">
        <is>
          <t>39786798</t>
        </is>
      </c>
      <c r="AW2097" t="inlineStr">
        <is>
          <t>991003541949702656</t>
        </is>
      </c>
      <c r="AX2097" t="inlineStr">
        <is>
          <t>991003541949702656</t>
        </is>
      </c>
      <c r="AY2097" t="inlineStr">
        <is>
          <t>2270120970002656</t>
        </is>
      </c>
      <c r="AZ2097" t="inlineStr">
        <is>
          <t>BOOK</t>
        </is>
      </c>
      <c r="BB2097" t="inlineStr">
        <is>
          <t>9780765603340</t>
        </is>
      </c>
      <c r="BC2097" t="inlineStr">
        <is>
          <t>32285004319801</t>
        </is>
      </c>
      <c r="BD2097" t="inlineStr">
        <is>
          <t>893441402</t>
        </is>
      </c>
    </row>
    <row r="2098">
      <c r="A2098" t="inlineStr">
        <is>
          <t>No</t>
        </is>
      </c>
      <c r="B2098" t="inlineStr">
        <is>
          <t>DS777.533.C64 B76 2005</t>
        </is>
      </c>
      <c r="C2098" t="inlineStr">
        <is>
          <t>0                      DS 0777533C  64                 B  76          2005</t>
        </is>
      </c>
      <c r="D2098" t="inlineStr">
        <is>
          <t>Collaboration : Japanese agents and local elites in wartime China / Timothy Brook.</t>
        </is>
      </c>
      <c r="F2098" t="inlineStr">
        <is>
          <t>No</t>
        </is>
      </c>
      <c r="G2098" t="inlineStr">
        <is>
          <t>1</t>
        </is>
      </c>
      <c r="H2098" t="inlineStr">
        <is>
          <t>No</t>
        </is>
      </c>
      <c r="I2098" t="inlineStr">
        <is>
          <t>No</t>
        </is>
      </c>
      <c r="J2098" t="inlineStr">
        <is>
          <t>0</t>
        </is>
      </c>
      <c r="K2098" t="inlineStr">
        <is>
          <t>Brook, Timothy, 1951-</t>
        </is>
      </c>
      <c r="L2098" t="inlineStr">
        <is>
          <t>Cambridge, Mass. : Harvard University Press, 2005.</t>
        </is>
      </c>
      <c r="M2098" t="inlineStr">
        <is>
          <t>2005</t>
        </is>
      </c>
      <c r="O2098" t="inlineStr">
        <is>
          <t>eng</t>
        </is>
      </c>
      <c r="P2098" t="inlineStr">
        <is>
          <t>mau</t>
        </is>
      </c>
      <c r="R2098" t="inlineStr">
        <is>
          <t xml:space="preserve">DS </t>
        </is>
      </c>
      <c r="S2098" t="n">
        <v>2</v>
      </c>
      <c r="T2098" t="n">
        <v>2</v>
      </c>
      <c r="U2098" t="inlineStr">
        <is>
          <t>2006-08-02</t>
        </is>
      </c>
      <c r="V2098" t="inlineStr">
        <is>
          <t>2006-08-02</t>
        </is>
      </c>
      <c r="W2098" t="inlineStr">
        <is>
          <t>2006-07-12</t>
        </is>
      </c>
      <c r="X2098" t="inlineStr">
        <is>
          <t>2006-07-12</t>
        </is>
      </c>
      <c r="Y2098" t="n">
        <v>509</v>
      </c>
      <c r="Z2098" t="n">
        <v>417</v>
      </c>
      <c r="AA2098" t="n">
        <v>458</v>
      </c>
      <c r="AB2098" t="n">
        <v>2</v>
      </c>
      <c r="AC2098" t="n">
        <v>4</v>
      </c>
      <c r="AD2098" t="n">
        <v>29</v>
      </c>
      <c r="AE2098" t="n">
        <v>33</v>
      </c>
      <c r="AF2098" t="n">
        <v>12</v>
      </c>
      <c r="AG2098" t="n">
        <v>13</v>
      </c>
      <c r="AH2098" t="n">
        <v>8</v>
      </c>
      <c r="AI2098" t="n">
        <v>8</v>
      </c>
      <c r="AJ2098" t="n">
        <v>17</v>
      </c>
      <c r="AK2098" t="n">
        <v>18</v>
      </c>
      <c r="AL2098" t="n">
        <v>1</v>
      </c>
      <c r="AM2098" t="n">
        <v>3</v>
      </c>
      <c r="AN2098" t="n">
        <v>0</v>
      </c>
      <c r="AO2098" t="n">
        <v>0</v>
      </c>
      <c r="AP2098" t="inlineStr">
        <is>
          <t>No</t>
        </is>
      </c>
      <c r="AQ2098" t="inlineStr">
        <is>
          <t>Yes</t>
        </is>
      </c>
      <c r="AR2098">
        <f>HYPERLINK("http://catalog.hathitrust.org/Record/004926339","HathiTrust Record")</f>
        <v/>
      </c>
      <c r="AS2098">
        <f>HYPERLINK("https://creighton-primo.hosted.exlibrisgroup.com/primo-explore/search?tab=default_tab&amp;search_scope=EVERYTHING&amp;vid=01CRU&amp;lang=en_US&amp;offset=0&amp;query=any,contains,991004847179702656","Catalog Record")</f>
        <v/>
      </c>
      <c r="AT2098">
        <f>HYPERLINK("http://www.worldcat.org/oclc/55948146","WorldCat Record")</f>
        <v/>
      </c>
      <c r="AU2098" t="inlineStr">
        <is>
          <t>890759048:eng</t>
        </is>
      </c>
      <c r="AV2098" t="inlineStr">
        <is>
          <t>55948146</t>
        </is>
      </c>
      <c r="AW2098" t="inlineStr">
        <is>
          <t>991004847179702656</t>
        </is>
      </c>
      <c r="AX2098" t="inlineStr">
        <is>
          <t>991004847179702656</t>
        </is>
      </c>
      <c r="AY2098" t="inlineStr">
        <is>
          <t>2264434520002656</t>
        </is>
      </c>
      <c r="AZ2098" t="inlineStr">
        <is>
          <t>BOOK</t>
        </is>
      </c>
      <c r="BB2098" t="inlineStr">
        <is>
          <t>9780674015630</t>
        </is>
      </c>
      <c r="BC2098" t="inlineStr">
        <is>
          <t>32285005194278</t>
        </is>
      </c>
      <c r="BD2098" t="inlineStr">
        <is>
          <t>893625161</t>
        </is>
      </c>
    </row>
    <row r="2099">
      <c r="A2099" t="inlineStr">
        <is>
          <t>No</t>
        </is>
      </c>
      <c r="B2099" t="inlineStr">
        <is>
          <t>DS777.533.S62 N67 2000</t>
        </is>
      </c>
      <c r="C2099" t="inlineStr">
        <is>
          <t>0                      DS 0777533S  62                 N  67          2000</t>
        </is>
      </c>
      <c r="D2099" t="inlineStr">
        <is>
          <t>North China at war : the social ecology of revolution, 1937-1945 / edited by Feng Chongyi and David S.G. Goodman.</t>
        </is>
      </c>
      <c r="F2099" t="inlineStr">
        <is>
          <t>No</t>
        </is>
      </c>
      <c r="G2099" t="inlineStr">
        <is>
          <t>1</t>
        </is>
      </c>
      <c r="H2099" t="inlineStr">
        <is>
          <t>No</t>
        </is>
      </c>
      <c r="I2099" t="inlineStr">
        <is>
          <t>No</t>
        </is>
      </c>
      <c r="J2099" t="inlineStr">
        <is>
          <t>0</t>
        </is>
      </c>
      <c r="L2099" t="inlineStr">
        <is>
          <t>Lanham, Md. : Rowman &amp; Littlefield Publishers, c2000.</t>
        </is>
      </c>
      <c r="M2099" t="inlineStr">
        <is>
          <t>2000</t>
        </is>
      </c>
      <c r="O2099" t="inlineStr">
        <is>
          <t>eng</t>
        </is>
      </c>
      <c r="P2099" t="inlineStr">
        <is>
          <t>mdu</t>
        </is>
      </c>
      <c r="Q2099" t="inlineStr">
        <is>
          <t>World social change</t>
        </is>
      </c>
      <c r="R2099" t="inlineStr">
        <is>
          <t xml:space="preserve">DS </t>
        </is>
      </c>
      <c r="S2099" t="n">
        <v>3</v>
      </c>
      <c r="T2099" t="n">
        <v>3</v>
      </c>
      <c r="U2099" t="inlineStr">
        <is>
          <t>2008-07-08</t>
        </is>
      </c>
      <c r="V2099" t="inlineStr">
        <is>
          <t>2008-07-08</t>
        </is>
      </c>
      <c r="W2099" t="inlineStr">
        <is>
          <t>2002-01-10</t>
        </is>
      </c>
      <c r="X2099" t="inlineStr">
        <is>
          <t>2002-01-10</t>
        </is>
      </c>
      <c r="Y2099" t="n">
        <v>307</v>
      </c>
      <c r="Z2099" t="n">
        <v>228</v>
      </c>
      <c r="AA2099" t="n">
        <v>235</v>
      </c>
      <c r="AB2099" t="n">
        <v>2</v>
      </c>
      <c r="AC2099" t="n">
        <v>2</v>
      </c>
      <c r="AD2099" t="n">
        <v>15</v>
      </c>
      <c r="AE2099" t="n">
        <v>15</v>
      </c>
      <c r="AF2099" t="n">
        <v>4</v>
      </c>
      <c r="AG2099" t="n">
        <v>4</v>
      </c>
      <c r="AH2099" t="n">
        <v>7</v>
      </c>
      <c r="AI2099" t="n">
        <v>7</v>
      </c>
      <c r="AJ2099" t="n">
        <v>8</v>
      </c>
      <c r="AK2099" t="n">
        <v>8</v>
      </c>
      <c r="AL2099" t="n">
        <v>1</v>
      </c>
      <c r="AM2099" t="n">
        <v>1</v>
      </c>
      <c r="AN2099" t="n">
        <v>0</v>
      </c>
      <c r="AO2099" t="n">
        <v>0</v>
      </c>
      <c r="AP2099" t="inlineStr">
        <is>
          <t>No</t>
        </is>
      </c>
      <c r="AQ2099" t="inlineStr">
        <is>
          <t>Yes</t>
        </is>
      </c>
      <c r="AR2099">
        <f>HYPERLINK("http://catalog.hathitrust.org/Record/004106619","HathiTrust Record")</f>
        <v/>
      </c>
      <c r="AS2099">
        <f>HYPERLINK("https://creighton-primo.hosted.exlibrisgroup.com/primo-explore/search?tab=default_tab&amp;search_scope=EVERYTHING&amp;vid=01CRU&amp;lang=en_US&amp;offset=0&amp;query=any,contains,991003696229702656","Catalog Record")</f>
        <v/>
      </c>
      <c r="AT2099">
        <f>HYPERLINK("http://www.worldcat.org/oclc/43063265","WorldCat Record")</f>
        <v/>
      </c>
      <c r="AU2099" t="inlineStr">
        <is>
          <t>837026069:eng</t>
        </is>
      </c>
      <c r="AV2099" t="inlineStr">
        <is>
          <t>43063265</t>
        </is>
      </c>
      <c r="AW2099" t="inlineStr">
        <is>
          <t>991003696229702656</t>
        </is>
      </c>
      <c r="AX2099" t="inlineStr">
        <is>
          <t>991003696229702656</t>
        </is>
      </c>
      <c r="AY2099" t="inlineStr">
        <is>
          <t>2261223050002656</t>
        </is>
      </c>
      <c r="AZ2099" t="inlineStr">
        <is>
          <t>BOOK</t>
        </is>
      </c>
      <c r="BB2099" t="inlineStr">
        <is>
          <t>9780847699384</t>
        </is>
      </c>
      <c r="BC2099" t="inlineStr">
        <is>
          <t>32285004447610</t>
        </is>
      </c>
      <c r="BD2099" t="inlineStr">
        <is>
          <t>893518773</t>
        </is>
      </c>
    </row>
    <row r="2100">
      <c r="A2100" t="inlineStr">
        <is>
          <t>No</t>
        </is>
      </c>
      <c r="B2100" t="inlineStr">
        <is>
          <t>DS777.54 .P44</t>
        </is>
      </c>
      <c r="C2100" t="inlineStr">
        <is>
          <t>0                      DS 0777540P  44</t>
        </is>
      </c>
      <c r="D2100" t="inlineStr">
        <is>
          <t>Civil War in China : the political struggle, 1945-1949 / by Suzanne Pepper.</t>
        </is>
      </c>
      <c r="F2100" t="inlineStr">
        <is>
          <t>No</t>
        </is>
      </c>
      <c r="G2100" t="inlineStr">
        <is>
          <t>1</t>
        </is>
      </c>
      <c r="H2100" t="inlineStr">
        <is>
          <t>No</t>
        </is>
      </c>
      <c r="I2100" t="inlineStr">
        <is>
          <t>No</t>
        </is>
      </c>
      <c r="J2100" t="inlineStr">
        <is>
          <t>0</t>
        </is>
      </c>
      <c r="K2100" t="inlineStr">
        <is>
          <t>Pepper, Suzanne.</t>
        </is>
      </c>
      <c r="L2100" t="inlineStr">
        <is>
          <t>Berkeley : University of California Press, c1978.</t>
        </is>
      </c>
      <c r="M2100" t="inlineStr">
        <is>
          <t>1978</t>
        </is>
      </c>
      <c r="O2100" t="inlineStr">
        <is>
          <t>eng</t>
        </is>
      </c>
      <c r="P2100" t="inlineStr">
        <is>
          <t>cau</t>
        </is>
      </c>
      <c r="R2100" t="inlineStr">
        <is>
          <t xml:space="preserve">DS </t>
        </is>
      </c>
      <c r="S2100" t="n">
        <v>4</v>
      </c>
      <c r="T2100" t="n">
        <v>4</v>
      </c>
      <c r="U2100" t="inlineStr">
        <is>
          <t>1998-11-21</t>
        </is>
      </c>
      <c r="V2100" t="inlineStr">
        <is>
          <t>1998-11-21</t>
        </is>
      </c>
      <c r="W2100" t="inlineStr">
        <is>
          <t>1992-04-01</t>
        </is>
      </c>
      <c r="X2100" t="inlineStr">
        <is>
          <t>1992-04-01</t>
        </is>
      </c>
      <c r="Y2100" t="n">
        <v>719</v>
      </c>
      <c r="Z2100" t="n">
        <v>582</v>
      </c>
      <c r="AA2100" t="n">
        <v>720</v>
      </c>
      <c r="AB2100" t="n">
        <v>5</v>
      </c>
      <c r="AC2100" t="n">
        <v>6</v>
      </c>
      <c r="AD2100" t="n">
        <v>30</v>
      </c>
      <c r="AE2100" t="n">
        <v>34</v>
      </c>
      <c r="AF2100" t="n">
        <v>12</v>
      </c>
      <c r="AG2100" t="n">
        <v>14</v>
      </c>
      <c r="AH2100" t="n">
        <v>7</v>
      </c>
      <c r="AI2100" t="n">
        <v>8</v>
      </c>
      <c r="AJ2100" t="n">
        <v>13</v>
      </c>
      <c r="AK2100" t="n">
        <v>15</v>
      </c>
      <c r="AL2100" t="n">
        <v>4</v>
      </c>
      <c r="AM2100" t="n">
        <v>5</v>
      </c>
      <c r="AN2100" t="n">
        <v>0</v>
      </c>
      <c r="AO2100" t="n">
        <v>0</v>
      </c>
      <c r="AP2100" t="inlineStr">
        <is>
          <t>No</t>
        </is>
      </c>
      <c r="AQ2100" t="inlineStr">
        <is>
          <t>No</t>
        </is>
      </c>
      <c r="AS2100">
        <f>HYPERLINK("https://creighton-primo.hosted.exlibrisgroup.com/primo-explore/search?tab=default_tab&amp;search_scope=EVERYTHING&amp;vid=01CRU&amp;lang=en_US&amp;offset=0&amp;query=any,contains,991004516669702656","Catalog Record")</f>
        <v/>
      </c>
      <c r="AT2100">
        <f>HYPERLINK("http://www.worldcat.org/oclc/3789561","WorldCat Record")</f>
        <v/>
      </c>
      <c r="AU2100" t="inlineStr">
        <is>
          <t>500780:eng</t>
        </is>
      </c>
      <c r="AV2100" t="inlineStr">
        <is>
          <t>3789561</t>
        </is>
      </c>
      <c r="AW2100" t="inlineStr">
        <is>
          <t>991004516669702656</t>
        </is>
      </c>
      <c r="AX2100" t="inlineStr">
        <is>
          <t>991004516669702656</t>
        </is>
      </c>
      <c r="AY2100" t="inlineStr">
        <is>
          <t>2262187630002656</t>
        </is>
      </c>
      <c r="AZ2100" t="inlineStr">
        <is>
          <t>BOOK</t>
        </is>
      </c>
      <c r="BB2100" t="inlineStr">
        <is>
          <t>9780520024403</t>
        </is>
      </c>
      <c r="BC2100" t="inlineStr">
        <is>
          <t>32285001050987</t>
        </is>
      </c>
      <c r="BD2100" t="inlineStr">
        <is>
          <t>893235598</t>
        </is>
      </c>
    </row>
    <row r="2101">
      <c r="A2101" t="inlineStr">
        <is>
          <t>No</t>
        </is>
      </c>
      <c r="B2101" t="inlineStr">
        <is>
          <t>DS777.55 .A6735</t>
        </is>
      </c>
      <c r="C2101" t="inlineStr">
        <is>
          <t>0                      DS 0777550A  6735</t>
        </is>
      </c>
      <c r="D2101" t="inlineStr">
        <is>
          <t>Chinese politics and the Cultural Revolution : dynamics of policy processes / Byung-joon Ahn.</t>
        </is>
      </c>
      <c r="F2101" t="inlineStr">
        <is>
          <t>No</t>
        </is>
      </c>
      <c r="G2101" t="inlineStr">
        <is>
          <t>1</t>
        </is>
      </c>
      <c r="H2101" t="inlineStr">
        <is>
          <t>No</t>
        </is>
      </c>
      <c r="I2101" t="inlineStr">
        <is>
          <t>No</t>
        </is>
      </c>
      <c r="J2101" t="inlineStr">
        <is>
          <t>0</t>
        </is>
      </c>
      <c r="K2101" t="inlineStr">
        <is>
          <t>An, Pyŏng-jun.</t>
        </is>
      </c>
      <c r="L2101" t="inlineStr">
        <is>
          <t>Seattle : University of Washington Press, c1976.</t>
        </is>
      </c>
      <c r="M2101" t="inlineStr">
        <is>
          <t>1976</t>
        </is>
      </c>
      <c r="O2101" t="inlineStr">
        <is>
          <t>eng</t>
        </is>
      </c>
      <c r="P2101" t="inlineStr">
        <is>
          <t>wau</t>
        </is>
      </c>
      <c r="Q2101" t="inlineStr">
        <is>
          <t>Publications on Asia of the Institute for Comparative and Foreign Area Studies ; no. 30</t>
        </is>
      </c>
      <c r="R2101" t="inlineStr">
        <is>
          <t xml:space="preserve">DS </t>
        </is>
      </c>
      <c r="S2101" t="n">
        <v>3</v>
      </c>
      <c r="T2101" t="n">
        <v>3</v>
      </c>
      <c r="U2101" t="inlineStr">
        <is>
          <t>1994-11-22</t>
        </is>
      </c>
      <c r="V2101" t="inlineStr">
        <is>
          <t>1994-11-22</t>
        </is>
      </c>
      <c r="W2101" t="inlineStr">
        <is>
          <t>1991-04-10</t>
        </is>
      </c>
      <c r="X2101" t="inlineStr">
        <is>
          <t>1991-04-10</t>
        </is>
      </c>
      <c r="Y2101" t="n">
        <v>482</v>
      </c>
      <c r="Z2101" t="n">
        <v>377</v>
      </c>
      <c r="AA2101" t="n">
        <v>380</v>
      </c>
      <c r="AB2101" t="n">
        <v>3</v>
      </c>
      <c r="AC2101" t="n">
        <v>3</v>
      </c>
      <c r="AD2101" t="n">
        <v>18</v>
      </c>
      <c r="AE2101" t="n">
        <v>19</v>
      </c>
      <c r="AF2101" t="n">
        <v>7</v>
      </c>
      <c r="AG2101" t="n">
        <v>7</v>
      </c>
      <c r="AH2101" t="n">
        <v>5</v>
      </c>
      <c r="AI2101" t="n">
        <v>6</v>
      </c>
      <c r="AJ2101" t="n">
        <v>8</v>
      </c>
      <c r="AK2101" t="n">
        <v>9</v>
      </c>
      <c r="AL2101" t="n">
        <v>2</v>
      </c>
      <c r="AM2101" t="n">
        <v>2</v>
      </c>
      <c r="AN2101" t="n">
        <v>1</v>
      </c>
      <c r="AO2101" t="n">
        <v>1</v>
      </c>
      <c r="AP2101" t="inlineStr">
        <is>
          <t>No</t>
        </is>
      </c>
      <c r="AQ2101" t="inlineStr">
        <is>
          <t>No</t>
        </is>
      </c>
      <c r="AS2101">
        <f>HYPERLINK("https://creighton-primo.hosted.exlibrisgroup.com/primo-explore/search?tab=default_tab&amp;search_scope=EVERYTHING&amp;vid=01CRU&amp;lang=en_US&amp;offset=0&amp;query=any,contains,991004195929702656","Catalog Record")</f>
        <v/>
      </c>
      <c r="AT2101">
        <f>HYPERLINK("http://www.worldcat.org/oclc/2644550","WorldCat Record")</f>
        <v/>
      </c>
      <c r="AU2101" t="inlineStr">
        <is>
          <t>917502994:eng</t>
        </is>
      </c>
      <c r="AV2101" t="inlineStr">
        <is>
          <t>2644550</t>
        </is>
      </c>
      <c r="AW2101" t="inlineStr">
        <is>
          <t>991004195929702656</t>
        </is>
      </c>
      <c r="AX2101" t="inlineStr">
        <is>
          <t>991004195929702656</t>
        </is>
      </c>
      <c r="AY2101" t="inlineStr">
        <is>
          <t>2255389060002656</t>
        </is>
      </c>
      <c r="AZ2101" t="inlineStr">
        <is>
          <t>BOOK</t>
        </is>
      </c>
      <c r="BB2101" t="inlineStr">
        <is>
          <t>9780295955155</t>
        </is>
      </c>
      <c r="BC2101" t="inlineStr">
        <is>
          <t>32285000580398</t>
        </is>
      </c>
      <c r="BD2101" t="inlineStr">
        <is>
          <t>893699969</t>
        </is>
      </c>
    </row>
    <row r="2102">
      <c r="A2102" t="inlineStr">
        <is>
          <t>No</t>
        </is>
      </c>
      <c r="B2102" t="inlineStr">
        <is>
          <t>DS777.55 .B715 1981</t>
        </is>
      </c>
      <c r="C2102" t="inlineStr">
        <is>
          <t>0                      DS 0777550B  715         1981</t>
        </is>
      </c>
      <c r="D2102" t="inlineStr">
        <is>
          <t>China, liberation and transformation, 1942-1962 / Bill Brugger.</t>
        </is>
      </c>
      <c r="F2102" t="inlineStr">
        <is>
          <t>No</t>
        </is>
      </c>
      <c r="G2102" t="inlineStr">
        <is>
          <t>1</t>
        </is>
      </c>
      <c r="H2102" t="inlineStr">
        <is>
          <t>No</t>
        </is>
      </c>
      <c r="I2102" t="inlineStr">
        <is>
          <t>No</t>
        </is>
      </c>
      <c r="J2102" t="inlineStr">
        <is>
          <t>0</t>
        </is>
      </c>
      <c r="K2102" t="inlineStr">
        <is>
          <t>Brugger, Bill.</t>
        </is>
      </c>
      <c r="L2102" t="inlineStr">
        <is>
          <t>London : Croom Helm ; Totowa, N.J. : Barnes &amp; Noble Books, c1981.</t>
        </is>
      </c>
      <c r="M2102" t="inlineStr">
        <is>
          <t>1981</t>
        </is>
      </c>
      <c r="O2102" t="inlineStr">
        <is>
          <t>eng</t>
        </is>
      </c>
      <c r="P2102" t="inlineStr">
        <is>
          <t>enk</t>
        </is>
      </c>
      <c r="R2102" t="inlineStr">
        <is>
          <t xml:space="preserve">DS </t>
        </is>
      </c>
      <c r="S2102" t="n">
        <v>3</v>
      </c>
      <c r="T2102" t="n">
        <v>3</v>
      </c>
      <c r="U2102" t="inlineStr">
        <is>
          <t>2006-04-25</t>
        </is>
      </c>
      <c r="V2102" t="inlineStr">
        <is>
          <t>2006-04-25</t>
        </is>
      </c>
      <c r="W2102" t="inlineStr">
        <is>
          <t>1990-10-19</t>
        </is>
      </c>
      <c r="X2102" t="inlineStr">
        <is>
          <t>1990-10-19</t>
        </is>
      </c>
      <c r="Y2102" t="n">
        <v>566</v>
      </c>
      <c r="Z2102" t="n">
        <v>413</v>
      </c>
      <c r="AA2102" t="n">
        <v>435</v>
      </c>
      <c r="AB2102" t="n">
        <v>4</v>
      </c>
      <c r="AC2102" t="n">
        <v>4</v>
      </c>
      <c r="AD2102" t="n">
        <v>22</v>
      </c>
      <c r="AE2102" t="n">
        <v>22</v>
      </c>
      <c r="AF2102" t="n">
        <v>8</v>
      </c>
      <c r="AG2102" t="n">
        <v>8</v>
      </c>
      <c r="AH2102" t="n">
        <v>8</v>
      </c>
      <c r="AI2102" t="n">
        <v>8</v>
      </c>
      <c r="AJ2102" t="n">
        <v>9</v>
      </c>
      <c r="AK2102" t="n">
        <v>9</v>
      </c>
      <c r="AL2102" t="n">
        <v>3</v>
      </c>
      <c r="AM2102" t="n">
        <v>3</v>
      </c>
      <c r="AN2102" t="n">
        <v>1</v>
      </c>
      <c r="AO2102" t="n">
        <v>1</v>
      </c>
      <c r="AP2102" t="inlineStr">
        <is>
          <t>No</t>
        </is>
      </c>
      <c r="AQ2102" t="inlineStr">
        <is>
          <t>Yes</t>
        </is>
      </c>
      <c r="AR2102">
        <f>HYPERLINK("http://catalog.hathitrust.org/Record/000731119","HathiTrust Record")</f>
        <v/>
      </c>
      <c r="AS2102">
        <f>HYPERLINK("https://creighton-primo.hosted.exlibrisgroup.com/primo-explore/search?tab=default_tab&amp;search_scope=EVERYTHING&amp;vid=01CRU&amp;lang=en_US&amp;offset=0&amp;query=any,contains,991005091219702656","Catalog Record")</f>
        <v/>
      </c>
      <c r="AT2102">
        <f>HYPERLINK("http://www.worldcat.org/oclc/7222858","WorldCat Record")</f>
        <v/>
      </c>
      <c r="AU2102" t="inlineStr">
        <is>
          <t>572869:eng</t>
        </is>
      </c>
      <c r="AV2102" t="inlineStr">
        <is>
          <t>7222858</t>
        </is>
      </c>
      <c r="AW2102" t="inlineStr">
        <is>
          <t>991005091219702656</t>
        </is>
      </c>
      <c r="AX2102" t="inlineStr">
        <is>
          <t>991005091219702656</t>
        </is>
      </c>
      <c r="AY2102" t="inlineStr">
        <is>
          <t>2266227680002656</t>
        </is>
      </c>
      <c r="AZ2102" t="inlineStr">
        <is>
          <t>BOOK</t>
        </is>
      </c>
      <c r="BB2102" t="inlineStr">
        <is>
          <t>9780389200864</t>
        </is>
      </c>
      <c r="BC2102" t="inlineStr">
        <is>
          <t>32285000338813</t>
        </is>
      </c>
      <c r="BD2102" t="inlineStr">
        <is>
          <t>893707235</t>
        </is>
      </c>
    </row>
    <row r="2103">
      <c r="A2103" t="inlineStr">
        <is>
          <t>No</t>
        </is>
      </c>
      <c r="B2103" t="inlineStr">
        <is>
          <t>DS777.55 .C334</t>
        </is>
      </c>
      <c r="C2103" t="inlineStr">
        <is>
          <t>0                      DS 0777550C  334</t>
        </is>
      </c>
      <c r="D2103" t="inlineStr">
        <is>
          <t>The new politics of Communist China; modernization process of a developing nation.</t>
        </is>
      </c>
      <c r="F2103" t="inlineStr">
        <is>
          <t>No</t>
        </is>
      </c>
      <c r="G2103" t="inlineStr">
        <is>
          <t>1</t>
        </is>
      </c>
      <c r="H2103" t="inlineStr">
        <is>
          <t>No</t>
        </is>
      </c>
      <c r="I2103" t="inlineStr">
        <is>
          <t>No</t>
        </is>
      </c>
      <c r="J2103" t="inlineStr">
        <is>
          <t>0</t>
        </is>
      </c>
      <c r="K2103" t="inlineStr">
        <is>
          <t>Chai, Winberg.</t>
        </is>
      </c>
      <c r="L2103" t="inlineStr">
        <is>
          <t>Pacific Palisades, Calif., Goodyear Pub. Co. [1972]</t>
        </is>
      </c>
      <c r="M2103" t="inlineStr">
        <is>
          <t>1972</t>
        </is>
      </c>
      <c r="O2103" t="inlineStr">
        <is>
          <t>eng</t>
        </is>
      </c>
      <c r="P2103" t="inlineStr">
        <is>
          <t>cau</t>
        </is>
      </c>
      <c r="R2103" t="inlineStr">
        <is>
          <t xml:space="preserve">DS </t>
        </is>
      </c>
      <c r="S2103" t="n">
        <v>1</v>
      </c>
      <c r="T2103" t="n">
        <v>1</v>
      </c>
      <c r="U2103" t="inlineStr">
        <is>
          <t>2005-12-07</t>
        </is>
      </c>
      <c r="V2103" t="inlineStr">
        <is>
          <t>2005-12-07</t>
        </is>
      </c>
      <c r="W2103" t="inlineStr">
        <is>
          <t>1997-03-13</t>
        </is>
      </c>
      <c r="X2103" t="inlineStr">
        <is>
          <t>1997-03-13</t>
        </is>
      </c>
      <c r="Y2103" t="n">
        <v>431</v>
      </c>
      <c r="Z2103" t="n">
        <v>349</v>
      </c>
      <c r="AA2103" t="n">
        <v>351</v>
      </c>
      <c r="AB2103" t="n">
        <v>3</v>
      </c>
      <c r="AC2103" t="n">
        <v>3</v>
      </c>
      <c r="AD2103" t="n">
        <v>16</v>
      </c>
      <c r="AE2103" t="n">
        <v>16</v>
      </c>
      <c r="AF2103" t="n">
        <v>5</v>
      </c>
      <c r="AG2103" t="n">
        <v>5</v>
      </c>
      <c r="AH2103" t="n">
        <v>4</v>
      </c>
      <c r="AI2103" t="n">
        <v>4</v>
      </c>
      <c r="AJ2103" t="n">
        <v>8</v>
      </c>
      <c r="AK2103" t="n">
        <v>8</v>
      </c>
      <c r="AL2103" t="n">
        <v>2</v>
      </c>
      <c r="AM2103" t="n">
        <v>2</v>
      </c>
      <c r="AN2103" t="n">
        <v>0</v>
      </c>
      <c r="AO2103" t="n">
        <v>0</v>
      </c>
      <c r="AP2103" t="inlineStr">
        <is>
          <t>No</t>
        </is>
      </c>
      <c r="AQ2103" t="inlineStr">
        <is>
          <t>Yes</t>
        </is>
      </c>
      <c r="AR2103">
        <f>HYPERLINK("http://catalog.hathitrust.org/Record/001267580","HathiTrust Record")</f>
        <v/>
      </c>
      <c r="AS2103">
        <f>HYPERLINK("https://creighton-primo.hosted.exlibrisgroup.com/primo-explore/search?tab=default_tab&amp;search_scope=EVERYTHING&amp;vid=01CRU&amp;lang=en_US&amp;offset=0&amp;query=any,contains,991003295949702656","Catalog Record")</f>
        <v/>
      </c>
      <c r="AT2103">
        <f>HYPERLINK("http://www.worldcat.org/oclc/818107","WorldCat Record")</f>
        <v/>
      </c>
      <c r="AU2103" t="inlineStr">
        <is>
          <t>1684411:eng</t>
        </is>
      </c>
      <c r="AV2103" t="inlineStr">
        <is>
          <t>818107</t>
        </is>
      </c>
      <c r="AW2103" t="inlineStr">
        <is>
          <t>991003295949702656</t>
        </is>
      </c>
      <c r="AX2103" t="inlineStr">
        <is>
          <t>991003295949702656</t>
        </is>
      </c>
      <c r="AY2103" t="inlineStr">
        <is>
          <t>2272198110002656</t>
        </is>
      </c>
      <c r="AZ2103" t="inlineStr">
        <is>
          <t>BOOK</t>
        </is>
      </c>
      <c r="BB2103" t="inlineStr">
        <is>
          <t>9780876206195</t>
        </is>
      </c>
      <c r="BC2103" t="inlineStr">
        <is>
          <t>32285002448131</t>
        </is>
      </c>
      <c r="BD2103" t="inlineStr">
        <is>
          <t>893787175</t>
        </is>
      </c>
    </row>
    <row r="2104">
      <c r="A2104" t="inlineStr">
        <is>
          <t>No</t>
        </is>
      </c>
      <c r="B2104" t="inlineStr">
        <is>
          <t>DS777.55 .C34</t>
        </is>
      </c>
      <c r="C2104" t="inlineStr">
        <is>
          <t>0                      DS 0777550C  34</t>
        </is>
      </c>
      <c r="D2104" t="inlineStr">
        <is>
          <t>Red China : an Asian view / by Sripati Chandra-sekhar.</t>
        </is>
      </c>
      <c r="F2104" t="inlineStr">
        <is>
          <t>No</t>
        </is>
      </c>
      <c r="G2104" t="inlineStr">
        <is>
          <t>1</t>
        </is>
      </c>
      <c r="H2104" t="inlineStr">
        <is>
          <t>No</t>
        </is>
      </c>
      <c r="I2104" t="inlineStr">
        <is>
          <t>No</t>
        </is>
      </c>
      <c r="J2104" t="inlineStr">
        <is>
          <t>0</t>
        </is>
      </c>
      <c r="K2104" t="inlineStr">
        <is>
          <t>Chandrasekhar, S. (Sripati), 1918-2001.</t>
        </is>
      </c>
      <c r="L2104" t="inlineStr">
        <is>
          <t>New York : Praeger, c1961.</t>
        </is>
      </c>
      <c r="M2104" t="inlineStr">
        <is>
          <t>1961</t>
        </is>
      </c>
      <c r="O2104" t="inlineStr">
        <is>
          <t>eng</t>
        </is>
      </c>
      <c r="P2104" t="inlineStr">
        <is>
          <t>nyu</t>
        </is>
      </c>
      <c r="Q2104" t="inlineStr">
        <is>
          <t>Praeger publications in Russian history and world communism ; no. 92</t>
        </is>
      </c>
      <c r="R2104" t="inlineStr">
        <is>
          <t xml:space="preserve">DS </t>
        </is>
      </c>
      <c r="S2104" t="n">
        <v>4</v>
      </c>
      <c r="T2104" t="n">
        <v>4</v>
      </c>
      <c r="U2104" t="inlineStr">
        <is>
          <t>1998-11-23</t>
        </is>
      </c>
      <c r="V2104" t="inlineStr">
        <is>
          <t>1998-11-23</t>
        </is>
      </c>
      <c r="W2104" t="inlineStr">
        <is>
          <t>1997-03-13</t>
        </is>
      </c>
      <c r="X2104" t="inlineStr">
        <is>
          <t>1997-03-13</t>
        </is>
      </c>
      <c r="Y2104" t="n">
        <v>591</v>
      </c>
      <c r="Z2104" t="n">
        <v>534</v>
      </c>
      <c r="AA2104" t="n">
        <v>628</v>
      </c>
      <c r="AB2104" t="n">
        <v>3</v>
      </c>
      <c r="AC2104" t="n">
        <v>3</v>
      </c>
      <c r="AD2104" t="n">
        <v>22</v>
      </c>
      <c r="AE2104" t="n">
        <v>24</v>
      </c>
      <c r="AF2104" t="n">
        <v>8</v>
      </c>
      <c r="AG2104" t="n">
        <v>9</v>
      </c>
      <c r="AH2104" t="n">
        <v>5</v>
      </c>
      <c r="AI2104" t="n">
        <v>6</v>
      </c>
      <c r="AJ2104" t="n">
        <v>12</v>
      </c>
      <c r="AK2104" t="n">
        <v>12</v>
      </c>
      <c r="AL2104" t="n">
        <v>2</v>
      </c>
      <c r="AM2104" t="n">
        <v>2</v>
      </c>
      <c r="AN2104" t="n">
        <v>0</v>
      </c>
      <c r="AO2104" t="n">
        <v>0</v>
      </c>
      <c r="AP2104" t="inlineStr">
        <is>
          <t>No</t>
        </is>
      </c>
      <c r="AQ2104" t="inlineStr">
        <is>
          <t>Yes</t>
        </is>
      </c>
      <c r="AR2104">
        <f>HYPERLINK("http://catalog.hathitrust.org/Record/001258280","HathiTrust Record")</f>
        <v/>
      </c>
      <c r="AS2104">
        <f>HYPERLINK("https://creighton-primo.hosted.exlibrisgroup.com/primo-explore/search?tab=default_tab&amp;search_scope=EVERYTHING&amp;vid=01CRU&amp;lang=en_US&amp;offset=0&amp;query=any,contains,991004537189702656","Catalog Record")</f>
        <v/>
      </c>
      <c r="AT2104">
        <f>HYPERLINK("http://www.worldcat.org/oclc/3873474","WorldCat Record")</f>
        <v/>
      </c>
      <c r="AU2104" t="inlineStr">
        <is>
          <t>309129285:eng</t>
        </is>
      </c>
      <c r="AV2104" t="inlineStr">
        <is>
          <t>3873474</t>
        </is>
      </c>
      <c r="AW2104" t="inlineStr">
        <is>
          <t>991004537189702656</t>
        </is>
      </c>
      <c r="AX2104" t="inlineStr">
        <is>
          <t>991004537189702656</t>
        </is>
      </c>
      <c r="AY2104" t="inlineStr">
        <is>
          <t>2270008940002656</t>
        </is>
      </c>
      <c r="AZ2104" t="inlineStr">
        <is>
          <t>BOOK</t>
        </is>
      </c>
      <c r="BC2104" t="inlineStr">
        <is>
          <t>32285002448149</t>
        </is>
      </c>
      <c r="BD2104" t="inlineStr">
        <is>
          <t>893235626</t>
        </is>
      </c>
    </row>
    <row r="2105">
      <c r="A2105" t="inlineStr">
        <is>
          <t>No</t>
        </is>
      </c>
      <c r="B2105" t="inlineStr">
        <is>
          <t>DS777.55 .C44635 1966aa</t>
        </is>
      </c>
      <c r="C2105" t="inlineStr">
        <is>
          <t>0                      DS 0777550C  44635       1966aa</t>
        </is>
      </c>
      <c r="D2105" t="inlineStr">
        <is>
          <t>Contemporary China; [papers] Edited by Ruth Adams.</t>
        </is>
      </c>
      <c r="F2105" t="inlineStr">
        <is>
          <t>No</t>
        </is>
      </c>
      <c r="G2105" t="inlineStr">
        <is>
          <t>1</t>
        </is>
      </c>
      <c r="H2105" t="inlineStr">
        <is>
          <t>No</t>
        </is>
      </c>
      <c r="I2105" t="inlineStr">
        <is>
          <t>No</t>
        </is>
      </c>
      <c r="J2105" t="inlineStr">
        <is>
          <t>0</t>
        </is>
      </c>
      <c r="K2105" t="inlineStr">
        <is>
          <t>Chicago China Conference (1966)</t>
        </is>
      </c>
      <c r="L2105" t="inlineStr">
        <is>
          <t>New York, Pantheon Books [1966]</t>
        </is>
      </c>
      <c r="M2105" t="inlineStr">
        <is>
          <t>1966</t>
        </is>
      </c>
      <c r="O2105" t="inlineStr">
        <is>
          <t>eng</t>
        </is>
      </c>
      <c r="P2105" t="inlineStr">
        <is>
          <t>nyu</t>
        </is>
      </c>
      <c r="R2105" t="inlineStr">
        <is>
          <t xml:space="preserve">DS </t>
        </is>
      </c>
      <c r="S2105" t="n">
        <v>1</v>
      </c>
      <c r="T2105" t="n">
        <v>1</v>
      </c>
      <c r="U2105" t="inlineStr">
        <is>
          <t>2002-11-05</t>
        </is>
      </c>
      <c r="V2105" t="inlineStr">
        <is>
          <t>2002-11-05</t>
        </is>
      </c>
      <c r="W2105" t="inlineStr">
        <is>
          <t>1997-03-13</t>
        </is>
      </c>
      <c r="X2105" t="inlineStr">
        <is>
          <t>1997-03-13</t>
        </is>
      </c>
      <c r="Y2105" t="n">
        <v>499</v>
      </c>
      <c r="Z2105" t="n">
        <v>440</v>
      </c>
      <c r="AA2105" t="n">
        <v>602</v>
      </c>
      <c r="AB2105" t="n">
        <v>4</v>
      </c>
      <c r="AC2105" t="n">
        <v>4</v>
      </c>
      <c r="AD2105" t="n">
        <v>19</v>
      </c>
      <c r="AE2105" t="n">
        <v>27</v>
      </c>
      <c r="AF2105" t="n">
        <v>4</v>
      </c>
      <c r="AG2105" t="n">
        <v>8</v>
      </c>
      <c r="AH2105" t="n">
        <v>3</v>
      </c>
      <c r="AI2105" t="n">
        <v>7</v>
      </c>
      <c r="AJ2105" t="n">
        <v>12</v>
      </c>
      <c r="AK2105" t="n">
        <v>15</v>
      </c>
      <c r="AL2105" t="n">
        <v>3</v>
      </c>
      <c r="AM2105" t="n">
        <v>3</v>
      </c>
      <c r="AN2105" t="n">
        <v>0</v>
      </c>
      <c r="AO2105" t="n">
        <v>0</v>
      </c>
      <c r="AP2105" t="inlineStr">
        <is>
          <t>No</t>
        </is>
      </c>
      <c r="AQ2105" t="inlineStr">
        <is>
          <t>Yes</t>
        </is>
      </c>
      <c r="AR2105">
        <f>HYPERLINK("http://catalog.hathitrust.org/Record/001258292","HathiTrust Record")</f>
        <v/>
      </c>
      <c r="AS2105">
        <f>HYPERLINK("https://creighton-primo.hosted.exlibrisgroup.com/primo-explore/search?tab=default_tab&amp;search_scope=EVERYTHING&amp;vid=01CRU&amp;lang=en_US&amp;offset=0&amp;query=any,contains,991003722889702656","Catalog Record")</f>
        <v/>
      </c>
      <c r="AT2105">
        <f>HYPERLINK("http://www.worldcat.org/oclc/1367263","WorldCat Record")</f>
        <v/>
      </c>
      <c r="AU2105" t="inlineStr">
        <is>
          <t>32908944:eng</t>
        </is>
      </c>
      <c r="AV2105" t="inlineStr">
        <is>
          <t>1367263</t>
        </is>
      </c>
      <c r="AW2105" t="inlineStr">
        <is>
          <t>991003722889702656</t>
        </is>
      </c>
      <c r="AX2105" t="inlineStr">
        <is>
          <t>991003722889702656</t>
        </is>
      </c>
      <c r="AY2105" t="inlineStr">
        <is>
          <t>2256842410002656</t>
        </is>
      </c>
      <c r="AZ2105" t="inlineStr">
        <is>
          <t>BOOK</t>
        </is>
      </c>
      <c r="BC2105" t="inlineStr">
        <is>
          <t>32285002448164</t>
        </is>
      </c>
      <c r="BD2105" t="inlineStr">
        <is>
          <t>893518806</t>
        </is>
      </c>
    </row>
    <row r="2106">
      <c r="A2106" t="inlineStr">
        <is>
          <t>No</t>
        </is>
      </c>
      <c r="B2106" t="inlineStr">
        <is>
          <t>DS777.55 .C446725 1972</t>
        </is>
      </c>
      <c r="C2106" t="inlineStr">
        <is>
          <t>0                      DS 0777550C  446725      1972</t>
        </is>
      </c>
      <c r="D2106" t="inlineStr">
        <is>
          <t>China. O. Edmund Clubb, advisory editor.</t>
        </is>
      </c>
      <c r="F2106" t="inlineStr">
        <is>
          <t>No</t>
        </is>
      </c>
      <c r="G2106" t="inlineStr">
        <is>
          <t>1</t>
        </is>
      </c>
      <c r="H2106" t="inlineStr">
        <is>
          <t>No</t>
        </is>
      </c>
      <c r="I2106" t="inlineStr">
        <is>
          <t>No</t>
        </is>
      </c>
      <c r="J2106" t="inlineStr">
        <is>
          <t>0</t>
        </is>
      </c>
      <c r="L2106" t="inlineStr">
        <is>
          <t>New York, New York times, 1972.</t>
        </is>
      </c>
      <c r="M2106" t="inlineStr">
        <is>
          <t>1972</t>
        </is>
      </c>
      <c r="O2106" t="inlineStr">
        <is>
          <t>eng</t>
        </is>
      </c>
      <c r="P2106" t="inlineStr">
        <is>
          <t>nyu</t>
        </is>
      </c>
      <c r="Q2106" t="inlineStr">
        <is>
          <t>The Great contemporary issues</t>
        </is>
      </c>
      <c r="R2106" t="inlineStr">
        <is>
          <t xml:space="preserve">DS </t>
        </is>
      </c>
      <c r="S2106" t="n">
        <v>2</v>
      </c>
      <c r="T2106" t="n">
        <v>2</v>
      </c>
      <c r="U2106" t="inlineStr">
        <is>
          <t>2004-11-05</t>
        </is>
      </c>
      <c r="V2106" t="inlineStr">
        <is>
          <t>2004-11-05</t>
        </is>
      </c>
      <c r="W2106" t="inlineStr">
        <is>
          <t>1991-09-26</t>
        </is>
      </c>
      <c r="X2106" t="inlineStr">
        <is>
          <t>1991-09-26</t>
        </is>
      </c>
      <c r="Y2106" t="n">
        <v>391</v>
      </c>
      <c r="Z2106" t="n">
        <v>350</v>
      </c>
      <c r="AA2106" t="n">
        <v>579</v>
      </c>
      <c r="AB2106" t="n">
        <v>1</v>
      </c>
      <c r="AC2106" t="n">
        <v>2</v>
      </c>
      <c r="AD2106" t="n">
        <v>7</v>
      </c>
      <c r="AE2106" t="n">
        <v>12</v>
      </c>
      <c r="AF2106" t="n">
        <v>4</v>
      </c>
      <c r="AG2106" t="n">
        <v>6</v>
      </c>
      <c r="AH2106" t="n">
        <v>2</v>
      </c>
      <c r="AI2106" t="n">
        <v>2</v>
      </c>
      <c r="AJ2106" t="n">
        <v>3</v>
      </c>
      <c r="AK2106" t="n">
        <v>6</v>
      </c>
      <c r="AL2106" t="n">
        <v>0</v>
      </c>
      <c r="AM2106" t="n">
        <v>1</v>
      </c>
      <c r="AN2106" t="n">
        <v>0</v>
      </c>
      <c r="AO2106" t="n">
        <v>0</v>
      </c>
      <c r="AP2106" t="inlineStr">
        <is>
          <t>No</t>
        </is>
      </c>
      <c r="AQ2106" t="inlineStr">
        <is>
          <t>Yes</t>
        </is>
      </c>
      <c r="AR2106">
        <f>HYPERLINK("http://catalog.hathitrust.org/Record/001871949","HathiTrust Record")</f>
        <v/>
      </c>
      <c r="AS2106">
        <f>HYPERLINK("https://creighton-primo.hosted.exlibrisgroup.com/primo-explore/search?tab=default_tab&amp;search_scope=EVERYTHING&amp;vid=01CRU&amp;lang=en_US&amp;offset=0&amp;query=any,contains,991003093789702656","Catalog Record")</f>
        <v/>
      </c>
      <c r="AT2106">
        <f>HYPERLINK("http://www.worldcat.org/oclc/644000","WorldCat Record")</f>
        <v/>
      </c>
      <c r="AU2106" t="inlineStr">
        <is>
          <t>184122847:eng</t>
        </is>
      </c>
      <c r="AV2106" t="inlineStr">
        <is>
          <t>644000</t>
        </is>
      </c>
      <c r="AW2106" t="inlineStr">
        <is>
          <t>991003093789702656</t>
        </is>
      </c>
      <c r="AX2106" t="inlineStr">
        <is>
          <t>991003093789702656</t>
        </is>
      </c>
      <c r="AY2106" t="inlineStr">
        <is>
          <t>2261047550002656</t>
        </is>
      </c>
      <c r="AZ2106" t="inlineStr">
        <is>
          <t>BOOK</t>
        </is>
      </c>
      <c r="BB2106" t="inlineStr">
        <is>
          <t>9780405041624</t>
        </is>
      </c>
      <c r="BC2106" t="inlineStr">
        <is>
          <t>32285000716075</t>
        </is>
      </c>
      <c r="BD2106" t="inlineStr">
        <is>
          <t>893799385</t>
        </is>
      </c>
    </row>
    <row r="2107">
      <c r="A2107" t="inlineStr">
        <is>
          <t>No</t>
        </is>
      </c>
      <c r="B2107" t="inlineStr">
        <is>
          <t>DS777.55 .C446729 1988</t>
        </is>
      </c>
      <c r="C2107" t="inlineStr">
        <is>
          <t>0                      DS 0777550C  446729      1988</t>
        </is>
      </c>
      <c r="D2107" t="inlineStr">
        <is>
          <t>China, a photohistory 1937-1987 / introduction by Jonathan D. Spence ; edited with commentaries by W.J.F. Jenner ; photographs by Eve Arnold ... [et al.] of Magnum.</t>
        </is>
      </c>
      <c r="F2107" t="inlineStr">
        <is>
          <t>No</t>
        </is>
      </c>
      <c r="G2107" t="inlineStr">
        <is>
          <t>1</t>
        </is>
      </c>
      <c r="H2107" t="inlineStr">
        <is>
          <t>No</t>
        </is>
      </c>
      <c r="I2107" t="inlineStr">
        <is>
          <t>No</t>
        </is>
      </c>
      <c r="J2107" t="inlineStr">
        <is>
          <t>0</t>
        </is>
      </c>
      <c r="L2107" t="inlineStr">
        <is>
          <t>New York : Pantheon Books, 1988.</t>
        </is>
      </c>
      <c r="M2107" t="inlineStr">
        <is>
          <t>1988</t>
        </is>
      </c>
      <c r="N2107" t="inlineStr">
        <is>
          <t>1st American ed.</t>
        </is>
      </c>
      <c r="O2107" t="inlineStr">
        <is>
          <t>eng</t>
        </is>
      </c>
      <c r="P2107" t="inlineStr">
        <is>
          <t>nyu</t>
        </is>
      </c>
      <c r="R2107" t="inlineStr">
        <is>
          <t xml:space="preserve">DS </t>
        </is>
      </c>
      <c r="S2107" t="n">
        <v>11</v>
      </c>
      <c r="T2107" t="n">
        <v>11</v>
      </c>
      <c r="U2107" t="inlineStr">
        <is>
          <t>2009-10-06</t>
        </is>
      </c>
      <c r="V2107" t="inlineStr">
        <is>
          <t>2009-10-06</t>
        </is>
      </c>
      <c r="W2107" t="inlineStr">
        <is>
          <t>1990-10-19</t>
        </is>
      </c>
      <c r="X2107" t="inlineStr">
        <is>
          <t>1990-10-19</t>
        </is>
      </c>
      <c r="Y2107" t="n">
        <v>315</v>
      </c>
      <c r="Z2107" t="n">
        <v>282</v>
      </c>
      <c r="AA2107" t="n">
        <v>284</v>
      </c>
      <c r="AB2107" t="n">
        <v>4</v>
      </c>
      <c r="AC2107" t="n">
        <v>4</v>
      </c>
      <c r="AD2107" t="n">
        <v>8</v>
      </c>
      <c r="AE2107" t="n">
        <v>8</v>
      </c>
      <c r="AF2107" t="n">
        <v>2</v>
      </c>
      <c r="AG2107" t="n">
        <v>2</v>
      </c>
      <c r="AH2107" t="n">
        <v>0</v>
      </c>
      <c r="AI2107" t="n">
        <v>0</v>
      </c>
      <c r="AJ2107" t="n">
        <v>4</v>
      </c>
      <c r="AK2107" t="n">
        <v>4</v>
      </c>
      <c r="AL2107" t="n">
        <v>3</v>
      </c>
      <c r="AM2107" t="n">
        <v>3</v>
      </c>
      <c r="AN2107" t="n">
        <v>0</v>
      </c>
      <c r="AO2107" t="n">
        <v>0</v>
      </c>
      <c r="AP2107" t="inlineStr">
        <is>
          <t>No</t>
        </is>
      </c>
      <c r="AQ2107" t="inlineStr">
        <is>
          <t>Yes</t>
        </is>
      </c>
      <c r="AR2107">
        <f>HYPERLINK("http://catalog.hathitrust.org/Record/007107719","HathiTrust Record")</f>
        <v/>
      </c>
      <c r="AS2107">
        <f>HYPERLINK("https://creighton-primo.hosted.exlibrisgroup.com/primo-explore/search?tab=default_tab&amp;search_scope=EVERYTHING&amp;vid=01CRU&amp;lang=en_US&amp;offset=0&amp;query=any,contains,991001277439702656","Catalog Record")</f>
        <v/>
      </c>
      <c r="AT2107">
        <f>HYPERLINK("http://www.worldcat.org/oclc/17877552","WorldCat Record")</f>
        <v/>
      </c>
      <c r="AU2107" t="inlineStr">
        <is>
          <t>365898591:eng</t>
        </is>
      </c>
      <c r="AV2107" t="inlineStr">
        <is>
          <t>17877552</t>
        </is>
      </c>
      <c r="AW2107" t="inlineStr">
        <is>
          <t>991001277439702656</t>
        </is>
      </c>
      <c r="AX2107" t="inlineStr">
        <is>
          <t>991001277439702656</t>
        </is>
      </c>
      <c r="AY2107" t="inlineStr">
        <is>
          <t>2266922160002656</t>
        </is>
      </c>
      <c r="AZ2107" t="inlineStr">
        <is>
          <t>BOOK</t>
        </is>
      </c>
      <c r="BB2107" t="inlineStr">
        <is>
          <t>9780394572819</t>
        </is>
      </c>
      <c r="BC2107" t="inlineStr">
        <is>
          <t>32285000338839</t>
        </is>
      </c>
      <c r="BD2107" t="inlineStr">
        <is>
          <t>893684214</t>
        </is>
      </c>
    </row>
    <row r="2108">
      <c r="A2108" t="inlineStr">
        <is>
          <t>No</t>
        </is>
      </c>
      <c r="B2108" t="inlineStr">
        <is>
          <t>DS777.55 .C44673</t>
        </is>
      </c>
      <c r="C2108" t="inlineStr">
        <is>
          <t>0                      DS 0777550C  44673</t>
        </is>
      </c>
      <c r="D2108" t="inlineStr">
        <is>
          <t>China after the cultural revolution : a selection from the Bulletin of the Atomic Scientists.</t>
        </is>
      </c>
      <c r="F2108" t="inlineStr">
        <is>
          <t>No</t>
        </is>
      </c>
      <c r="G2108" t="inlineStr">
        <is>
          <t>1</t>
        </is>
      </c>
      <c r="H2108" t="inlineStr">
        <is>
          <t>No</t>
        </is>
      </c>
      <c r="I2108" t="inlineStr">
        <is>
          <t>No</t>
        </is>
      </c>
      <c r="J2108" t="inlineStr">
        <is>
          <t>0</t>
        </is>
      </c>
      <c r="L2108" t="inlineStr">
        <is>
          <t>New York : Random House, [1970, c1969]</t>
        </is>
      </c>
      <c r="M2108" t="inlineStr">
        <is>
          <t>1970</t>
        </is>
      </c>
      <c r="O2108" t="inlineStr">
        <is>
          <t>eng</t>
        </is>
      </c>
      <c r="P2108" t="inlineStr">
        <is>
          <t>nyu</t>
        </is>
      </c>
      <c r="R2108" t="inlineStr">
        <is>
          <t xml:space="preserve">DS </t>
        </is>
      </c>
      <c r="S2108" t="n">
        <v>4</v>
      </c>
      <c r="T2108" t="n">
        <v>4</v>
      </c>
      <c r="U2108" t="inlineStr">
        <is>
          <t>1992-04-11</t>
        </is>
      </c>
      <c r="V2108" t="inlineStr">
        <is>
          <t>1992-04-11</t>
        </is>
      </c>
      <c r="W2108" t="inlineStr">
        <is>
          <t>1990-11-30</t>
        </is>
      </c>
      <c r="X2108" t="inlineStr">
        <is>
          <t>1990-11-30</t>
        </is>
      </c>
      <c r="Y2108" t="n">
        <v>509</v>
      </c>
      <c r="Z2108" t="n">
        <v>452</v>
      </c>
      <c r="AA2108" t="n">
        <v>504</v>
      </c>
      <c r="AB2108" t="n">
        <v>3</v>
      </c>
      <c r="AC2108" t="n">
        <v>3</v>
      </c>
      <c r="AD2108" t="n">
        <v>19</v>
      </c>
      <c r="AE2108" t="n">
        <v>19</v>
      </c>
      <c r="AF2108" t="n">
        <v>9</v>
      </c>
      <c r="AG2108" t="n">
        <v>9</v>
      </c>
      <c r="AH2108" t="n">
        <v>4</v>
      </c>
      <c r="AI2108" t="n">
        <v>4</v>
      </c>
      <c r="AJ2108" t="n">
        <v>10</v>
      </c>
      <c r="AK2108" t="n">
        <v>10</v>
      </c>
      <c r="AL2108" t="n">
        <v>2</v>
      </c>
      <c r="AM2108" t="n">
        <v>2</v>
      </c>
      <c r="AN2108" t="n">
        <v>0</v>
      </c>
      <c r="AO2108" t="n">
        <v>0</v>
      </c>
      <c r="AP2108" t="inlineStr">
        <is>
          <t>No</t>
        </is>
      </c>
      <c r="AQ2108" t="inlineStr">
        <is>
          <t>Yes</t>
        </is>
      </c>
      <c r="AR2108">
        <f>HYPERLINK("http://catalog.hathitrust.org/Record/001258295","HathiTrust Record")</f>
        <v/>
      </c>
      <c r="AS2108">
        <f>HYPERLINK("https://creighton-primo.hosted.exlibrisgroup.com/primo-explore/search?tab=default_tab&amp;search_scope=EVERYTHING&amp;vid=01CRU&amp;lang=en_US&amp;offset=0&amp;query=any,contains,991000140309702656","Catalog Record")</f>
        <v/>
      </c>
      <c r="AT2108">
        <f>HYPERLINK("http://www.worldcat.org/oclc/57595","WorldCat Record")</f>
        <v/>
      </c>
      <c r="AU2108" t="inlineStr">
        <is>
          <t>864937649:eng</t>
        </is>
      </c>
      <c r="AV2108" t="inlineStr">
        <is>
          <t>57595</t>
        </is>
      </c>
      <c r="AW2108" t="inlineStr">
        <is>
          <t>991000140309702656</t>
        </is>
      </c>
      <c r="AX2108" t="inlineStr">
        <is>
          <t>991000140309702656</t>
        </is>
      </c>
      <c r="AY2108" t="inlineStr">
        <is>
          <t>2261824170002656</t>
        </is>
      </c>
      <c r="AZ2108" t="inlineStr">
        <is>
          <t>BOOK</t>
        </is>
      </c>
      <c r="BC2108" t="inlineStr">
        <is>
          <t>32285000410158</t>
        </is>
      </c>
      <c r="BD2108" t="inlineStr">
        <is>
          <t>893431730</t>
        </is>
      </c>
    </row>
    <row r="2109">
      <c r="A2109" t="inlineStr">
        <is>
          <t>No</t>
        </is>
      </c>
      <c r="B2109" t="inlineStr">
        <is>
          <t>DS777.55 .C451</t>
        </is>
      </c>
      <c r="C2109" t="inlineStr">
        <is>
          <t>0                      DS 0777550C  451</t>
        </is>
      </c>
      <c r="D2109" t="inlineStr">
        <is>
          <t>China--the turning point / edited by Edwin J. Feulner, Jr.</t>
        </is>
      </c>
      <c r="F2109" t="inlineStr">
        <is>
          <t>No</t>
        </is>
      </c>
      <c r="G2109" t="inlineStr">
        <is>
          <t>1</t>
        </is>
      </c>
      <c r="H2109" t="inlineStr">
        <is>
          <t>No</t>
        </is>
      </c>
      <c r="I2109" t="inlineStr">
        <is>
          <t>No</t>
        </is>
      </c>
      <c r="J2109" t="inlineStr">
        <is>
          <t>0</t>
        </is>
      </c>
      <c r="L2109" t="inlineStr">
        <is>
          <t>Washington, D.C. : Council on American Affairs, [1976]</t>
        </is>
      </c>
      <c r="M2109" t="inlineStr">
        <is>
          <t>1976</t>
        </is>
      </c>
      <c r="O2109" t="inlineStr">
        <is>
          <t>eng</t>
        </is>
      </c>
      <c r="P2109" t="inlineStr">
        <is>
          <t>dcu</t>
        </is>
      </c>
      <c r="R2109" t="inlineStr">
        <is>
          <t xml:space="preserve">DS </t>
        </is>
      </c>
      <c r="S2109" t="n">
        <v>1</v>
      </c>
      <c r="T2109" t="n">
        <v>1</v>
      </c>
      <c r="U2109" t="inlineStr">
        <is>
          <t>2005-12-05</t>
        </is>
      </c>
      <c r="V2109" t="inlineStr">
        <is>
          <t>2005-12-05</t>
        </is>
      </c>
      <c r="W2109" t="inlineStr">
        <is>
          <t>1996-08-12</t>
        </is>
      </c>
      <c r="X2109" t="inlineStr">
        <is>
          <t>1996-08-12</t>
        </is>
      </c>
      <c r="Y2109" t="n">
        <v>176</v>
      </c>
      <c r="Z2109" t="n">
        <v>146</v>
      </c>
      <c r="AA2109" t="n">
        <v>148</v>
      </c>
      <c r="AB2109" t="n">
        <v>2</v>
      </c>
      <c r="AC2109" t="n">
        <v>2</v>
      </c>
      <c r="AD2109" t="n">
        <v>6</v>
      </c>
      <c r="AE2109" t="n">
        <v>6</v>
      </c>
      <c r="AF2109" t="n">
        <v>0</v>
      </c>
      <c r="AG2109" t="n">
        <v>0</v>
      </c>
      <c r="AH2109" t="n">
        <v>3</v>
      </c>
      <c r="AI2109" t="n">
        <v>3</v>
      </c>
      <c r="AJ2109" t="n">
        <v>3</v>
      </c>
      <c r="AK2109" t="n">
        <v>3</v>
      </c>
      <c r="AL2109" t="n">
        <v>1</v>
      </c>
      <c r="AM2109" t="n">
        <v>1</v>
      </c>
      <c r="AN2109" t="n">
        <v>0</v>
      </c>
      <c r="AO2109" t="n">
        <v>0</v>
      </c>
      <c r="AP2109" t="inlineStr">
        <is>
          <t>No</t>
        </is>
      </c>
      <c r="AQ2109" t="inlineStr">
        <is>
          <t>No</t>
        </is>
      </c>
      <c r="AS2109">
        <f>HYPERLINK("https://creighton-primo.hosted.exlibrisgroup.com/primo-explore/search?tab=default_tab&amp;search_scope=EVERYTHING&amp;vid=01CRU&amp;lang=en_US&amp;offset=0&amp;query=any,contains,991001209089702656","Catalog Record")</f>
        <v/>
      </c>
      <c r="AT2109">
        <f>HYPERLINK("http://www.worldcat.org/oclc/17381112","WorldCat Record")</f>
        <v/>
      </c>
      <c r="AU2109" t="inlineStr">
        <is>
          <t>423849790:eng</t>
        </is>
      </c>
      <c r="AV2109" t="inlineStr">
        <is>
          <t>17381112</t>
        </is>
      </c>
      <c r="AW2109" t="inlineStr">
        <is>
          <t>991001209089702656</t>
        </is>
      </c>
      <c r="AX2109" t="inlineStr">
        <is>
          <t>991001209089702656</t>
        </is>
      </c>
      <c r="AY2109" t="inlineStr">
        <is>
          <t>2256813650002656</t>
        </is>
      </c>
      <c r="AZ2109" t="inlineStr">
        <is>
          <t>BOOK</t>
        </is>
      </c>
      <c r="BC2109" t="inlineStr">
        <is>
          <t>32285005241830</t>
        </is>
      </c>
      <c r="BD2109" t="inlineStr">
        <is>
          <t>893250058</t>
        </is>
      </c>
    </row>
    <row r="2110">
      <c r="A2110" t="inlineStr">
        <is>
          <t>No</t>
        </is>
      </c>
      <c r="B2110" t="inlineStr">
        <is>
          <t>DS777.55 .C5</t>
        </is>
      </c>
      <c r="C2110" t="inlineStr">
        <is>
          <t>0                      DS 0777550C  5</t>
        </is>
      </c>
      <c r="D2110" t="inlineStr">
        <is>
          <t>In the presence of my enemies.</t>
        </is>
      </c>
      <c r="F2110" t="inlineStr">
        <is>
          <t>No</t>
        </is>
      </c>
      <c r="G2110" t="inlineStr">
        <is>
          <t>1</t>
        </is>
      </c>
      <c r="H2110" t="inlineStr">
        <is>
          <t>No</t>
        </is>
      </c>
      <c r="I2110" t="inlineStr">
        <is>
          <t>No</t>
        </is>
      </c>
      <c r="J2110" t="inlineStr">
        <is>
          <t>0</t>
        </is>
      </c>
      <c r="K2110" t="inlineStr">
        <is>
          <t>Clifford, John W., 1917-</t>
        </is>
      </c>
      <c r="L2110" t="inlineStr">
        <is>
          <t>New York, Norton [1963]</t>
        </is>
      </c>
      <c r="M2110" t="inlineStr">
        <is>
          <t>1963</t>
        </is>
      </c>
      <c r="O2110" t="inlineStr">
        <is>
          <t>eng</t>
        </is>
      </c>
      <c r="P2110" t="inlineStr">
        <is>
          <t>nyu</t>
        </is>
      </c>
      <c r="R2110" t="inlineStr">
        <is>
          <t xml:space="preserve">DS </t>
        </is>
      </c>
      <c r="S2110" t="n">
        <v>2</v>
      </c>
      <c r="T2110" t="n">
        <v>2</v>
      </c>
      <c r="U2110" t="inlineStr">
        <is>
          <t>2005-12-16</t>
        </is>
      </c>
      <c r="V2110" t="inlineStr">
        <is>
          <t>2005-12-16</t>
        </is>
      </c>
      <c r="W2110" t="inlineStr">
        <is>
          <t>1997-03-13</t>
        </is>
      </c>
      <c r="X2110" t="inlineStr">
        <is>
          <t>1997-03-13</t>
        </is>
      </c>
      <c r="Y2110" t="n">
        <v>390</v>
      </c>
      <c r="Z2110" t="n">
        <v>356</v>
      </c>
      <c r="AA2110" t="n">
        <v>363</v>
      </c>
      <c r="AB2110" t="n">
        <v>2</v>
      </c>
      <c r="AC2110" t="n">
        <v>2</v>
      </c>
      <c r="AD2110" t="n">
        <v>26</v>
      </c>
      <c r="AE2110" t="n">
        <v>26</v>
      </c>
      <c r="AF2110" t="n">
        <v>9</v>
      </c>
      <c r="AG2110" t="n">
        <v>9</v>
      </c>
      <c r="AH2110" t="n">
        <v>5</v>
      </c>
      <c r="AI2110" t="n">
        <v>5</v>
      </c>
      <c r="AJ2110" t="n">
        <v>23</v>
      </c>
      <c r="AK2110" t="n">
        <v>23</v>
      </c>
      <c r="AL2110" t="n">
        <v>0</v>
      </c>
      <c r="AM2110" t="n">
        <v>0</v>
      </c>
      <c r="AN2110" t="n">
        <v>0</v>
      </c>
      <c r="AO2110" t="n">
        <v>0</v>
      </c>
      <c r="AP2110" t="inlineStr">
        <is>
          <t>No</t>
        </is>
      </c>
      <c r="AQ2110" t="inlineStr">
        <is>
          <t>Yes</t>
        </is>
      </c>
      <c r="AR2110">
        <f>HYPERLINK("http://catalog.hathitrust.org/Record/001258312","HathiTrust Record")</f>
        <v/>
      </c>
      <c r="AS2110">
        <f>HYPERLINK("https://creighton-primo.hosted.exlibrisgroup.com/primo-explore/search?tab=default_tab&amp;search_scope=EVERYTHING&amp;vid=01CRU&amp;lang=en_US&amp;offset=0&amp;query=any,contains,991003567539702656","Catalog Record")</f>
        <v/>
      </c>
      <c r="AT2110">
        <f>HYPERLINK("http://www.worldcat.org/oclc/1141213","WorldCat Record")</f>
        <v/>
      </c>
      <c r="AU2110" t="inlineStr">
        <is>
          <t>2062711:eng</t>
        </is>
      </c>
      <c r="AV2110" t="inlineStr">
        <is>
          <t>1141213</t>
        </is>
      </c>
      <c r="AW2110" t="inlineStr">
        <is>
          <t>991003567539702656</t>
        </is>
      </c>
      <c r="AX2110" t="inlineStr">
        <is>
          <t>991003567539702656</t>
        </is>
      </c>
      <c r="AY2110" t="inlineStr">
        <is>
          <t>2264958620002656</t>
        </is>
      </c>
      <c r="AZ2110" t="inlineStr">
        <is>
          <t>BOOK</t>
        </is>
      </c>
      <c r="BC2110" t="inlineStr">
        <is>
          <t>32285002448214</t>
        </is>
      </c>
      <c r="BD2110" t="inlineStr">
        <is>
          <t>893445729</t>
        </is>
      </c>
    </row>
    <row r="2111">
      <c r="A2111" t="inlineStr">
        <is>
          <t>No</t>
        </is>
      </c>
      <c r="B2111" t="inlineStr">
        <is>
          <t>DS777.55 .D64313 1977</t>
        </is>
      </c>
      <c r="C2111" t="inlineStr">
        <is>
          <t>0                      DS 0777550D  64313       1977</t>
        </is>
      </c>
      <c r="D2111" t="inlineStr">
        <is>
          <t>China after the Cultural Revolution : politics between two party congresses / Jürgen Domes, with a contribution by Marie-Luise Näth ; translated from the German by Annette Berg and David Goodman.</t>
        </is>
      </c>
      <c r="F2111" t="inlineStr">
        <is>
          <t>No</t>
        </is>
      </c>
      <c r="G2111" t="inlineStr">
        <is>
          <t>1</t>
        </is>
      </c>
      <c r="H2111" t="inlineStr">
        <is>
          <t>No</t>
        </is>
      </c>
      <c r="I2111" t="inlineStr">
        <is>
          <t>No</t>
        </is>
      </c>
      <c r="J2111" t="inlineStr">
        <is>
          <t>0</t>
        </is>
      </c>
      <c r="K2111" t="inlineStr">
        <is>
          <t>Domes, Jürgen.</t>
        </is>
      </c>
      <c r="L2111" t="inlineStr">
        <is>
          <t>Berkeley : University of California Press, 1977.</t>
        </is>
      </c>
      <c r="M2111" t="inlineStr">
        <is>
          <t>1977</t>
        </is>
      </c>
      <c r="N2111" t="inlineStr">
        <is>
          <t>1st American ed.</t>
        </is>
      </c>
      <c r="O2111" t="inlineStr">
        <is>
          <t>eng</t>
        </is>
      </c>
      <c r="P2111" t="inlineStr">
        <is>
          <t>cau</t>
        </is>
      </c>
      <c r="R2111" t="inlineStr">
        <is>
          <t xml:space="preserve">DS </t>
        </is>
      </c>
      <c r="S2111" t="n">
        <v>3</v>
      </c>
      <c r="T2111" t="n">
        <v>3</v>
      </c>
      <c r="U2111" t="inlineStr">
        <is>
          <t>2007-04-09</t>
        </is>
      </c>
      <c r="V2111" t="inlineStr">
        <is>
          <t>2007-04-09</t>
        </is>
      </c>
      <c r="W2111" t="inlineStr">
        <is>
          <t>1992-03-25</t>
        </is>
      </c>
      <c r="X2111" t="inlineStr">
        <is>
          <t>1992-03-25</t>
        </is>
      </c>
      <c r="Y2111" t="n">
        <v>515</v>
      </c>
      <c r="Z2111" t="n">
        <v>459</v>
      </c>
      <c r="AA2111" t="n">
        <v>491</v>
      </c>
      <c r="AB2111" t="n">
        <v>6</v>
      </c>
      <c r="AC2111" t="n">
        <v>6</v>
      </c>
      <c r="AD2111" t="n">
        <v>31</v>
      </c>
      <c r="AE2111" t="n">
        <v>31</v>
      </c>
      <c r="AF2111" t="n">
        <v>13</v>
      </c>
      <c r="AG2111" t="n">
        <v>13</v>
      </c>
      <c r="AH2111" t="n">
        <v>6</v>
      </c>
      <c r="AI2111" t="n">
        <v>6</v>
      </c>
      <c r="AJ2111" t="n">
        <v>16</v>
      </c>
      <c r="AK2111" t="n">
        <v>16</v>
      </c>
      <c r="AL2111" t="n">
        <v>5</v>
      </c>
      <c r="AM2111" t="n">
        <v>5</v>
      </c>
      <c r="AN2111" t="n">
        <v>0</v>
      </c>
      <c r="AO2111" t="n">
        <v>0</v>
      </c>
      <c r="AP2111" t="inlineStr">
        <is>
          <t>No</t>
        </is>
      </c>
      <c r="AQ2111" t="inlineStr">
        <is>
          <t>No</t>
        </is>
      </c>
      <c r="AS2111">
        <f>HYPERLINK("https://creighton-primo.hosted.exlibrisgroup.com/primo-explore/search?tab=default_tab&amp;search_scope=EVERYTHING&amp;vid=01CRU&amp;lang=en_US&amp;offset=0&amp;query=any,contains,991004327029702656","Catalog Record")</f>
        <v/>
      </c>
      <c r="AT2111">
        <f>HYPERLINK("http://www.worldcat.org/oclc/3044138","WorldCat Record")</f>
        <v/>
      </c>
      <c r="AU2111" t="inlineStr">
        <is>
          <t>8020792:eng</t>
        </is>
      </c>
      <c r="AV2111" t="inlineStr">
        <is>
          <t>3044138</t>
        </is>
      </c>
      <c r="AW2111" t="inlineStr">
        <is>
          <t>991004327029702656</t>
        </is>
      </c>
      <c r="AX2111" t="inlineStr">
        <is>
          <t>991004327029702656</t>
        </is>
      </c>
      <c r="AY2111" t="inlineStr">
        <is>
          <t>2260497590002656</t>
        </is>
      </c>
      <c r="AZ2111" t="inlineStr">
        <is>
          <t>BOOK</t>
        </is>
      </c>
      <c r="BB2111" t="inlineStr">
        <is>
          <t>9780520030640</t>
        </is>
      </c>
      <c r="BC2111" t="inlineStr">
        <is>
          <t>32285001028033</t>
        </is>
      </c>
      <c r="BD2111" t="inlineStr">
        <is>
          <t>893229218</t>
        </is>
      </c>
    </row>
    <row r="2112">
      <c r="A2112" t="inlineStr">
        <is>
          <t>No</t>
        </is>
      </c>
      <c r="B2112" t="inlineStr">
        <is>
          <t>DS777.55 .D67</t>
        </is>
      </c>
      <c r="C2112" t="inlineStr">
        <is>
          <t>0                      DS 0777550D  67</t>
        </is>
      </c>
      <c r="D2112" t="inlineStr">
        <is>
          <t>The Sino-Japanese War, 1937-41 : from Marco Polo Bridge to Pearl Harbor.</t>
        </is>
      </c>
      <c r="F2112" t="inlineStr">
        <is>
          <t>No</t>
        </is>
      </c>
      <c r="G2112" t="inlineStr">
        <is>
          <t>1</t>
        </is>
      </c>
      <c r="H2112" t="inlineStr">
        <is>
          <t>No</t>
        </is>
      </c>
      <c r="I2112" t="inlineStr">
        <is>
          <t>No</t>
        </is>
      </c>
      <c r="J2112" t="inlineStr">
        <is>
          <t>0</t>
        </is>
      </c>
      <c r="K2112" t="inlineStr">
        <is>
          <t>Dorn, Frank.</t>
        </is>
      </c>
      <c r="L2112" t="inlineStr">
        <is>
          <t>New York : Macmillan, [1974]</t>
        </is>
      </c>
      <c r="M2112" t="inlineStr">
        <is>
          <t>1974</t>
        </is>
      </c>
      <c r="O2112" t="inlineStr">
        <is>
          <t>eng</t>
        </is>
      </c>
      <c r="P2112" t="inlineStr">
        <is>
          <t>nyu</t>
        </is>
      </c>
      <c r="R2112" t="inlineStr">
        <is>
          <t xml:space="preserve">DS </t>
        </is>
      </c>
      <c r="S2112" t="n">
        <v>7</v>
      </c>
      <c r="T2112" t="n">
        <v>7</v>
      </c>
      <c r="U2112" t="inlineStr">
        <is>
          <t>1994-12-06</t>
        </is>
      </c>
      <c r="V2112" t="inlineStr">
        <is>
          <t>1994-12-06</t>
        </is>
      </c>
      <c r="W2112" t="inlineStr">
        <is>
          <t>1992-05-12</t>
        </is>
      </c>
      <c r="X2112" t="inlineStr">
        <is>
          <t>1992-05-12</t>
        </is>
      </c>
      <c r="Y2112" t="n">
        <v>432</v>
      </c>
      <c r="Z2112" t="n">
        <v>391</v>
      </c>
      <c r="AA2112" t="n">
        <v>393</v>
      </c>
      <c r="AB2112" t="n">
        <v>3</v>
      </c>
      <c r="AC2112" t="n">
        <v>3</v>
      </c>
      <c r="AD2112" t="n">
        <v>11</v>
      </c>
      <c r="AE2112" t="n">
        <v>11</v>
      </c>
      <c r="AF2112" t="n">
        <v>3</v>
      </c>
      <c r="AG2112" t="n">
        <v>3</v>
      </c>
      <c r="AH2112" t="n">
        <v>5</v>
      </c>
      <c r="AI2112" t="n">
        <v>5</v>
      </c>
      <c r="AJ2112" t="n">
        <v>5</v>
      </c>
      <c r="AK2112" t="n">
        <v>5</v>
      </c>
      <c r="AL2112" t="n">
        <v>1</v>
      </c>
      <c r="AM2112" t="n">
        <v>1</v>
      </c>
      <c r="AN2112" t="n">
        <v>0</v>
      </c>
      <c r="AO2112" t="n">
        <v>0</v>
      </c>
      <c r="AP2112" t="inlineStr">
        <is>
          <t>No</t>
        </is>
      </c>
      <c r="AQ2112" t="inlineStr">
        <is>
          <t>Yes</t>
        </is>
      </c>
      <c r="AR2112">
        <f>HYPERLINK("http://catalog.hathitrust.org/Record/000014988","HathiTrust Record")</f>
        <v/>
      </c>
      <c r="AS2112">
        <f>HYPERLINK("https://creighton-primo.hosted.exlibrisgroup.com/primo-explore/search?tab=default_tab&amp;search_scope=EVERYTHING&amp;vid=01CRU&amp;lang=en_US&amp;offset=0&amp;query=any,contains,991003396639702656","Catalog Record")</f>
        <v/>
      </c>
      <c r="AT2112">
        <f>HYPERLINK("http://www.worldcat.org/oclc/934774","WorldCat Record")</f>
        <v/>
      </c>
      <c r="AU2112" t="inlineStr">
        <is>
          <t>288367131:eng</t>
        </is>
      </c>
      <c r="AV2112" t="inlineStr">
        <is>
          <t>934774</t>
        </is>
      </c>
      <c r="AW2112" t="inlineStr">
        <is>
          <t>991003396639702656</t>
        </is>
      </c>
      <c r="AX2112" t="inlineStr">
        <is>
          <t>991003396639702656</t>
        </is>
      </c>
      <c r="AY2112" t="inlineStr">
        <is>
          <t>2271626500002656</t>
        </is>
      </c>
      <c r="AZ2112" t="inlineStr">
        <is>
          <t>BOOK</t>
        </is>
      </c>
      <c r="BB2112" t="inlineStr">
        <is>
          <t>9780025322004</t>
        </is>
      </c>
      <c r="BC2112" t="inlineStr">
        <is>
          <t>32285001107779</t>
        </is>
      </c>
      <c r="BD2112" t="inlineStr">
        <is>
          <t>893611009</t>
        </is>
      </c>
    </row>
    <row r="2113">
      <c r="A2113" t="inlineStr">
        <is>
          <t>No</t>
        </is>
      </c>
      <c r="B2113" t="inlineStr">
        <is>
          <t>DS777.55 .F33 1968</t>
        </is>
      </c>
      <c r="C2113" t="inlineStr">
        <is>
          <t>0                      DS 0777550F  33          1968</t>
        </is>
      </c>
      <c r="D2113" t="inlineStr">
        <is>
          <t>The Chinese cultural revolution : selected documents / edited and with notes by K. H. Fan.</t>
        </is>
      </c>
      <c r="F2113" t="inlineStr">
        <is>
          <t>No</t>
        </is>
      </c>
      <c r="G2113" t="inlineStr">
        <is>
          <t>1</t>
        </is>
      </c>
      <c r="H2113" t="inlineStr">
        <is>
          <t>No</t>
        </is>
      </c>
      <c r="I2113" t="inlineStr">
        <is>
          <t>No</t>
        </is>
      </c>
      <c r="J2113" t="inlineStr">
        <is>
          <t>0</t>
        </is>
      </c>
      <c r="K2113" t="inlineStr">
        <is>
          <t>Fan, Kuang Huan, 1932- compiler.</t>
        </is>
      </c>
      <c r="L2113" t="inlineStr">
        <is>
          <t>New York : Grove Press, [1968]</t>
        </is>
      </c>
      <c r="M2113" t="inlineStr">
        <is>
          <t>1968</t>
        </is>
      </c>
      <c r="O2113" t="inlineStr">
        <is>
          <t>eng</t>
        </is>
      </c>
      <c r="P2113" t="inlineStr">
        <is>
          <t>nyu</t>
        </is>
      </c>
      <c r="Q2113" t="inlineStr">
        <is>
          <t>Evergreen book ; E-459</t>
        </is>
      </c>
      <c r="R2113" t="inlineStr">
        <is>
          <t xml:space="preserve">DS </t>
        </is>
      </c>
      <c r="S2113" t="n">
        <v>6</v>
      </c>
      <c r="T2113" t="n">
        <v>6</v>
      </c>
      <c r="U2113" t="inlineStr">
        <is>
          <t>2002-10-29</t>
        </is>
      </c>
      <c r="V2113" t="inlineStr">
        <is>
          <t>2002-10-29</t>
        </is>
      </c>
      <c r="W2113" t="inlineStr">
        <is>
          <t>1991-04-10</t>
        </is>
      </c>
      <c r="X2113" t="inlineStr">
        <is>
          <t>1991-04-10</t>
        </is>
      </c>
      <c r="Y2113" t="n">
        <v>232</v>
      </c>
      <c r="Z2113" t="n">
        <v>204</v>
      </c>
      <c r="AA2113" t="n">
        <v>417</v>
      </c>
      <c r="AB2113" t="n">
        <v>1</v>
      </c>
      <c r="AC2113" t="n">
        <v>2</v>
      </c>
      <c r="AD2113" t="n">
        <v>8</v>
      </c>
      <c r="AE2113" t="n">
        <v>18</v>
      </c>
      <c r="AF2113" t="n">
        <v>4</v>
      </c>
      <c r="AG2113" t="n">
        <v>6</v>
      </c>
      <c r="AH2113" t="n">
        <v>1</v>
      </c>
      <c r="AI2113" t="n">
        <v>3</v>
      </c>
      <c r="AJ2113" t="n">
        <v>3</v>
      </c>
      <c r="AK2113" t="n">
        <v>9</v>
      </c>
      <c r="AL2113" t="n">
        <v>0</v>
      </c>
      <c r="AM2113" t="n">
        <v>1</v>
      </c>
      <c r="AN2113" t="n">
        <v>1</v>
      </c>
      <c r="AO2113" t="n">
        <v>1</v>
      </c>
      <c r="AP2113" t="inlineStr">
        <is>
          <t>No</t>
        </is>
      </c>
      <c r="AQ2113" t="inlineStr">
        <is>
          <t>No</t>
        </is>
      </c>
      <c r="AS2113">
        <f>HYPERLINK("https://creighton-primo.hosted.exlibrisgroup.com/primo-explore/search?tab=default_tab&amp;search_scope=EVERYTHING&amp;vid=01CRU&amp;lang=en_US&amp;offset=0&amp;query=any,contains,991002721109702656","Catalog Record")</f>
        <v/>
      </c>
      <c r="AT2113">
        <f>HYPERLINK("http://www.worldcat.org/oclc/412619","WorldCat Record")</f>
        <v/>
      </c>
      <c r="AU2113" t="inlineStr">
        <is>
          <t>1463002:eng</t>
        </is>
      </c>
      <c r="AV2113" t="inlineStr">
        <is>
          <t>412619</t>
        </is>
      </c>
      <c r="AW2113" t="inlineStr">
        <is>
          <t>991002721109702656</t>
        </is>
      </c>
      <c r="AX2113" t="inlineStr">
        <is>
          <t>991002721109702656</t>
        </is>
      </c>
      <c r="AY2113" t="inlineStr">
        <is>
          <t>2264396480002656</t>
        </is>
      </c>
      <c r="AZ2113" t="inlineStr">
        <is>
          <t>BOOK</t>
        </is>
      </c>
      <c r="BC2113" t="inlineStr">
        <is>
          <t>32285000580372</t>
        </is>
      </c>
      <c r="BD2113" t="inlineStr">
        <is>
          <t>893880311</t>
        </is>
      </c>
    </row>
    <row r="2114">
      <c r="A2114" t="inlineStr">
        <is>
          <t>No</t>
        </is>
      </c>
      <c r="B2114" t="inlineStr">
        <is>
          <t>DS777.55 .F333</t>
        </is>
      </c>
      <c r="C2114" t="inlineStr">
        <is>
          <t>0                      DS 0777550F  333</t>
        </is>
      </c>
      <c r="D2114" t="inlineStr">
        <is>
          <t>From the other side of the river : a self-portrait of China today / edited by K. H. Fan and K. T. Fan.</t>
        </is>
      </c>
      <c r="F2114" t="inlineStr">
        <is>
          <t>No</t>
        </is>
      </c>
      <c r="G2114" t="inlineStr">
        <is>
          <t>1</t>
        </is>
      </c>
      <c r="H2114" t="inlineStr">
        <is>
          <t>No</t>
        </is>
      </c>
      <c r="I2114" t="inlineStr">
        <is>
          <t>No</t>
        </is>
      </c>
      <c r="J2114" t="inlineStr">
        <is>
          <t>0</t>
        </is>
      </c>
      <c r="K2114" t="inlineStr">
        <is>
          <t>Fan, Kuang Huan, 1932- compiler.</t>
        </is>
      </c>
      <c r="L2114" t="inlineStr">
        <is>
          <t>Garden City, N.Y. : Anchor Press, 1975.</t>
        </is>
      </c>
      <c r="M2114" t="inlineStr">
        <is>
          <t>1975</t>
        </is>
      </c>
      <c r="N2114" t="inlineStr">
        <is>
          <t>1st ed.</t>
        </is>
      </c>
      <c r="O2114" t="inlineStr">
        <is>
          <t>eng</t>
        </is>
      </c>
      <c r="P2114" t="inlineStr">
        <is>
          <t>nyu</t>
        </is>
      </c>
      <c r="R2114" t="inlineStr">
        <is>
          <t xml:space="preserve">DS </t>
        </is>
      </c>
      <c r="S2114" t="n">
        <v>2</v>
      </c>
      <c r="T2114" t="n">
        <v>2</v>
      </c>
      <c r="U2114" t="inlineStr">
        <is>
          <t>2002-10-29</t>
        </is>
      </c>
      <c r="V2114" t="inlineStr">
        <is>
          <t>2002-10-29</t>
        </is>
      </c>
      <c r="W2114" t="inlineStr">
        <is>
          <t>1992-11-25</t>
        </is>
      </c>
      <c r="X2114" t="inlineStr">
        <is>
          <t>1992-11-25</t>
        </is>
      </c>
      <c r="Y2114" t="n">
        <v>446</v>
      </c>
      <c r="Z2114" t="n">
        <v>398</v>
      </c>
      <c r="AA2114" t="n">
        <v>400</v>
      </c>
      <c r="AB2114" t="n">
        <v>2</v>
      </c>
      <c r="AC2114" t="n">
        <v>2</v>
      </c>
      <c r="AD2114" t="n">
        <v>6</v>
      </c>
      <c r="AE2114" t="n">
        <v>6</v>
      </c>
      <c r="AF2114" t="n">
        <v>1</v>
      </c>
      <c r="AG2114" t="n">
        <v>1</v>
      </c>
      <c r="AH2114" t="n">
        <v>2</v>
      </c>
      <c r="AI2114" t="n">
        <v>2</v>
      </c>
      <c r="AJ2114" t="n">
        <v>4</v>
      </c>
      <c r="AK2114" t="n">
        <v>4</v>
      </c>
      <c r="AL2114" t="n">
        <v>1</v>
      </c>
      <c r="AM2114" t="n">
        <v>1</v>
      </c>
      <c r="AN2114" t="n">
        <v>0</v>
      </c>
      <c r="AO2114" t="n">
        <v>0</v>
      </c>
      <c r="AP2114" t="inlineStr">
        <is>
          <t>No</t>
        </is>
      </c>
      <c r="AQ2114" t="inlineStr">
        <is>
          <t>Yes</t>
        </is>
      </c>
      <c r="AR2114">
        <f>HYPERLINK("http://catalog.hathitrust.org/Record/000041657","HathiTrust Record")</f>
        <v/>
      </c>
      <c r="AS2114">
        <f>HYPERLINK("https://creighton-primo.hosted.exlibrisgroup.com/primo-explore/search?tab=default_tab&amp;search_scope=EVERYTHING&amp;vid=01CRU&amp;lang=en_US&amp;offset=0&amp;query=any,contains,991003596679702656","Catalog Record")</f>
        <v/>
      </c>
      <c r="AT2114">
        <f>HYPERLINK("http://www.worldcat.org/oclc/1175824","WorldCat Record")</f>
        <v/>
      </c>
      <c r="AU2114" t="inlineStr">
        <is>
          <t>104077755:eng</t>
        </is>
      </c>
      <c r="AV2114" t="inlineStr">
        <is>
          <t>1175824</t>
        </is>
      </c>
      <c r="AW2114" t="inlineStr">
        <is>
          <t>991003596679702656</t>
        </is>
      </c>
      <c r="AX2114" t="inlineStr">
        <is>
          <t>991003596679702656</t>
        </is>
      </c>
      <c r="AY2114" t="inlineStr">
        <is>
          <t>2271897240002656</t>
        </is>
      </c>
      <c r="AZ2114" t="inlineStr">
        <is>
          <t>BOOK</t>
        </is>
      </c>
      <c r="BB2114" t="inlineStr">
        <is>
          <t>9780385037433</t>
        </is>
      </c>
      <c r="BC2114" t="inlineStr">
        <is>
          <t>32285001401529</t>
        </is>
      </c>
      <c r="BD2114" t="inlineStr">
        <is>
          <t>893868604</t>
        </is>
      </c>
    </row>
    <row r="2115">
      <c r="A2115" t="inlineStr">
        <is>
          <t>No</t>
        </is>
      </c>
      <c r="B2115" t="inlineStr">
        <is>
          <t>DS777.55 .G684</t>
        </is>
      </c>
      <c r="C2115" t="inlineStr">
        <is>
          <t>0                      DS 0777550G  684</t>
        </is>
      </c>
      <c r="D2115" t="inlineStr">
        <is>
          <t>Chinese communism in crisis: Maoism and the Cultural Revolution [by] Jack Gray &amp; Patrick Cavendish.</t>
        </is>
      </c>
      <c r="F2115" t="inlineStr">
        <is>
          <t>No</t>
        </is>
      </c>
      <c r="G2115" t="inlineStr">
        <is>
          <t>1</t>
        </is>
      </c>
      <c r="H2115" t="inlineStr">
        <is>
          <t>No</t>
        </is>
      </c>
      <c r="I2115" t="inlineStr">
        <is>
          <t>No</t>
        </is>
      </c>
      <c r="J2115" t="inlineStr">
        <is>
          <t>0</t>
        </is>
      </c>
      <c r="K2115" t="inlineStr">
        <is>
          <t>Gray, Jack, 1926-</t>
        </is>
      </c>
      <c r="L2115" t="inlineStr">
        <is>
          <t>London, Pall Mall P., 1968.</t>
        </is>
      </c>
      <c r="M2115" t="inlineStr">
        <is>
          <t>1968</t>
        </is>
      </c>
      <c r="O2115" t="inlineStr">
        <is>
          <t>eng</t>
        </is>
      </c>
      <c r="P2115" t="inlineStr">
        <is>
          <t>enk</t>
        </is>
      </c>
      <c r="R2115" t="inlineStr">
        <is>
          <t xml:space="preserve">DS </t>
        </is>
      </c>
      <c r="S2115" t="n">
        <v>1</v>
      </c>
      <c r="T2115" t="n">
        <v>1</v>
      </c>
      <c r="U2115" t="inlineStr">
        <is>
          <t>2001-03-19</t>
        </is>
      </c>
      <c r="V2115" t="inlineStr">
        <is>
          <t>2001-03-19</t>
        </is>
      </c>
      <c r="W2115" t="inlineStr">
        <is>
          <t>1997-03-13</t>
        </is>
      </c>
      <c r="X2115" t="inlineStr">
        <is>
          <t>1997-03-13</t>
        </is>
      </c>
      <c r="Y2115" t="n">
        <v>173</v>
      </c>
      <c r="Z2115" t="n">
        <v>79</v>
      </c>
      <c r="AA2115" t="n">
        <v>664</v>
      </c>
      <c r="AB2115" t="n">
        <v>1</v>
      </c>
      <c r="AC2115" t="n">
        <v>6</v>
      </c>
      <c r="AD2115" t="n">
        <v>4</v>
      </c>
      <c r="AE2115" t="n">
        <v>31</v>
      </c>
      <c r="AF2115" t="n">
        <v>1</v>
      </c>
      <c r="AG2115" t="n">
        <v>12</v>
      </c>
      <c r="AH2115" t="n">
        <v>3</v>
      </c>
      <c r="AI2115" t="n">
        <v>7</v>
      </c>
      <c r="AJ2115" t="n">
        <v>1</v>
      </c>
      <c r="AK2115" t="n">
        <v>13</v>
      </c>
      <c r="AL2115" t="n">
        <v>0</v>
      </c>
      <c r="AM2115" t="n">
        <v>5</v>
      </c>
      <c r="AN2115" t="n">
        <v>0</v>
      </c>
      <c r="AO2115" t="n">
        <v>0</v>
      </c>
      <c r="AP2115" t="inlineStr">
        <is>
          <t>No</t>
        </is>
      </c>
      <c r="AQ2115" t="inlineStr">
        <is>
          <t>Yes</t>
        </is>
      </c>
      <c r="AR2115">
        <f>HYPERLINK("http://catalog.hathitrust.org/Record/007124652","HathiTrust Record")</f>
        <v/>
      </c>
      <c r="AS2115">
        <f>HYPERLINK("https://creighton-primo.hosted.exlibrisgroup.com/primo-explore/search?tab=default_tab&amp;search_scope=EVERYTHING&amp;vid=01CRU&amp;lang=en_US&amp;offset=0&amp;query=any,contains,991002817579702656","Catalog Record")</f>
        <v/>
      </c>
      <c r="AT2115">
        <f>HYPERLINK("http://www.worldcat.org/oclc/462245","WorldCat Record")</f>
        <v/>
      </c>
      <c r="AU2115" t="inlineStr">
        <is>
          <t>1503356:eng</t>
        </is>
      </c>
      <c r="AV2115" t="inlineStr">
        <is>
          <t>462245</t>
        </is>
      </c>
      <c r="AW2115" t="inlineStr">
        <is>
          <t>991002817579702656</t>
        </is>
      </c>
      <c r="AX2115" t="inlineStr">
        <is>
          <t>991002817579702656</t>
        </is>
      </c>
      <c r="AY2115" t="inlineStr">
        <is>
          <t>2261604180002656</t>
        </is>
      </c>
      <c r="AZ2115" t="inlineStr">
        <is>
          <t>BOOK</t>
        </is>
      </c>
      <c r="BB2115" t="inlineStr">
        <is>
          <t>9780269992964</t>
        </is>
      </c>
      <c r="BC2115" t="inlineStr">
        <is>
          <t>32285002448289</t>
        </is>
      </c>
      <c r="BD2115" t="inlineStr">
        <is>
          <t>893799059</t>
        </is>
      </c>
    </row>
    <row r="2116">
      <c r="A2116" t="inlineStr">
        <is>
          <t>No</t>
        </is>
      </c>
      <c r="B2116" t="inlineStr">
        <is>
          <t>DS777.55 .G686 1968</t>
        </is>
      </c>
      <c r="C2116" t="inlineStr">
        <is>
          <t>0                      DS 0777550G  686         1968</t>
        </is>
      </c>
      <c r="D2116" t="inlineStr">
        <is>
          <t>The Great cultural revolution in China / compiled and edited by the Asia Research Centre.</t>
        </is>
      </c>
      <c r="F2116" t="inlineStr">
        <is>
          <t>No</t>
        </is>
      </c>
      <c r="G2116" t="inlineStr">
        <is>
          <t>1</t>
        </is>
      </c>
      <c r="H2116" t="inlineStr">
        <is>
          <t>No</t>
        </is>
      </c>
      <c r="I2116" t="inlineStr">
        <is>
          <t>No</t>
        </is>
      </c>
      <c r="J2116" t="inlineStr">
        <is>
          <t>0</t>
        </is>
      </c>
      <c r="L2116" t="inlineStr">
        <is>
          <t>Rutland, Vt. : C. E. Tuttle Co., [1968]</t>
        </is>
      </c>
      <c r="M2116" t="inlineStr">
        <is>
          <t>1968</t>
        </is>
      </c>
      <c r="O2116" t="inlineStr">
        <is>
          <t>eng</t>
        </is>
      </c>
      <c r="P2116" t="inlineStr">
        <is>
          <t>vtu</t>
        </is>
      </c>
      <c r="R2116" t="inlineStr">
        <is>
          <t xml:space="preserve">DS </t>
        </is>
      </c>
      <c r="S2116" t="n">
        <v>2</v>
      </c>
      <c r="T2116" t="n">
        <v>2</v>
      </c>
      <c r="U2116" t="inlineStr">
        <is>
          <t>1992-04-11</t>
        </is>
      </c>
      <c r="V2116" t="inlineStr">
        <is>
          <t>1992-04-11</t>
        </is>
      </c>
      <c r="W2116" t="inlineStr">
        <is>
          <t>1990-11-30</t>
        </is>
      </c>
      <c r="X2116" t="inlineStr">
        <is>
          <t>1990-11-30</t>
        </is>
      </c>
      <c r="Y2116" t="n">
        <v>732</v>
      </c>
      <c r="Z2116" t="n">
        <v>636</v>
      </c>
      <c r="AA2116" t="n">
        <v>691</v>
      </c>
      <c r="AB2116" t="n">
        <v>3</v>
      </c>
      <c r="AC2116" t="n">
        <v>3</v>
      </c>
      <c r="AD2116" t="n">
        <v>25</v>
      </c>
      <c r="AE2116" t="n">
        <v>30</v>
      </c>
      <c r="AF2116" t="n">
        <v>12</v>
      </c>
      <c r="AG2116" t="n">
        <v>12</v>
      </c>
      <c r="AH2116" t="n">
        <v>5</v>
      </c>
      <c r="AI2116" t="n">
        <v>8</v>
      </c>
      <c r="AJ2116" t="n">
        <v>12</v>
      </c>
      <c r="AK2116" t="n">
        <v>15</v>
      </c>
      <c r="AL2116" t="n">
        <v>2</v>
      </c>
      <c r="AM2116" t="n">
        <v>2</v>
      </c>
      <c r="AN2116" t="n">
        <v>0</v>
      </c>
      <c r="AO2116" t="n">
        <v>0</v>
      </c>
      <c r="AP2116" t="inlineStr">
        <is>
          <t>No</t>
        </is>
      </c>
      <c r="AQ2116" t="inlineStr">
        <is>
          <t>Yes</t>
        </is>
      </c>
      <c r="AR2116">
        <f>HYPERLINK("http://catalog.hathitrust.org/Record/001258353","HathiTrust Record")</f>
        <v/>
      </c>
      <c r="AS2116">
        <f>HYPERLINK("https://creighton-primo.hosted.exlibrisgroup.com/primo-explore/search?tab=default_tab&amp;search_scope=EVERYTHING&amp;vid=01CRU&amp;lang=en_US&amp;offset=0&amp;query=any,contains,991002776069702656","Catalog Record")</f>
        <v/>
      </c>
      <c r="AT2116">
        <f>HYPERLINK("http://www.worldcat.org/oclc/438724","WorldCat Record")</f>
        <v/>
      </c>
      <c r="AU2116" t="inlineStr">
        <is>
          <t>53971721:eng</t>
        </is>
      </c>
      <c r="AV2116" t="inlineStr">
        <is>
          <t>438724</t>
        </is>
      </c>
      <c r="AW2116" t="inlineStr">
        <is>
          <t>991002776069702656</t>
        </is>
      </c>
      <c r="AX2116" t="inlineStr">
        <is>
          <t>991002776069702656</t>
        </is>
      </c>
      <c r="AY2116" t="inlineStr">
        <is>
          <t>2265355880002656</t>
        </is>
      </c>
      <c r="AZ2116" t="inlineStr">
        <is>
          <t>BOOK</t>
        </is>
      </c>
      <c r="BC2116" t="inlineStr">
        <is>
          <t>32285000410612</t>
        </is>
      </c>
      <c r="BD2116" t="inlineStr">
        <is>
          <t>893591761</t>
        </is>
      </c>
    </row>
    <row r="2117">
      <c r="A2117" t="inlineStr">
        <is>
          <t>No</t>
        </is>
      </c>
      <c r="B2117" t="inlineStr">
        <is>
          <t>DS777.55 .H5514 1973</t>
        </is>
      </c>
      <c r="C2117" t="inlineStr">
        <is>
          <t>0                      DS 0777550H  5514        1973</t>
        </is>
      </c>
      <c r="D2117" t="inlineStr">
        <is>
          <t>An introduction to Chinese politics / [by] Harold C. Hinton.</t>
        </is>
      </c>
      <c r="F2117" t="inlineStr">
        <is>
          <t>No</t>
        </is>
      </c>
      <c r="G2117" t="inlineStr">
        <is>
          <t>1</t>
        </is>
      </c>
      <c r="H2117" t="inlineStr">
        <is>
          <t>No</t>
        </is>
      </c>
      <c r="I2117" t="inlineStr">
        <is>
          <t>No</t>
        </is>
      </c>
      <c r="J2117" t="inlineStr">
        <is>
          <t>0</t>
        </is>
      </c>
      <c r="K2117" t="inlineStr">
        <is>
          <t>Hinton, Harold C.</t>
        </is>
      </c>
      <c r="L2117" t="inlineStr">
        <is>
          <t>New York : Praeger, [1973]</t>
        </is>
      </c>
      <c r="M2117" t="inlineStr">
        <is>
          <t>1973</t>
        </is>
      </c>
      <c r="O2117" t="inlineStr">
        <is>
          <t>eng</t>
        </is>
      </c>
      <c r="P2117" t="inlineStr">
        <is>
          <t>nyu</t>
        </is>
      </c>
      <c r="R2117" t="inlineStr">
        <is>
          <t xml:space="preserve">DS </t>
        </is>
      </c>
      <c r="S2117" t="n">
        <v>5</v>
      </c>
      <c r="T2117" t="n">
        <v>5</v>
      </c>
      <c r="U2117" t="inlineStr">
        <is>
          <t>2001-03-19</t>
        </is>
      </c>
      <c r="V2117" t="inlineStr">
        <is>
          <t>2001-03-19</t>
        </is>
      </c>
      <c r="W2117" t="inlineStr">
        <is>
          <t>1990-02-13</t>
        </is>
      </c>
      <c r="X2117" t="inlineStr">
        <is>
          <t>1990-02-13</t>
        </is>
      </c>
      <c r="Y2117" t="n">
        <v>669</v>
      </c>
      <c r="Z2117" t="n">
        <v>576</v>
      </c>
      <c r="AA2117" t="n">
        <v>713</v>
      </c>
      <c r="AB2117" t="n">
        <v>6</v>
      </c>
      <c r="AC2117" t="n">
        <v>6</v>
      </c>
      <c r="AD2117" t="n">
        <v>30</v>
      </c>
      <c r="AE2117" t="n">
        <v>32</v>
      </c>
      <c r="AF2117" t="n">
        <v>12</v>
      </c>
      <c r="AG2117" t="n">
        <v>12</v>
      </c>
      <c r="AH2117" t="n">
        <v>7</v>
      </c>
      <c r="AI2117" t="n">
        <v>8</v>
      </c>
      <c r="AJ2117" t="n">
        <v>13</v>
      </c>
      <c r="AK2117" t="n">
        <v>13</v>
      </c>
      <c r="AL2117" t="n">
        <v>5</v>
      </c>
      <c r="AM2117" t="n">
        <v>5</v>
      </c>
      <c r="AN2117" t="n">
        <v>0</v>
      </c>
      <c r="AO2117" t="n">
        <v>1</v>
      </c>
      <c r="AP2117" t="inlineStr">
        <is>
          <t>No</t>
        </is>
      </c>
      <c r="AQ2117" t="inlineStr">
        <is>
          <t>Yes</t>
        </is>
      </c>
      <c r="AR2117">
        <f>HYPERLINK("http://catalog.hathitrust.org/Record/001258369","HathiTrust Record")</f>
        <v/>
      </c>
      <c r="AS2117">
        <f>HYPERLINK("https://creighton-primo.hosted.exlibrisgroup.com/primo-explore/search?tab=default_tab&amp;search_scope=EVERYTHING&amp;vid=01CRU&amp;lang=en_US&amp;offset=0&amp;query=any,contains,991002970339702656","Catalog Record")</f>
        <v/>
      </c>
      <c r="AT2117">
        <f>HYPERLINK("http://www.worldcat.org/oclc/548245","WorldCat Record")</f>
        <v/>
      </c>
      <c r="AU2117" t="inlineStr">
        <is>
          <t>167252:eng</t>
        </is>
      </c>
      <c r="AV2117" t="inlineStr">
        <is>
          <t>548245</t>
        </is>
      </c>
      <c r="AW2117" t="inlineStr">
        <is>
          <t>991002970339702656</t>
        </is>
      </c>
      <c r="AX2117" t="inlineStr">
        <is>
          <t>991002970339702656</t>
        </is>
      </c>
      <c r="AY2117" t="inlineStr">
        <is>
          <t>2262719090002656</t>
        </is>
      </c>
      <c r="AZ2117" t="inlineStr">
        <is>
          <t>BOOK</t>
        </is>
      </c>
      <c r="BC2117" t="inlineStr">
        <is>
          <t>32285000050624</t>
        </is>
      </c>
      <c r="BD2117" t="inlineStr">
        <is>
          <t>893721737</t>
        </is>
      </c>
    </row>
    <row r="2118">
      <c r="A2118" t="inlineStr">
        <is>
          <t>No</t>
        </is>
      </c>
      <c r="B2118" t="inlineStr">
        <is>
          <t>DS777.55 .H85 1953a</t>
        </is>
      </c>
      <c r="C2118" t="inlineStr">
        <is>
          <t>0                      DS 0777550H  85          1953a</t>
        </is>
      </c>
      <c r="D2118" t="inlineStr">
        <is>
          <t>Window on China, by Raja Hutheesing.</t>
        </is>
      </c>
      <c r="F2118" t="inlineStr">
        <is>
          <t>No</t>
        </is>
      </c>
      <c r="G2118" t="inlineStr">
        <is>
          <t>1</t>
        </is>
      </c>
      <c r="H2118" t="inlineStr">
        <is>
          <t>No</t>
        </is>
      </c>
      <c r="I2118" t="inlineStr">
        <is>
          <t>No</t>
        </is>
      </c>
      <c r="J2118" t="inlineStr">
        <is>
          <t>0</t>
        </is>
      </c>
      <c r="K2118" t="inlineStr">
        <is>
          <t>Hutheesing, Raja.</t>
        </is>
      </c>
      <c r="L2118" t="inlineStr">
        <is>
          <t>London, D. Verschoyle [1953]</t>
        </is>
      </c>
      <c r="M2118" t="inlineStr">
        <is>
          <t>1953</t>
        </is>
      </c>
      <c r="O2118" t="inlineStr">
        <is>
          <t>eng</t>
        </is>
      </c>
      <c r="P2118" t="inlineStr">
        <is>
          <t>enk</t>
        </is>
      </c>
      <c r="R2118" t="inlineStr">
        <is>
          <t xml:space="preserve">DS </t>
        </is>
      </c>
      <c r="S2118" t="n">
        <v>1</v>
      </c>
      <c r="T2118" t="n">
        <v>1</v>
      </c>
      <c r="U2118" t="inlineStr">
        <is>
          <t>1992-11-02</t>
        </is>
      </c>
      <c r="V2118" t="inlineStr">
        <is>
          <t>1992-11-02</t>
        </is>
      </c>
      <c r="W2118" t="inlineStr">
        <is>
          <t>1990-10-19</t>
        </is>
      </c>
      <c r="X2118" t="inlineStr">
        <is>
          <t>1990-10-19</t>
        </is>
      </c>
      <c r="Y2118" t="n">
        <v>120</v>
      </c>
      <c r="Z2118" t="n">
        <v>80</v>
      </c>
      <c r="AA2118" t="n">
        <v>90</v>
      </c>
      <c r="AB2118" t="n">
        <v>2</v>
      </c>
      <c r="AC2118" t="n">
        <v>2</v>
      </c>
      <c r="AD2118" t="n">
        <v>6</v>
      </c>
      <c r="AE2118" t="n">
        <v>6</v>
      </c>
      <c r="AF2118" t="n">
        <v>1</v>
      </c>
      <c r="AG2118" t="n">
        <v>1</v>
      </c>
      <c r="AH2118" t="n">
        <v>3</v>
      </c>
      <c r="AI2118" t="n">
        <v>3</v>
      </c>
      <c r="AJ2118" t="n">
        <v>4</v>
      </c>
      <c r="AK2118" t="n">
        <v>4</v>
      </c>
      <c r="AL2118" t="n">
        <v>1</v>
      </c>
      <c r="AM2118" t="n">
        <v>1</v>
      </c>
      <c r="AN2118" t="n">
        <v>0</v>
      </c>
      <c r="AO2118" t="n">
        <v>0</v>
      </c>
      <c r="AP2118" t="inlineStr">
        <is>
          <t>No</t>
        </is>
      </c>
      <c r="AQ2118" t="inlineStr">
        <is>
          <t>Yes</t>
        </is>
      </c>
      <c r="AR2118">
        <f>HYPERLINK("http://catalog.hathitrust.org/Record/001258378","HathiTrust Record")</f>
        <v/>
      </c>
      <c r="AS2118">
        <f>HYPERLINK("https://creighton-primo.hosted.exlibrisgroup.com/primo-explore/search?tab=default_tab&amp;search_scope=EVERYTHING&amp;vid=01CRU&amp;lang=en_US&amp;offset=0&amp;query=any,contains,991004556199702656","Catalog Record")</f>
        <v/>
      </c>
      <c r="AT2118">
        <f>HYPERLINK("http://www.worldcat.org/oclc/3966673","WorldCat Record")</f>
        <v/>
      </c>
      <c r="AU2118" t="inlineStr">
        <is>
          <t>7272129:eng</t>
        </is>
      </c>
      <c r="AV2118" t="inlineStr">
        <is>
          <t>3966673</t>
        </is>
      </c>
      <c r="AW2118" t="inlineStr">
        <is>
          <t>991004556199702656</t>
        </is>
      </c>
      <c r="AX2118" t="inlineStr">
        <is>
          <t>991004556199702656</t>
        </is>
      </c>
      <c r="AY2118" t="inlineStr">
        <is>
          <t>2263819900002656</t>
        </is>
      </c>
      <c r="AZ2118" t="inlineStr">
        <is>
          <t>BOOK</t>
        </is>
      </c>
      <c r="BC2118" t="inlineStr">
        <is>
          <t>32285000338896</t>
        </is>
      </c>
      <c r="BD2118" t="inlineStr">
        <is>
          <t>893776155</t>
        </is>
      </c>
    </row>
    <row r="2119">
      <c r="A2119" t="inlineStr">
        <is>
          <t>No</t>
        </is>
      </c>
      <c r="B2119" t="inlineStr">
        <is>
          <t>DS777.55 .L39</t>
        </is>
      </c>
      <c r="C2119" t="inlineStr">
        <is>
          <t>0                      DS 0777550L  39</t>
        </is>
      </c>
      <c r="D2119" t="inlineStr">
        <is>
          <t>The politics of the Chinese cultural revolution : a case study / Hong Yung Lee.</t>
        </is>
      </c>
      <c r="F2119" t="inlineStr">
        <is>
          <t>No</t>
        </is>
      </c>
      <c r="G2119" t="inlineStr">
        <is>
          <t>1</t>
        </is>
      </c>
      <c r="H2119" t="inlineStr">
        <is>
          <t>No</t>
        </is>
      </c>
      <c r="I2119" t="inlineStr">
        <is>
          <t>No</t>
        </is>
      </c>
      <c r="J2119" t="inlineStr">
        <is>
          <t>0</t>
        </is>
      </c>
      <c r="K2119" t="inlineStr">
        <is>
          <t>Lee, Hong Yung, 1939-</t>
        </is>
      </c>
      <c r="L2119" t="inlineStr">
        <is>
          <t>Berkeley : University of California Press, c1978.</t>
        </is>
      </c>
      <c r="M2119" t="inlineStr">
        <is>
          <t>1978</t>
        </is>
      </c>
      <c r="O2119" t="inlineStr">
        <is>
          <t>eng</t>
        </is>
      </c>
      <c r="P2119" t="inlineStr">
        <is>
          <t>cau</t>
        </is>
      </c>
      <c r="R2119" t="inlineStr">
        <is>
          <t xml:space="preserve">DS </t>
        </is>
      </c>
      <c r="S2119" t="n">
        <v>5</v>
      </c>
      <c r="T2119" t="n">
        <v>5</v>
      </c>
      <c r="U2119" t="inlineStr">
        <is>
          <t>1999-12-15</t>
        </is>
      </c>
      <c r="V2119" t="inlineStr">
        <is>
          <t>1999-12-15</t>
        </is>
      </c>
      <c r="W2119" t="inlineStr">
        <is>
          <t>1997-03-13</t>
        </is>
      </c>
      <c r="X2119" t="inlineStr">
        <is>
          <t>1997-03-13</t>
        </is>
      </c>
      <c r="Y2119" t="n">
        <v>647</v>
      </c>
      <c r="Z2119" t="n">
        <v>508</v>
      </c>
      <c r="AA2119" t="n">
        <v>548</v>
      </c>
      <c r="AB2119" t="n">
        <v>4</v>
      </c>
      <c r="AC2119" t="n">
        <v>4</v>
      </c>
      <c r="AD2119" t="n">
        <v>25</v>
      </c>
      <c r="AE2119" t="n">
        <v>27</v>
      </c>
      <c r="AF2119" t="n">
        <v>7</v>
      </c>
      <c r="AG2119" t="n">
        <v>9</v>
      </c>
      <c r="AH2119" t="n">
        <v>8</v>
      </c>
      <c r="AI2119" t="n">
        <v>8</v>
      </c>
      <c r="AJ2119" t="n">
        <v>12</v>
      </c>
      <c r="AK2119" t="n">
        <v>13</v>
      </c>
      <c r="AL2119" t="n">
        <v>3</v>
      </c>
      <c r="AM2119" t="n">
        <v>3</v>
      </c>
      <c r="AN2119" t="n">
        <v>0</v>
      </c>
      <c r="AO2119" t="n">
        <v>0</v>
      </c>
      <c r="AP2119" t="inlineStr">
        <is>
          <t>No</t>
        </is>
      </c>
      <c r="AQ2119" t="inlineStr">
        <is>
          <t>No</t>
        </is>
      </c>
      <c r="AS2119">
        <f>HYPERLINK("https://creighton-primo.hosted.exlibrisgroup.com/primo-explore/search?tab=default_tab&amp;search_scope=EVERYTHING&amp;vid=01CRU&amp;lang=en_US&amp;offset=0&amp;query=any,contains,991004557329702656","Catalog Record")</f>
        <v/>
      </c>
      <c r="AT2119">
        <f>HYPERLINK("http://www.worldcat.org/oclc/3972837","WorldCat Record")</f>
        <v/>
      </c>
      <c r="AU2119" t="inlineStr">
        <is>
          <t>502129:eng</t>
        </is>
      </c>
      <c r="AV2119" t="inlineStr">
        <is>
          <t>3972837</t>
        </is>
      </c>
      <c r="AW2119" t="inlineStr">
        <is>
          <t>991004557329702656</t>
        </is>
      </c>
      <c r="AX2119" t="inlineStr">
        <is>
          <t>991004557329702656</t>
        </is>
      </c>
      <c r="AY2119" t="inlineStr">
        <is>
          <t>2265665030002656</t>
        </is>
      </c>
      <c r="AZ2119" t="inlineStr">
        <is>
          <t>BOOK</t>
        </is>
      </c>
      <c r="BB2119" t="inlineStr">
        <is>
          <t>9780520032972</t>
        </is>
      </c>
      <c r="BC2119" t="inlineStr">
        <is>
          <t>32285002448438</t>
        </is>
      </c>
      <c r="BD2119" t="inlineStr">
        <is>
          <t>893882609</t>
        </is>
      </c>
    </row>
    <row r="2120">
      <c r="A2120" t="inlineStr">
        <is>
          <t>No</t>
        </is>
      </c>
      <c r="B2120" t="inlineStr">
        <is>
          <t>DS777.55 .L457</t>
        </is>
      </c>
      <c r="C2120" t="inlineStr">
        <is>
          <t>0                      DS 0777550L  457</t>
        </is>
      </c>
      <c r="D2120" t="inlineStr">
        <is>
          <t>Revolutionary immortality; Mao Tse-tung and the Chinese cultural revolution.</t>
        </is>
      </c>
      <c r="F2120" t="inlineStr">
        <is>
          <t>No</t>
        </is>
      </c>
      <c r="G2120" t="inlineStr">
        <is>
          <t>1</t>
        </is>
      </c>
      <c r="H2120" t="inlineStr">
        <is>
          <t>No</t>
        </is>
      </c>
      <c r="I2120" t="inlineStr">
        <is>
          <t>No</t>
        </is>
      </c>
      <c r="J2120" t="inlineStr">
        <is>
          <t>0</t>
        </is>
      </c>
      <c r="K2120" t="inlineStr">
        <is>
          <t>Lifton, Robert Jay, 1926-</t>
        </is>
      </c>
      <c r="L2120" t="inlineStr">
        <is>
          <t>New York, Random House [1968]</t>
        </is>
      </c>
      <c r="M2120" t="inlineStr">
        <is>
          <t>1968</t>
        </is>
      </c>
      <c r="O2120" t="inlineStr">
        <is>
          <t>eng</t>
        </is>
      </c>
      <c r="P2120" t="inlineStr">
        <is>
          <t>nyu</t>
        </is>
      </c>
      <c r="R2120" t="inlineStr">
        <is>
          <t xml:space="preserve">DS </t>
        </is>
      </c>
      <c r="S2120" t="n">
        <v>2</v>
      </c>
      <c r="T2120" t="n">
        <v>2</v>
      </c>
      <c r="U2120" t="inlineStr">
        <is>
          <t>2001-11-15</t>
        </is>
      </c>
      <c r="V2120" t="inlineStr">
        <is>
          <t>2001-11-15</t>
        </is>
      </c>
      <c r="W2120" t="inlineStr">
        <is>
          <t>1997-03-13</t>
        </is>
      </c>
      <c r="X2120" t="inlineStr">
        <is>
          <t>1997-03-13</t>
        </is>
      </c>
      <c r="Y2120" t="n">
        <v>919</v>
      </c>
      <c r="Z2120" t="n">
        <v>825</v>
      </c>
      <c r="AA2120" t="n">
        <v>964</v>
      </c>
      <c r="AB2120" t="n">
        <v>7</v>
      </c>
      <c r="AC2120" t="n">
        <v>8</v>
      </c>
      <c r="AD2120" t="n">
        <v>36</v>
      </c>
      <c r="AE2120" t="n">
        <v>43</v>
      </c>
      <c r="AF2120" t="n">
        <v>14</v>
      </c>
      <c r="AG2120" t="n">
        <v>17</v>
      </c>
      <c r="AH2120" t="n">
        <v>8</v>
      </c>
      <c r="AI2120" t="n">
        <v>8</v>
      </c>
      <c r="AJ2120" t="n">
        <v>18</v>
      </c>
      <c r="AK2120" t="n">
        <v>22</v>
      </c>
      <c r="AL2120" t="n">
        <v>5</v>
      </c>
      <c r="AM2120" t="n">
        <v>6</v>
      </c>
      <c r="AN2120" t="n">
        <v>0</v>
      </c>
      <c r="AO2120" t="n">
        <v>0</v>
      </c>
      <c r="AP2120" t="inlineStr">
        <is>
          <t>No</t>
        </is>
      </c>
      <c r="AQ2120" t="inlineStr">
        <is>
          <t>Yes</t>
        </is>
      </c>
      <c r="AR2120">
        <f>HYPERLINK("http://catalog.hathitrust.org/Record/001258410","HathiTrust Record")</f>
        <v/>
      </c>
      <c r="AS2120">
        <f>HYPERLINK("https://creighton-primo.hosted.exlibrisgroup.com/primo-explore/search?tab=default_tab&amp;search_scope=EVERYTHING&amp;vid=01CRU&amp;lang=en_US&amp;offset=0&amp;query=any,contains,991002804259702656","Catalog Record")</f>
        <v/>
      </c>
      <c r="AT2120">
        <f>HYPERLINK("http://www.worldcat.org/oclc/448988","WorldCat Record")</f>
        <v/>
      </c>
      <c r="AU2120" t="inlineStr">
        <is>
          <t>1180830:eng</t>
        </is>
      </c>
      <c r="AV2120" t="inlineStr">
        <is>
          <t>448988</t>
        </is>
      </c>
      <c r="AW2120" t="inlineStr">
        <is>
          <t>991002804259702656</t>
        </is>
      </c>
      <c r="AX2120" t="inlineStr">
        <is>
          <t>991002804259702656</t>
        </is>
      </c>
      <c r="AY2120" t="inlineStr">
        <is>
          <t>2266703370002656</t>
        </is>
      </c>
      <c r="AZ2120" t="inlineStr">
        <is>
          <t>BOOK</t>
        </is>
      </c>
      <c r="BC2120" t="inlineStr">
        <is>
          <t>32285002448446</t>
        </is>
      </c>
      <c r="BD2120" t="inlineStr">
        <is>
          <t>893716934</t>
        </is>
      </c>
    </row>
    <row r="2121">
      <c r="A2121" t="inlineStr">
        <is>
          <t>No</t>
        </is>
      </c>
      <c r="B2121" t="inlineStr">
        <is>
          <t>DS777.55 .M2224 v.1</t>
        </is>
      </c>
      <c r="C2121" t="inlineStr">
        <is>
          <t>0                      DS 0777550M  2224                                                    v.1</t>
        </is>
      </c>
      <c r="D2121" t="inlineStr">
        <is>
          <t>Contradictions among the people, 1956-1957.</t>
        </is>
      </c>
      <c r="E2121" t="inlineStr">
        <is>
          <t>V.1</t>
        </is>
      </c>
      <c r="F2121" t="inlineStr">
        <is>
          <t>No</t>
        </is>
      </c>
      <c r="G2121" t="inlineStr">
        <is>
          <t>1</t>
        </is>
      </c>
      <c r="H2121" t="inlineStr">
        <is>
          <t>No</t>
        </is>
      </c>
      <c r="I2121" t="inlineStr">
        <is>
          <t>No</t>
        </is>
      </c>
      <c r="J2121" t="inlineStr">
        <is>
          <t>0</t>
        </is>
      </c>
      <c r="K2121" t="inlineStr">
        <is>
          <t>MacFarquhar, Roderick.</t>
        </is>
      </c>
      <c r="L2121" t="inlineStr">
        <is>
          <t>New York, Published for the Royal Institute of International Affairs, the East Asian Institute of Columbia University, and the Research Institute on Communist Affairs of Columbia University by Columbia University Press, 1974.</t>
        </is>
      </c>
      <c r="M2121" t="inlineStr">
        <is>
          <t>1974</t>
        </is>
      </c>
      <c r="O2121" t="inlineStr">
        <is>
          <t>eng</t>
        </is>
      </c>
      <c r="P2121" t="inlineStr">
        <is>
          <t>nyu</t>
        </is>
      </c>
      <c r="Q2121" t="inlineStr">
        <is>
          <t>His The origins of the cultural revolution, 1</t>
        </is>
      </c>
      <c r="R2121" t="inlineStr">
        <is>
          <t xml:space="preserve">DS </t>
        </is>
      </c>
      <c r="S2121" t="n">
        <v>3</v>
      </c>
      <c r="T2121" t="n">
        <v>3</v>
      </c>
      <c r="U2121" t="inlineStr">
        <is>
          <t>2001-11-24</t>
        </is>
      </c>
      <c r="V2121" t="inlineStr">
        <is>
          <t>2001-11-24</t>
        </is>
      </c>
      <c r="W2121" t="inlineStr">
        <is>
          <t>1997-03-13</t>
        </is>
      </c>
      <c r="X2121" t="inlineStr">
        <is>
          <t>1997-03-13</t>
        </is>
      </c>
      <c r="Y2121" t="n">
        <v>308</v>
      </c>
      <c r="Z2121" t="n">
        <v>291</v>
      </c>
      <c r="AA2121" t="n">
        <v>311</v>
      </c>
      <c r="AB2121" t="n">
        <v>1</v>
      </c>
      <c r="AC2121" t="n">
        <v>1</v>
      </c>
      <c r="AD2121" t="n">
        <v>11</v>
      </c>
      <c r="AE2121" t="n">
        <v>11</v>
      </c>
      <c r="AF2121" t="n">
        <v>5</v>
      </c>
      <c r="AG2121" t="n">
        <v>5</v>
      </c>
      <c r="AH2121" t="n">
        <v>2</v>
      </c>
      <c r="AI2121" t="n">
        <v>2</v>
      </c>
      <c r="AJ2121" t="n">
        <v>7</v>
      </c>
      <c r="AK2121" t="n">
        <v>7</v>
      </c>
      <c r="AL2121" t="n">
        <v>0</v>
      </c>
      <c r="AM2121" t="n">
        <v>0</v>
      </c>
      <c r="AN2121" t="n">
        <v>1</v>
      </c>
      <c r="AO2121" t="n">
        <v>1</v>
      </c>
      <c r="AP2121" t="inlineStr">
        <is>
          <t>No</t>
        </is>
      </c>
      <c r="AQ2121" t="inlineStr">
        <is>
          <t>No</t>
        </is>
      </c>
      <c r="AS2121">
        <f>HYPERLINK("https://creighton-primo.hosted.exlibrisgroup.com/primo-explore/search?tab=default_tab&amp;search_scope=EVERYTHING&amp;vid=01CRU&amp;lang=en_US&amp;offset=0&amp;query=any,contains,991003167769702656","Catalog Record")</f>
        <v/>
      </c>
      <c r="AT2121">
        <f>HYPERLINK("http://www.worldcat.org/oclc/704878","WorldCat Record")</f>
        <v/>
      </c>
      <c r="AU2121" t="inlineStr">
        <is>
          <t>8911379157:eng</t>
        </is>
      </c>
      <c r="AV2121" t="inlineStr">
        <is>
          <t>704878</t>
        </is>
      </c>
      <c r="AW2121" t="inlineStr">
        <is>
          <t>991003167769702656</t>
        </is>
      </c>
      <c r="AX2121" t="inlineStr">
        <is>
          <t>991003167769702656</t>
        </is>
      </c>
      <c r="AY2121" t="inlineStr">
        <is>
          <t>2259283630002656</t>
        </is>
      </c>
      <c r="AZ2121" t="inlineStr">
        <is>
          <t>BOOK</t>
        </is>
      </c>
      <c r="BB2121" t="inlineStr">
        <is>
          <t>9780231038416</t>
        </is>
      </c>
      <c r="BC2121" t="inlineStr">
        <is>
          <t>32285002448453</t>
        </is>
      </c>
      <c r="BD2121" t="inlineStr">
        <is>
          <t>893904266</t>
        </is>
      </c>
    </row>
    <row r="2122">
      <c r="A2122" t="inlineStr">
        <is>
          <t>No</t>
        </is>
      </c>
      <c r="B2122" t="inlineStr">
        <is>
          <t>DS777.55 .P423</t>
        </is>
      </c>
      <c r="C2122" t="inlineStr">
        <is>
          <t>0                      DS 0777550P  423</t>
        </is>
      </c>
      <c r="D2122" t="inlineStr">
        <is>
          <t>The People's Republic of China : a documentary history of revolutionary change / edited and with an introduction by Mark Selden, with Patti Eggleston.</t>
        </is>
      </c>
      <c r="F2122" t="inlineStr">
        <is>
          <t>No</t>
        </is>
      </c>
      <c r="G2122" t="inlineStr">
        <is>
          <t>1</t>
        </is>
      </c>
      <c r="H2122" t="inlineStr">
        <is>
          <t>No</t>
        </is>
      </c>
      <c r="I2122" t="inlineStr">
        <is>
          <t>No</t>
        </is>
      </c>
      <c r="J2122" t="inlineStr">
        <is>
          <t>0</t>
        </is>
      </c>
      <c r="L2122" t="inlineStr">
        <is>
          <t>New York : Monthly Review Press, c1979.</t>
        </is>
      </c>
      <c r="M2122" t="inlineStr">
        <is>
          <t>1979</t>
        </is>
      </c>
      <c r="O2122" t="inlineStr">
        <is>
          <t>eng</t>
        </is>
      </c>
      <c r="P2122" t="inlineStr">
        <is>
          <t>nyu</t>
        </is>
      </c>
      <c r="R2122" t="inlineStr">
        <is>
          <t xml:space="preserve">DS </t>
        </is>
      </c>
      <c r="S2122" t="n">
        <v>4</v>
      </c>
      <c r="T2122" t="n">
        <v>4</v>
      </c>
      <c r="U2122" t="inlineStr">
        <is>
          <t>1999-12-15</t>
        </is>
      </c>
      <c r="V2122" t="inlineStr">
        <is>
          <t>1999-12-15</t>
        </is>
      </c>
      <c r="W2122" t="inlineStr">
        <is>
          <t>1990-08-09</t>
        </is>
      </c>
      <c r="X2122" t="inlineStr">
        <is>
          <t>1990-08-09</t>
        </is>
      </c>
      <c r="Y2122" t="n">
        <v>617</v>
      </c>
      <c r="Z2122" t="n">
        <v>484</v>
      </c>
      <c r="AA2122" t="n">
        <v>491</v>
      </c>
      <c r="AB2122" t="n">
        <v>4</v>
      </c>
      <c r="AC2122" t="n">
        <v>4</v>
      </c>
      <c r="AD2122" t="n">
        <v>24</v>
      </c>
      <c r="AE2122" t="n">
        <v>24</v>
      </c>
      <c r="AF2122" t="n">
        <v>9</v>
      </c>
      <c r="AG2122" t="n">
        <v>9</v>
      </c>
      <c r="AH2122" t="n">
        <v>7</v>
      </c>
      <c r="AI2122" t="n">
        <v>7</v>
      </c>
      <c r="AJ2122" t="n">
        <v>11</v>
      </c>
      <c r="AK2122" t="n">
        <v>11</v>
      </c>
      <c r="AL2122" t="n">
        <v>3</v>
      </c>
      <c r="AM2122" t="n">
        <v>3</v>
      </c>
      <c r="AN2122" t="n">
        <v>1</v>
      </c>
      <c r="AO2122" t="n">
        <v>1</v>
      </c>
      <c r="AP2122" t="inlineStr">
        <is>
          <t>No</t>
        </is>
      </c>
      <c r="AQ2122" t="inlineStr">
        <is>
          <t>Yes</t>
        </is>
      </c>
      <c r="AR2122">
        <f>HYPERLINK("http://catalog.hathitrust.org/Record/000256104","HathiTrust Record")</f>
        <v/>
      </c>
      <c r="AS2122">
        <f>HYPERLINK("https://creighton-primo.hosted.exlibrisgroup.com/primo-explore/search?tab=default_tab&amp;search_scope=EVERYTHING&amp;vid=01CRU&amp;lang=en_US&amp;offset=0&amp;query=any,contains,991004654379702656","Catalog Record")</f>
        <v/>
      </c>
      <c r="AT2122">
        <f>HYPERLINK("http://www.worldcat.org/oclc/4494862","WorldCat Record")</f>
        <v/>
      </c>
      <c r="AU2122" t="inlineStr">
        <is>
          <t>3943876805:eng</t>
        </is>
      </c>
      <c r="AV2122" t="inlineStr">
        <is>
          <t>4494862</t>
        </is>
      </c>
      <c r="AW2122" t="inlineStr">
        <is>
          <t>991004654379702656</t>
        </is>
      </c>
      <c r="AX2122" t="inlineStr">
        <is>
          <t>991004654379702656</t>
        </is>
      </c>
      <c r="AY2122" t="inlineStr">
        <is>
          <t>2265302060002656</t>
        </is>
      </c>
      <c r="AZ2122" t="inlineStr">
        <is>
          <t>BOOK</t>
        </is>
      </c>
      <c r="BB2122" t="inlineStr">
        <is>
          <t>9780853454663</t>
        </is>
      </c>
      <c r="BC2122" t="inlineStr">
        <is>
          <t>32285000272764</t>
        </is>
      </c>
      <c r="BD2122" t="inlineStr">
        <is>
          <t>893788967</t>
        </is>
      </c>
    </row>
    <row r="2123">
      <c r="A2123" t="inlineStr">
        <is>
          <t>No</t>
        </is>
      </c>
      <c r="B2123" t="inlineStr">
        <is>
          <t>DS777.55 .R48</t>
        </is>
      </c>
      <c r="C2123" t="inlineStr">
        <is>
          <t>0                      DS 0777550R  48</t>
        </is>
      </c>
      <c r="D2123" t="inlineStr">
        <is>
          <t>Mao's way [by] Edward E. Rice.</t>
        </is>
      </c>
      <c r="F2123" t="inlineStr">
        <is>
          <t>No</t>
        </is>
      </c>
      <c r="G2123" t="inlineStr">
        <is>
          <t>1</t>
        </is>
      </c>
      <c r="H2123" t="inlineStr">
        <is>
          <t>No</t>
        </is>
      </c>
      <c r="I2123" t="inlineStr">
        <is>
          <t>No</t>
        </is>
      </c>
      <c r="J2123" t="inlineStr">
        <is>
          <t>0</t>
        </is>
      </c>
      <c r="K2123" t="inlineStr">
        <is>
          <t>Rice, Edward E. (Edward Earl), 1909-2006.</t>
        </is>
      </c>
      <c r="L2123" t="inlineStr">
        <is>
          <t>Berkeley, University of California Press [1972]</t>
        </is>
      </c>
      <c r="M2123" t="inlineStr">
        <is>
          <t>1972</t>
        </is>
      </c>
      <c r="O2123" t="inlineStr">
        <is>
          <t>eng</t>
        </is>
      </c>
      <c r="P2123" t="inlineStr">
        <is>
          <t>cau</t>
        </is>
      </c>
      <c r="R2123" t="inlineStr">
        <is>
          <t xml:space="preserve">DS </t>
        </is>
      </c>
      <c r="S2123" t="n">
        <v>4</v>
      </c>
      <c r="T2123" t="n">
        <v>4</v>
      </c>
      <c r="U2123" t="inlineStr">
        <is>
          <t>2001-11-15</t>
        </is>
      </c>
      <c r="V2123" t="inlineStr">
        <is>
          <t>2001-11-15</t>
        </is>
      </c>
      <c r="W2123" t="inlineStr">
        <is>
          <t>1993-01-13</t>
        </is>
      </c>
      <c r="X2123" t="inlineStr">
        <is>
          <t>1993-01-13</t>
        </is>
      </c>
      <c r="Y2123" t="n">
        <v>1097</v>
      </c>
      <c r="Z2123" t="n">
        <v>915</v>
      </c>
      <c r="AA2123" t="n">
        <v>986</v>
      </c>
      <c r="AB2123" t="n">
        <v>6</v>
      </c>
      <c r="AC2123" t="n">
        <v>6</v>
      </c>
      <c r="AD2123" t="n">
        <v>35</v>
      </c>
      <c r="AE2123" t="n">
        <v>36</v>
      </c>
      <c r="AF2123" t="n">
        <v>13</v>
      </c>
      <c r="AG2123" t="n">
        <v>14</v>
      </c>
      <c r="AH2123" t="n">
        <v>8</v>
      </c>
      <c r="AI2123" t="n">
        <v>8</v>
      </c>
      <c r="AJ2123" t="n">
        <v>18</v>
      </c>
      <c r="AK2123" t="n">
        <v>18</v>
      </c>
      <c r="AL2123" t="n">
        <v>5</v>
      </c>
      <c r="AM2123" t="n">
        <v>5</v>
      </c>
      <c r="AN2123" t="n">
        <v>0</v>
      </c>
      <c r="AO2123" t="n">
        <v>0</v>
      </c>
      <c r="AP2123" t="inlineStr">
        <is>
          <t>No</t>
        </is>
      </c>
      <c r="AQ2123" t="inlineStr">
        <is>
          <t>Yes</t>
        </is>
      </c>
      <c r="AR2123">
        <f>HYPERLINK("http://catalog.hathitrust.org/Record/001258438","HathiTrust Record")</f>
        <v/>
      </c>
      <c r="AS2123">
        <f>HYPERLINK("https://creighton-primo.hosted.exlibrisgroup.com/primo-explore/search?tab=default_tab&amp;search_scope=EVERYTHING&amp;vid=01CRU&amp;lang=en_US&amp;offset=0&amp;query=any,contains,991002896109702656","Catalog Record")</f>
        <v/>
      </c>
      <c r="AT2123">
        <f>HYPERLINK("http://www.worldcat.org/oclc/514381","WorldCat Record")</f>
        <v/>
      </c>
      <c r="AU2123" t="inlineStr">
        <is>
          <t>117865442:eng</t>
        </is>
      </c>
      <c r="AV2123" t="inlineStr">
        <is>
          <t>514381</t>
        </is>
      </c>
      <c r="AW2123" t="inlineStr">
        <is>
          <t>991002896109702656</t>
        </is>
      </c>
      <c r="AX2123" t="inlineStr">
        <is>
          <t>991002896109702656</t>
        </is>
      </c>
      <c r="AY2123" t="inlineStr">
        <is>
          <t>2261930870002656</t>
        </is>
      </c>
      <c r="AZ2123" t="inlineStr">
        <is>
          <t>BOOK</t>
        </is>
      </c>
      <c r="BB2123" t="inlineStr">
        <is>
          <t>9780520021990</t>
        </is>
      </c>
      <c r="BC2123" t="inlineStr">
        <is>
          <t>32285001488542</t>
        </is>
      </c>
      <c r="BD2123" t="inlineStr">
        <is>
          <t>893704654</t>
        </is>
      </c>
    </row>
    <row r="2124">
      <c r="A2124" t="inlineStr">
        <is>
          <t>No</t>
        </is>
      </c>
      <c r="B2124" t="inlineStr">
        <is>
          <t>DS777.55 .R565</t>
        </is>
      </c>
      <c r="C2124" t="inlineStr">
        <is>
          <t>0                      DS 0777550R  565</t>
        </is>
      </c>
      <c r="D2124" t="inlineStr">
        <is>
          <t>A memoir of China in revolution: from the Boxer Rebellion to the People's Republic.</t>
        </is>
      </c>
      <c r="F2124" t="inlineStr">
        <is>
          <t>No</t>
        </is>
      </c>
      <c r="G2124" t="inlineStr">
        <is>
          <t>1</t>
        </is>
      </c>
      <c r="H2124" t="inlineStr">
        <is>
          <t>No</t>
        </is>
      </c>
      <c r="I2124" t="inlineStr">
        <is>
          <t>No</t>
        </is>
      </c>
      <c r="J2124" t="inlineStr">
        <is>
          <t>0</t>
        </is>
      </c>
      <c r="K2124" t="inlineStr">
        <is>
          <t>Ronning, Chester, 1894-1984.</t>
        </is>
      </c>
      <c r="L2124" t="inlineStr">
        <is>
          <t>New York, Pantheon Books [1974]</t>
        </is>
      </c>
      <c r="M2124" t="inlineStr">
        <is>
          <t>1974</t>
        </is>
      </c>
      <c r="N2124" t="inlineStr">
        <is>
          <t>[1st ed.]</t>
        </is>
      </c>
      <c r="O2124" t="inlineStr">
        <is>
          <t>eng</t>
        </is>
      </c>
      <c r="P2124" t="inlineStr">
        <is>
          <t>nyu</t>
        </is>
      </c>
      <c r="R2124" t="inlineStr">
        <is>
          <t xml:space="preserve">DS </t>
        </is>
      </c>
      <c r="S2124" t="n">
        <v>1</v>
      </c>
      <c r="T2124" t="n">
        <v>1</v>
      </c>
      <c r="U2124" t="inlineStr">
        <is>
          <t>2005-02-18</t>
        </is>
      </c>
      <c r="V2124" t="inlineStr">
        <is>
          <t>2005-02-18</t>
        </is>
      </c>
      <c r="W2124" t="inlineStr">
        <is>
          <t>1997-03-13</t>
        </is>
      </c>
      <c r="X2124" t="inlineStr">
        <is>
          <t>1997-03-13</t>
        </is>
      </c>
      <c r="Y2124" t="n">
        <v>595</v>
      </c>
      <c r="Z2124" t="n">
        <v>495</v>
      </c>
      <c r="AA2124" t="n">
        <v>504</v>
      </c>
      <c r="AB2124" t="n">
        <v>3</v>
      </c>
      <c r="AC2124" t="n">
        <v>3</v>
      </c>
      <c r="AD2124" t="n">
        <v>19</v>
      </c>
      <c r="AE2124" t="n">
        <v>19</v>
      </c>
      <c r="AF2124" t="n">
        <v>5</v>
      </c>
      <c r="AG2124" t="n">
        <v>5</v>
      </c>
      <c r="AH2124" t="n">
        <v>7</v>
      </c>
      <c r="AI2124" t="n">
        <v>7</v>
      </c>
      <c r="AJ2124" t="n">
        <v>9</v>
      </c>
      <c r="AK2124" t="n">
        <v>9</v>
      </c>
      <c r="AL2124" t="n">
        <v>2</v>
      </c>
      <c r="AM2124" t="n">
        <v>2</v>
      </c>
      <c r="AN2124" t="n">
        <v>0</v>
      </c>
      <c r="AO2124" t="n">
        <v>0</v>
      </c>
      <c r="AP2124" t="inlineStr">
        <is>
          <t>No</t>
        </is>
      </c>
      <c r="AQ2124" t="inlineStr">
        <is>
          <t>Yes</t>
        </is>
      </c>
      <c r="AR2124">
        <f>HYPERLINK("http://catalog.hathitrust.org/Record/001258441","HathiTrust Record")</f>
        <v/>
      </c>
      <c r="AS2124">
        <f>HYPERLINK("https://creighton-primo.hosted.exlibrisgroup.com/primo-explore/search?tab=default_tab&amp;search_scope=EVERYTHING&amp;vid=01CRU&amp;lang=en_US&amp;offset=0&amp;query=any,contains,991003328089702656","Catalog Record")</f>
        <v/>
      </c>
      <c r="AT2124">
        <f>HYPERLINK("http://www.worldcat.org/oclc/858305","WorldCat Record")</f>
        <v/>
      </c>
      <c r="AU2124" t="inlineStr">
        <is>
          <t>1813196:eng</t>
        </is>
      </c>
      <c r="AV2124" t="inlineStr">
        <is>
          <t>858305</t>
        </is>
      </c>
      <c r="AW2124" t="inlineStr">
        <is>
          <t>991003328089702656</t>
        </is>
      </c>
      <c r="AX2124" t="inlineStr">
        <is>
          <t>991003328089702656</t>
        </is>
      </c>
      <c r="AY2124" t="inlineStr">
        <is>
          <t>2267062310002656</t>
        </is>
      </c>
      <c r="AZ2124" t="inlineStr">
        <is>
          <t>BOOK</t>
        </is>
      </c>
      <c r="BB2124" t="inlineStr">
        <is>
          <t>9780394472553</t>
        </is>
      </c>
      <c r="BC2124" t="inlineStr">
        <is>
          <t>32285002448503</t>
        </is>
      </c>
      <c r="BD2124" t="inlineStr">
        <is>
          <t>893899861</t>
        </is>
      </c>
    </row>
    <row r="2125">
      <c r="A2125" t="inlineStr">
        <is>
          <t>No</t>
        </is>
      </c>
      <c r="B2125" t="inlineStr">
        <is>
          <t>DS777.55 .S35 1968</t>
        </is>
      </c>
      <c r="C2125" t="inlineStr">
        <is>
          <t>0                      DS 0777550S  35          1968</t>
        </is>
      </c>
      <c r="D2125" t="inlineStr">
        <is>
          <t>Ideology and organization in Communist China [by] Franz Schurmann.</t>
        </is>
      </c>
      <c r="F2125" t="inlineStr">
        <is>
          <t>No</t>
        </is>
      </c>
      <c r="G2125" t="inlineStr">
        <is>
          <t>1</t>
        </is>
      </c>
      <c r="H2125" t="inlineStr">
        <is>
          <t>No</t>
        </is>
      </c>
      <c r="I2125" t="inlineStr">
        <is>
          <t>No</t>
        </is>
      </c>
      <c r="J2125" t="inlineStr">
        <is>
          <t>0</t>
        </is>
      </c>
      <c r="K2125" t="inlineStr">
        <is>
          <t>Schurmann, Franz, 1926-2010.</t>
        </is>
      </c>
      <c r="L2125" t="inlineStr">
        <is>
          <t>Berkeley, University of California Press, 1968.</t>
        </is>
      </c>
      <c r="M2125" t="inlineStr">
        <is>
          <t>1968</t>
        </is>
      </c>
      <c r="N2125" t="inlineStr">
        <is>
          <t>2d ed., enl.</t>
        </is>
      </c>
      <c r="O2125" t="inlineStr">
        <is>
          <t>eng</t>
        </is>
      </c>
      <c r="P2125" t="inlineStr">
        <is>
          <t>cau</t>
        </is>
      </c>
      <c r="R2125" t="inlineStr">
        <is>
          <t xml:space="preserve">DS </t>
        </is>
      </c>
      <c r="S2125" t="n">
        <v>1</v>
      </c>
      <c r="T2125" t="n">
        <v>1</v>
      </c>
      <c r="U2125" t="inlineStr">
        <is>
          <t>2001-11-26</t>
        </is>
      </c>
      <c r="V2125" t="inlineStr">
        <is>
          <t>2001-11-26</t>
        </is>
      </c>
      <c r="W2125" t="inlineStr">
        <is>
          <t>1997-03-13</t>
        </is>
      </c>
      <c r="X2125" t="inlineStr">
        <is>
          <t>1997-03-13</t>
        </is>
      </c>
      <c r="Y2125" t="n">
        <v>837</v>
      </c>
      <c r="Z2125" t="n">
        <v>671</v>
      </c>
      <c r="AA2125" t="n">
        <v>1148</v>
      </c>
      <c r="AB2125" t="n">
        <v>4</v>
      </c>
      <c r="AC2125" t="n">
        <v>8</v>
      </c>
      <c r="AD2125" t="n">
        <v>32</v>
      </c>
      <c r="AE2125" t="n">
        <v>54</v>
      </c>
      <c r="AF2125" t="n">
        <v>13</v>
      </c>
      <c r="AG2125" t="n">
        <v>23</v>
      </c>
      <c r="AH2125" t="n">
        <v>7</v>
      </c>
      <c r="AI2125" t="n">
        <v>10</v>
      </c>
      <c r="AJ2125" t="n">
        <v>18</v>
      </c>
      <c r="AK2125" t="n">
        <v>26</v>
      </c>
      <c r="AL2125" t="n">
        <v>3</v>
      </c>
      <c r="AM2125" t="n">
        <v>7</v>
      </c>
      <c r="AN2125" t="n">
        <v>0</v>
      </c>
      <c r="AO2125" t="n">
        <v>1</v>
      </c>
      <c r="AP2125" t="inlineStr">
        <is>
          <t>No</t>
        </is>
      </c>
      <c r="AQ2125" t="inlineStr">
        <is>
          <t>Yes</t>
        </is>
      </c>
      <c r="AR2125">
        <f>HYPERLINK("http://catalog.hathitrust.org/Record/001267607","HathiTrust Record")</f>
        <v/>
      </c>
      <c r="AS2125">
        <f>HYPERLINK("https://creighton-primo.hosted.exlibrisgroup.com/primo-explore/search?tab=default_tab&amp;search_scope=EVERYTHING&amp;vid=01CRU&amp;lang=en_US&amp;offset=0&amp;query=any,contains,991001027789702656","Catalog Record")</f>
        <v/>
      </c>
      <c r="AT2125">
        <f>HYPERLINK("http://www.worldcat.org/oclc/174950","WorldCat Record")</f>
        <v/>
      </c>
      <c r="AU2125" t="inlineStr">
        <is>
          <t>1307099:eng</t>
        </is>
      </c>
      <c r="AV2125" t="inlineStr">
        <is>
          <t>174950</t>
        </is>
      </c>
      <c r="AW2125" t="inlineStr">
        <is>
          <t>991001027789702656</t>
        </is>
      </c>
      <c r="AX2125" t="inlineStr">
        <is>
          <t>991001027789702656</t>
        </is>
      </c>
      <c r="AY2125" t="inlineStr">
        <is>
          <t>2266579100002656</t>
        </is>
      </c>
      <c r="AZ2125" t="inlineStr">
        <is>
          <t>BOOK</t>
        </is>
      </c>
      <c r="BC2125" t="inlineStr">
        <is>
          <t>32285002448529</t>
        </is>
      </c>
      <c r="BD2125" t="inlineStr">
        <is>
          <t>893708938</t>
        </is>
      </c>
    </row>
    <row r="2126">
      <c r="A2126" t="inlineStr">
        <is>
          <t>No</t>
        </is>
      </c>
      <c r="B2126" t="inlineStr">
        <is>
          <t>DS777.55 .S443</t>
        </is>
      </c>
      <c r="C2126" t="inlineStr">
        <is>
          <t>0                      DS 0777550S  443</t>
        </is>
      </c>
      <c r="D2126" t="inlineStr">
        <is>
          <t>Lost chance in China : the World War II despatches of John S. Service / edited by Joseph W. Esherick.</t>
        </is>
      </c>
      <c r="F2126" t="inlineStr">
        <is>
          <t>No</t>
        </is>
      </c>
      <c r="G2126" t="inlineStr">
        <is>
          <t>1</t>
        </is>
      </c>
      <c r="H2126" t="inlineStr">
        <is>
          <t>No</t>
        </is>
      </c>
      <c r="I2126" t="inlineStr">
        <is>
          <t>No</t>
        </is>
      </c>
      <c r="J2126" t="inlineStr">
        <is>
          <t>0</t>
        </is>
      </c>
      <c r="K2126" t="inlineStr">
        <is>
          <t>Service, John S. (John Stewart), 1909-1999.</t>
        </is>
      </c>
      <c r="L2126" t="inlineStr">
        <is>
          <t>New York : Random House, [1974]</t>
        </is>
      </c>
      <c r="M2126" t="inlineStr">
        <is>
          <t>1974</t>
        </is>
      </c>
      <c r="N2126" t="inlineStr">
        <is>
          <t>[1st ed.]</t>
        </is>
      </c>
      <c r="O2126" t="inlineStr">
        <is>
          <t>eng</t>
        </is>
      </c>
      <c r="P2126" t="inlineStr">
        <is>
          <t>nyu</t>
        </is>
      </c>
      <c r="R2126" t="inlineStr">
        <is>
          <t xml:space="preserve">DS </t>
        </is>
      </c>
      <c r="S2126" t="n">
        <v>3</v>
      </c>
      <c r="T2126" t="n">
        <v>3</v>
      </c>
      <c r="U2126" t="inlineStr">
        <is>
          <t>2004-11-05</t>
        </is>
      </c>
      <c r="V2126" t="inlineStr">
        <is>
          <t>2004-11-05</t>
        </is>
      </c>
      <c r="W2126" t="inlineStr">
        <is>
          <t>1990-07-12</t>
        </is>
      </c>
      <c r="X2126" t="inlineStr">
        <is>
          <t>1990-07-12</t>
        </is>
      </c>
      <c r="Y2126" t="n">
        <v>914</v>
      </c>
      <c r="Z2126" t="n">
        <v>825</v>
      </c>
      <c r="AA2126" t="n">
        <v>890</v>
      </c>
      <c r="AB2126" t="n">
        <v>7</v>
      </c>
      <c r="AC2126" t="n">
        <v>7</v>
      </c>
      <c r="AD2126" t="n">
        <v>29</v>
      </c>
      <c r="AE2126" t="n">
        <v>33</v>
      </c>
      <c r="AF2126" t="n">
        <v>10</v>
      </c>
      <c r="AG2126" t="n">
        <v>11</v>
      </c>
      <c r="AH2126" t="n">
        <v>6</v>
      </c>
      <c r="AI2126" t="n">
        <v>7</v>
      </c>
      <c r="AJ2126" t="n">
        <v>14</v>
      </c>
      <c r="AK2126" t="n">
        <v>17</v>
      </c>
      <c r="AL2126" t="n">
        <v>5</v>
      </c>
      <c r="AM2126" t="n">
        <v>5</v>
      </c>
      <c r="AN2126" t="n">
        <v>0</v>
      </c>
      <c r="AO2126" t="n">
        <v>0</v>
      </c>
      <c r="AP2126" t="inlineStr">
        <is>
          <t>No</t>
        </is>
      </c>
      <c r="AQ2126" t="inlineStr">
        <is>
          <t>Yes</t>
        </is>
      </c>
      <c r="AR2126">
        <f>HYPERLINK("http://catalog.hathitrust.org/Record/001258449","HathiTrust Record")</f>
        <v/>
      </c>
      <c r="AS2126">
        <f>HYPERLINK("https://creighton-primo.hosted.exlibrisgroup.com/primo-explore/search?tab=default_tab&amp;search_scope=EVERYTHING&amp;vid=01CRU&amp;lang=en_US&amp;offset=0&amp;query=any,contains,991003200369702656","Catalog Record")</f>
        <v/>
      </c>
      <c r="AT2126">
        <f>HYPERLINK("http://www.worldcat.org/oclc/724393","WorldCat Record")</f>
        <v/>
      </c>
      <c r="AU2126" t="inlineStr">
        <is>
          <t>1723479:eng</t>
        </is>
      </c>
      <c r="AV2126" t="inlineStr">
        <is>
          <t>724393</t>
        </is>
      </c>
      <c r="AW2126" t="inlineStr">
        <is>
          <t>991003200369702656</t>
        </is>
      </c>
      <c r="AX2126" t="inlineStr">
        <is>
          <t>991003200369702656</t>
        </is>
      </c>
      <c r="AY2126" t="inlineStr">
        <is>
          <t>2255002040002656</t>
        </is>
      </c>
      <c r="AZ2126" t="inlineStr">
        <is>
          <t>BOOK</t>
        </is>
      </c>
      <c r="BB2126" t="inlineStr">
        <is>
          <t>9780394484365</t>
        </is>
      </c>
      <c r="BC2126" t="inlineStr">
        <is>
          <t>32285000230390</t>
        </is>
      </c>
      <c r="BD2126" t="inlineStr">
        <is>
          <t>893904282</t>
        </is>
      </c>
    </row>
    <row r="2127">
      <c r="A2127" t="inlineStr">
        <is>
          <t>No</t>
        </is>
      </c>
      <c r="B2127" t="inlineStr">
        <is>
          <t>DS777.55 .S54 2001b</t>
        </is>
      </c>
      <c r="C2127" t="inlineStr">
        <is>
          <t>0                      DS 0777550S  54          2001b</t>
        </is>
      </c>
      <c r="D2127" t="inlineStr">
        <is>
          <t>China's dilemma : the Taiwan issue / Sheng Lijun.</t>
        </is>
      </c>
      <c r="F2127" t="inlineStr">
        <is>
          <t>No</t>
        </is>
      </c>
      <c r="G2127" t="inlineStr">
        <is>
          <t>1</t>
        </is>
      </c>
      <c r="H2127" t="inlineStr">
        <is>
          <t>No</t>
        </is>
      </c>
      <c r="I2127" t="inlineStr">
        <is>
          <t>No</t>
        </is>
      </c>
      <c r="J2127" t="inlineStr">
        <is>
          <t>0</t>
        </is>
      </c>
      <c r="K2127" t="inlineStr">
        <is>
          <t>Sheng, Lijun.</t>
        </is>
      </c>
      <c r="L2127" t="inlineStr">
        <is>
          <t>London ; New York : I.B. Tauris Publishers, 2001.</t>
        </is>
      </c>
      <c r="M2127" t="inlineStr">
        <is>
          <t>2001</t>
        </is>
      </c>
      <c r="O2127" t="inlineStr">
        <is>
          <t>eng</t>
        </is>
      </c>
      <c r="P2127" t="inlineStr">
        <is>
          <t>enk</t>
        </is>
      </c>
      <c r="R2127" t="inlineStr">
        <is>
          <t xml:space="preserve">DS </t>
        </is>
      </c>
      <c r="S2127" t="n">
        <v>2</v>
      </c>
      <c r="T2127" t="n">
        <v>2</v>
      </c>
      <c r="U2127" t="inlineStr">
        <is>
          <t>2003-10-16</t>
        </is>
      </c>
      <c r="V2127" t="inlineStr">
        <is>
          <t>2003-10-16</t>
        </is>
      </c>
      <c r="W2127" t="inlineStr">
        <is>
          <t>2003-10-16</t>
        </is>
      </c>
      <c r="X2127" t="inlineStr">
        <is>
          <t>2003-10-16</t>
        </is>
      </c>
      <c r="Y2127" t="n">
        <v>187</v>
      </c>
      <c r="Z2127" t="n">
        <v>155</v>
      </c>
      <c r="AA2127" t="n">
        <v>244</v>
      </c>
      <c r="AB2127" t="n">
        <v>2</v>
      </c>
      <c r="AC2127" t="n">
        <v>3</v>
      </c>
      <c r="AD2127" t="n">
        <v>10</v>
      </c>
      <c r="AE2127" t="n">
        <v>14</v>
      </c>
      <c r="AF2127" t="n">
        <v>4</v>
      </c>
      <c r="AG2127" t="n">
        <v>5</v>
      </c>
      <c r="AH2127" t="n">
        <v>3</v>
      </c>
      <c r="AI2127" t="n">
        <v>5</v>
      </c>
      <c r="AJ2127" t="n">
        <v>5</v>
      </c>
      <c r="AK2127" t="n">
        <v>6</v>
      </c>
      <c r="AL2127" t="n">
        <v>1</v>
      </c>
      <c r="AM2127" t="n">
        <v>2</v>
      </c>
      <c r="AN2127" t="n">
        <v>0</v>
      </c>
      <c r="AO2127" t="n">
        <v>0</v>
      </c>
      <c r="AP2127" t="inlineStr">
        <is>
          <t>No</t>
        </is>
      </c>
      <c r="AQ2127" t="inlineStr">
        <is>
          <t>No</t>
        </is>
      </c>
      <c r="AS2127">
        <f>HYPERLINK("https://creighton-primo.hosted.exlibrisgroup.com/primo-explore/search?tab=default_tab&amp;search_scope=EVERYTHING&amp;vid=01CRU&amp;lang=en_US&amp;offset=0&amp;query=any,contains,991004158429702656","Catalog Record")</f>
        <v/>
      </c>
      <c r="AT2127">
        <f>HYPERLINK("http://www.worldcat.org/oclc/48003941","WorldCat Record")</f>
        <v/>
      </c>
      <c r="AU2127" t="inlineStr">
        <is>
          <t>35908787:eng</t>
        </is>
      </c>
      <c r="AV2127" t="inlineStr">
        <is>
          <t>48003941</t>
        </is>
      </c>
      <c r="AW2127" t="inlineStr">
        <is>
          <t>991004158429702656</t>
        </is>
      </c>
      <c r="AX2127" t="inlineStr">
        <is>
          <t>991004158429702656</t>
        </is>
      </c>
      <c r="AY2127" t="inlineStr">
        <is>
          <t>2269347010002656</t>
        </is>
      </c>
      <c r="AZ2127" t="inlineStr">
        <is>
          <t>BOOK</t>
        </is>
      </c>
      <c r="BB2127" t="inlineStr">
        <is>
          <t>9781860647314</t>
        </is>
      </c>
      <c r="BC2127" t="inlineStr">
        <is>
          <t>32285004789136</t>
        </is>
      </c>
      <c r="BD2127" t="inlineStr">
        <is>
          <t>893423450</t>
        </is>
      </c>
    </row>
    <row r="2128">
      <c r="A2128" t="inlineStr">
        <is>
          <t>No</t>
        </is>
      </c>
      <c r="B2128" t="inlineStr">
        <is>
          <t>DS777.55 .S6 1971</t>
        </is>
      </c>
      <c r="C2128" t="inlineStr">
        <is>
          <t>0                      DS 0777550S  6           1971</t>
        </is>
      </c>
      <c r="D2128" t="inlineStr">
        <is>
          <t>Red China today.</t>
        </is>
      </c>
      <c r="F2128" t="inlineStr">
        <is>
          <t>No</t>
        </is>
      </c>
      <c r="G2128" t="inlineStr">
        <is>
          <t>1</t>
        </is>
      </c>
      <c r="H2128" t="inlineStr">
        <is>
          <t>No</t>
        </is>
      </c>
      <c r="I2128" t="inlineStr">
        <is>
          <t>No</t>
        </is>
      </c>
      <c r="J2128" t="inlineStr">
        <is>
          <t>0</t>
        </is>
      </c>
      <c r="K2128" t="inlineStr">
        <is>
          <t>Snow, Edgar, 1905-1972.</t>
        </is>
      </c>
      <c r="L2128" t="inlineStr">
        <is>
          <t>New York : Random House, [1971]</t>
        </is>
      </c>
      <c r="M2128" t="inlineStr">
        <is>
          <t>1971</t>
        </is>
      </c>
      <c r="N2128" t="inlineStr">
        <is>
          <t>[1st American ed.]</t>
        </is>
      </c>
      <c r="O2128" t="inlineStr">
        <is>
          <t>eng</t>
        </is>
      </c>
      <c r="P2128" t="inlineStr">
        <is>
          <t>nyu</t>
        </is>
      </c>
      <c r="R2128" t="inlineStr">
        <is>
          <t xml:space="preserve">DS </t>
        </is>
      </c>
      <c r="S2128" t="n">
        <v>1</v>
      </c>
      <c r="T2128" t="n">
        <v>1</v>
      </c>
      <c r="U2128" t="inlineStr">
        <is>
          <t>1992-11-25</t>
        </is>
      </c>
      <c r="V2128" t="inlineStr">
        <is>
          <t>1992-11-25</t>
        </is>
      </c>
      <c r="W2128" t="inlineStr">
        <is>
          <t>1992-11-25</t>
        </is>
      </c>
      <c r="X2128" t="inlineStr">
        <is>
          <t>1992-11-25</t>
        </is>
      </c>
      <c r="Y2128" t="n">
        <v>697</v>
      </c>
      <c r="Z2128" t="n">
        <v>661</v>
      </c>
      <c r="AA2128" t="n">
        <v>966</v>
      </c>
      <c r="AB2128" t="n">
        <v>4</v>
      </c>
      <c r="AC2128" t="n">
        <v>5</v>
      </c>
      <c r="AD2128" t="n">
        <v>20</v>
      </c>
      <c r="AE2128" t="n">
        <v>31</v>
      </c>
      <c r="AF2128" t="n">
        <v>7</v>
      </c>
      <c r="AG2128" t="n">
        <v>13</v>
      </c>
      <c r="AH2128" t="n">
        <v>3</v>
      </c>
      <c r="AI2128" t="n">
        <v>5</v>
      </c>
      <c r="AJ2128" t="n">
        <v>10</v>
      </c>
      <c r="AK2128" t="n">
        <v>14</v>
      </c>
      <c r="AL2128" t="n">
        <v>3</v>
      </c>
      <c r="AM2128" t="n">
        <v>4</v>
      </c>
      <c r="AN2128" t="n">
        <v>0</v>
      </c>
      <c r="AO2128" t="n">
        <v>1</v>
      </c>
      <c r="AP2128" t="inlineStr">
        <is>
          <t>No</t>
        </is>
      </c>
      <c r="AQ2128" t="inlineStr">
        <is>
          <t>Yes</t>
        </is>
      </c>
      <c r="AR2128">
        <f>HYPERLINK("http://catalog.hathitrust.org/Record/001258458","HathiTrust Record")</f>
        <v/>
      </c>
      <c r="AS2128">
        <f>HYPERLINK("https://creighton-primo.hosted.exlibrisgroup.com/primo-explore/search?tab=default_tab&amp;search_scope=EVERYTHING&amp;vid=01CRU&amp;lang=en_US&amp;offset=0&amp;query=any,contains,991000858179702656","Catalog Record")</f>
        <v/>
      </c>
      <c r="AT2128">
        <f>HYPERLINK("http://www.worldcat.org/oclc/149977","WorldCat Record")</f>
        <v/>
      </c>
      <c r="AU2128" t="inlineStr">
        <is>
          <t>5266883235:eng</t>
        </is>
      </c>
      <c r="AV2128" t="inlineStr">
        <is>
          <t>149977</t>
        </is>
      </c>
      <c r="AW2128" t="inlineStr">
        <is>
          <t>991000858179702656</t>
        </is>
      </c>
      <c r="AX2128" t="inlineStr">
        <is>
          <t>991000858179702656</t>
        </is>
      </c>
      <c r="AY2128" t="inlineStr">
        <is>
          <t>2260657210002656</t>
        </is>
      </c>
      <c r="AZ2128" t="inlineStr">
        <is>
          <t>BOOK</t>
        </is>
      </c>
      <c r="BB2128" t="inlineStr">
        <is>
          <t>9780394462615</t>
        </is>
      </c>
      <c r="BC2128" t="inlineStr">
        <is>
          <t>32285001401537</t>
        </is>
      </c>
      <c r="BD2128" t="inlineStr">
        <is>
          <t>893255802</t>
        </is>
      </c>
    </row>
    <row r="2129">
      <c r="A2129" t="inlineStr">
        <is>
          <t>No</t>
        </is>
      </c>
      <c r="B2129" t="inlineStr">
        <is>
          <t>DS777.55 .S82</t>
        </is>
      </c>
      <c r="C2129" t="inlineStr">
        <is>
          <t>0                      DS 0777550S  82</t>
        </is>
      </c>
      <c r="D2129" t="inlineStr">
        <is>
          <t>Behind the Great Wall : an appraisal of Mao's China / Lorenz Stucki ; translated by Jean Steinberg.</t>
        </is>
      </c>
      <c r="F2129" t="inlineStr">
        <is>
          <t>No</t>
        </is>
      </c>
      <c r="G2129" t="inlineStr">
        <is>
          <t>1</t>
        </is>
      </c>
      <c r="H2129" t="inlineStr">
        <is>
          <t>No</t>
        </is>
      </c>
      <c r="I2129" t="inlineStr">
        <is>
          <t>No</t>
        </is>
      </c>
      <c r="J2129" t="inlineStr">
        <is>
          <t>0</t>
        </is>
      </c>
      <c r="K2129" t="inlineStr">
        <is>
          <t>Stucki, Lorenz, 1922-</t>
        </is>
      </c>
      <c r="L2129" t="inlineStr">
        <is>
          <t>New York : Praeger, c1965.</t>
        </is>
      </c>
      <c r="M2129" t="inlineStr">
        <is>
          <t>1965</t>
        </is>
      </c>
      <c r="O2129" t="inlineStr">
        <is>
          <t>eng</t>
        </is>
      </c>
      <c r="P2129" t="inlineStr">
        <is>
          <t>nyu</t>
        </is>
      </c>
      <c r="Q2129" t="inlineStr">
        <is>
          <t>Praeger publications in Russian history and world communism ; no. 168</t>
        </is>
      </c>
      <c r="R2129" t="inlineStr">
        <is>
          <t xml:space="preserve">DS </t>
        </is>
      </c>
      <c r="S2129" t="n">
        <v>1</v>
      </c>
      <c r="T2129" t="n">
        <v>1</v>
      </c>
      <c r="U2129" t="inlineStr">
        <is>
          <t>1998-11-17</t>
        </is>
      </c>
      <c r="V2129" t="inlineStr">
        <is>
          <t>1998-11-17</t>
        </is>
      </c>
      <c r="W2129" t="inlineStr">
        <is>
          <t>1997-03-17</t>
        </is>
      </c>
      <c r="X2129" t="inlineStr">
        <is>
          <t>1997-03-17</t>
        </is>
      </c>
      <c r="Y2129" t="n">
        <v>120</v>
      </c>
      <c r="Z2129" t="n">
        <v>92</v>
      </c>
      <c r="AA2129" t="n">
        <v>514</v>
      </c>
      <c r="AB2129" t="n">
        <v>1</v>
      </c>
      <c r="AC2129" t="n">
        <v>3</v>
      </c>
      <c r="AD2129" t="n">
        <v>5</v>
      </c>
      <c r="AE2129" t="n">
        <v>24</v>
      </c>
      <c r="AF2129" t="n">
        <v>2</v>
      </c>
      <c r="AG2129" t="n">
        <v>8</v>
      </c>
      <c r="AH2129" t="n">
        <v>0</v>
      </c>
      <c r="AI2129" t="n">
        <v>4</v>
      </c>
      <c r="AJ2129" t="n">
        <v>4</v>
      </c>
      <c r="AK2129" t="n">
        <v>16</v>
      </c>
      <c r="AL2129" t="n">
        <v>0</v>
      </c>
      <c r="AM2129" t="n">
        <v>2</v>
      </c>
      <c r="AN2129" t="n">
        <v>0</v>
      </c>
      <c r="AO2129" t="n">
        <v>0</v>
      </c>
      <c r="AP2129" t="inlineStr">
        <is>
          <t>No</t>
        </is>
      </c>
      <c r="AQ2129" t="inlineStr">
        <is>
          <t>Yes</t>
        </is>
      </c>
      <c r="AR2129">
        <f>HYPERLINK("http://catalog.hathitrust.org/Record/006045297","HathiTrust Record")</f>
        <v/>
      </c>
      <c r="AS2129">
        <f>HYPERLINK("https://creighton-primo.hosted.exlibrisgroup.com/primo-explore/search?tab=default_tab&amp;search_scope=EVERYTHING&amp;vid=01CRU&amp;lang=en_US&amp;offset=0&amp;query=any,contains,991000260369702656","Catalog Record")</f>
        <v/>
      </c>
      <c r="AT2129">
        <f>HYPERLINK("http://www.worldcat.org/oclc/9802830","WorldCat Record")</f>
        <v/>
      </c>
      <c r="AU2129" t="inlineStr">
        <is>
          <t>343346384:eng</t>
        </is>
      </c>
      <c r="AV2129" t="inlineStr">
        <is>
          <t>9802830</t>
        </is>
      </c>
      <c r="AW2129" t="inlineStr">
        <is>
          <t>991000260369702656</t>
        </is>
      </c>
      <c r="AX2129" t="inlineStr">
        <is>
          <t>991000260369702656</t>
        </is>
      </c>
      <c r="AY2129" t="inlineStr">
        <is>
          <t>2256651680002656</t>
        </is>
      </c>
      <c r="AZ2129" t="inlineStr">
        <is>
          <t>BOOK</t>
        </is>
      </c>
      <c r="BC2129" t="inlineStr">
        <is>
          <t>32285002448941</t>
        </is>
      </c>
      <c r="BD2129" t="inlineStr">
        <is>
          <t>893595434</t>
        </is>
      </c>
    </row>
    <row r="2130">
      <c r="A2130" t="inlineStr">
        <is>
          <t>No</t>
        </is>
      </c>
      <c r="B2130" t="inlineStr">
        <is>
          <t>DS777.55 .T35</t>
        </is>
      </c>
      <c r="C2130" t="inlineStr">
        <is>
          <t>0                      DS 0777550T  35</t>
        </is>
      </c>
      <c r="D2130" t="inlineStr">
        <is>
          <t>Communist China : the domestic scene, 1949-1967 / by Peter S. H. Tang and Joan M. Maloney ; introd. by John B. Tsu.</t>
        </is>
      </c>
      <c r="F2130" t="inlineStr">
        <is>
          <t>No</t>
        </is>
      </c>
      <c r="G2130" t="inlineStr">
        <is>
          <t>1</t>
        </is>
      </c>
      <c r="H2130" t="inlineStr">
        <is>
          <t>No</t>
        </is>
      </c>
      <c r="I2130" t="inlineStr">
        <is>
          <t>No</t>
        </is>
      </c>
      <c r="J2130" t="inlineStr">
        <is>
          <t>0</t>
        </is>
      </c>
      <c r="K2130" t="inlineStr">
        <is>
          <t>Tang, Peter S. H., 1919-2000.</t>
        </is>
      </c>
      <c r="L2130" t="inlineStr">
        <is>
          <t>South Orange, N. J. : Seton Hall University Press, [1967]</t>
        </is>
      </c>
      <c r="M2130" t="inlineStr">
        <is>
          <t>1967</t>
        </is>
      </c>
      <c r="O2130" t="inlineStr">
        <is>
          <t>eng</t>
        </is>
      </c>
      <c r="P2130" t="inlineStr">
        <is>
          <t xml:space="preserve">xx </t>
        </is>
      </c>
      <c r="Q2130" t="inlineStr">
        <is>
          <t>Research Institute on the Sino-Soviet Bloc : Book series ; no. 2</t>
        </is>
      </c>
      <c r="R2130" t="inlineStr">
        <is>
          <t xml:space="preserve">DS </t>
        </is>
      </c>
      <c r="S2130" t="n">
        <v>1</v>
      </c>
      <c r="T2130" t="n">
        <v>1</v>
      </c>
      <c r="U2130" t="inlineStr">
        <is>
          <t>1992-11-12</t>
        </is>
      </c>
      <c r="V2130" t="inlineStr">
        <is>
          <t>1992-11-12</t>
        </is>
      </c>
      <c r="W2130" t="inlineStr">
        <is>
          <t>1990-11-30</t>
        </is>
      </c>
      <c r="X2130" t="inlineStr">
        <is>
          <t>1990-11-30</t>
        </is>
      </c>
      <c r="Y2130" t="n">
        <v>329</v>
      </c>
      <c r="Z2130" t="n">
        <v>277</v>
      </c>
      <c r="AA2130" t="n">
        <v>281</v>
      </c>
      <c r="AB2130" t="n">
        <v>3</v>
      </c>
      <c r="AC2130" t="n">
        <v>3</v>
      </c>
      <c r="AD2130" t="n">
        <v>15</v>
      </c>
      <c r="AE2130" t="n">
        <v>15</v>
      </c>
      <c r="AF2130" t="n">
        <v>3</v>
      </c>
      <c r="AG2130" t="n">
        <v>3</v>
      </c>
      <c r="AH2130" t="n">
        <v>4</v>
      </c>
      <c r="AI2130" t="n">
        <v>4</v>
      </c>
      <c r="AJ2130" t="n">
        <v>8</v>
      </c>
      <c r="AK2130" t="n">
        <v>8</v>
      </c>
      <c r="AL2130" t="n">
        <v>2</v>
      </c>
      <c r="AM2130" t="n">
        <v>2</v>
      </c>
      <c r="AN2130" t="n">
        <v>0</v>
      </c>
      <c r="AO2130" t="n">
        <v>0</v>
      </c>
      <c r="AP2130" t="inlineStr">
        <is>
          <t>No</t>
        </is>
      </c>
      <c r="AQ2130" t="inlineStr">
        <is>
          <t>Yes</t>
        </is>
      </c>
      <c r="AR2130">
        <f>HYPERLINK("http://catalog.hathitrust.org/Record/001872011","HathiTrust Record")</f>
        <v/>
      </c>
      <c r="AS2130">
        <f>HYPERLINK("https://creighton-primo.hosted.exlibrisgroup.com/primo-explore/search?tab=default_tab&amp;search_scope=EVERYTHING&amp;vid=01CRU&amp;lang=en_US&amp;offset=0&amp;query=any,contains,991003701669702656","Catalog Record")</f>
        <v/>
      </c>
      <c r="AT2130">
        <f>HYPERLINK("http://www.worldcat.org/oclc/14142362","WorldCat Record")</f>
        <v/>
      </c>
      <c r="AU2130" t="inlineStr">
        <is>
          <t>7847764:eng</t>
        </is>
      </c>
      <c r="AV2130" t="inlineStr">
        <is>
          <t>14142362</t>
        </is>
      </c>
      <c r="AW2130" t="inlineStr">
        <is>
          <t>991003701669702656</t>
        </is>
      </c>
      <c r="AX2130" t="inlineStr">
        <is>
          <t>991003701669702656</t>
        </is>
      </c>
      <c r="AY2130" t="inlineStr">
        <is>
          <t>2258081130002656</t>
        </is>
      </c>
      <c r="AZ2130" t="inlineStr">
        <is>
          <t>BOOK</t>
        </is>
      </c>
      <c r="BC2130" t="inlineStr">
        <is>
          <t>32285000410190</t>
        </is>
      </c>
      <c r="BD2130" t="inlineStr">
        <is>
          <t>893775057</t>
        </is>
      </c>
    </row>
    <row r="2131">
      <c r="A2131" t="inlineStr">
        <is>
          <t>No</t>
        </is>
      </c>
      <c r="B2131" t="inlineStr">
        <is>
          <t>DS777.55 .W35</t>
        </is>
      </c>
      <c r="C2131" t="inlineStr">
        <is>
          <t>0                      DS 0777550W  35</t>
        </is>
      </c>
      <c r="D2131" t="inlineStr">
        <is>
          <t>The cultural revolution in China : an annotated bibliography / James C. F. Wang.</t>
        </is>
      </c>
      <c r="F2131" t="inlineStr">
        <is>
          <t>No</t>
        </is>
      </c>
      <c r="G2131" t="inlineStr">
        <is>
          <t>1</t>
        </is>
      </c>
      <c r="H2131" t="inlineStr">
        <is>
          <t>No</t>
        </is>
      </c>
      <c r="I2131" t="inlineStr">
        <is>
          <t>No</t>
        </is>
      </c>
      <c r="J2131" t="inlineStr">
        <is>
          <t>0</t>
        </is>
      </c>
      <c r="K2131" t="inlineStr">
        <is>
          <t>Wang, James C. F.</t>
        </is>
      </c>
      <c r="L2131" t="inlineStr">
        <is>
          <t>New York : Garland Pub., 1976.</t>
        </is>
      </c>
      <c r="M2131" t="inlineStr">
        <is>
          <t>1976</t>
        </is>
      </c>
      <c r="O2131" t="inlineStr">
        <is>
          <t>eng</t>
        </is>
      </c>
      <c r="P2131" t="inlineStr">
        <is>
          <t>nyu</t>
        </is>
      </c>
      <c r="Q2131" t="inlineStr">
        <is>
          <t>Garland reference library of social science ; v. 16</t>
        </is>
      </c>
      <c r="R2131" t="inlineStr">
        <is>
          <t xml:space="preserve">DS </t>
        </is>
      </c>
      <c r="S2131" t="n">
        <v>2</v>
      </c>
      <c r="T2131" t="n">
        <v>2</v>
      </c>
      <c r="U2131" t="inlineStr">
        <is>
          <t>1999-11-16</t>
        </is>
      </c>
      <c r="V2131" t="inlineStr">
        <is>
          <t>1999-11-16</t>
        </is>
      </c>
      <c r="W2131" t="inlineStr">
        <is>
          <t>1997-03-13</t>
        </is>
      </c>
      <c r="X2131" t="inlineStr">
        <is>
          <t>1997-03-13</t>
        </is>
      </c>
      <c r="Y2131" t="n">
        <v>407</v>
      </c>
      <c r="Z2131" t="n">
        <v>302</v>
      </c>
      <c r="AA2131" t="n">
        <v>326</v>
      </c>
      <c r="AB2131" t="n">
        <v>3</v>
      </c>
      <c r="AC2131" t="n">
        <v>3</v>
      </c>
      <c r="AD2131" t="n">
        <v>18</v>
      </c>
      <c r="AE2131" t="n">
        <v>18</v>
      </c>
      <c r="AF2131" t="n">
        <v>5</v>
      </c>
      <c r="AG2131" t="n">
        <v>5</v>
      </c>
      <c r="AH2131" t="n">
        <v>5</v>
      </c>
      <c r="AI2131" t="n">
        <v>5</v>
      </c>
      <c r="AJ2131" t="n">
        <v>10</v>
      </c>
      <c r="AK2131" t="n">
        <v>10</v>
      </c>
      <c r="AL2131" t="n">
        <v>2</v>
      </c>
      <c r="AM2131" t="n">
        <v>2</v>
      </c>
      <c r="AN2131" t="n">
        <v>0</v>
      </c>
      <c r="AO2131" t="n">
        <v>0</v>
      </c>
      <c r="AP2131" t="inlineStr">
        <is>
          <t>No</t>
        </is>
      </c>
      <c r="AQ2131" t="inlineStr">
        <is>
          <t>No</t>
        </is>
      </c>
      <c r="AS2131">
        <f>HYPERLINK("https://creighton-primo.hosted.exlibrisgroup.com/primo-explore/search?tab=default_tab&amp;search_scope=EVERYTHING&amp;vid=01CRU&amp;lang=en_US&amp;offset=0&amp;query=any,contains,991003958999702656","Catalog Record")</f>
        <v/>
      </c>
      <c r="AT2131">
        <f>HYPERLINK("http://www.worldcat.org/oclc/1973875","WorldCat Record")</f>
        <v/>
      </c>
      <c r="AU2131" t="inlineStr">
        <is>
          <t>894521625:eng</t>
        </is>
      </c>
      <c r="AV2131" t="inlineStr">
        <is>
          <t>1973875</t>
        </is>
      </c>
      <c r="AW2131" t="inlineStr">
        <is>
          <t>991003958999702656</t>
        </is>
      </c>
      <c r="AX2131" t="inlineStr">
        <is>
          <t>991003958999702656</t>
        </is>
      </c>
      <c r="AY2131" t="inlineStr">
        <is>
          <t>2265956130002656</t>
        </is>
      </c>
      <c r="AZ2131" t="inlineStr">
        <is>
          <t>BOOK</t>
        </is>
      </c>
      <c r="BB2131" t="inlineStr">
        <is>
          <t>9780824099732</t>
        </is>
      </c>
      <c r="BC2131" t="inlineStr">
        <is>
          <t>32285002448586</t>
        </is>
      </c>
      <c r="BD2131" t="inlineStr">
        <is>
          <t>893259131</t>
        </is>
      </c>
    </row>
    <row r="2132">
      <c r="A2132" t="inlineStr">
        <is>
          <t>No</t>
        </is>
      </c>
      <c r="B2132" t="inlineStr">
        <is>
          <t>DS777.56 .O73 2001</t>
        </is>
      </c>
      <c r="C2132" t="inlineStr">
        <is>
          <t>0                      DS 0777560O  73          2001</t>
        </is>
      </c>
      <c r="D2132" t="inlineStr">
        <is>
          <t>Born to fly : the untold story of the downed American reconnaissance plane / Shane Osborn with Malcolm McConnell.</t>
        </is>
      </c>
      <c r="F2132" t="inlineStr">
        <is>
          <t>No</t>
        </is>
      </c>
      <c r="G2132" t="inlineStr">
        <is>
          <t>1</t>
        </is>
      </c>
      <c r="H2132" t="inlineStr">
        <is>
          <t>No</t>
        </is>
      </c>
      <c r="I2132" t="inlineStr">
        <is>
          <t>No</t>
        </is>
      </c>
      <c r="J2132" t="inlineStr">
        <is>
          <t>0</t>
        </is>
      </c>
      <c r="K2132" t="inlineStr">
        <is>
          <t>Osborn, Shane.</t>
        </is>
      </c>
      <c r="L2132" t="inlineStr">
        <is>
          <t>New York : Broadway Books, c2001.</t>
        </is>
      </c>
      <c r="M2132" t="inlineStr">
        <is>
          <t>2001</t>
        </is>
      </c>
      <c r="N2132" t="inlineStr">
        <is>
          <t>1st ed.</t>
        </is>
      </c>
      <c r="O2132" t="inlineStr">
        <is>
          <t>eng</t>
        </is>
      </c>
      <c r="P2132" t="inlineStr">
        <is>
          <t>nyu</t>
        </is>
      </c>
      <c r="R2132" t="inlineStr">
        <is>
          <t xml:space="preserve">DS </t>
        </is>
      </c>
      <c r="S2132" t="n">
        <v>3</v>
      </c>
      <c r="T2132" t="n">
        <v>3</v>
      </c>
      <c r="U2132" t="inlineStr">
        <is>
          <t>2002-01-08</t>
        </is>
      </c>
      <c r="V2132" t="inlineStr">
        <is>
          <t>2002-01-08</t>
        </is>
      </c>
      <c r="W2132" t="inlineStr">
        <is>
          <t>2002-01-08</t>
        </is>
      </c>
      <c r="X2132" t="inlineStr">
        <is>
          <t>2002-01-08</t>
        </is>
      </c>
      <c r="Y2132" t="n">
        <v>536</v>
      </c>
      <c r="Z2132" t="n">
        <v>525</v>
      </c>
      <c r="AA2132" t="n">
        <v>608</v>
      </c>
      <c r="AB2132" t="n">
        <v>33</v>
      </c>
      <c r="AC2132" t="n">
        <v>34</v>
      </c>
      <c r="AD2132" t="n">
        <v>8</v>
      </c>
      <c r="AE2132" t="n">
        <v>8</v>
      </c>
      <c r="AF2132" t="n">
        <v>1</v>
      </c>
      <c r="AG2132" t="n">
        <v>1</v>
      </c>
      <c r="AH2132" t="n">
        <v>3</v>
      </c>
      <c r="AI2132" t="n">
        <v>3</v>
      </c>
      <c r="AJ2132" t="n">
        <v>2</v>
      </c>
      <c r="AK2132" t="n">
        <v>2</v>
      </c>
      <c r="AL2132" t="n">
        <v>4</v>
      </c>
      <c r="AM2132" t="n">
        <v>4</v>
      </c>
      <c r="AN2132" t="n">
        <v>0</v>
      </c>
      <c r="AO2132" t="n">
        <v>0</v>
      </c>
      <c r="AP2132" t="inlineStr">
        <is>
          <t>No</t>
        </is>
      </c>
      <c r="AQ2132" t="inlineStr">
        <is>
          <t>Yes</t>
        </is>
      </c>
      <c r="AR2132">
        <f>HYPERLINK("http://catalog.hathitrust.org/Record/004214982","HathiTrust Record")</f>
        <v/>
      </c>
      <c r="AS2132">
        <f>HYPERLINK("https://creighton-primo.hosted.exlibrisgroup.com/primo-explore/search?tab=default_tab&amp;search_scope=EVERYTHING&amp;vid=01CRU&amp;lang=en_US&amp;offset=0&amp;query=any,contains,991003684269702656","Catalog Record")</f>
        <v/>
      </c>
      <c r="AT2132">
        <f>HYPERLINK("http://www.worldcat.org/oclc/48401438","WorldCat Record")</f>
        <v/>
      </c>
      <c r="AU2132" t="inlineStr">
        <is>
          <t>36893735:eng</t>
        </is>
      </c>
      <c r="AV2132" t="inlineStr">
        <is>
          <t>48401438</t>
        </is>
      </c>
      <c r="AW2132" t="inlineStr">
        <is>
          <t>991003684269702656</t>
        </is>
      </c>
      <c r="AX2132" t="inlineStr">
        <is>
          <t>991003684269702656</t>
        </is>
      </c>
      <c r="AY2132" t="inlineStr">
        <is>
          <t>2264337620002656</t>
        </is>
      </c>
      <c r="AZ2132" t="inlineStr">
        <is>
          <t>BOOK</t>
        </is>
      </c>
      <c r="BB2132" t="inlineStr">
        <is>
          <t>9780767911115</t>
        </is>
      </c>
      <c r="BC2132" t="inlineStr">
        <is>
          <t>32285004446703</t>
        </is>
      </c>
      <c r="BD2132" t="inlineStr">
        <is>
          <t>893623764</t>
        </is>
      </c>
    </row>
    <row r="2133">
      <c r="A2133" t="inlineStr">
        <is>
          <t>No</t>
        </is>
      </c>
      <c r="B2133" t="inlineStr">
        <is>
          <t>DS777.75 .C4848 1985</t>
        </is>
      </c>
      <c r="C2133" t="inlineStr">
        <is>
          <t>0                      DS 0777750C  4848        1985</t>
        </is>
      </c>
      <c r="D2133" t="inlineStr">
        <is>
          <t>The China question : essays on current relations between mainland China and Taiwan / edited by Yu San Wang.</t>
        </is>
      </c>
      <c r="F2133" t="inlineStr">
        <is>
          <t>No</t>
        </is>
      </c>
      <c r="G2133" t="inlineStr">
        <is>
          <t>1</t>
        </is>
      </c>
      <c r="H2133" t="inlineStr">
        <is>
          <t>No</t>
        </is>
      </c>
      <c r="I2133" t="inlineStr">
        <is>
          <t>No</t>
        </is>
      </c>
      <c r="J2133" t="inlineStr">
        <is>
          <t>0</t>
        </is>
      </c>
      <c r="L2133" t="inlineStr">
        <is>
          <t>New York : Praeger, 1985.</t>
        </is>
      </c>
      <c r="M2133" t="inlineStr">
        <is>
          <t>1985</t>
        </is>
      </c>
      <c r="O2133" t="inlineStr">
        <is>
          <t>eng</t>
        </is>
      </c>
      <c r="P2133" t="inlineStr">
        <is>
          <t>nyu</t>
        </is>
      </c>
      <c r="R2133" t="inlineStr">
        <is>
          <t xml:space="preserve">DS </t>
        </is>
      </c>
      <c r="S2133" t="n">
        <v>3</v>
      </c>
      <c r="T2133" t="n">
        <v>3</v>
      </c>
      <c r="U2133" t="inlineStr">
        <is>
          <t>1993-12-01</t>
        </is>
      </c>
      <c r="V2133" t="inlineStr">
        <is>
          <t>1993-12-01</t>
        </is>
      </c>
      <c r="W2133" t="inlineStr">
        <is>
          <t>1990-10-19</t>
        </is>
      </c>
      <c r="X2133" t="inlineStr">
        <is>
          <t>1990-10-19</t>
        </is>
      </c>
      <c r="Y2133" t="n">
        <v>211</v>
      </c>
      <c r="Z2133" t="n">
        <v>170</v>
      </c>
      <c r="AA2133" t="n">
        <v>172</v>
      </c>
      <c r="AB2133" t="n">
        <v>2</v>
      </c>
      <c r="AC2133" t="n">
        <v>2</v>
      </c>
      <c r="AD2133" t="n">
        <v>4</v>
      </c>
      <c r="AE2133" t="n">
        <v>4</v>
      </c>
      <c r="AF2133" t="n">
        <v>0</v>
      </c>
      <c r="AG2133" t="n">
        <v>0</v>
      </c>
      <c r="AH2133" t="n">
        <v>1</v>
      </c>
      <c r="AI2133" t="n">
        <v>1</v>
      </c>
      <c r="AJ2133" t="n">
        <v>2</v>
      </c>
      <c r="AK2133" t="n">
        <v>2</v>
      </c>
      <c r="AL2133" t="n">
        <v>1</v>
      </c>
      <c r="AM2133" t="n">
        <v>1</v>
      </c>
      <c r="AN2133" t="n">
        <v>0</v>
      </c>
      <c r="AO2133" t="n">
        <v>0</v>
      </c>
      <c r="AP2133" t="inlineStr">
        <is>
          <t>No</t>
        </is>
      </c>
      <c r="AQ2133" t="inlineStr">
        <is>
          <t>Yes</t>
        </is>
      </c>
      <c r="AR2133">
        <f>HYPERLINK("http://catalog.hathitrust.org/Record/000466096","HathiTrust Record")</f>
        <v/>
      </c>
      <c r="AS2133">
        <f>HYPERLINK("https://creighton-primo.hosted.exlibrisgroup.com/primo-explore/search?tab=default_tab&amp;search_scope=EVERYTHING&amp;vid=01CRU&amp;lang=en_US&amp;offset=0&amp;query=any,contains,991000649279702656","Catalog Record")</f>
        <v/>
      </c>
      <c r="AT2133">
        <f>HYPERLINK("http://www.worldcat.org/oclc/12160476","WorldCat Record")</f>
        <v/>
      </c>
      <c r="AU2133" t="inlineStr">
        <is>
          <t>891594003:eng</t>
        </is>
      </c>
      <c r="AV2133" t="inlineStr">
        <is>
          <t>12160476</t>
        </is>
      </c>
      <c r="AW2133" t="inlineStr">
        <is>
          <t>991000649279702656</t>
        </is>
      </c>
      <c r="AX2133" t="inlineStr">
        <is>
          <t>991000649279702656</t>
        </is>
      </c>
      <c r="AY2133" t="inlineStr">
        <is>
          <t>2271207980002656</t>
        </is>
      </c>
      <c r="AZ2133" t="inlineStr">
        <is>
          <t>BOOK</t>
        </is>
      </c>
      <c r="BB2133" t="inlineStr">
        <is>
          <t>9780030053795</t>
        </is>
      </c>
      <c r="BC2133" t="inlineStr">
        <is>
          <t>32285000339001</t>
        </is>
      </c>
      <c r="BD2133" t="inlineStr">
        <is>
          <t>893620668</t>
        </is>
      </c>
    </row>
    <row r="2134">
      <c r="A2134" t="inlineStr">
        <is>
          <t>No</t>
        </is>
      </c>
      <c r="B2134" t="inlineStr">
        <is>
          <t>DS777.75 .D66 1985</t>
        </is>
      </c>
      <c r="C2134" t="inlineStr">
        <is>
          <t>0                      DS 0777750D  66          1985</t>
        </is>
      </c>
      <c r="D2134" t="inlineStr">
        <is>
          <t>The government and politics of the PRC : a time of transition / Jürgen Domes.</t>
        </is>
      </c>
      <c r="F2134" t="inlineStr">
        <is>
          <t>No</t>
        </is>
      </c>
      <c r="G2134" t="inlineStr">
        <is>
          <t>1</t>
        </is>
      </c>
      <c r="H2134" t="inlineStr">
        <is>
          <t>No</t>
        </is>
      </c>
      <c r="I2134" t="inlineStr">
        <is>
          <t>No</t>
        </is>
      </c>
      <c r="J2134" t="inlineStr">
        <is>
          <t>0</t>
        </is>
      </c>
      <c r="K2134" t="inlineStr">
        <is>
          <t>Domes, Jürgen.</t>
        </is>
      </c>
      <c r="L2134" t="inlineStr">
        <is>
          <t>Boulder : Westview Press, 1985.</t>
        </is>
      </c>
      <c r="M2134" t="inlineStr">
        <is>
          <t>1985</t>
        </is>
      </c>
      <c r="O2134" t="inlineStr">
        <is>
          <t>eng</t>
        </is>
      </c>
      <c r="P2134" t="inlineStr">
        <is>
          <t>cou</t>
        </is>
      </c>
      <c r="R2134" t="inlineStr">
        <is>
          <t xml:space="preserve">DS </t>
        </is>
      </c>
      <c r="S2134" t="n">
        <v>4</v>
      </c>
      <c r="T2134" t="n">
        <v>4</v>
      </c>
      <c r="U2134" t="inlineStr">
        <is>
          <t>2001-11-13</t>
        </is>
      </c>
      <c r="V2134" t="inlineStr">
        <is>
          <t>2001-11-13</t>
        </is>
      </c>
      <c r="W2134" t="inlineStr">
        <is>
          <t>1994-04-27</t>
        </is>
      </c>
      <c r="X2134" t="inlineStr">
        <is>
          <t>1994-04-27</t>
        </is>
      </c>
      <c r="Y2134" t="n">
        <v>589</v>
      </c>
      <c r="Z2134" t="n">
        <v>474</v>
      </c>
      <c r="AA2134" t="n">
        <v>481</v>
      </c>
      <c r="AB2134" t="n">
        <v>7</v>
      </c>
      <c r="AC2134" t="n">
        <v>7</v>
      </c>
      <c r="AD2134" t="n">
        <v>28</v>
      </c>
      <c r="AE2134" t="n">
        <v>28</v>
      </c>
      <c r="AF2134" t="n">
        <v>8</v>
      </c>
      <c r="AG2134" t="n">
        <v>8</v>
      </c>
      <c r="AH2134" t="n">
        <v>8</v>
      </c>
      <c r="AI2134" t="n">
        <v>8</v>
      </c>
      <c r="AJ2134" t="n">
        <v>11</v>
      </c>
      <c r="AK2134" t="n">
        <v>11</v>
      </c>
      <c r="AL2134" t="n">
        <v>6</v>
      </c>
      <c r="AM2134" t="n">
        <v>6</v>
      </c>
      <c r="AN2134" t="n">
        <v>1</v>
      </c>
      <c r="AO2134" t="n">
        <v>1</v>
      </c>
      <c r="AP2134" t="inlineStr">
        <is>
          <t>No</t>
        </is>
      </c>
      <c r="AQ2134" t="inlineStr">
        <is>
          <t>Yes</t>
        </is>
      </c>
      <c r="AR2134">
        <f>HYPERLINK("http://catalog.hathitrust.org/Record/000345439","HathiTrust Record")</f>
        <v/>
      </c>
      <c r="AS2134">
        <f>HYPERLINK("https://creighton-primo.hosted.exlibrisgroup.com/primo-explore/search?tab=default_tab&amp;search_scope=EVERYTHING&amp;vid=01CRU&amp;lang=en_US&amp;offset=0&amp;query=any,contains,991000566459702656","Catalog Record")</f>
        <v/>
      </c>
      <c r="AT2134">
        <f>HYPERLINK("http://www.worldcat.org/oclc/11622313","WorldCat Record")</f>
        <v/>
      </c>
      <c r="AU2134" t="inlineStr">
        <is>
          <t>4452977:eng</t>
        </is>
      </c>
      <c r="AV2134" t="inlineStr">
        <is>
          <t>11622313</t>
        </is>
      </c>
      <c r="AW2134" t="inlineStr">
        <is>
          <t>991000566459702656</t>
        </is>
      </c>
      <c r="AX2134" t="inlineStr">
        <is>
          <t>991000566459702656</t>
        </is>
      </c>
      <c r="AY2134" t="inlineStr">
        <is>
          <t>2260866230002656</t>
        </is>
      </c>
      <c r="AZ2134" t="inlineStr">
        <is>
          <t>BOOK</t>
        </is>
      </c>
      <c r="BB2134" t="inlineStr">
        <is>
          <t>9780865315662</t>
        </is>
      </c>
      <c r="BC2134" t="inlineStr">
        <is>
          <t>32285001893675</t>
        </is>
      </c>
      <c r="BD2134" t="inlineStr">
        <is>
          <t>893878175</t>
        </is>
      </c>
    </row>
    <row r="2135">
      <c r="A2135" t="inlineStr">
        <is>
          <t>No</t>
        </is>
      </c>
      <c r="B2135" t="inlineStr">
        <is>
          <t>DS777.75 .L557 1995</t>
        </is>
      </c>
      <c r="C2135" t="inlineStr">
        <is>
          <t>0                      DS 0777750L  557         1995</t>
        </is>
      </c>
      <c r="D2135" t="inlineStr">
        <is>
          <t>Governing China : from revolution through reform / Kenneth Lieberthal.</t>
        </is>
      </c>
      <c r="F2135" t="inlineStr">
        <is>
          <t>No</t>
        </is>
      </c>
      <c r="G2135" t="inlineStr">
        <is>
          <t>1</t>
        </is>
      </c>
      <c r="H2135" t="inlineStr">
        <is>
          <t>No</t>
        </is>
      </c>
      <c r="I2135" t="inlineStr">
        <is>
          <t>No</t>
        </is>
      </c>
      <c r="J2135" t="inlineStr">
        <is>
          <t>0</t>
        </is>
      </c>
      <c r="K2135" t="inlineStr">
        <is>
          <t>Lieberthal, Kenneth.</t>
        </is>
      </c>
      <c r="L2135" t="inlineStr">
        <is>
          <t>New York : W.W. Norton, c1995.</t>
        </is>
      </c>
      <c r="M2135" t="inlineStr">
        <is>
          <t>1995</t>
        </is>
      </c>
      <c r="N2135" t="inlineStr">
        <is>
          <t>1st ed.</t>
        </is>
      </c>
      <c r="O2135" t="inlineStr">
        <is>
          <t>eng</t>
        </is>
      </c>
      <c r="P2135" t="inlineStr">
        <is>
          <t>nyu</t>
        </is>
      </c>
      <c r="R2135" t="inlineStr">
        <is>
          <t xml:space="preserve">DS </t>
        </is>
      </c>
      <c r="S2135" t="n">
        <v>4</v>
      </c>
      <c r="T2135" t="n">
        <v>4</v>
      </c>
      <c r="U2135" t="inlineStr">
        <is>
          <t>2006-04-25</t>
        </is>
      </c>
      <c r="V2135" t="inlineStr">
        <is>
          <t>2006-04-25</t>
        </is>
      </c>
      <c r="W2135" t="inlineStr">
        <is>
          <t>1995-06-19</t>
        </is>
      </c>
      <c r="X2135" t="inlineStr">
        <is>
          <t>1995-06-19</t>
        </is>
      </c>
      <c r="Y2135" t="n">
        <v>838</v>
      </c>
      <c r="Z2135" t="n">
        <v>658</v>
      </c>
      <c r="AA2135" t="n">
        <v>765</v>
      </c>
      <c r="AB2135" t="n">
        <v>5</v>
      </c>
      <c r="AC2135" t="n">
        <v>5</v>
      </c>
      <c r="AD2135" t="n">
        <v>31</v>
      </c>
      <c r="AE2135" t="n">
        <v>34</v>
      </c>
      <c r="AF2135" t="n">
        <v>11</v>
      </c>
      <c r="AG2135" t="n">
        <v>12</v>
      </c>
      <c r="AH2135" t="n">
        <v>6</v>
      </c>
      <c r="AI2135" t="n">
        <v>7</v>
      </c>
      <c r="AJ2135" t="n">
        <v>17</v>
      </c>
      <c r="AK2135" t="n">
        <v>17</v>
      </c>
      <c r="AL2135" t="n">
        <v>4</v>
      </c>
      <c r="AM2135" t="n">
        <v>4</v>
      </c>
      <c r="AN2135" t="n">
        <v>2</v>
      </c>
      <c r="AO2135" t="n">
        <v>3</v>
      </c>
      <c r="AP2135" t="inlineStr">
        <is>
          <t>No</t>
        </is>
      </c>
      <c r="AQ2135" t="inlineStr">
        <is>
          <t>No</t>
        </is>
      </c>
      <c r="AS2135">
        <f>HYPERLINK("https://creighton-primo.hosted.exlibrisgroup.com/primo-explore/search?tab=default_tab&amp;search_scope=EVERYTHING&amp;vid=01CRU&amp;lang=en_US&amp;offset=0&amp;query=any,contains,991002407399702656","Catalog Record")</f>
        <v/>
      </c>
      <c r="AT2135">
        <f>HYPERLINK("http://www.worldcat.org/oclc/31328285","WorldCat Record")</f>
        <v/>
      </c>
      <c r="AU2135" t="inlineStr">
        <is>
          <t>38505789:eng</t>
        </is>
      </c>
      <c r="AV2135" t="inlineStr">
        <is>
          <t>31328285</t>
        </is>
      </c>
      <c r="AW2135" t="inlineStr">
        <is>
          <t>991002407399702656</t>
        </is>
      </c>
      <c r="AX2135" t="inlineStr">
        <is>
          <t>991002407399702656</t>
        </is>
      </c>
      <c r="AY2135" t="inlineStr">
        <is>
          <t>2257055170002656</t>
        </is>
      </c>
      <c r="AZ2135" t="inlineStr">
        <is>
          <t>BOOK</t>
        </is>
      </c>
      <c r="BB2135" t="inlineStr">
        <is>
          <t>9780393037876</t>
        </is>
      </c>
      <c r="BC2135" t="inlineStr">
        <is>
          <t>32285002051760</t>
        </is>
      </c>
      <c r="BD2135" t="inlineStr">
        <is>
          <t>893510694</t>
        </is>
      </c>
    </row>
    <row r="2136">
      <c r="A2136" t="inlineStr">
        <is>
          <t>No</t>
        </is>
      </c>
      <c r="B2136" t="inlineStr">
        <is>
          <t>DS777.75 .P64 1997</t>
        </is>
      </c>
      <c r="C2136" t="inlineStr">
        <is>
          <t>0                      DS 0777750P  64          1997</t>
        </is>
      </c>
      <c r="D2136" t="inlineStr">
        <is>
          <t>The Politics of China : the eras of Mao and Deng / edited by Roderick MacFarquhar.</t>
        </is>
      </c>
      <c r="F2136" t="inlineStr">
        <is>
          <t>No</t>
        </is>
      </c>
      <c r="G2136" t="inlineStr">
        <is>
          <t>1</t>
        </is>
      </c>
      <c r="H2136" t="inlineStr">
        <is>
          <t>No</t>
        </is>
      </c>
      <c r="I2136" t="inlineStr">
        <is>
          <t>No</t>
        </is>
      </c>
      <c r="J2136" t="inlineStr">
        <is>
          <t>0</t>
        </is>
      </c>
      <c r="L2136" t="inlineStr">
        <is>
          <t>New York : Cambridge University Press, 1997.</t>
        </is>
      </c>
      <c r="M2136" t="inlineStr">
        <is>
          <t>1997</t>
        </is>
      </c>
      <c r="N2136" t="inlineStr">
        <is>
          <t>2nd ed.</t>
        </is>
      </c>
      <c r="O2136" t="inlineStr">
        <is>
          <t>eng</t>
        </is>
      </c>
      <c r="P2136" t="inlineStr">
        <is>
          <t>nyu</t>
        </is>
      </c>
      <c r="R2136" t="inlineStr">
        <is>
          <t xml:space="preserve">DS </t>
        </is>
      </c>
      <c r="S2136" t="n">
        <v>2</v>
      </c>
      <c r="T2136" t="n">
        <v>2</v>
      </c>
      <c r="U2136" t="inlineStr">
        <is>
          <t>2006-04-19</t>
        </is>
      </c>
      <c r="V2136" t="inlineStr">
        <is>
          <t>2006-04-19</t>
        </is>
      </c>
      <c r="W2136" t="inlineStr">
        <is>
          <t>1998-04-16</t>
        </is>
      </c>
      <c r="X2136" t="inlineStr">
        <is>
          <t>1998-04-16</t>
        </is>
      </c>
      <c r="Y2136" t="n">
        <v>613</v>
      </c>
      <c r="Z2136" t="n">
        <v>495</v>
      </c>
      <c r="AA2136" t="n">
        <v>512</v>
      </c>
      <c r="AB2136" t="n">
        <v>3</v>
      </c>
      <c r="AC2136" t="n">
        <v>3</v>
      </c>
      <c r="AD2136" t="n">
        <v>28</v>
      </c>
      <c r="AE2136" t="n">
        <v>28</v>
      </c>
      <c r="AF2136" t="n">
        <v>12</v>
      </c>
      <c r="AG2136" t="n">
        <v>12</v>
      </c>
      <c r="AH2136" t="n">
        <v>7</v>
      </c>
      <c r="AI2136" t="n">
        <v>7</v>
      </c>
      <c r="AJ2136" t="n">
        <v>16</v>
      </c>
      <c r="AK2136" t="n">
        <v>16</v>
      </c>
      <c r="AL2136" t="n">
        <v>2</v>
      </c>
      <c r="AM2136" t="n">
        <v>2</v>
      </c>
      <c r="AN2136" t="n">
        <v>1</v>
      </c>
      <c r="AO2136" t="n">
        <v>1</v>
      </c>
      <c r="AP2136" t="inlineStr">
        <is>
          <t>No</t>
        </is>
      </c>
      <c r="AQ2136" t="inlineStr">
        <is>
          <t>No</t>
        </is>
      </c>
      <c r="AS2136">
        <f>HYPERLINK("https://creighton-primo.hosted.exlibrisgroup.com/primo-explore/search?tab=default_tab&amp;search_scope=EVERYTHING&amp;vid=01CRU&amp;lang=en_US&amp;offset=0&amp;query=any,contains,991002700899702656","Catalog Record")</f>
        <v/>
      </c>
      <c r="AT2136">
        <f>HYPERLINK("http://www.worldcat.org/oclc/35262436","WorldCat Record")</f>
        <v/>
      </c>
      <c r="AU2136" t="inlineStr">
        <is>
          <t>795050546:eng</t>
        </is>
      </c>
      <c r="AV2136" t="inlineStr">
        <is>
          <t>35262436</t>
        </is>
      </c>
      <c r="AW2136" t="inlineStr">
        <is>
          <t>991002700899702656</t>
        </is>
      </c>
      <c r="AX2136" t="inlineStr">
        <is>
          <t>991002700899702656</t>
        </is>
      </c>
      <c r="AY2136" t="inlineStr">
        <is>
          <t>2264221730002656</t>
        </is>
      </c>
      <c r="AZ2136" t="inlineStr">
        <is>
          <t>BOOK</t>
        </is>
      </c>
      <c r="BB2136" t="inlineStr">
        <is>
          <t>9780521581417</t>
        </is>
      </c>
      <c r="BC2136" t="inlineStr">
        <is>
          <t>32285003375218</t>
        </is>
      </c>
      <c r="BD2136" t="inlineStr">
        <is>
          <t>893710569</t>
        </is>
      </c>
    </row>
    <row r="2137">
      <c r="A2137" t="inlineStr">
        <is>
          <t>No</t>
        </is>
      </c>
      <c r="B2137" t="inlineStr">
        <is>
          <t>DS777.75 .T43 1999</t>
        </is>
      </c>
      <c r="C2137" t="inlineStr">
        <is>
          <t>0                      DS 0777750T  43          1999</t>
        </is>
      </c>
      <c r="D2137" t="inlineStr">
        <is>
          <t>China's road to disaster : Mao, central politicians, and provincial leaders in the unfolding of the great leap forward, 1955-1959 / Frederick C. Teiwes with Warren Sun.</t>
        </is>
      </c>
      <c r="F2137" t="inlineStr">
        <is>
          <t>No</t>
        </is>
      </c>
      <c r="G2137" t="inlineStr">
        <is>
          <t>1</t>
        </is>
      </c>
      <c r="H2137" t="inlineStr">
        <is>
          <t>No</t>
        </is>
      </c>
      <c r="I2137" t="inlineStr">
        <is>
          <t>No</t>
        </is>
      </c>
      <c r="J2137" t="inlineStr">
        <is>
          <t>0</t>
        </is>
      </c>
      <c r="K2137" t="inlineStr">
        <is>
          <t>Teiwes, Frederick C.</t>
        </is>
      </c>
      <c r="L2137" t="inlineStr">
        <is>
          <t>Armonk, N.Y. : M.E. Sharpe, c1999.</t>
        </is>
      </c>
      <c r="M2137" t="inlineStr">
        <is>
          <t>1999</t>
        </is>
      </c>
      <c r="O2137" t="inlineStr">
        <is>
          <t>eng</t>
        </is>
      </c>
      <c r="P2137" t="inlineStr">
        <is>
          <t>nyu</t>
        </is>
      </c>
      <c r="Q2137" t="inlineStr">
        <is>
          <t>Contemporary China papers ; no. 24</t>
        </is>
      </c>
      <c r="R2137" t="inlineStr">
        <is>
          <t xml:space="preserve">DS </t>
        </is>
      </c>
      <c r="S2137" t="n">
        <v>4</v>
      </c>
      <c r="T2137" t="n">
        <v>4</v>
      </c>
      <c r="U2137" t="inlineStr">
        <is>
          <t>2001-11-16</t>
        </is>
      </c>
      <c r="V2137" t="inlineStr">
        <is>
          <t>2001-11-16</t>
        </is>
      </c>
      <c r="W2137" t="inlineStr">
        <is>
          <t>1999-01-11</t>
        </is>
      </c>
      <c r="X2137" t="inlineStr">
        <is>
          <t>1999-01-11</t>
        </is>
      </c>
      <c r="Y2137" t="n">
        <v>531</v>
      </c>
      <c r="Z2137" t="n">
        <v>433</v>
      </c>
      <c r="AA2137" t="n">
        <v>1471</v>
      </c>
      <c r="AB2137" t="n">
        <v>4</v>
      </c>
      <c r="AC2137" t="n">
        <v>7</v>
      </c>
      <c r="AD2137" t="n">
        <v>31</v>
      </c>
      <c r="AE2137" t="n">
        <v>41</v>
      </c>
      <c r="AF2137" t="n">
        <v>11</v>
      </c>
      <c r="AG2137" t="n">
        <v>16</v>
      </c>
      <c r="AH2137" t="n">
        <v>8</v>
      </c>
      <c r="AI2137" t="n">
        <v>9</v>
      </c>
      <c r="AJ2137" t="n">
        <v>17</v>
      </c>
      <c r="AK2137" t="n">
        <v>19</v>
      </c>
      <c r="AL2137" t="n">
        <v>3</v>
      </c>
      <c r="AM2137" t="n">
        <v>6</v>
      </c>
      <c r="AN2137" t="n">
        <v>0</v>
      </c>
      <c r="AO2137" t="n">
        <v>0</v>
      </c>
      <c r="AP2137" t="inlineStr">
        <is>
          <t>No</t>
        </is>
      </c>
      <c r="AQ2137" t="inlineStr">
        <is>
          <t>No</t>
        </is>
      </c>
      <c r="AS2137">
        <f>HYPERLINK("https://creighton-primo.hosted.exlibrisgroup.com/primo-explore/search?tab=default_tab&amp;search_scope=EVERYTHING&amp;vid=01CRU&amp;lang=en_US&amp;offset=0&amp;query=any,contains,991002922539702656","Catalog Record")</f>
        <v/>
      </c>
      <c r="AT2137">
        <f>HYPERLINK("http://www.worldcat.org/oclc/38842079","WorldCat Record")</f>
        <v/>
      </c>
      <c r="AU2137" t="inlineStr">
        <is>
          <t>799745841:eng</t>
        </is>
      </c>
      <c r="AV2137" t="inlineStr">
        <is>
          <t>38842079</t>
        </is>
      </c>
      <c r="AW2137" t="inlineStr">
        <is>
          <t>991002922539702656</t>
        </is>
      </c>
      <c r="AX2137" t="inlineStr">
        <is>
          <t>991002922539702656</t>
        </is>
      </c>
      <c r="AY2137" t="inlineStr">
        <is>
          <t>2256977810002656</t>
        </is>
      </c>
      <c r="AZ2137" t="inlineStr">
        <is>
          <t>BOOK</t>
        </is>
      </c>
      <c r="BB2137" t="inlineStr">
        <is>
          <t>9780765602015</t>
        </is>
      </c>
      <c r="BC2137" t="inlineStr">
        <is>
          <t>32285003511382</t>
        </is>
      </c>
      <c r="BD2137" t="inlineStr">
        <is>
          <t>893524204</t>
        </is>
      </c>
    </row>
    <row r="2138">
      <c r="A2138" t="inlineStr">
        <is>
          <t>No</t>
        </is>
      </c>
      <c r="B2138" t="inlineStr">
        <is>
          <t>DS777.75 .W65 1996</t>
        </is>
      </c>
      <c r="C2138" t="inlineStr">
        <is>
          <t>0                      DS 0777750W  65          1996</t>
        </is>
      </c>
      <c r="D2138" t="inlineStr">
        <is>
          <t>Red China blues : my long march from Mao to now / Jan Wong.</t>
        </is>
      </c>
      <c r="F2138" t="inlineStr">
        <is>
          <t>No</t>
        </is>
      </c>
      <c r="G2138" t="inlineStr">
        <is>
          <t>1</t>
        </is>
      </c>
      <c r="H2138" t="inlineStr">
        <is>
          <t>No</t>
        </is>
      </c>
      <c r="I2138" t="inlineStr">
        <is>
          <t>No</t>
        </is>
      </c>
      <c r="J2138" t="inlineStr">
        <is>
          <t>0</t>
        </is>
      </c>
      <c r="K2138" t="inlineStr">
        <is>
          <t>Wong, Jan.</t>
        </is>
      </c>
      <c r="L2138" t="inlineStr">
        <is>
          <t>Toronto ; New York : Doubleday/Anchor Books, 1996.</t>
        </is>
      </c>
      <c r="M2138" t="inlineStr">
        <is>
          <t>1996</t>
        </is>
      </c>
      <c r="N2138" t="inlineStr">
        <is>
          <t>1st Doubleday/Anchor Books ed.</t>
        </is>
      </c>
      <c r="O2138" t="inlineStr">
        <is>
          <t>eng</t>
        </is>
      </c>
      <c r="P2138" t="inlineStr">
        <is>
          <t>onc</t>
        </is>
      </c>
      <c r="R2138" t="inlineStr">
        <is>
          <t xml:space="preserve">DS </t>
        </is>
      </c>
      <c r="S2138" t="n">
        <v>5</v>
      </c>
      <c r="T2138" t="n">
        <v>5</v>
      </c>
      <c r="U2138" t="inlineStr">
        <is>
          <t>2005-02-01</t>
        </is>
      </c>
      <c r="V2138" t="inlineStr">
        <is>
          <t>2005-02-01</t>
        </is>
      </c>
      <c r="W2138" t="inlineStr">
        <is>
          <t>1996-10-01</t>
        </is>
      </c>
      <c r="X2138" t="inlineStr">
        <is>
          <t>1996-10-01</t>
        </is>
      </c>
      <c r="Y2138" t="n">
        <v>797</v>
      </c>
      <c r="Z2138" t="n">
        <v>641</v>
      </c>
      <c r="AA2138" t="n">
        <v>835</v>
      </c>
      <c r="AB2138" t="n">
        <v>9</v>
      </c>
      <c r="AC2138" t="n">
        <v>10</v>
      </c>
      <c r="AD2138" t="n">
        <v>19</v>
      </c>
      <c r="AE2138" t="n">
        <v>24</v>
      </c>
      <c r="AF2138" t="n">
        <v>5</v>
      </c>
      <c r="AG2138" t="n">
        <v>7</v>
      </c>
      <c r="AH2138" t="n">
        <v>5</v>
      </c>
      <c r="AI2138" t="n">
        <v>6</v>
      </c>
      <c r="AJ2138" t="n">
        <v>9</v>
      </c>
      <c r="AK2138" t="n">
        <v>11</v>
      </c>
      <c r="AL2138" t="n">
        <v>5</v>
      </c>
      <c r="AM2138" t="n">
        <v>6</v>
      </c>
      <c r="AN2138" t="n">
        <v>0</v>
      </c>
      <c r="AO2138" t="n">
        <v>0</v>
      </c>
      <c r="AP2138" t="inlineStr">
        <is>
          <t>No</t>
        </is>
      </c>
      <c r="AQ2138" t="inlineStr">
        <is>
          <t>Yes</t>
        </is>
      </c>
      <c r="AR2138">
        <f>HYPERLINK("http://catalog.hathitrust.org/Record/003063227","HathiTrust Record")</f>
        <v/>
      </c>
      <c r="AS2138">
        <f>HYPERLINK("https://creighton-primo.hosted.exlibrisgroup.com/primo-explore/search?tab=default_tab&amp;search_scope=EVERYTHING&amp;vid=01CRU&amp;lang=en_US&amp;offset=0&amp;query=any,contains,991002643809702656","Catalog Record")</f>
        <v/>
      </c>
      <c r="AT2138">
        <f>HYPERLINK("http://www.worldcat.org/oclc/34601210","WorldCat Record")</f>
        <v/>
      </c>
      <c r="AU2138" t="inlineStr">
        <is>
          <t>535732:eng</t>
        </is>
      </c>
      <c r="AV2138" t="inlineStr">
        <is>
          <t>34601210</t>
        </is>
      </c>
      <c r="AW2138" t="inlineStr">
        <is>
          <t>991002643809702656</t>
        </is>
      </c>
      <c r="AX2138" t="inlineStr">
        <is>
          <t>991002643809702656</t>
        </is>
      </c>
      <c r="AY2138" t="inlineStr">
        <is>
          <t>2267365840002656</t>
        </is>
      </c>
      <c r="AZ2138" t="inlineStr">
        <is>
          <t>BOOK</t>
        </is>
      </c>
      <c r="BB2138" t="inlineStr">
        <is>
          <t>9780385254908</t>
        </is>
      </c>
      <c r="BC2138" t="inlineStr">
        <is>
          <t>32285002321510</t>
        </is>
      </c>
      <c r="BD2138" t="inlineStr">
        <is>
          <t>893341666</t>
        </is>
      </c>
    </row>
    <row r="2139">
      <c r="A2139" t="inlineStr">
        <is>
          <t>No</t>
        </is>
      </c>
      <c r="B2139" t="inlineStr">
        <is>
          <t>DS777.8 .G37 1993</t>
        </is>
      </c>
      <c r="C2139" t="inlineStr">
        <is>
          <t>0                      DS 0777800G  37          1993</t>
        </is>
      </c>
      <c r="D2139" t="inlineStr">
        <is>
          <t>Foreign relations of the People's Republic of China / John W. Garver.</t>
        </is>
      </c>
      <c r="F2139" t="inlineStr">
        <is>
          <t>No</t>
        </is>
      </c>
      <c r="G2139" t="inlineStr">
        <is>
          <t>1</t>
        </is>
      </c>
      <c r="H2139" t="inlineStr">
        <is>
          <t>No</t>
        </is>
      </c>
      <c r="I2139" t="inlineStr">
        <is>
          <t>No</t>
        </is>
      </c>
      <c r="J2139" t="inlineStr">
        <is>
          <t>0</t>
        </is>
      </c>
      <c r="K2139" t="inlineStr">
        <is>
          <t>Garver, John W.</t>
        </is>
      </c>
      <c r="L2139" t="inlineStr">
        <is>
          <t>Englewood Cliffs, N.J. : Prentice Hall, c1993.</t>
        </is>
      </c>
      <c r="M2139" t="inlineStr">
        <is>
          <t>1993</t>
        </is>
      </c>
      <c r="O2139" t="inlineStr">
        <is>
          <t>eng</t>
        </is>
      </c>
      <c r="P2139" t="inlineStr">
        <is>
          <t>nju</t>
        </is>
      </c>
      <c r="R2139" t="inlineStr">
        <is>
          <t xml:space="preserve">DS </t>
        </is>
      </c>
      <c r="S2139" t="n">
        <v>9</v>
      </c>
      <c r="T2139" t="n">
        <v>9</v>
      </c>
      <c r="U2139" t="inlineStr">
        <is>
          <t>2006-04-18</t>
        </is>
      </c>
      <c r="V2139" t="inlineStr">
        <is>
          <t>2006-04-18</t>
        </is>
      </c>
      <c r="W2139" t="inlineStr">
        <is>
          <t>1993-03-24</t>
        </is>
      </c>
      <c r="X2139" t="inlineStr">
        <is>
          <t>1993-03-24</t>
        </is>
      </c>
      <c r="Y2139" t="n">
        <v>222</v>
      </c>
      <c r="Z2139" t="n">
        <v>145</v>
      </c>
      <c r="AA2139" t="n">
        <v>152</v>
      </c>
      <c r="AB2139" t="n">
        <v>1</v>
      </c>
      <c r="AC2139" t="n">
        <v>1</v>
      </c>
      <c r="AD2139" t="n">
        <v>8</v>
      </c>
      <c r="AE2139" t="n">
        <v>8</v>
      </c>
      <c r="AF2139" t="n">
        <v>1</v>
      </c>
      <c r="AG2139" t="n">
        <v>1</v>
      </c>
      <c r="AH2139" t="n">
        <v>3</v>
      </c>
      <c r="AI2139" t="n">
        <v>3</v>
      </c>
      <c r="AJ2139" t="n">
        <v>4</v>
      </c>
      <c r="AK2139" t="n">
        <v>4</v>
      </c>
      <c r="AL2139" t="n">
        <v>0</v>
      </c>
      <c r="AM2139" t="n">
        <v>0</v>
      </c>
      <c r="AN2139" t="n">
        <v>1</v>
      </c>
      <c r="AO2139" t="n">
        <v>1</v>
      </c>
      <c r="AP2139" t="inlineStr">
        <is>
          <t>No</t>
        </is>
      </c>
      <c r="AQ2139" t="inlineStr">
        <is>
          <t>Yes</t>
        </is>
      </c>
      <c r="AR2139">
        <f>HYPERLINK("http://catalog.hathitrust.org/Record/002706525","HathiTrust Record")</f>
        <v/>
      </c>
      <c r="AS2139">
        <f>HYPERLINK("https://creighton-primo.hosted.exlibrisgroup.com/primo-explore/search?tab=default_tab&amp;search_scope=EVERYTHING&amp;vid=01CRU&amp;lang=en_US&amp;offset=0&amp;query=any,contains,991002069429702656","Catalog Record")</f>
        <v/>
      </c>
      <c r="AT2139">
        <f>HYPERLINK("http://www.worldcat.org/oclc/26504189","WorldCat Record")</f>
        <v/>
      </c>
      <c r="AU2139" t="inlineStr">
        <is>
          <t>28640401:eng</t>
        </is>
      </c>
      <c r="AV2139" t="inlineStr">
        <is>
          <t>26504189</t>
        </is>
      </c>
      <c r="AW2139" t="inlineStr">
        <is>
          <t>991002069429702656</t>
        </is>
      </c>
      <c r="AX2139" t="inlineStr">
        <is>
          <t>991002069429702656</t>
        </is>
      </c>
      <c r="AY2139" t="inlineStr">
        <is>
          <t>2255065430002656</t>
        </is>
      </c>
      <c r="AZ2139" t="inlineStr">
        <is>
          <t>BOOK</t>
        </is>
      </c>
      <c r="BB2139" t="inlineStr">
        <is>
          <t>9780133264142</t>
        </is>
      </c>
      <c r="BC2139" t="inlineStr">
        <is>
          <t>32285001498327</t>
        </is>
      </c>
      <c r="BD2139" t="inlineStr">
        <is>
          <t>893503989</t>
        </is>
      </c>
    </row>
    <row r="2140">
      <c r="A2140" t="inlineStr">
        <is>
          <t>No</t>
        </is>
      </c>
      <c r="B2140" t="inlineStr">
        <is>
          <t>DS777.8 .G87</t>
        </is>
      </c>
      <c r="C2140" t="inlineStr">
        <is>
          <t>0                      DS 0777800G  87</t>
        </is>
      </c>
      <c r="D2140" t="inlineStr">
        <is>
          <t>China under threat : the politics of strategy and diplomacy / Melvin Gurtov and Byong-Moo Hwang.</t>
        </is>
      </c>
      <c r="F2140" t="inlineStr">
        <is>
          <t>No</t>
        </is>
      </c>
      <c r="G2140" t="inlineStr">
        <is>
          <t>1</t>
        </is>
      </c>
      <c r="H2140" t="inlineStr">
        <is>
          <t>No</t>
        </is>
      </c>
      <c r="I2140" t="inlineStr">
        <is>
          <t>No</t>
        </is>
      </c>
      <c r="J2140" t="inlineStr">
        <is>
          <t>0</t>
        </is>
      </c>
      <c r="K2140" t="inlineStr">
        <is>
          <t>Gurtov, Melvin.</t>
        </is>
      </c>
      <c r="L2140" t="inlineStr">
        <is>
          <t>Baltimore : Johns Hopkins University Press, c1980.</t>
        </is>
      </c>
      <c r="M2140" t="inlineStr">
        <is>
          <t>1980</t>
        </is>
      </c>
      <c r="O2140" t="inlineStr">
        <is>
          <t>eng</t>
        </is>
      </c>
      <c r="P2140" t="inlineStr">
        <is>
          <t>mdu</t>
        </is>
      </c>
      <c r="R2140" t="inlineStr">
        <is>
          <t xml:space="preserve">DS </t>
        </is>
      </c>
      <c r="S2140" t="n">
        <v>3</v>
      </c>
      <c r="T2140" t="n">
        <v>3</v>
      </c>
      <c r="U2140" t="inlineStr">
        <is>
          <t>2004-11-05</t>
        </is>
      </c>
      <c r="V2140" t="inlineStr">
        <is>
          <t>2004-11-05</t>
        </is>
      </c>
      <c r="W2140" t="inlineStr">
        <is>
          <t>1990-10-19</t>
        </is>
      </c>
      <c r="X2140" t="inlineStr">
        <is>
          <t>1990-10-19</t>
        </is>
      </c>
      <c r="Y2140" t="n">
        <v>519</v>
      </c>
      <c r="Z2140" t="n">
        <v>416</v>
      </c>
      <c r="AA2140" t="n">
        <v>418</v>
      </c>
      <c r="AB2140" t="n">
        <v>3</v>
      </c>
      <c r="AC2140" t="n">
        <v>3</v>
      </c>
      <c r="AD2140" t="n">
        <v>20</v>
      </c>
      <c r="AE2140" t="n">
        <v>20</v>
      </c>
      <c r="AF2140" t="n">
        <v>7</v>
      </c>
      <c r="AG2140" t="n">
        <v>7</v>
      </c>
      <c r="AH2140" t="n">
        <v>4</v>
      </c>
      <c r="AI2140" t="n">
        <v>4</v>
      </c>
      <c r="AJ2140" t="n">
        <v>10</v>
      </c>
      <c r="AK2140" t="n">
        <v>10</v>
      </c>
      <c r="AL2140" t="n">
        <v>2</v>
      </c>
      <c r="AM2140" t="n">
        <v>2</v>
      </c>
      <c r="AN2140" t="n">
        <v>1</v>
      </c>
      <c r="AO2140" t="n">
        <v>1</v>
      </c>
      <c r="AP2140" t="inlineStr">
        <is>
          <t>No</t>
        </is>
      </c>
      <c r="AQ2140" t="inlineStr">
        <is>
          <t>Yes</t>
        </is>
      </c>
      <c r="AR2140">
        <f>HYPERLINK("http://catalog.hathitrust.org/Record/000128543","HathiTrust Record")</f>
        <v/>
      </c>
      <c r="AS2140">
        <f>HYPERLINK("https://creighton-primo.hosted.exlibrisgroup.com/primo-explore/search?tab=default_tab&amp;search_scope=EVERYTHING&amp;vid=01CRU&amp;lang=en_US&amp;offset=0&amp;query=any,contains,991004978769702656","Catalog Record")</f>
        <v/>
      </c>
      <c r="AT2140">
        <f>HYPERLINK("http://www.worldcat.org/oclc/6420759","WorldCat Record")</f>
        <v/>
      </c>
      <c r="AU2140" t="inlineStr">
        <is>
          <t>203267009:eng</t>
        </is>
      </c>
      <c r="AV2140" t="inlineStr">
        <is>
          <t>6420759</t>
        </is>
      </c>
      <c r="AW2140" t="inlineStr">
        <is>
          <t>991004978769702656</t>
        </is>
      </c>
      <c r="AX2140" t="inlineStr">
        <is>
          <t>991004978769702656</t>
        </is>
      </c>
      <c r="AY2140" t="inlineStr">
        <is>
          <t>2267115220002656</t>
        </is>
      </c>
      <c r="AZ2140" t="inlineStr">
        <is>
          <t>BOOK</t>
        </is>
      </c>
      <c r="BB2140" t="inlineStr">
        <is>
          <t>9780801823978</t>
        </is>
      </c>
      <c r="BC2140" t="inlineStr">
        <is>
          <t>32285000339019</t>
        </is>
      </c>
      <c r="BD2140" t="inlineStr">
        <is>
          <t>893532993</t>
        </is>
      </c>
    </row>
    <row r="2141">
      <c r="A2141" t="inlineStr">
        <is>
          <t>No</t>
        </is>
      </c>
      <c r="B2141" t="inlineStr">
        <is>
          <t>DS777.8 .Z43 1996</t>
        </is>
      </c>
      <c r="C2141" t="inlineStr">
        <is>
          <t>0                      DS 0777800Z  43          1996</t>
        </is>
      </c>
      <c r="D2141" t="inlineStr">
        <is>
          <t>Interpreting Chinese foreign policy : the micro-macro linkage approach / Quansheng Zhao.</t>
        </is>
      </c>
      <c r="F2141" t="inlineStr">
        <is>
          <t>No</t>
        </is>
      </c>
      <c r="G2141" t="inlineStr">
        <is>
          <t>1</t>
        </is>
      </c>
      <c r="H2141" t="inlineStr">
        <is>
          <t>No</t>
        </is>
      </c>
      <c r="I2141" t="inlineStr">
        <is>
          <t>No</t>
        </is>
      </c>
      <c r="J2141" t="inlineStr">
        <is>
          <t>0</t>
        </is>
      </c>
      <c r="K2141" t="inlineStr">
        <is>
          <t>Zhao, Quansheng.</t>
        </is>
      </c>
      <c r="L2141" t="inlineStr">
        <is>
          <t>Hong Kong ; New York : Oxford University Press, 1996.</t>
        </is>
      </c>
      <c r="M2141" t="inlineStr">
        <is>
          <t>1996</t>
        </is>
      </c>
      <c r="O2141" t="inlineStr">
        <is>
          <t>eng</t>
        </is>
      </c>
      <c r="P2141" t="inlineStr">
        <is>
          <t>nyu</t>
        </is>
      </c>
      <c r="R2141" t="inlineStr">
        <is>
          <t xml:space="preserve">DS </t>
        </is>
      </c>
      <c r="S2141" t="n">
        <v>5</v>
      </c>
      <c r="T2141" t="n">
        <v>5</v>
      </c>
      <c r="U2141" t="inlineStr">
        <is>
          <t>2007-04-12</t>
        </is>
      </c>
      <c r="V2141" t="inlineStr">
        <is>
          <t>2007-04-12</t>
        </is>
      </c>
      <c r="W2141" t="inlineStr">
        <is>
          <t>1997-01-13</t>
        </is>
      </c>
      <c r="X2141" t="inlineStr">
        <is>
          <t>1997-01-13</t>
        </is>
      </c>
      <c r="Y2141" t="n">
        <v>314</v>
      </c>
      <c r="Z2141" t="n">
        <v>223</v>
      </c>
      <c r="AA2141" t="n">
        <v>229</v>
      </c>
      <c r="AB2141" t="n">
        <v>2</v>
      </c>
      <c r="AC2141" t="n">
        <v>2</v>
      </c>
      <c r="AD2141" t="n">
        <v>16</v>
      </c>
      <c r="AE2141" t="n">
        <v>16</v>
      </c>
      <c r="AF2141" t="n">
        <v>4</v>
      </c>
      <c r="AG2141" t="n">
        <v>4</v>
      </c>
      <c r="AH2141" t="n">
        <v>7</v>
      </c>
      <c r="AI2141" t="n">
        <v>7</v>
      </c>
      <c r="AJ2141" t="n">
        <v>8</v>
      </c>
      <c r="AK2141" t="n">
        <v>8</v>
      </c>
      <c r="AL2141" t="n">
        <v>1</v>
      </c>
      <c r="AM2141" t="n">
        <v>1</v>
      </c>
      <c r="AN2141" t="n">
        <v>0</v>
      </c>
      <c r="AO2141" t="n">
        <v>0</v>
      </c>
      <c r="AP2141" t="inlineStr">
        <is>
          <t>No</t>
        </is>
      </c>
      <c r="AQ2141" t="inlineStr">
        <is>
          <t>No</t>
        </is>
      </c>
      <c r="AS2141">
        <f>HYPERLINK("https://creighton-primo.hosted.exlibrisgroup.com/primo-explore/search?tab=default_tab&amp;search_scope=EVERYTHING&amp;vid=01CRU&amp;lang=en_US&amp;offset=0&amp;query=any,contains,991002641799702656","Catalog Record")</f>
        <v/>
      </c>
      <c r="AT2141">
        <f>HYPERLINK("http://www.worldcat.org/oclc/34583832","WorldCat Record")</f>
        <v/>
      </c>
      <c r="AU2141" t="inlineStr">
        <is>
          <t>24132826:eng</t>
        </is>
      </c>
      <c r="AV2141" t="inlineStr">
        <is>
          <t>34583832</t>
        </is>
      </c>
      <c r="AW2141" t="inlineStr">
        <is>
          <t>991002641799702656</t>
        </is>
      </c>
      <c r="AX2141" t="inlineStr">
        <is>
          <t>991002641799702656</t>
        </is>
      </c>
      <c r="AY2141" t="inlineStr">
        <is>
          <t>2265174600002656</t>
        </is>
      </c>
      <c r="AZ2141" t="inlineStr">
        <is>
          <t>BOOK</t>
        </is>
      </c>
      <c r="BB2141" t="inlineStr">
        <is>
          <t>9780195874297</t>
        </is>
      </c>
      <c r="BC2141" t="inlineStr">
        <is>
          <t>32285002406675</t>
        </is>
      </c>
      <c r="BD2141" t="inlineStr">
        <is>
          <t>893245432</t>
        </is>
      </c>
    </row>
    <row r="2142">
      <c r="A2142" t="inlineStr">
        <is>
          <t>No</t>
        </is>
      </c>
      <c r="B2142" t="inlineStr">
        <is>
          <t>DS778.7 .B87 1982</t>
        </is>
      </c>
      <c r="C2142" t="inlineStr">
        <is>
          <t>0                      DS 0778700B  87          1982</t>
        </is>
      </c>
      <c r="D2142" t="inlineStr">
        <is>
          <t>China, alive in the bitter sea / Fox Butterfield.</t>
        </is>
      </c>
      <c r="F2142" t="inlineStr">
        <is>
          <t>No</t>
        </is>
      </c>
      <c r="G2142" t="inlineStr">
        <is>
          <t>1</t>
        </is>
      </c>
      <c r="H2142" t="inlineStr">
        <is>
          <t>No</t>
        </is>
      </c>
      <c r="I2142" t="inlineStr">
        <is>
          <t>No</t>
        </is>
      </c>
      <c r="J2142" t="inlineStr">
        <is>
          <t>0</t>
        </is>
      </c>
      <c r="K2142" t="inlineStr">
        <is>
          <t>Butterfield, Fox.</t>
        </is>
      </c>
      <c r="L2142" t="inlineStr">
        <is>
          <t>New York, N.Y. : Times Books, c1982.</t>
        </is>
      </c>
      <c r="M2142" t="inlineStr">
        <is>
          <t>1982</t>
        </is>
      </c>
      <c r="O2142" t="inlineStr">
        <is>
          <t>eng</t>
        </is>
      </c>
      <c r="P2142" t="inlineStr">
        <is>
          <t>nyu</t>
        </is>
      </c>
      <c r="R2142" t="inlineStr">
        <is>
          <t xml:space="preserve">DS </t>
        </is>
      </c>
      <c r="S2142" t="n">
        <v>3</v>
      </c>
      <c r="T2142" t="n">
        <v>3</v>
      </c>
      <c r="U2142" t="inlineStr">
        <is>
          <t>2005-12-01</t>
        </is>
      </c>
      <c r="V2142" t="inlineStr">
        <is>
          <t>2005-12-01</t>
        </is>
      </c>
      <c r="W2142" t="inlineStr">
        <is>
          <t>1990-08-09</t>
        </is>
      </c>
      <c r="X2142" t="inlineStr">
        <is>
          <t>1990-08-09</t>
        </is>
      </c>
      <c r="Y2142" t="n">
        <v>1417</v>
      </c>
      <c r="Z2142" t="n">
        <v>1328</v>
      </c>
      <c r="AA2142" t="n">
        <v>1730</v>
      </c>
      <c r="AB2142" t="n">
        <v>8</v>
      </c>
      <c r="AC2142" t="n">
        <v>11</v>
      </c>
      <c r="AD2142" t="n">
        <v>35</v>
      </c>
      <c r="AE2142" t="n">
        <v>45</v>
      </c>
      <c r="AF2142" t="n">
        <v>14</v>
      </c>
      <c r="AG2142" t="n">
        <v>19</v>
      </c>
      <c r="AH2142" t="n">
        <v>6</v>
      </c>
      <c r="AI2142" t="n">
        <v>8</v>
      </c>
      <c r="AJ2142" t="n">
        <v>16</v>
      </c>
      <c r="AK2142" t="n">
        <v>22</v>
      </c>
      <c r="AL2142" t="n">
        <v>6</v>
      </c>
      <c r="AM2142" t="n">
        <v>8</v>
      </c>
      <c r="AN2142" t="n">
        <v>0</v>
      </c>
      <c r="AO2142" t="n">
        <v>0</v>
      </c>
      <c r="AP2142" t="inlineStr">
        <is>
          <t>No</t>
        </is>
      </c>
      <c r="AQ2142" t="inlineStr">
        <is>
          <t>Yes</t>
        </is>
      </c>
      <c r="AR2142">
        <f>HYPERLINK("http://catalog.hathitrust.org/Record/000761296","HathiTrust Record")</f>
        <v/>
      </c>
      <c r="AS2142">
        <f>HYPERLINK("https://creighton-primo.hosted.exlibrisgroup.com/primo-explore/search?tab=default_tab&amp;search_scope=EVERYTHING&amp;vid=01CRU&amp;lang=en_US&amp;offset=0&amp;query=any,contains,991005225189702656","Catalog Record")</f>
        <v/>
      </c>
      <c r="AT2142">
        <f>HYPERLINK("http://www.worldcat.org/oclc/8280788","WorldCat Record")</f>
        <v/>
      </c>
      <c r="AU2142" t="inlineStr">
        <is>
          <t>3746923:eng</t>
        </is>
      </c>
      <c r="AV2142" t="inlineStr">
        <is>
          <t>8280788</t>
        </is>
      </c>
      <c r="AW2142" t="inlineStr">
        <is>
          <t>991005225189702656</t>
        </is>
      </c>
      <c r="AX2142" t="inlineStr">
        <is>
          <t>991005225189702656</t>
        </is>
      </c>
      <c r="AY2142" t="inlineStr">
        <is>
          <t>2257408510002656</t>
        </is>
      </c>
      <c r="AZ2142" t="inlineStr">
        <is>
          <t>BOOK</t>
        </is>
      </c>
      <c r="BB2142" t="inlineStr">
        <is>
          <t>9780812909272</t>
        </is>
      </c>
      <c r="BC2142" t="inlineStr">
        <is>
          <t>32285000272814</t>
        </is>
      </c>
      <c r="BD2142" t="inlineStr">
        <is>
          <t>893613334</t>
        </is>
      </c>
    </row>
    <row r="2143">
      <c r="A2143" t="inlineStr">
        <is>
          <t>No</t>
        </is>
      </c>
      <c r="B2143" t="inlineStr">
        <is>
          <t>DS778.7 .T76 1986</t>
        </is>
      </c>
      <c r="C2143" t="inlineStr">
        <is>
          <t>0                      DS 0778700T  76          1986</t>
        </is>
      </c>
      <c r="D2143" t="inlineStr">
        <is>
          <t>The Cultural Revolution and post-Mao reforms : a historical perspective / Tang Tsou.</t>
        </is>
      </c>
      <c r="F2143" t="inlineStr">
        <is>
          <t>No</t>
        </is>
      </c>
      <c r="G2143" t="inlineStr">
        <is>
          <t>1</t>
        </is>
      </c>
      <c r="H2143" t="inlineStr">
        <is>
          <t>No</t>
        </is>
      </c>
      <c r="I2143" t="inlineStr">
        <is>
          <t>No</t>
        </is>
      </c>
      <c r="J2143" t="inlineStr">
        <is>
          <t>0</t>
        </is>
      </c>
      <c r="K2143" t="inlineStr">
        <is>
          <t>Tsou, Tang, 1918-1999.</t>
        </is>
      </c>
      <c r="L2143" t="inlineStr">
        <is>
          <t>Chicago : University of Chicago Press, c1986.</t>
        </is>
      </c>
      <c r="M2143" t="inlineStr">
        <is>
          <t>1986</t>
        </is>
      </c>
      <c r="O2143" t="inlineStr">
        <is>
          <t>eng</t>
        </is>
      </c>
      <c r="P2143" t="inlineStr">
        <is>
          <t>ilu</t>
        </is>
      </c>
      <c r="R2143" t="inlineStr">
        <is>
          <t xml:space="preserve">DS </t>
        </is>
      </c>
      <c r="S2143" t="n">
        <v>4</v>
      </c>
      <c r="T2143" t="n">
        <v>4</v>
      </c>
      <c r="U2143" t="inlineStr">
        <is>
          <t>2005-12-06</t>
        </is>
      </c>
      <c r="V2143" t="inlineStr">
        <is>
          <t>2005-12-06</t>
        </is>
      </c>
      <c r="W2143" t="inlineStr">
        <is>
          <t>1990-10-19</t>
        </is>
      </c>
      <c r="X2143" t="inlineStr">
        <is>
          <t>1990-10-19</t>
        </is>
      </c>
      <c r="Y2143" t="n">
        <v>636</v>
      </c>
      <c r="Z2143" t="n">
        <v>511</v>
      </c>
      <c r="AA2143" t="n">
        <v>516</v>
      </c>
      <c r="AB2143" t="n">
        <v>5</v>
      </c>
      <c r="AC2143" t="n">
        <v>5</v>
      </c>
      <c r="AD2143" t="n">
        <v>33</v>
      </c>
      <c r="AE2143" t="n">
        <v>33</v>
      </c>
      <c r="AF2143" t="n">
        <v>14</v>
      </c>
      <c r="AG2143" t="n">
        <v>14</v>
      </c>
      <c r="AH2143" t="n">
        <v>8</v>
      </c>
      <c r="AI2143" t="n">
        <v>8</v>
      </c>
      <c r="AJ2143" t="n">
        <v>17</v>
      </c>
      <c r="AK2143" t="n">
        <v>17</v>
      </c>
      <c r="AL2143" t="n">
        <v>4</v>
      </c>
      <c r="AM2143" t="n">
        <v>4</v>
      </c>
      <c r="AN2143" t="n">
        <v>1</v>
      </c>
      <c r="AO2143" t="n">
        <v>1</v>
      </c>
      <c r="AP2143" t="inlineStr">
        <is>
          <t>No</t>
        </is>
      </c>
      <c r="AQ2143" t="inlineStr">
        <is>
          <t>No</t>
        </is>
      </c>
      <c r="AS2143">
        <f>HYPERLINK("https://creighton-primo.hosted.exlibrisgroup.com/primo-explore/search?tab=default_tab&amp;search_scope=EVERYTHING&amp;vid=01CRU&amp;lang=en_US&amp;offset=0&amp;query=any,contains,991000640529702656","Catalog Record")</f>
        <v/>
      </c>
      <c r="AT2143">
        <f>HYPERLINK("http://www.worldcat.org/oclc/12104016","WorldCat Record")</f>
        <v/>
      </c>
      <c r="AU2143" t="inlineStr">
        <is>
          <t>869303847:eng</t>
        </is>
      </c>
      <c r="AV2143" t="inlineStr">
        <is>
          <t>12104016</t>
        </is>
      </c>
      <c r="AW2143" t="inlineStr">
        <is>
          <t>991000640529702656</t>
        </is>
      </c>
      <c r="AX2143" t="inlineStr">
        <is>
          <t>991000640529702656</t>
        </is>
      </c>
      <c r="AY2143" t="inlineStr">
        <is>
          <t>2260064250002656</t>
        </is>
      </c>
      <c r="AZ2143" t="inlineStr">
        <is>
          <t>BOOK</t>
        </is>
      </c>
      <c r="BB2143" t="inlineStr">
        <is>
          <t>9780226815138</t>
        </is>
      </c>
      <c r="BC2143" t="inlineStr">
        <is>
          <t>32285000339100</t>
        </is>
      </c>
      <c r="BD2143" t="inlineStr">
        <is>
          <t>893784407</t>
        </is>
      </c>
    </row>
    <row r="2144">
      <c r="A2144" t="inlineStr">
        <is>
          <t>No</t>
        </is>
      </c>
      <c r="B2144" t="inlineStr">
        <is>
          <t>DS778.A1 E4 1971</t>
        </is>
      </c>
      <c r="C2144" t="inlineStr">
        <is>
          <t>0                      DS 0778000A  1                  E  4           1971</t>
        </is>
      </c>
      <c r="D2144" t="inlineStr">
        <is>
          <t>China's Red masters : political biographies of the Chinese Communist leaders / [by] Robert S. Elegant.</t>
        </is>
      </c>
      <c r="F2144" t="inlineStr">
        <is>
          <t>No</t>
        </is>
      </c>
      <c r="G2144" t="inlineStr">
        <is>
          <t>1</t>
        </is>
      </c>
      <c r="H2144" t="inlineStr">
        <is>
          <t>No</t>
        </is>
      </c>
      <c r="I2144" t="inlineStr">
        <is>
          <t>No</t>
        </is>
      </c>
      <c r="J2144" t="inlineStr">
        <is>
          <t>0</t>
        </is>
      </c>
      <c r="K2144" t="inlineStr">
        <is>
          <t>Elegant, Robert S.</t>
        </is>
      </c>
      <c r="L2144" t="inlineStr">
        <is>
          <t>Westport, Conn. : Greenwood Press, [1971, c1951]</t>
        </is>
      </c>
      <c r="M2144" t="inlineStr">
        <is>
          <t>1971</t>
        </is>
      </c>
      <c r="O2144" t="inlineStr">
        <is>
          <t>eng</t>
        </is>
      </c>
      <c r="P2144" t="inlineStr">
        <is>
          <t>ctu</t>
        </is>
      </c>
      <c r="R2144" t="inlineStr">
        <is>
          <t xml:space="preserve">DS </t>
        </is>
      </c>
      <c r="S2144" t="n">
        <v>2</v>
      </c>
      <c r="T2144" t="n">
        <v>2</v>
      </c>
      <c r="U2144" t="inlineStr">
        <is>
          <t>2007-10-29</t>
        </is>
      </c>
      <c r="V2144" t="inlineStr">
        <is>
          <t>2007-10-29</t>
        </is>
      </c>
      <c r="W2144" t="inlineStr">
        <is>
          <t>1993-11-18</t>
        </is>
      </c>
      <c r="X2144" t="inlineStr">
        <is>
          <t>1993-11-18</t>
        </is>
      </c>
      <c r="Y2144" t="n">
        <v>164</v>
      </c>
      <c r="Z2144" t="n">
        <v>129</v>
      </c>
      <c r="AA2144" t="n">
        <v>487</v>
      </c>
      <c r="AB2144" t="n">
        <v>4</v>
      </c>
      <c r="AC2144" t="n">
        <v>5</v>
      </c>
      <c r="AD2144" t="n">
        <v>12</v>
      </c>
      <c r="AE2144" t="n">
        <v>23</v>
      </c>
      <c r="AF2144" t="n">
        <v>2</v>
      </c>
      <c r="AG2144" t="n">
        <v>7</v>
      </c>
      <c r="AH2144" t="n">
        <v>3</v>
      </c>
      <c r="AI2144" t="n">
        <v>5</v>
      </c>
      <c r="AJ2144" t="n">
        <v>5</v>
      </c>
      <c r="AK2144" t="n">
        <v>10</v>
      </c>
      <c r="AL2144" t="n">
        <v>3</v>
      </c>
      <c r="AM2144" t="n">
        <v>4</v>
      </c>
      <c r="AN2144" t="n">
        <v>0</v>
      </c>
      <c r="AO2144" t="n">
        <v>0</v>
      </c>
      <c r="AP2144" t="inlineStr">
        <is>
          <t>No</t>
        </is>
      </c>
      <c r="AQ2144" t="inlineStr">
        <is>
          <t>Yes</t>
        </is>
      </c>
      <c r="AR2144">
        <f>HYPERLINK("http://catalog.hathitrust.org/Record/009813223","HathiTrust Record")</f>
        <v/>
      </c>
      <c r="AS2144">
        <f>HYPERLINK("https://creighton-primo.hosted.exlibrisgroup.com/primo-explore/search?tab=default_tab&amp;search_scope=EVERYTHING&amp;vid=01CRU&amp;lang=en_US&amp;offset=0&amp;query=any,contains,991001229889702656","Catalog Record")</f>
        <v/>
      </c>
      <c r="AT2144">
        <f>HYPERLINK("http://www.worldcat.org/oclc/202621","WorldCat Record")</f>
        <v/>
      </c>
      <c r="AU2144" t="inlineStr">
        <is>
          <t>796637598:eng</t>
        </is>
      </c>
      <c r="AV2144" t="inlineStr">
        <is>
          <t>202621</t>
        </is>
      </c>
      <c r="AW2144" t="inlineStr">
        <is>
          <t>991001229889702656</t>
        </is>
      </c>
      <c r="AX2144" t="inlineStr">
        <is>
          <t>991001229889702656</t>
        </is>
      </c>
      <c r="AY2144" t="inlineStr">
        <is>
          <t>2258750550002656</t>
        </is>
      </c>
      <c r="AZ2144" t="inlineStr">
        <is>
          <t>BOOK</t>
        </is>
      </c>
      <c r="BB2144" t="inlineStr">
        <is>
          <t>9780837152158</t>
        </is>
      </c>
      <c r="BC2144" t="inlineStr">
        <is>
          <t>32285001799625</t>
        </is>
      </c>
      <c r="BD2144" t="inlineStr">
        <is>
          <t>893237959</t>
        </is>
      </c>
    </row>
    <row r="2145">
      <c r="A2145" t="inlineStr">
        <is>
          <t>No</t>
        </is>
      </c>
      <c r="B2145" t="inlineStr">
        <is>
          <t>DS778.A1 S426 1992</t>
        </is>
      </c>
      <c r="C2145" t="inlineStr">
        <is>
          <t>0                      DS 0778000A  1                  S  426         1992</t>
        </is>
      </c>
      <c r="D2145" t="inlineStr">
        <is>
          <t>The new emperors : China in the era of Mao and Deng / Harrison E. Salisbury.</t>
        </is>
      </c>
      <c r="F2145" t="inlineStr">
        <is>
          <t>No</t>
        </is>
      </c>
      <c r="G2145" t="inlineStr">
        <is>
          <t>1</t>
        </is>
      </c>
      <c r="H2145" t="inlineStr">
        <is>
          <t>No</t>
        </is>
      </c>
      <c r="I2145" t="inlineStr">
        <is>
          <t>No</t>
        </is>
      </c>
      <c r="J2145" t="inlineStr">
        <is>
          <t>0</t>
        </is>
      </c>
      <c r="K2145" t="inlineStr">
        <is>
          <t>Salisbury, Harrison E. (Harrison Evans), 1908-1993.</t>
        </is>
      </c>
      <c r="L2145" t="inlineStr">
        <is>
          <t>Boston : Little, Brown, c1992.</t>
        </is>
      </c>
      <c r="M2145" t="inlineStr">
        <is>
          <t>1992</t>
        </is>
      </c>
      <c r="N2145" t="inlineStr">
        <is>
          <t>1st ed.</t>
        </is>
      </c>
      <c r="O2145" t="inlineStr">
        <is>
          <t>eng</t>
        </is>
      </c>
      <c r="P2145" t="inlineStr">
        <is>
          <t>mau</t>
        </is>
      </c>
      <c r="R2145" t="inlineStr">
        <is>
          <t xml:space="preserve">DS </t>
        </is>
      </c>
      <c r="S2145" t="n">
        <v>8</v>
      </c>
      <c r="T2145" t="n">
        <v>8</v>
      </c>
      <c r="U2145" t="inlineStr">
        <is>
          <t>2006-10-30</t>
        </is>
      </c>
      <c r="V2145" t="inlineStr">
        <is>
          <t>2006-10-30</t>
        </is>
      </c>
      <c r="W2145" t="inlineStr">
        <is>
          <t>1992-05-14</t>
        </is>
      </c>
      <c r="X2145" t="inlineStr">
        <is>
          <t>1992-05-14</t>
        </is>
      </c>
      <c r="Y2145" t="n">
        <v>1433</v>
      </c>
      <c r="Z2145" t="n">
        <v>1315</v>
      </c>
      <c r="AA2145" t="n">
        <v>1417</v>
      </c>
      <c r="AB2145" t="n">
        <v>9</v>
      </c>
      <c r="AC2145" t="n">
        <v>10</v>
      </c>
      <c r="AD2145" t="n">
        <v>36</v>
      </c>
      <c r="AE2145" t="n">
        <v>40</v>
      </c>
      <c r="AF2145" t="n">
        <v>13</v>
      </c>
      <c r="AG2145" t="n">
        <v>14</v>
      </c>
      <c r="AH2145" t="n">
        <v>6</v>
      </c>
      <c r="AI2145" t="n">
        <v>8</v>
      </c>
      <c r="AJ2145" t="n">
        <v>17</v>
      </c>
      <c r="AK2145" t="n">
        <v>18</v>
      </c>
      <c r="AL2145" t="n">
        <v>7</v>
      </c>
      <c r="AM2145" t="n">
        <v>8</v>
      </c>
      <c r="AN2145" t="n">
        <v>0</v>
      </c>
      <c r="AO2145" t="n">
        <v>0</v>
      </c>
      <c r="AP2145" t="inlineStr">
        <is>
          <t>No</t>
        </is>
      </c>
      <c r="AQ2145" t="inlineStr">
        <is>
          <t>No</t>
        </is>
      </c>
      <c r="AS2145">
        <f>HYPERLINK("https://creighton-primo.hosted.exlibrisgroup.com/primo-explore/search?tab=default_tab&amp;search_scope=EVERYTHING&amp;vid=01CRU&amp;lang=en_US&amp;offset=0&amp;query=any,contains,991001934669702656","Catalog Record")</f>
        <v/>
      </c>
      <c r="AT2145">
        <f>HYPERLINK("http://www.worldcat.org/oclc/24430377","WorldCat Record")</f>
        <v/>
      </c>
      <c r="AU2145" t="inlineStr">
        <is>
          <t>57894823:eng</t>
        </is>
      </c>
      <c r="AV2145" t="inlineStr">
        <is>
          <t>24430377</t>
        </is>
      </c>
      <c r="AW2145" t="inlineStr">
        <is>
          <t>991001934669702656</t>
        </is>
      </c>
      <c r="AX2145" t="inlineStr">
        <is>
          <t>991001934669702656</t>
        </is>
      </c>
      <c r="AY2145" t="inlineStr">
        <is>
          <t>2268076380002656</t>
        </is>
      </c>
      <c r="AZ2145" t="inlineStr">
        <is>
          <t>BOOK</t>
        </is>
      </c>
      <c r="BB2145" t="inlineStr">
        <is>
          <t>9780316809108</t>
        </is>
      </c>
      <c r="BC2145" t="inlineStr">
        <is>
          <t>32285001115020</t>
        </is>
      </c>
      <c r="BD2145" t="inlineStr">
        <is>
          <t>893352069</t>
        </is>
      </c>
    </row>
    <row r="2146">
      <c r="A2146" t="inlineStr">
        <is>
          <t>No</t>
        </is>
      </c>
      <c r="B2146" t="inlineStr">
        <is>
          <t>DS778.A2 C467 1996</t>
        </is>
      </c>
      <c r="C2146" t="inlineStr">
        <is>
          <t>0                      DS 0778000A  2                  C  467         1996</t>
        </is>
      </c>
      <c r="D2146" t="inlineStr">
        <is>
          <t>Zhou Enlai and the foundations of Chinese foreign policy / Kuo-kang Shao.</t>
        </is>
      </c>
      <c r="F2146" t="inlineStr">
        <is>
          <t>No</t>
        </is>
      </c>
      <c r="G2146" t="inlineStr">
        <is>
          <t>1</t>
        </is>
      </c>
      <c r="H2146" t="inlineStr">
        <is>
          <t>No</t>
        </is>
      </c>
      <c r="I2146" t="inlineStr">
        <is>
          <t>No</t>
        </is>
      </c>
      <c r="J2146" t="inlineStr">
        <is>
          <t>0</t>
        </is>
      </c>
      <c r="K2146" t="inlineStr">
        <is>
          <t>Shao, Kuo-kang.</t>
        </is>
      </c>
      <c r="L2146" t="inlineStr">
        <is>
          <t>New York : St. Martin's Press, 1996.</t>
        </is>
      </c>
      <c r="M2146" t="inlineStr">
        <is>
          <t>1996</t>
        </is>
      </c>
      <c r="N2146" t="inlineStr">
        <is>
          <t>1st ed.</t>
        </is>
      </c>
      <c r="O2146" t="inlineStr">
        <is>
          <t>eng</t>
        </is>
      </c>
      <c r="P2146" t="inlineStr">
        <is>
          <t>nyu</t>
        </is>
      </c>
      <c r="R2146" t="inlineStr">
        <is>
          <t xml:space="preserve">DS </t>
        </is>
      </c>
      <c r="S2146" t="n">
        <v>3</v>
      </c>
      <c r="T2146" t="n">
        <v>3</v>
      </c>
      <c r="U2146" t="inlineStr">
        <is>
          <t>2006-03-19</t>
        </is>
      </c>
      <c r="V2146" t="inlineStr">
        <is>
          <t>2006-03-19</t>
        </is>
      </c>
      <c r="W2146" t="inlineStr">
        <is>
          <t>1998-10-06</t>
        </is>
      </c>
      <c r="X2146" t="inlineStr">
        <is>
          <t>1998-10-06</t>
        </is>
      </c>
      <c r="Y2146" t="n">
        <v>344</v>
      </c>
      <c r="Z2146" t="n">
        <v>293</v>
      </c>
      <c r="AA2146" t="n">
        <v>299</v>
      </c>
      <c r="AB2146" t="n">
        <v>3</v>
      </c>
      <c r="AC2146" t="n">
        <v>3</v>
      </c>
      <c r="AD2146" t="n">
        <v>17</v>
      </c>
      <c r="AE2146" t="n">
        <v>17</v>
      </c>
      <c r="AF2146" t="n">
        <v>6</v>
      </c>
      <c r="AG2146" t="n">
        <v>6</v>
      </c>
      <c r="AH2146" t="n">
        <v>5</v>
      </c>
      <c r="AI2146" t="n">
        <v>5</v>
      </c>
      <c r="AJ2146" t="n">
        <v>10</v>
      </c>
      <c r="AK2146" t="n">
        <v>10</v>
      </c>
      <c r="AL2146" t="n">
        <v>2</v>
      </c>
      <c r="AM2146" t="n">
        <v>2</v>
      </c>
      <c r="AN2146" t="n">
        <v>0</v>
      </c>
      <c r="AO2146" t="n">
        <v>0</v>
      </c>
      <c r="AP2146" t="inlineStr">
        <is>
          <t>No</t>
        </is>
      </c>
      <c r="AQ2146" t="inlineStr">
        <is>
          <t>No</t>
        </is>
      </c>
      <c r="AS2146">
        <f>HYPERLINK("https://creighton-primo.hosted.exlibrisgroup.com/primo-explore/search?tab=default_tab&amp;search_scope=EVERYTHING&amp;vid=01CRU&amp;lang=en_US&amp;offset=0&amp;query=any,contains,991002697909702656","Catalog Record")</f>
        <v/>
      </c>
      <c r="AT2146">
        <f>HYPERLINK("http://www.worldcat.org/oclc/35223155","WorldCat Record")</f>
        <v/>
      </c>
      <c r="AU2146" t="inlineStr">
        <is>
          <t>40131780:eng</t>
        </is>
      </c>
      <c r="AV2146" t="inlineStr">
        <is>
          <t>35223155</t>
        </is>
      </c>
      <c r="AW2146" t="inlineStr">
        <is>
          <t>991002697909702656</t>
        </is>
      </c>
      <c r="AX2146" t="inlineStr">
        <is>
          <t>991002697909702656</t>
        </is>
      </c>
      <c r="AY2146" t="inlineStr">
        <is>
          <t>2258848270002656</t>
        </is>
      </c>
      <c r="AZ2146" t="inlineStr">
        <is>
          <t>BOOK</t>
        </is>
      </c>
      <c r="BB2146" t="inlineStr">
        <is>
          <t>9780312158927</t>
        </is>
      </c>
      <c r="BC2146" t="inlineStr">
        <is>
          <t>32285003472544</t>
        </is>
      </c>
      <c r="BD2146" t="inlineStr">
        <is>
          <t>893698131</t>
        </is>
      </c>
    </row>
    <row r="2147">
      <c r="A2147" t="inlineStr">
        <is>
          <t>No</t>
        </is>
      </c>
      <c r="B2147" t="inlineStr">
        <is>
          <t>DS778.C5374 C52</t>
        </is>
      </c>
      <c r="C2147" t="inlineStr">
        <is>
          <t>0                      DS 0778000C  5374               C  52</t>
        </is>
      </c>
      <c r="D2147" t="inlineStr">
        <is>
          <t>Madame Mao; a profile of Chiang Chʻing, by Chung Hua-min [and] Arthur C. Miller.</t>
        </is>
      </c>
      <c r="F2147" t="inlineStr">
        <is>
          <t>No</t>
        </is>
      </c>
      <c r="G2147" t="inlineStr">
        <is>
          <t>1</t>
        </is>
      </c>
      <c r="H2147" t="inlineStr">
        <is>
          <t>No</t>
        </is>
      </c>
      <c r="I2147" t="inlineStr">
        <is>
          <t>No</t>
        </is>
      </c>
      <c r="J2147" t="inlineStr">
        <is>
          <t>0</t>
        </is>
      </c>
      <c r="K2147" t="inlineStr">
        <is>
          <t>Zhong, Huamin.</t>
        </is>
      </c>
      <c r="L2147" t="inlineStr">
        <is>
          <t>Kowloon, Hong Kong, Union Research Institute [1968]</t>
        </is>
      </c>
      <c r="M2147" t="inlineStr">
        <is>
          <t>1968</t>
        </is>
      </c>
      <c r="O2147" t="inlineStr">
        <is>
          <t>eng</t>
        </is>
      </c>
      <c r="P2147" t="inlineStr">
        <is>
          <t xml:space="preserve">hk </t>
        </is>
      </c>
      <c r="R2147" t="inlineStr">
        <is>
          <t xml:space="preserve">DS </t>
        </is>
      </c>
      <c r="S2147" t="n">
        <v>1</v>
      </c>
      <c r="T2147" t="n">
        <v>1</v>
      </c>
      <c r="U2147" t="inlineStr">
        <is>
          <t>1997-11-14</t>
        </is>
      </c>
      <c r="V2147" t="inlineStr">
        <is>
          <t>1997-11-14</t>
        </is>
      </c>
      <c r="W2147" t="inlineStr">
        <is>
          <t>1997-03-13</t>
        </is>
      </c>
      <c r="X2147" t="inlineStr">
        <is>
          <t>1997-03-13</t>
        </is>
      </c>
      <c r="Y2147" t="n">
        <v>232</v>
      </c>
      <c r="Z2147" t="n">
        <v>194</v>
      </c>
      <c r="AA2147" t="n">
        <v>196</v>
      </c>
      <c r="AB2147" t="n">
        <v>2</v>
      </c>
      <c r="AC2147" t="n">
        <v>2</v>
      </c>
      <c r="AD2147" t="n">
        <v>8</v>
      </c>
      <c r="AE2147" t="n">
        <v>8</v>
      </c>
      <c r="AF2147" t="n">
        <v>4</v>
      </c>
      <c r="AG2147" t="n">
        <v>4</v>
      </c>
      <c r="AH2147" t="n">
        <v>2</v>
      </c>
      <c r="AI2147" t="n">
        <v>2</v>
      </c>
      <c r="AJ2147" t="n">
        <v>3</v>
      </c>
      <c r="AK2147" t="n">
        <v>3</v>
      </c>
      <c r="AL2147" t="n">
        <v>1</v>
      </c>
      <c r="AM2147" t="n">
        <v>1</v>
      </c>
      <c r="AN2147" t="n">
        <v>0</v>
      </c>
      <c r="AO2147" t="n">
        <v>0</v>
      </c>
      <c r="AP2147" t="inlineStr">
        <is>
          <t>No</t>
        </is>
      </c>
      <c r="AQ2147" t="inlineStr">
        <is>
          <t>Yes</t>
        </is>
      </c>
      <c r="AR2147">
        <f>HYPERLINK("http://catalog.hathitrust.org/Record/003293458","HathiTrust Record")</f>
        <v/>
      </c>
      <c r="AS2147">
        <f>HYPERLINK("https://creighton-primo.hosted.exlibrisgroup.com/primo-explore/search?tab=default_tab&amp;search_scope=EVERYTHING&amp;vid=01CRU&amp;lang=en_US&amp;offset=0&amp;query=any,contains,991000006379702656","Catalog Record")</f>
        <v/>
      </c>
      <c r="AT2147">
        <f>HYPERLINK("http://www.worldcat.org/oclc/13559","WorldCat Record")</f>
        <v/>
      </c>
      <c r="AU2147" t="inlineStr">
        <is>
          <t>224506737:eng</t>
        </is>
      </c>
      <c r="AV2147" t="inlineStr">
        <is>
          <t>13559</t>
        </is>
      </c>
      <c r="AW2147" t="inlineStr">
        <is>
          <t>991000006379702656</t>
        </is>
      </c>
      <c r="AX2147" t="inlineStr">
        <is>
          <t>991000006379702656</t>
        </is>
      </c>
      <c r="AY2147" t="inlineStr">
        <is>
          <t>2264362980002656</t>
        </is>
      </c>
      <c r="AZ2147" t="inlineStr">
        <is>
          <t>BOOK</t>
        </is>
      </c>
      <c r="BC2147" t="inlineStr">
        <is>
          <t>32285002448669</t>
        </is>
      </c>
      <c r="BD2147" t="inlineStr">
        <is>
          <t>893345300</t>
        </is>
      </c>
    </row>
    <row r="2148">
      <c r="A2148" t="inlineStr">
        <is>
          <t>No</t>
        </is>
      </c>
      <c r="B2148" t="inlineStr">
        <is>
          <t>DS778.C5374 T45 1984</t>
        </is>
      </c>
      <c r="C2148" t="inlineStr">
        <is>
          <t>0                      DS 0778000C  5374               T  45          1984</t>
        </is>
      </c>
      <c r="D2148" t="inlineStr">
        <is>
          <t>The white-boned demon : a biography of Madame Mao Zedong / Ross Terrill.</t>
        </is>
      </c>
      <c r="F2148" t="inlineStr">
        <is>
          <t>No</t>
        </is>
      </c>
      <c r="G2148" t="inlineStr">
        <is>
          <t>1</t>
        </is>
      </c>
      <c r="H2148" t="inlineStr">
        <is>
          <t>No</t>
        </is>
      </c>
      <c r="I2148" t="inlineStr">
        <is>
          <t>No</t>
        </is>
      </c>
      <c r="J2148" t="inlineStr">
        <is>
          <t>0</t>
        </is>
      </c>
      <c r="K2148" t="inlineStr">
        <is>
          <t>Terrill, Ross.</t>
        </is>
      </c>
      <c r="L2148" t="inlineStr">
        <is>
          <t>New York : Morrow, 1984.</t>
        </is>
      </c>
      <c r="M2148" t="inlineStr">
        <is>
          <t>1984</t>
        </is>
      </c>
      <c r="O2148" t="inlineStr">
        <is>
          <t>eng</t>
        </is>
      </c>
      <c r="P2148" t="inlineStr">
        <is>
          <t>nyu</t>
        </is>
      </c>
      <c r="R2148" t="inlineStr">
        <is>
          <t xml:space="preserve">DS </t>
        </is>
      </c>
      <c r="S2148" t="n">
        <v>1</v>
      </c>
      <c r="T2148" t="n">
        <v>1</v>
      </c>
      <c r="U2148" t="inlineStr">
        <is>
          <t>1997-11-14</t>
        </is>
      </c>
      <c r="V2148" t="inlineStr">
        <is>
          <t>1997-11-14</t>
        </is>
      </c>
      <c r="W2148" t="inlineStr">
        <is>
          <t>1990-08-09</t>
        </is>
      </c>
      <c r="X2148" t="inlineStr">
        <is>
          <t>1990-08-09</t>
        </is>
      </c>
      <c r="Y2148" t="n">
        <v>1267</v>
      </c>
      <c r="Z2148" t="n">
        <v>1150</v>
      </c>
      <c r="AA2148" t="n">
        <v>1196</v>
      </c>
      <c r="AB2148" t="n">
        <v>9</v>
      </c>
      <c r="AC2148" t="n">
        <v>10</v>
      </c>
      <c r="AD2148" t="n">
        <v>29</v>
      </c>
      <c r="AE2148" t="n">
        <v>33</v>
      </c>
      <c r="AF2148" t="n">
        <v>10</v>
      </c>
      <c r="AG2148" t="n">
        <v>12</v>
      </c>
      <c r="AH2148" t="n">
        <v>5</v>
      </c>
      <c r="AI2148" t="n">
        <v>6</v>
      </c>
      <c r="AJ2148" t="n">
        <v>13</v>
      </c>
      <c r="AK2148" t="n">
        <v>13</v>
      </c>
      <c r="AL2148" t="n">
        <v>7</v>
      </c>
      <c r="AM2148" t="n">
        <v>8</v>
      </c>
      <c r="AN2148" t="n">
        <v>0</v>
      </c>
      <c r="AO2148" t="n">
        <v>0</v>
      </c>
      <c r="AP2148" t="inlineStr">
        <is>
          <t>No</t>
        </is>
      </c>
      <c r="AQ2148" t="inlineStr">
        <is>
          <t>Yes</t>
        </is>
      </c>
      <c r="AR2148">
        <f>HYPERLINK("http://catalog.hathitrust.org/Record/000282126","HathiTrust Record")</f>
        <v/>
      </c>
      <c r="AS2148">
        <f>HYPERLINK("https://creighton-primo.hosted.exlibrisgroup.com/primo-explore/search?tab=default_tab&amp;search_scope=EVERYTHING&amp;vid=01CRU&amp;lang=en_US&amp;offset=0&amp;query=any,contains,991000251189702656","Catalog Record")</f>
        <v/>
      </c>
      <c r="AT2148">
        <f>HYPERLINK("http://www.worldcat.org/oclc/9757798","WorldCat Record")</f>
        <v/>
      </c>
      <c r="AU2148" t="inlineStr">
        <is>
          <t>5156277:eng</t>
        </is>
      </c>
      <c r="AV2148" t="inlineStr">
        <is>
          <t>9757798</t>
        </is>
      </c>
      <c r="AW2148" t="inlineStr">
        <is>
          <t>991000251189702656</t>
        </is>
      </c>
      <c r="AX2148" t="inlineStr">
        <is>
          <t>991000251189702656</t>
        </is>
      </c>
      <c r="AY2148" t="inlineStr">
        <is>
          <t>2255430480002656</t>
        </is>
      </c>
      <c r="AZ2148" t="inlineStr">
        <is>
          <t>BOOK</t>
        </is>
      </c>
      <c r="BB2148" t="inlineStr">
        <is>
          <t>9780688026615</t>
        </is>
      </c>
      <c r="BC2148" t="inlineStr">
        <is>
          <t>32285000272772</t>
        </is>
      </c>
      <c r="BD2148" t="inlineStr">
        <is>
          <t>893890544</t>
        </is>
      </c>
    </row>
    <row r="2149">
      <c r="A2149" t="inlineStr">
        <is>
          <t>No</t>
        </is>
      </c>
      <c r="B2149" t="inlineStr">
        <is>
          <t>DS778.C5374 W57</t>
        </is>
      </c>
      <c r="C2149" t="inlineStr">
        <is>
          <t>0                      DS 0778000C  5374               W  57</t>
        </is>
      </c>
      <c r="D2149" t="inlineStr">
        <is>
          <t>Comrade Chiang Chʻing / Roxane Witke.</t>
        </is>
      </c>
      <c r="F2149" t="inlineStr">
        <is>
          <t>No</t>
        </is>
      </c>
      <c r="G2149" t="inlineStr">
        <is>
          <t>1</t>
        </is>
      </c>
      <c r="H2149" t="inlineStr">
        <is>
          <t>No</t>
        </is>
      </c>
      <c r="I2149" t="inlineStr">
        <is>
          <t>No</t>
        </is>
      </c>
      <c r="J2149" t="inlineStr">
        <is>
          <t>0</t>
        </is>
      </c>
      <c r="K2149" t="inlineStr">
        <is>
          <t>Witke, Roxane.</t>
        </is>
      </c>
      <c r="L2149" t="inlineStr">
        <is>
          <t>Boston : Little, Brown, c1977.</t>
        </is>
      </c>
      <c r="M2149" t="inlineStr">
        <is>
          <t>1977</t>
        </is>
      </c>
      <c r="N2149" t="inlineStr">
        <is>
          <t>1st ed.</t>
        </is>
      </c>
      <c r="O2149" t="inlineStr">
        <is>
          <t>eng</t>
        </is>
      </c>
      <c r="P2149" t="inlineStr">
        <is>
          <t>mau</t>
        </is>
      </c>
      <c r="R2149" t="inlineStr">
        <is>
          <t xml:space="preserve">DS </t>
        </is>
      </c>
      <c r="S2149" t="n">
        <v>2</v>
      </c>
      <c r="T2149" t="n">
        <v>2</v>
      </c>
      <c r="U2149" t="inlineStr">
        <is>
          <t>1997-11-14</t>
        </is>
      </c>
      <c r="V2149" t="inlineStr">
        <is>
          <t>1997-11-14</t>
        </is>
      </c>
      <c r="W2149" t="inlineStr">
        <is>
          <t>1990-10-19</t>
        </is>
      </c>
      <c r="X2149" t="inlineStr">
        <is>
          <t>1990-10-19</t>
        </is>
      </c>
      <c r="Y2149" t="n">
        <v>1439</v>
      </c>
      <c r="Z2149" t="n">
        <v>1293</v>
      </c>
      <c r="AA2149" t="n">
        <v>1302</v>
      </c>
      <c r="AB2149" t="n">
        <v>11</v>
      </c>
      <c r="AC2149" t="n">
        <v>11</v>
      </c>
      <c r="AD2149" t="n">
        <v>37</v>
      </c>
      <c r="AE2149" t="n">
        <v>38</v>
      </c>
      <c r="AF2149" t="n">
        <v>16</v>
      </c>
      <c r="AG2149" t="n">
        <v>17</v>
      </c>
      <c r="AH2149" t="n">
        <v>7</v>
      </c>
      <c r="AI2149" t="n">
        <v>8</v>
      </c>
      <c r="AJ2149" t="n">
        <v>15</v>
      </c>
      <c r="AK2149" t="n">
        <v>15</v>
      </c>
      <c r="AL2149" t="n">
        <v>7</v>
      </c>
      <c r="AM2149" t="n">
        <v>7</v>
      </c>
      <c r="AN2149" t="n">
        <v>0</v>
      </c>
      <c r="AO2149" t="n">
        <v>0</v>
      </c>
      <c r="AP2149" t="inlineStr">
        <is>
          <t>No</t>
        </is>
      </c>
      <c r="AQ2149" t="inlineStr">
        <is>
          <t>No</t>
        </is>
      </c>
      <c r="AS2149">
        <f>HYPERLINK("https://creighton-primo.hosted.exlibrisgroup.com/primo-explore/search?tab=default_tab&amp;search_scope=EVERYTHING&amp;vid=01CRU&amp;lang=en_US&amp;offset=0&amp;query=any,contains,991004246299702656","Catalog Record")</f>
        <v/>
      </c>
      <c r="AT2149">
        <f>HYPERLINK("http://www.worldcat.org/oclc/2798518","WorldCat Record")</f>
        <v/>
      </c>
      <c r="AU2149" t="inlineStr">
        <is>
          <t>14795837:eng</t>
        </is>
      </c>
      <c r="AV2149" t="inlineStr">
        <is>
          <t>2798518</t>
        </is>
      </c>
      <c r="AW2149" t="inlineStr">
        <is>
          <t>991004246299702656</t>
        </is>
      </c>
      <c r="AX2149" t="inlineStr">
        <is>
          <t>991004246299702656</t>
        </is>
      </c>
      <c r="AY2149" t="inlineStr">
        <is>
          <t>2270970860002656</t>
        </is>
      </c>
      <c r="AZ2149" t="inlineStr">
        <is>
          <t>BOOK</t>
        </is>
      </c>
      <c r="BB2149" t="inlineStr">
        <is>
          <t>9780316949002</t>
        </is>
      </c>
      <c r="BC2149" t="inlineStr">
        <is>
          <t>32285000339027</t>
        </is>
      </c>
      <c r="BD2149" t="inlineStr">
        <is>
          <t>893500322</t>
        </is>
      </c>
    </row>
    <row r="2150">
      <c r="A2150" t="inlineStr">
        <is>
          <t>No</t>
        </is>
      </c>
      <c r="B2150" t="inlineStr">
        <is>
          <t>DS778.C55 A6</t>
        </is>
      </c>
      <c r="C2150" t="inlineStr">
        <is>
          <t>0                      DS 0778000C  55                 A  6</t>
        </is>
      </c>
      <c r="D2150" t="inlineStr">
        <is>
          <t>Aphorisms of President Chiang Kai-shek.</t>
        </is>
      </c>
      <c r="F2150" t="inlineStr">
        <is>
          <t>No</t>
        </is>
      </c>
      <c r="G2150" t="inlineStr">
        <is>
          <t>1</t>
        </is>
      </c>
      <c r="H2150" t="inlineStr">
        <is>
          <t>No</t>
        </is>
      </c>
      <c r="I2150" t="inlineStr">
        <is>
          <t>No</t>
        </is>
      </c>
      <c r="J2150" t="inlineStr">
        <is>
          <t>0</t>
        </is>
      </c>
      <c r="K2150" t="inlineStr">
        <is>
          <t>Chiang, Kai-shek, 1887-1975.</t>
        </is>
      </c>
      <c r="L2150" t="inlineStr">
        <is>
          <t>[Taipei] : Govt. Information Office, Republic of China, 1974.</t>
        </is>
      </c>
      <c r="M2150" t="inlineStr">
        <is>
          <t>1974</t>
        </is>
      </c>
      <c r="O2150" t="inlineStr">
        <is>
          <t>eng</t>
        </is>
      </c>
      <c r="P2150" t="inlineStr">
        <is>
          <t xml:space="preserve">ch </t>
        </is>
      </c>
      <c r="R2150" t="inlineStr">
        <is>
          <t xml:space="preserve">DS </t>
        </is>
      </c>
      <c r="S2150" t="n">
        <v>1</v>
      </c>
      <c r="T2150" t="n">
        <v>1</v>
      </c>
      <c r="U2150" t="inlineStr">
        <is>
          <t>2004-12-06</t>
        </is>
      </c>
      <c r="V2150" t="inlineStr">
        <is>
          <t>2004-12-06</t>
        </is>
      </c>
      <c r="W2150" t="inlineStr">
        <is>
          <t>1997-03-13</t>
        </is>
      </c>
      <c r="X2150" t="inlineStr">
        <is>
          <t>1997-03-13</t>
        </is>
      </c>
      <c r="Y2150" t="n">
        <v>169</v>
      </c>
      <c r="Z2150" t="n">
        <v>152</v>
      </c>
      <c r="AA2150" t="n">
        <v>152</v>
      </c>
      <c r="AB2150" t="n">
        <v>2</v>
      </c>
      <c r="AC2150" t="n">
        <v>2</v>
      </c>
      <c r="AD2150" t="n">
        <v>11</v>
      </c>
      <c r="AE2150" t="n">
        <v>11</v>
      </c>
      <c r="AF2150" t="n">
        <v>2</v>
      </c>
      <c r="AG2150" t="n">
        <v>2</v>
      </c>
      <c r="AH2150" t="n">
        <v>4</v>
      </c>
      <c r="AI2150" t="n">
        <v>4</v>
      </c>
      <c r="AJ2150" t="n">
        <v>8</v>
      </c>
      <c r="AK2150" t="n">
        <v>8</v>
      </c>
      <c r="AL2150" t="n">
        <v>1</v>
      </c>
      <c r="AM2150" t="n">
        <v>1</v>
      </c>
      <c r="AN2150" t="n">
        <v>0</v>
      </c>
      <c r="AO2150" t="n">
        <v>0</v>
      </c>
      <c r="AP2150" t="inlineStr">
        <is>
          <t>No</t>
        </is>
      </c>
      <c r="AQ2150" t="inlineStr">
        <is>
          <t>No</t>
        </is>
      </c>
      <c r="AS2150">
        <f>HYPERLINK("https://creighton-primo.hosted.exlibrisgroup.com/primo-explore/search?tab=default_tab&amp;search_scope=EVERYTHING&amp;vid=01CRU&amp;lang=en_US&amp;offset=0&amp;query=any,contains,991004305389702656","Catalog Record")</f>
        <v/>
      </c>
      <c r="AT2150">
        <f>HYPERLINK("http://www.worldcat.org/oclc/2983150","WorldCat Record")</f>
        <v/>
      </c>
      <c r="AU2150" t="inlineStr">
        <is>
          <t>6981190:eng</t>
        </is>
      </c>
      <c r="AV2150" t="inlineStr">
        <is>
          <t>2983150</t>
        </is>
      </c>
      <c r="AW2150" t="inlineStr">
        <is>
          <t>991004305389702656</t>
        </is>
      </c>
      <c r="AX2150" t="inlineStr">
        <is>
          <t>991004305389702656</t>
        </is>
      </c>
      <c r="AY2150" t="inlineStr">
        <is>
          <t>2261296950002656</t>
        </is>
      </c>
      <c r="AZ2150" t="inlineStr">
        <is>
          <t>BOOK</t>
        </is>
      </c>
      <c r="BC2150" t="inlineStr">
        <is>
          <t>32285002448677</t>
        </is>
      </c>
      <c r="BD2150" t="inlineStr">
        <is>
          <t>893235314</t>
        </is>
      </c>
    </row>
    <row r="2151">
      <c r="A2151" t="inlineStr">
        <is>
          <t>No</t>
        </is>
      </c>
      <c r="B2151" t="inlineStr">
        <is>
          <t>DS778.C55 C7</t>
        </is>
      </c>
      <c r="C2151" t="inlineStr">
        <is>
          <t>0                      DS 0778000C  55                 C  7</t>
        </is>
      </c>
      <c r="D2151" t="inlineStr">
        <is>
          <t>The man who lost China : the first full biography of Chiang Kai-shek / by Brian Crozier, with the collaboration of Eric Chou.</t>
        </is>
      </c>
      <c r="F2151" t="inlineStr">
        <is>
          <t>No</t>
        </is>
      </c>
      <c r="G2151" t="inlineStr">
        <is>
          <t>1</t>
        </is>
      </c>
      <c r="H2151" t="inlineStr">
        <is>
          <t>No</t>
        </is>
      </c>
      <c r="I2151" t="inlineStr">
        <is>
          <t>No</t>
        </is>
      </c>
      <c r="J2151" t="inlineStr">
        <is>
          <t>0</t>
        </is>
      </c>
      <c r="K2151" t="inlineStr">
        <is>
          <t>Crozier, Brian.</t>
        </is>
      </c>
      <c r="L2151" t="inlineStr">
        <is>
          <t>New York : Scribner, c1976.</t>
        </is>
      </c>
      <c r="M2151" t="inlineStr">
        <is>
          <t>1976</t>
        </is>
      </c>
      <c r="O2151" t="inlineStr">
        <is>
          <t>eng</t>
        </is>
      </c>
      <c r="P2151" t="inlineStr">
        <is>
          <t>nyu</t>
        </is>
      </c>
      <c r="R2151" t="inlineStr">
        <is>
          <t xml:space="preserve">DS </t>
        </is>
      </c>
      <c r="S2151" t="n">
        <v>2</v>
      </c>
      <c r="T2151" t="n">
        <v>2</v>
      </c>
      <c r="U2151" t="inlineStr">
        <is>
          <t>2006-10-30</t>
        </is>
      </c>
      <c r="V2151" t="inlineStr">
        <is>
          <t>2006-10-30</t>
        </is>
      </c>
      <c r="W2151" t="inlineStr">
        <is>
          <t>1997-03-13</t>
        </is>
      </c>
      <c r="X2151" t="inlineStr">
        <is>
          <t>1997-03-13</t>
        </is>
      </c>
      <c r="Y2151" t="n">
        <v>1093</v>
      </c>
      <c r="Z2151" t="n">
        <v>1002</v>
      </c>
      <c r="AA2151" t="n">
        <v>1010</v>
      </c>
      <c r="AB2151" t="n">
        <v>9</v>
      </c>
      <c r="AC2151" t="n">
        <v>9</v>
      </c>
      <c r="AD2151" t="n">
        <v>32</v>
      </c>
      <c r="AE2151" t="n">
        <v>32</v>
      </c>
      <c r="AF2151" t="n">
        <v>11</v>
      </c>
      <c r="AG2151" t="n">
        <v>11</v>
      </c>
      <c r="AH2151" t="n">
        <v>7</v>
      </c>
      <c r="AI2151" t="n">
        <v>7</v>
      </c>
      <c r="AJ2151" t="n">
        <v>15</v>
      </c>
      <c r="AK2151" t="n">
        <v>15</v>
      </c>
      <c r="AL2151" t="n">
        <v>6</v>
      </c>
      <c r="AM2151" t="n">
        <v>6</v>
      </c>
      <c r="AN2151" t="n">
        <v>1</v>
      </c>
      <c r="AO2151" t="n">
        <v>1</v>
      </c>
      <c r="AP2151" t="inlineStr">
        <is>
          <t>No</t>
        </is>
      </c>
      <c r="AQ2151" t="inlineStr">
        <is>
          <t>Yes</t>
        </is>
      </c>
      <c r="AR2151">
        <f>HYPERLINK("http://catalog.hathitrust.org/Record/000715715","HathiTrust Record")</f>
        <v/>
      </c>
      <c r="AS2151">
        <f>HYPERLINK("https://creighton-primo.hosted.exlibrisgroup.com/primo-explore/search?tab=default_tab&amp;search_scope=EVERYTHING&amp;vid=01CRU&amp;lang=en_US&amp;offset=0&amp;query=any,contains,991004021459702656","Catalog Record")</f>
        <v/>
      </c>
      <c r="AT2151">
        <f>HYPERLINK("http://www.worldcat.org/oclc/2121645","WorldCat Record")</f>
        <v/>
      </c>
      <c r="AU2151" t="inlineStr">
        <is>
          <t>348151985:eng</t>
        </is>
      </c>
      <c r="AV2151" t="inlineStr">
        <is>
          <t>2121645</t>
        </is>
      </c>
      <c r="AW2151" t="inlineStr">
        <is>
          <t>991004021459702656</t>
        </is>
      </c>
      <c r="AX2151" t="inlineStr">
        <is>
          <t>991004021459702656</t>
        </is>
      </c>
      <c r="AY2151" t="inlineStr">
        <is>
          <t>2267517380002656</t>
        </is>
      </c>
      <c r="AZ2151" t="inlineStr">
        <is>
          <t>BOOK</t>
        </is>
      </c>
      <c r="BB2151" t="inlineStr">
        <is>
          <t>9780684146867</t>
        </is>
      </c>
      <c r="BC2151" t="inlineStr">
        <is>
          <t>32285002448685</t>
        </is>
      </c>
      <c r="BD2151" t="inlineStr">
        <is>
          <t>893259224</t>
        </is>
      </c>
    </row>
    <row r="2152">
      <c r="A2152" t="inlineStr">
        <is>
          <t>No</t>
        </is>
      </c>
      <c r="B2152" t="inlineStr">
        <is>
          <t>DS778.C55 F87</t>
        </is>
      </c>
      <c r="C2152" t="inlineStr">
        <is>
          <t>0                      DS 0778000C  55                 F  87</t>
        </is>
      </c>
      <c r="D2152" t="inlineStr">
        <is>
          <t>Chiang Kai-shek his life and times / by Keiji Furuya ; abridged English edition by Chun-ming Chang.</t>
        </is>
      </c>
      <c r="F2152" t="inlineStr">
        <is>
          <t>No</t>
        </is>
      </c>
      <c r="G2152" t="inlineStr">
        <is>
          <t>1</t>
        </is>
      </c>
      <c r="H2152" t="inlineStr">
        <is>
          <t>No</t>
        </is>
      </c>
      <c r="I2152" t="inlineStr">
        <is>
          <t>No</t>
        </is>
      </c>
      <c r="J2152" t="inlineStr">
        <is>
          <t>0</t>
        </is>
      </c>
      <c r="K2152" t="inlineStr">
        <is>
          <t>Furuya, Keiji.</t>
        </is>
      </c>
      <c r="L2152" t="inlineStr">
        <is>
          <t>New York : St. John's University, 1981.</t>
        </is>
      </c>
      <c r="M2152" t="inlineStr">
        <is>
          <t>1981</t>
        </is>
      </c>
      <c r="O2152" t="inlineStr">
        <is>
          <t>eng</t>
        </is>
      </c>
      <c r="P2152" t="inlineStr">
        <is>
          <t>nyu</t>
        </is>
      </c>
      <c r="R2152" t="inlineStr">
        <is>
          <t xml:space="preserve">DS </t>
        </is>
      </c>
      <c r="S2152" t="n">
        <v>2</v>
      </c>
      <c r="T2152" t="n">
        <v>2</v>
      </c>
      <c r="U2152" t="inlineStr">
        <is>
          <t>2004-12-06</t>
        </is>
      </c>
      <c r="V2152" t="inlineStr">
        <is>
          <t>2004-12-06</t>
        </is>
      </c>
      <c r="W2152" t="inlineStr">
        <is>
          <t>1990-10-19</t>
        </is>
      </c>
      <c r="X2152" t="inlineStr">
        <is>
          <t>1990-10-19</t>
        </is>
      </c>
      <c r="Y2152" t="n">
        <v>483</v>
      </c>
      <c r="Z2152" t="n">
        <v>372</v>
      </c>
      <c r="AA2152" t="n">
        <v>384</v>
      </c>
      <c r="AB2152" t="n">
        <v>2</v>
      </c>
      <c r="AC2152" t="n">
        <v>2</v>
      </c>
      <c r="AD2152" t="n">
        <v>22</v>
      </c>
      <c r="AE2152" t="n">
        <v>23</v>
      </c>
      <c r="AF2152" t="n">
        <v>9</v>
      </c>
      <c r="AG2152" t="n">
        <v>10</v>
      </c>
      <c r="AH2152" t="n">
        <v>6</v>
      </c>
      <c r="AI2152" t="n">
        <v>6</v>
      </c>
      <c r="AJ2152" t="n">
        <v>12</v>
      </c>
      <c r="AK2152" t="n">
        <v>13</v>
      </c>
      <c r="AL2152" t="n">
        <v>1</v>
      </c>
      <c r="AM2152" t="n">
        <v>1</v>
      </c>
      <c r="AN2152" t="n">
        <v>0</v>
      </c>
      <c r="AO2152" t="n">
        <v>0</v>
      </c>
      <c r="AP2152" t="inlineStr">
        <is>
          <t>No</t>
        </is>
      </c>
      <c r="AQ2152" t="inlineStr">
        <is>
          <t>Yes</t>
        </is>
      </c>
      <c r="AR2152">
        <f>HYPERLINK("http://catalog.hathitrust.org/Record/000763380","HathiTrust Record")</f>
        <v/>
      </c>
      <c r="AS2152">
        <f>HYPERLINK("https://creighton-primo.hosted.exlibrisgroup.com/primo-explore/search?tab=default_tab&amp;search_scope=EVERYTHING&amp;vid=01CRU&amp;lang=en_US&amp;offset=0&amp;query=any,contains,991005230909702656","Catalog Record")</f>
        <v/>
      </c>
      <c r="AT2152">
        <f>HYPERLINK("http://www.worldcat.org/oclc/9687101","WorldCat Record")</f>
        <v/>
      </c>
      <c r="AU2152" t="inlineStr">
        <is>
          <t>3887436307:eng</t>
        </is>
      </c>
      <c r="AV2152" t="inlineStr">
        <is>
          <t>9687101</t>
        </is>
      </c>
      <c r="AW2152" t="inlineStr">
        <is>
          <t>991005230909702656</t>
        </is>
      </c>
      <c r="AX2152" t="inlineStr">
        <is>
          <t>991005230909702656</t>
        </is>
      </c>
      <c r="AY2152" t="inlineStr">
        <is>
          <t>2266832760002656</t>
        </is>
      </c>
      <c r="AZ2152" t="inlineStr">
        <is>
          <t>BOOK</t>
        </is>
      </c>
      <c r="BC2152" t="inlineStr">
        <is>
          <t>32285000339035</t>
        </is>
      </c>
      <c r="BD2152" t="inlineStr">
        <is>
          <t>893338768</t>
        </is>
      </c>
    </row>
    <row r="2153">
      <c r="A2153" t="inlineStr">
        <is>
          <t>No</t>
        </is>
      </c>
      <c r="B2153" t="inlineStr">
        <is>
          <t>DS778.C593 A2513 1981, v...</t>
        </is>
      </c>
      <c r="C2153" t="inlineStr">
        <is>
          <t>0                      DS 0778000C  593                A  2513        1981                  v...</t>
        </is>
      </c>
      <c r="D2153" t="inlineStr">
        <is>
          <t>Selected works of Zhou Enlai.</t>
        </is>
      </c>
      <c r="E2153" t="inlineStr">
        <is>
          <t>V.1</t>
        </is>
      </c>
      <c r="F2153" t="inlineStr">
        <is>
          <t>No</t>
        </is>
      </c>
      <c r="G2153" t="inlineStr">
        <is>
          <t>1</t>
        </is>
      </c>
      <c r="H2153" t="inlineStr">
        <is>
          <t>No</t>
        </is>
      </c>
      <c r="I2153" t="inlineStr">
        <is>
          <t>No</t>
        </is>
      </c>
      <c r="J2153" t="inlineStr">
        <is>
          <t>0</t>
        </is>
      </c>
      <c r="K2153" t="inlineStr">
        <is>
          <t>Zhou, Enlai, 1898-1976.</t>
        </is>
      </c>
      <c r="L2153" t="inlineStr">
        <is>
          <t>Beijing : Foreign Languages Press : Distributed by Guoji Shudian, 1981-</t>
        </is>
      </c>
      <c r="M2153" t="inlineStr">
        <is>
          <t>1981</t>
        </is>
      </c>
      <c r="N2153" t="inlineStr">
        <is>
          <t>1st ed.</t>
        </is>
      </c>
      <c r="O2153" t="inlineStr">
        <is>
          <t>eng</t>
        </is>
      </c>
      <c r="P2153" t="inlineStr">
        <is>
          <t xml:space="preserve">cc </t>
        </is>
      </c>
      <c r="R2153" t="inlineStr">
        <is>
          <t xml:space="preserve">DS </t>
        </is>
      </c>
      <c r="S2153" t="n">
        <v>4</v>
      </c>
      <c r="T2153" t="n">
        <v>4</v>
      </c>
      <c r="U2153" t="inlineStr">
        <is>
          <t>2006-04-19</t>
        </is>
      </c>
      <c r="V2153" t="inlineStr">
        <is>
          <t>2006-04-19</t>
        </is>
      </c>
      <c r="W2153" t="inlineStr">
        <is>
          <t>1990-10-19</t>
        </is>
      </c>
      <c r="X2153" t="inlineStr">
        <is>
          <t>1990-10-19</t>
        </is>
      </c>
      <c r="Y2153" t="n">
        <v>304</v>
      </c>
      <c r="Z2153" t="n">
        <v>235</v>
      </c>
      <c r="AA2153" t="n">
        <v>237</v>
      </c>
      <c r="AB2153" t="n">
        <v>2</v>
      </c>
      <c r="AC2153" t="n">
        <v>2</v>
      </c>
      <c r="AD2153" t="n">
        <v>10</v>
      </c>
      <c r="AE2153" t="n">
        <v>10</v>
      </c>
      <c r="AF2153" t="n">
        <v>2</v>
      </c>
      <c r="AG2153" t="n">
        <v>2</v>
      </c>
      <c r="AH2153" t="n">
        <v>5</v>
      </c>
      <c r="AI2153" t="n">
        <v>5</v>
      </c>
      <c r="AJ2153" t="n">
        <v>5</v>
      </c>
      <c r="AK2153" t="n">
        <v>5</v>
      </c>
      <c r="AL2153" t="n">
        <v>1</v>
      </c>
      <c r="AM2153" t="n">
        <v>1</v>
      </c>
      <c r="AN2153" t="n">
        <v>0</v>
      </c>
      <c r="AO2153" t="n">
        <v>0</v>
      </c>
      <c r="AP2153" t="inlineStr">
        <is>
          <t>No</t>
        </is>
      </c>
      <c r="AQ2153" t="inlineStr">
        <is>
          <t>Yes</t>
        </is>
      </c>
      <c r="AR2153">
        <f>HYPERLINK("http://catalog.hathitrust.org/Record/000191583","HathiTrust Record")</f>
        <v/>
      </c>
      <c r="AS2153">
        <f>HYPERLINK("https://creighton-primo.hosted.exlibrisgroup.com/primo-explore/search?tab=default_tab&amp;search_scope=EVERYTHING&amp;vid=01CRU&amp;lang=en_US&amp;offset=0&amp;query=any,contains,991005227699702656","Catalog Record")</f>
        <v/>
      </c>
      <c r="AT2153">
        <f>HYPERLINK("http://www.worldcat.org/oclc/8284054","WorldCat Record")</f>
        <v/>
      </c>
      <c r="AU2153" t="inlineStr">
        <is>
          <t>5091274064:eng</t>
        </is>
      </c>
      <c r="AV2153" t="inlineStr">
        <is>
          <t>8284054</t>
        </is>
      </c>
      <c r="AW2153" t="inlineStr">
        <is>
          <t>991005227699702656</t>
        </is>
      </c>
      <c r="AX2153" t="inlineStr">
        <is>
          <t>991005227699702656</t>
        </is>
      </c>
      <c r="AY2153" t="inlineStr">
        <is>
          <t>2267877750002656</t>
        </is>
      </c>
      <c r="AZ2153" t="inlineStr">
        <is>
          <t>BOOK</t>
        </is>
      </c>
      <c r="BC2153" t="inlineStr">
        <is>
          <t>32285000339043</t>
        </is>
      </c>
      <c r="BD2153" t="inlineStr">
        <is>
          <t>893520666</t>
        </is>
      </c>
    </row>
    <row r="2154">
      <c r="A2154" t="inlineStr">
        <is>
          <t>No</t>
        </is>
      </c>
      <c r="B2154" t="inlineStr">
        <is>
          <t>DS778.C593 H36 1995</t>
        </is>
      </c>
      <c r="C2154" t="inlineStr">
        <is>
          <t>0                      DS 0778000C  593                H  36          1995</t>
        </is>
      </c>
      <c r="D2154" t="inlineStr">
        <is>
          <t>Eldest son : Zhou Enlai and the making of modern China, 1898-1976 / Han Suyin.</t>
        </is>
      </c>
      <c r="F2154" t="inlineStr">
        <is>
          <t>No</t>
        </is>
      </c>
      <c r="G2154" t="inlineStr">
        <is>
          <t>1</t>
        </is>
      </c>
      <c r="H2154" t="inlineStr">
        <is>
          <t>No</t>
        </is>
      </c>
      <c r="I2154" t="inlineStr">
        <is>
          <t>No</t>
        </is>
      </c>
      <c r="J2154" t="inlineStr">
        <is>
          <t>0</t>
        </is>
      </c>
      <c r="K2154" t="inlineStr">
        <is>
          <t>Han, Suyin, 1917-2012.</t>
        </is>
      </c>
      <c r="L2154" t="inlineStr">
        <is>
          <t>New York : Kodansha International, 1995.</t>
        </is>
      </c>
      <c r="M2154" t="inlineStr">
        <is>
          <t>1995</t>
        </is>
      </c>
      <c r="O2154" t="inlineStr">
        <is>
          <t>eng</t>
        </is>
      </c>
      <c r="P2154" t="inlineStr">
        <is>
          <t>nyu</t>
        </is>
      </c>
      <c r="Q2154" t="inlineStr">
        <is>
          <t>Kodansha globe</t>
        </is>
      </c>
      <c r="R2154" t="inlineStr">
        <is>
          <t xml:space="preserve">DS </t>
        </is>
      </c>
      <c r="S2154" t="n">
        <v>7</v>
      </c>
      <c r="T2154" t="n">
        <v>7</v>
      </c>
      <c r="U2154" t="inlineStr">
        <is>
          <t>2006-04-19</t>
        </is>
      </c>
      <c r="V2154" t="inlineStr">
        <is>
          <t>2006-04-19</t>
        </is>
      </c>
      <c r="W2154" t="inlineStr">
        <is>
          <t>1996-05-08</t>
        </is>
      </c>
      <c r="X2154" t="inlineStr">
        <is>
          <t>1996-05-08</t>
        </is>
      </c>
      <c r="Y2154" t="n">
        <v>121</v>
      </c>
      <c r="Z2154" t="n">
        <v>110</v>
      </c>
      <c r="AA2154" t="n">
        <v>661</v>
      </c>
      <c r="AB2154" t="n">
        <v>2</v>
      </c>
      <c r="AC2154" t="n">
        <v>4</v>
      </c>
      <c r="AD2154" t="n">
        <v>8</v>
      </c>
      <c r="AE2154" t="n">
        <v>29</v>
      </c>
      <c r="AF2154" t="n">
        <v>5</v>
      </c>
      <c r="AG2154" t="n">
        <v>11</v>
      </c>
      <c r="AH2154" t="n">
        <v>3</v>
      </c>
      <c r="AI2154" t="n">
        <v>8</v>
      </c>
      <c r="AJ2154" t="n">
        <v>2</v>
      </c>
      <c r="AK2154" t="n">
        <v>15</v>
      </c>
      <c r="AL2154" t="n">
        <v>1</v>
      </c>
      <c r="AM2154" t="n">
        <v>3</v>
      </c>
      <c r="AN2154" t="n">
        <v>0</v>
      </c>
      <c r="AO2154" t="n">
        <v>0</v>
      </c>
      <c r="AP2154" t="inlineStr">
        <is>
          <t>No</t>
        </is>
      </c>
      <c r="AQ2154" t="inlineStr">
        <is>
          <t>No</t>
        </is>
      </c>
      <c r="AS2154">
        <f>HYPERLINK("https://creighton-primo.hosted.exlibrisgroup.com/primo-explore/search?tab=default_tab&amp;search_scope=EVERYTHING&amp;vid=01CRU&amp;lang=en_US&amp;offset=0&amp;query=any,contains,991002440529702656","Catalog Record")</f>
        <v/>
      </c>
      <c r="AT2154">
        <f>HYPERLINK("http://www.worldcat.org/oclc/31815173","WorldCat Record")</f>
        <v/>
      </c>
      <c r="AU2154" t="inlineStr">
        <is>
          <t>353050:eng</t>
        </is>
      </c>
      <c r="AV2154" t="inlineStr">
        <is>
          <t>31815173</t>
        </is>
      </c>
      <c r="AW2154" t="inlineStr">
        <is>
          <t>991002440529702656</t>
        </is>
      </c>
      <c r="AX2154" t="inlineStr">
        <is>
          <t>991002440529702656</t>
        </is>
      </c>
      <c r="AY2154" t="inlineStr">
        <is>
          <t>2264011090002656</t>
        </is>
      </c>
      <c r="AZ2154" t="inlineStr">
        <is>
          <t>BOOK</t>
        </is>
      </c>
      <c r="BB2154" t="inlineStr">
        <is>
          <t>9781568360843</t>
        </is>
      </c>
      <c r="BC2154" t="inlineStr">
        <is>
          <t>32285002165651</t>
        </is>
      </c>
      <c r="BD2154" t="inlineStr">
        <is>
          <t>893892548</t>
        </is>
      </c>
    </row>
    <row r="2155">
      <c r="A2155" t="inlineStr">
        <is>
          <t>No</t>
        </is>
      </c>
      <c r="B2155" t="inlineStr">
        <is>
          <t>DS778.L49 D57 1998</t>
        </is>
      </c>
      <c r="C2155" t="inlineStr">
        <is>
          <t>0                      DS 0778000L  49                 D  57          1998</t>
        </is>
      </c>
      <c r="D2155" t="inlineStr">
        <is>
          <t>Liu Shaoqi and the Chinese cultural revolution / Lowell Dittmer.</t>
        </is>
      </c>
      <c r="F2155" t="inlineStr">
        <is>
          <t>No</t>
        </is>
      </c>
      <c r="G2155" t="inlineStr">
        <is>
          <t>1</t>
        </is>
      </c>
      <c r="H2155" t="inlineStr">
        <is>
          <t>No</t>
        </is>
      </c>
      <c r="I2155" t="inlineStr">
        <is>
          <t>No</t>
        </is>
      </c>
      <c r="J2155" t="inlineStr">
        <is>
          <t>0</t>
        </is>
      </c>
      <c r="K2155" t="inlineStr">
        <is>
          <t>Dittmer, Lowell.</t>
        </is>
      </c>
      <c r="L2155" t="inlineStr">
        <is>
          <t>Armonk, N.Y. : M.E. Sharpe, c1998.</t>
        </is>
      </c>
      <c r="M2155" t="inlineStr">
        <is>
          <t>1998</t>
        </is>
      </c>
      <c r="N2155" t="inlineStr">
        <is>
          <t>Rev. ed.</t>
        </is>
      </c>
      <c r="O2155" t="inlineStr">
        <is>
          <t>eng</t>
        </is>
      </c>
      <c r="P2155" t="inlineStr">
        <is>
          <t>nyu</t>
        </is>
      </c>
      <c r="R2155" t="inlineStr">
        <is>
          <t xml:space="preserve">DS </t>
        </is>
      </c>
      <c r="S2155" t="n">
        <v>2</v>
      </c>
      <c r="T2155" t="n">
        <v>2</v>
      </c>
      <c r="U2155" t="inlineStr">
        <is>
          <t>2007-04-09</t>
        </is>
      </c>
      <c r="V2155" t="inlineStr">
        <is>
          <t>2007-04-09</t>
        </is>
      </c>
      <c r="W2155" t="inlineStr">
        <is>
          <t>1998-10-21</t>
        </is>
      </c>
      <c r="X2155" t="inlineStr">
        <is>
          <t>1998-10-21</t>
        </is>
      </c>
      <c r="Y2155" t="n">
        <v>289</v>
      </c>
      <c r="Z2155" t="n">
        <v>222</v>
      </c>
      <c r="AA2155" t="n">
        <v>252</v>
      </c>
      <c r="AB2155" t="n">
        <v>2</v>
      </c>
      <c r="AC2155" t="n">
        <v>2</v>
      </c>
      <c r="AD2155" t="n">
        <v>13</v>
      </c>
      <c r="AE2155" t="n">
        <v>14</v>
      </c>
      <c r="AF2155" t="n">
        <v>4</v>
      </c>
      <c r="AG2155" t="n">
        <v>5</v>
      </c>
      <c r="AH2155" t="n">
        <v>4</v>
      </c>
      <c r="AI2155" t="n">
        <v>4</v>
      </c>
      <c r="AJ2155" t="n">
        <v>8</v>
      </c>
      <c r="AK2155" t="n">
        <v>9</v>
      </c>
      <c r="AL2155" t="n">
        <v>1</v>
      </c>
      <c r="AM2155" t="n">
        <v>1</v>
      </c>
      <c r="AN2155" t="n">
        <v>0</v>
      </c>
      <c r="AO2155" t="n">
        <v>0</v>
      </c>
      <c r="AP2155" t="inlineStr">
        <is>
          <t>No</t>
        </is>
      </c>
      <c r="AQ2155" t="inlineStr">
        <is>
          <t>No</t>
        </is>
      </c>
      <c r="AS2155">
        <f>HYPERLINK("https://creighton-primo.hosted.exlibrisgroup.com/primo-explore/search?tab=default_tab&amp;search_scope=EVERYTHING&amp;vid=01CRU&amp;lang=en_US&amp;offset=0&amp;query=any,contains,991002857909702656","Catalog Record")</f>
        <v/>
      </c>
      <c r="AT2155">
        <f>HYPERLINK("http://www.worldcat.org/oclc/37663511","WorldCat Record")</f>
        <v/>
      </c>
      <c r="AU2155" t="inlineStr">
        <is>
          <t>4495088859:eng</t>
        </is>
      </c>
      <c r="AV2155" t="inlineStr">
        <is>
          <t>37663511</t>
        </is>
      </c>
      <c r="AW2155" t="inlineStr">
        <is>
          <t>991002857909702656</t>
        </is>
      </c>
      <c r="AX2155" t="inlineStr">
        <is>
          <t>991002857909702656</t>
        </is>
      </c>
      <c r="AY2155" t="inlineStr">
        <is>
          <t>2268956270002656</t>
        </is>
      </c>
      <c r="AZ2155" t="inlineStr">
        <is>
          <t>BOOK</t>
        </is>
      </c>
      <c r="BB2155" t="inlineStr">
        <is>
          <t>9781563249518</t>
        </is>
      </c>
      <c r="BC2155" t="inlineStr">
        <is>
          <t>32285003476172</t>
        </is>
      </c>
      <c r="BD2155" t="inlineStr">
        <is>
          <t>893805141</t>
        </is>
      </c>
    </row>
    <row r="2156">
      <c r="A2156" t="inlineStr">
        <is>
          <t>No</t>
        </is>
      </c>
      <c r="B2156" t="inlineStr">
        <is>
          <t>DS778.M3 A25 1992, v...</t>
        </is>
      </c>
      <c r="C2156" t="inlineStr">
        <is>
          <t>0                      DS 0778000M  3                  A  25          1992                  v...</t>
        </is>
      </c>
      <c r="D2156" t="inlineStr">
        <is>
          <t>Mao's road to power : revolutionary writings 1912-1949 / Stuart R. Schram, editor.</t>
        </is>
      </c>
      <c r="E2156" t="inlineStr">
        <is>
          <t>V.1</t>
        </is>
      </c>
      <c r="F2156" t="inlineStr">
        <is>
          <t>No</t>
        </is>
      </c>
      <c r="G2156" t="inlineStr">
        <is>
          <t>1</t>
        </is>
      </c>
      <c r="H2156" t="inlineStr">
        <is>
          <t>No</t>
        </is>
      </c>
      <c r="I2156" t="inlineStr">
        <is>
          <t>No</t>
        </is>
      </c>
      <c r="J2156" t="inlineStr">
        <is>
          <t>0</t>
        </is>
      </c>
      <c r="K2156" t="inlineStr">
        <is>
          <t>Mao, Zedong, 1893-1976.</t>
        </is>
      </c>
      <c r="L2156" t="inlineStr">
        <is>
          <t>Armonk, N.Y. : M.E. Sharpe, 1992-</t>
        </is>
      </c>
      <c r="M2156" t="inlineStr">
        <is>
          <t>1992</t>
        </is>
      </c>
      <c r="O2156" t="inlineStr">
        <is>
          <t>eng</t>
        </is>
      </c>
      <c r="P2156" t="inlineStr">
        <is>
          <t>nyu</t>
        </is>
      </c>
      <c r="R2156" t="inlineStr">
        <is>
          <t xml:space="preserve">DS </t>
        </is>
      </c>
      <c r="S2156" t="n">
        <v>2</v>
      </c>
      <c r="T2156" t="n">
        <v>2</v>
      </c>
      <c r="U2156" t="inlineStr">
        <is>
          <t>1993-10-25</t>
        </is>
      </c>
      <c r="V2156" t="inlineStr">
        <is>
          <t>1993-10-25</t>
        </is>
      </c>
      <c r="W2156" t="inlineStr">
        <is>
          <t>1993-06-07</t>
        </is>
      </c>
      <c r="X2156" t="inlineStr">
        <is>
          <t>1993-06-07</t>
        </is>
      </c>
      <c r="Y2156" t="n">
        <v>436</v>
      </c>
      <c r="Z2156" t="n">
        <v>337</v>
      </c>
      <c r="AA2156" t="n">
        <v>358</v>
      </c>
      <c r="AB2156" t="n">
        <v>3</v>
      </c>
      <c r="AC2156" t="n">
        <v>3</v>
      </c>
      <c r="AD2156" t="n">
        <v>23</v>
      </c>
      <c r="AE2156" t="n">
        <v>23</v>
      </c>
      <c r="AF2156" t="n">
        <v>10</v>
      </c>
      <c r="AG2156" t="n">
        <v>10</v>
      </c>
      <c r="AH2156" t="n">
        <v>7</v>
      </c>
      <c r="AI2156" t="n">
        <v>7</v>
      </c>
      <c r="AJ2156" t="n">
        <v>11</v>
      </c>
      <c r="AK2156" t="n">
        <v>11</v>
      </c>
      <c r="AL2156" t="n">
        <v>2</v>
      </c>
      <c r="AM2156" t="n">
        <v>2</v>
      </c>
      <c r="AN2156" t="n">
        <v>0</v>
      </c>
      <c r="AO2156" t="n">
        <v>0</v>
      </c>
      <c r="AP2156" t="inlineStr">
        <is>
          <t>No</t>
        </is>
      </c>
      <c r="AQ2156" t="inlineStr">
        <is>
          <t>Yes</t>
        </is>
      </c>
      <c r="AR2156">
        <f>HYPERLINK("http://catalog.hathitrust.org/Record/002643362","HathiTrust Record")</f>
        <v/>
      </c>
      <c r="AS2156">
        <f>HYPERLINK("https://creighton-primo.hosted.exlibrisgroup.com/primo-explore/search?tab=default_tab&amp;search_scope=EVERYTHING&amp;vid=01CRU&amp;lang=en_US&amp;offset=0&amp;query=any,contains,991002065749702656","Catalog Record")</f>
        <v/>
      </c>
      <c r="AT2156">
        <f>HYPERLINK("http://www.worldcat.org/oclc/26403345","WorldCat Record")</f>
        <v/>
      </c>
      <c r="AU2156" t="inlineStr">
        <is>
          <t>4915100903:eng</t>
        </is>
      </c>
      <c r="AV2156" t="inlineStr">
        <is>
          <t>26403345</t>
        </is>
      </c>
      <c r="AW2156" t="inlineStr">
        <is>
          <t>991002065749702656</t>
        </is>
      </c>
      <c r="AX2156" t="inlineStr">
        <is>
          <t>991002065749702656</t>
        </is>
      </c>
      <c r="AY2156" t="inlineStr">
        <is>
          <t>2268366440002656</t>
        </is>
      </c>
      <c r="AZ2156" t="inlineStr">
        <is>
          <t>BOOK</t>
        </is>
      </c>
      <c r="BB2156" t="inlineStr">
        <is>
          <t>9781563240492</t>
        </is>
      </c>
      <c r="BC2156" t="inlineStr">
        <is>
          <t>32285001584100</t>
        </is>
      </c>
      <c r="BD2156" t="inlineStr">
        <is>
          <t>893408650</t>
        </is>
      </c>
    </row>
    <row r="2157">
      <c r="A2157" t="inlineStr">
        <is>
          <t>No</t>
        </is>
      </c>
      <c r="B2157" t="inlineStr">
        <is>
          <t>DS778.M3 A4295</t>
        </is>
      </c>
      <c r="C2157" t="inlineStr">
        <is>
          <t>0                      DS 0778000M  3                  A  4295</t>
        </is>
      </c>
      <c r="D2157" t="inlineStr">
        <is>
          <t>Mao papers / anthology and bibliography edited by Jerome Chʻen.</t>
        </is>
      </c>
      <c r="F2157" t="inlineStr">
        <is>
          <t>No</t>
        </is>
      </c>
      <c r="G2157" t="inlineStr">
        <is>
          <t>1</t>
        </is>
      </c>
      <c r="H2157" t="inlineStr">
        <is>
          <t>No</t>
        </is>
      </c>
      <c r="I2157" t="inlineStr">
        <is>
          <t>No</t>
        </is>
      </c>
      <c r="J2157" t="inlineStr">
        <is>
          <t>0</t>
        </is>
      </c>
      <c r="K2157" t="inlineStr">
        <is>
          <t>Mao, Zedong, 1893-1976.</t>
        </is>
      </c>
      <c r="L2157" t="inlineStr">
        <is>
          <t>London ; New York : Oxford University Press, 1970.</t>
        </is>
      </c>
      <c r="M2157" t="inlineStr">
        <is>
          <t>1970</t>
        </is>
      </c>
      <c r="O2157" t="inlineStr">
        <is>
          <t>eng</t>
        </is>
      </c>
      <c r="P2157" t="inlineStr">
        <is>
          <t>enk</t>
        </is>
      </c>
      <c r="R2157" t="inlineStr">
        <is>
          <t xml:space="preserve">DS </t>
        </is>
      </c>
      <c r="S2157" t="n">
        <v>6</v>
      </c>
      <c r="T2157" t="n">
        <v>6</v>
      </c>
      <c r="U2157" t="inlineStr">
        <is>
          <t>1996-10-17</t>
        </is>
      </c>
      <c r="V2157" t="inlineStr">
        <is>
          <t>1996-10-17</t>
        </is>
      </c>
      <c r="W2157" t="inlineStr">
        <is>
          <t>1992-11-05</t>
        </is>
      </c>
      <c r="X2157" t="inlineStr">
        <is>
          <t>1992-11-05</t>
        </is>
      </c>
      <c r="Y2157" t="n">
        <v>877</v>
      </c>
      <c r="Z2157" t="n">
        <v>739</v>
      </c>
      <c r="AA2157" t="n">
        <v>746</v>
      </c>
      <c r="AB2157" t="n">
        <v>5</v>
      </c>
      <c r="AC2157" t="n">
        <v>5</v>
      </c>
      <c r="AD2157" t="n">
        <v>29</v>
      </c>
      <c r="AE2157" t="n">
        <v>29</v>
      </c>
      <c r="AF2157" t="n">
        <v>11</v>
      </c>
      <c r="AG2157" t="n">
        <v>11</v>
      </c>
      <c r="AH2157" t="n">
        <v>9</v>
      </c>
      <c r="AI2157" t="n">
        <v>9</v>
      </c>
      <c r="AJ2157" t="n">
        <v>13</v>
      </c>
      <c r="AK2157" t="n">
        <v>13</v>
      </c>
      <c r="AL2157" t="n">
        <v>4</v>
      </c>
      <c r="AM2157" t="n">
        <v>4</v>
      </c>
      <c r="AN2157" t="n">
        <v>0</v>
      </c>
      <c r="AO2157" t="n">
        <v>0</v>
      </c>
      <c r="AP2157" t="inlineStr">
        <is>
          <t>No</t>
        </is>
      </c>
      <c r="AQ2157" t="inlineStr">
        <is>
          <t>Yes</t>
        </is>
      </c>
      <c r="AR2157">
        <f>HYPERLINK("http://catalog.hathitrust.org/Record/001258674","HathiTrust Record")</f>
        <v/>
      </c>
      <c r="AS2157">
        <f>HYPERLINK("https://creighton-primo.hosted.exlibrisgroup.com/primo-explore/search?tab=default_tab&amp;search_scope=EVERYTHING&amp;vid=01CRU&amp;lang=en_US&amp;offset=0&amp;query=any,contains,991000624079702656","Catalog Record")</f>
        <v/>
      </c>
      <c r="AT2157">
        <f>HYPERLINK("http://www.worldcat.org/oclc/103384","WorldCat Record")</f>
        <v/>
      </c>
      <c r="AU2157" t="inlineStr">
        <is>
          <t>3943308218:eng</t>
        </is>
      </c>
      <c r="AV2157" t="inlineStr">
        <is>
          <t>103384</t>
        </is>
      </c>
      <c r="AW2157" t="inlineStr">
        <is>
          <t>991000624079702656</t>
        </is>
      </c>
      <c r="AX2157" t="inlineStr">
        <is>
          <t>991000624079702656</t>
        </is>
      </c>
      <c r="AY2157" t="inlineStr">
        <is>
          <t>2260080670002656</t>
        </is>
      </c>
      <c r="AZ2157" t="inlineStr">
        <is>
          <t>BOOK</t>
        </is>
      </c>
      <c r="BB2157" t="inlineStr">
        <is>
          <t>9780192151889</t>
        </is>
      </c>
      <c r="BC2157" t="inlineStr">
        <is>
          <t>32285001382372</t>
        </is>
      </c>
      <c r="BD2157" t="inlineStr">
        <is>
          <t>893237474</t>
        </is>
      </c>
    </row>
    <row r="2158">
      <c r="A2158" t="inlineStr">
        <is>
          <t>No</t>
        </is>
      </c>
      <c r="B2158" t="inlineStr">
        <is>
          <t>DS778.M3 A536 1970</t>
        </is>
      </c>
      <c r="C2158" t="inlineStr">
        <is>
          <t>0                      DS 0778000M  3                  A  536         1970</t>
        </is>
      </c>
      <c r="D2158" t="inlineStr">
        <is>
          <t>On revolution and war / edited with an introd. and notes by M. Rejai.</t>
        </is>
      </c>
      <c r="F2158" t="inlineStr">
        <is>
          <t>No</t>
        </is>
      </c>
      <c r="G2158" t="inlineStr">
        <is>
          <t>1</t>
        </is>
      </c>
      <c r="H2158" t="inlineStr">
        <is>
          <t>No</t>
        </is>
      </c>
      <c r="I2158" t="inlineStr">
        <is>
          <t>No</t>
        </is>
      </c>
      <c r="J2158" t="inlineStr">
        <is>
          <t>0</t>
        </is>
      </c>
      <c r="K2158" t="inlineStr">
        <is>
          <t>Mao, Zedong, 1893-1976.</t>
        </is>
      </c>
      <c r="L2158" t="inlineStr">
        <is>
          <t>Garden City, N.Y. : Anchor Books, 1970.</t>
        </is>
      </c>
      <c r="M2158" t="inlineStr">
        <is>
          <t>1970</t>
        </is>
      </c>
      <c r="O2158" t="inlineStr">
        <is>
          <t>eng</t>
        </is>
      </c>
      <c r="P2158" t="inlineStr">
        <is>
          <t>nyu</t>
        </is>
      </c>
      <c r="R2158" t="inlineStr">
        <is>
          <t xml:space="preserve">DS </t>
        </is>
      </c>
      <c r="S2158" t="n">
        <v>1</v>
      </c>
      <c r="T2158" t="n">
        <v>1</v>
      </c>
      <c r="U2158" t="inlineStr">
        <is>
          <t>2009-09-02</t>
        </is>
      </c>
      <c r="V2158" t="inlineStr">
        <is>
          <t>2009-09-02</t>
        </is>
      </c>
      <c r="W2158" t="inlineStr">
        <is>
          <t>1994-12-22</t>
        </is>
      </c>
      <c r="X2158" t="inlineStr">
        <is>
          <t>1994-12-22</t>
        </is>
      </c>
      <c r="Y2158" t="n">
        <v>260</v>
      </c>
      <c r="Z2158" t="n">
        <v>228</v>
      </c>
      <c r="AA2158" t="n">
        <v>701</v>
      </c>
      <c r="AB2158" t="n">
        <v>2</v>
      </c>
      <c r="AC2158" t="n">
        <v>5</v>
      </c>
      <c r="AD2158" t="n">
        <v>7</v>
      </c>
      <c r="AE2158" t="n">
        <v>33</v>
      </c>
      <c r="AF2158" t="n">
        <v>4</v>
      </c>
      <c r="AG2158" t="n">
        <v>16</v>
      </c>
      <c r="AH2158" t="n">
        <v>1</v>
      </c>
      <c r="AI2158" t="n">
        <v>6</v>
      </c>
      <c r="AJ2158" t="n">
        <v>5</v>
      </c>
      <c r="AK2158" t="n">
        <v>17</v>
      </c>
      <c r="AL2158" t="n">
        <v>0</v>
      </c>
      <c r="AM2158" t="n">
        <v>3</v>
      </c>
      <c r="AN2158" t="n">
        <v>0</v>
      </c>
      <c r="AO2158" t="n">
        <v>1</v>
      </c>
      <c r="AP2158" t="inlineStr">
        <is>
          <t>No</t>
        </is>
      </c>
      <c r="AQ2158" t="inlineStr">
        <is>
          <t>Yes</t>
        </is>
      </c>
      <c r="AR2158">
        <f>HYPERLINK("http://catalog.hathitrust.org/Record/001258421","HathiTrust Record")</f>
        <v/>
      </c>
      <c r="AS2158">
        <f>HYPERLINK("https://creighton-primo.hosted.exlibrisgroup.com/primo-explore/search?tab=default_tab&amp;search_scope=EVERYTHING&amp;vid=01CRU&amp;lang=en_US&amp;offset=0&amp;query=any,contains,991000568409702656","Catalog Record")</f>
        <v/>
      </c>
      <c r="AT2158">
        <f>HYPERLINK("http://www.worldcat.org/oclc/94516","WorldCat Record")</f>
        <v/>
      </c>
      <c r="AU2158" t="inlineStr">
        <is>
          <t>197398191:eng</t>
        </is>
      </c>
      <c r="AV2158" t="inlineStr">
        <is>
          <t>94516</t>
        </is>
      </c>
      <c r="AW2158" t="inlineStr">
        <is>
          <t>991000568409702656</t>
        </is>
      </c>
      <c r="AX2158" t="inlineStr">
        <is>
          <t>991000568409702656</t>
        </is>
      </c>
      <c r="AY2158" t="inlineStr">
        <is>
          <t>2266041960002656</t>
        </is>
      </c>
      <c r="AZ2158" t="inlineStr">
        <is>
          <t>BOOK</t>
        </is>
      </c>
      <c r="BC2158" t="inlineStr">
        <is>
          <t>32285001985406</t>
        </is>
      </c>
      <c r="BD2158" t="inlineStr">
        <is>
          <t>893808747</t>
        </is>
      </c>
    </row>
    <row r="2159">
      <c r="A2159" t="inlineStr">
        <is>
          <t>No</t>
        </is>
      </c>
      <c r="B2159" t="inlineStr">
        <is>
          <t>DS778.M3 A94</t>
        </is>
      </c>
      <c r="C2159" t="inlineStr">
        <is>
          <t>0                      DS 0778000M  3                  A  94</t>
        </is>
      </c>
      <c r="D2159" t="inlineStr">
        <is>
          <t>Mao Tsetung's immortal contributions / by Bob Avakian.</t>
        </is>
      </c>
      <c r="F2159" t="inlineStr">
        <is>
          <t>No</t>
        </is>
      </c>
      <c r="G2159" t="inlineStr">
        <is>
          <t>1</t>
        </is>
      </c>
      <c r="H2159" t="inlineStr">
        <is>
          <t>No</t>
        </is>
      </c>
      <c r="I2159" t="inlineStr">
        <is>
          <t>No</t>
        </is>
      </c>
      <c r="J2159" t="inlineStr">
        <is>
          <t>0</t>
        </is>
      </c>
      <c r="K2159" t="inlineStr">
        <is>
          <t>Avakian, Bob.</t>
        </is>
      </c>
      <c r="L2159" t="inlineStr">
        <is>
          <t>Chicago : RCP Publications, [1979?]</t>
        </is>
      </c>
      <c r="M2159" t="inlineStr">
        <is>
          <t>1979</t>
        </is>
      </c>
      <c r="O2159" t="inlineStr">
        <is>
          <t>eng</t>
        </is>
      </c>
      <c r="P2159" t="inlineStr">
        <is>
          <t>cau</t>
        </is>
      </c>
      <c r="R2159" t="inlineStr">
        <is>
          <t xml:space="preserve">DS </t>
        </is>
      </c>
      <c r="S2159" t="n">
        <v>4</v>
      </c>
      <c r="T2159" t="n">
        <v>4</v>
      </c>
      <c r="U2159" t="inlineStr">
        <is>
          <t>1996-03-26</t>
        </is>
      </c>
      <c r="V2159" t="inlineStr">
        <is>
          <t>1996-03-26</t>
        </is>
      </c>
      <c r="W2159" t="inlineStr">
        <is>
          <t>1990-10-19</t>
        </is>
      </c>
      <c r="X2159" t="inlineStr">
        <is>
          <t>1990-10-19</t>
        </is>
      </c>
      <c r="Y2159" t="n">
        <v>256</v>
      </c>
      <c r="Z2159" t="n">
        <v>221</v>
      </c>
      <c r="AA2159" t="n">
        <v>229</v>
      </c>
      <c r="AB2159" t="n">
        <v>2</v>
      </c>
      <c r="AC2159" t="n">
        <v>2</v>
      </c>
      <c r="AD2159" t="n">
        <v>10</v>
      </c>
      <c r="AE2159" t="n">
        <v>10</v>
      </c>
      <c r="AF2159" t="n">
        <v>3</v>
      </c>
      <c r="AG2159" t="n">
        <v>3</v>
      </c>
      <c r="AH2159" t="n">
        <v>2</v>
      </c>
      <c r="AI2159" t="n">
        <v>2</v>
      </c>
      <c r="AJ2159" t="n">
        <v>7</v>
      </c>
      <c r="AK2159" t="n">
        <v>7</v>
      </c>
      <c r="AL2159" t="n">
        <v>1</v>
      </c>
      <c r="AM2159" t="n">
        <v>1</v>
      </c>
      <c r="AN2159" t="n">
        <v>0</v>
      </c>
      <c r="AO2159" t="n">
        <v>0</v>
      </c>
      <c r="AP2159" t="inlineStr">
        <is>
          <t>No</t>
        </is>
      </c>
      <c r="AQ2159" t="inlineStr">
        <is>
          <t>Yes</t>
        </is>
      </c>
      <c r="AR2159">
        <f>HYPERLINK("http://catalog.hathitrust.org/Record/000715078","HathiTrust Record")</f>
        <v/>
      </c>
      <c r="AS2159">
        <f>HYPERLINK("https://creighton-primo.hosted.exlibrisgroup.com/primo-explore/search?tab=default_tab&amp;search_scope=EVERYTHING&amp;vid=01CRU&amp;lang=en_US&amp;offset=0&amp;query=any,contains,991004822049702656","Catalog Record")</f>
        <v/>
      </c>
      <c r="AT2159">
        <f>HYPERLINK("http://www.worldcat.org/oclc/5336695","WorldCat Record")</f>
        <v/>
      </c>
      <c r="AU2159" t="inlineStr">
        <is>
          <t>17875782:eng</t>
        </is>
      </c>
      <c r="AV2159" t="inlineStr">
        <is>
          <t>5336695</t>
        </is>
      </c>
      <c r="AW2159" t="inlineStr">
        <is>
          <t>991004822049702656</t>
        </is>
      </c>
      <c r="AX2159" t="inlineStr">
        <is>
          <t>991004822049702656</t>
        </is>
      </c>
      <c r="AY2159" t="inlineStr">
        <is>
          <t>2265298510002656</t>
        </is>
      </c>
      <c r="AZ2159" t="inlineStr">
        <is>
          <t>BOOK</t>
        </is>
      </c>
      <c r="BB2159" t="inlineStr">
        <is>
          <t>9780898510454</t>
        </is>
      </c>
      <c r="BC2159" t="inlineStr">
        <is>
          <t>32285000339068</t>
        </is>
      </c>
      <c r="BD2159" t="inlineStr">
        <is>
          <t>893332087</t>
        </is>
      </c>
    </row>
    <row r="2160">
      <c r="A2160" t="inlineStr">
        <is>
          <t>No</t>
        </is>
      </c>
      <c r="B2160" t="inlineStr">
        <is>
          <t>DS778.M3 B6813</t>
        </is>
      </c>
      <c r="C2160" t="inlineStr">
        <is>
          <t>0                      DS 0778000M  3                  B  6813</t>
        </is>
      </c>
      <c r="D2160" t="inlineStr">
        <is>
          <t>Mao Tse-tung : a guide to his thought / Alain Bouc ; translated by Paul Auster and Lydia Davis.</t>
        </is>
      </c>
      <c r="F2160" t="inlineStr">
        <is>
          <t>No</t>
        </is>
      </c>
      <c r="G2160" t="inlineStr">
        <is>
          <t>1</t>
        </is>
      </c>
      <c r="H2160" t="inlineStr">
        <is>
          <t>No</t>
        </is>
      </c>
      <c r="I2160" t="inlineStr">
        <is>
          <t>No</t>
        </is>
      </c>
      <c r="J2160" t="inlineStr">
        <is>
          <t>0</t>
        </is>
      </c>
      <c r="K2160" t="inlineStr">
        <is>
          <t>Bouc, Alain.</t>
        </is>
      </c>
      <c r="L2160" t="inlineStr">
        <is>
          <t>New York : St. Martin's Press, c1977.</t>
        </is>
      </c>
      <c r="M2160" t="inlineStr">
        <is>
          <t>1977</t>
        </is>
      </c>
      <c r="O2160" t="inlineStr">
        <is>
          <t>eng</t>
        </is>
      </c>
      <c r="P2160" t="inlineStr">
        <is>
          <t>nyu</t>
        </is>
      </c>
      <c r="R2160" t="inlineStr">
        <is>
          <t xml:space="preserve">DS </t>
        </is>
      </c>
      <c r="S2160" t="n">
        <v>4</v>
      </c>
      <c r="T2160" t="n">
        <v>4</v>
      </c>
      <c r="U2160" t="inlineStr">
        <is>
          <t>1994-11-22</t>
        </is>
      </c>
      <c r="V2160" t="inlineStr">
        <is>
          <t>1994-11-22</t>
        </is>
      </c>
      <c r="W2160" t="inlineStr">
        <is>
          <t>1992-02-11</t>
        </is>
      </c>
      <c r="X2160" t="inlineStr">
        <is>
          <t>1992-02-11</t>
        </is>
      </c>
      <c r="Y2160" t="n">
        <v>677</v>
      </c>
      <c r="Z2160" t="n">
        <v>621</v>
      </c>
      <c r="AA2160" t="n">
        <v>621</v>
      </c>
      <c r="AB2160" t="n">
        <v>4</v>
      </c>
      <c r="AC2160" t="n">
        <v>4</v>
      </c>
      <c r="AD2160" t="n">
        <v>19</v>
      </c>
      <c r="AE2160" t="n">
        <v>19</v>
      </c>
      <c r="AF2160" t="n">
        <v>7</v>
      </c>
      <c r="AG2160" t="n">
        <v>7</v>
      </c>
      <c r="AH2160" t="n">
        <v>5</v>
      </c>
      <c r="AI2160" t="n">
        <v>5</v>
      </c>
      <c r="AJ2160" t="n">
        <v>7</v>
      </c>
      <c r="AK2160" t="n">
        <v>7</v>
      </c>
      <c r="AL2160" t="n">
        <v>3</v>
      </c>
      <c r="AM2160" t="n">
        <v>3</v>
      </c>
      <c r="AN2160" t="n">
        <v>0</v>
      </c>
      <c r="AO2160" t="n">
        <v>0</v>
      </c>
      <c r="AP2160" t="inlineStr">
        <is>
          <t>No</t>
        </is>
      </c>
      <c r="AQ2160" t="inlineStr">
        <is>
          <t>No</t>
        </is>
      </c>
      <c r="AS2160">
        <f>HYPERLINK("https://creighton-primo.hosted.exlibrisgroup.com/primo-explore/search?tab=default_tab&amp;search_scope=EVERYTHING&amp;vid=01CRU&amp;lang=en_US&amp;offset=0&amp;query=any,contains,991004299749702656","Catalog Record")</f>
        <v/>
      </c>
      <c r="AT2160">
        <f>HYPERLINK("http://www.worldcat.org/oclc/2967689","WorldCat Record")</f>
        <v/>
      </c>
      <c r="AU2160" t="inlineStr">
        <is>
          <t>3901009454:eng</t>
        </is>
      </c>
      <c r="AV2160" t="inlineStr">
        <is>
          <t>2967689</t>
        </is>
      </c>
      <c r="AW2160" t="inlineStr">
        <is>
          <t>991004299749702656</t>
        </is>
      </c>
      <c r="AX2160" t="inlineStr">
        <is>
          <t>991004299749702656</t>
        </is>
      </c>
      <c r="AY2160" t="inlineStr">
        <is>
          <t>2269384230002656</t>
        </is>
      </c>
      <c r="AZ2160" t="inlineStr">
        <is>
          <t>BOOK</t>
        </is>
      </c>
      <c r="BB2160" t="inlineStr">
        <is>
          <t>9780312513979</t>
        </is>
      </c>
      <c r="BC2160" t="inlineStr">
        <is>
          <t>32285000955467</t>
        </is>
      </c>
      <c r="BD2160" t="inlineStr">
        <is>
          <t>893788539</t>
        </is>
      </c>
    </row>
    <row r="2161">
      <c r="A2161" t="inlineStr">
        <is>
          <t>No</t>
        </is>
      </c>
      <c r="B2161" t="inlineStr">
        <is>
          <t>DS778.M3 C4</t>
        </is>
      </c>
      <c r="C2161" t="inlineStr">
        <is>
          <t>0                      DS 0778000M  3                  C  4</t>
        </is>
      </c>
      <c r="D2161" t="inlineStr">
        <is>
          <t>Mao and the Chinese revolution. With thirty-seven poems by Mao Tse-tung translated from the Chinese by Michael Bullock and Jerome Chʻên.</t>
        </is>
      </c>
      <c r="F2161" t="inlineStr">
        <is>
          <t>No</t>
        </is>
      </c>
      <c r="G2161" t="inlineStr">
        <is>
          <t>1</t>
        </is>
      </c>
      <c r="H2161" t="inlineStr">
        <is>
          <t>No</t>
        </is>
      </c>
      <c r="I2161" t="inlineStr">
        <is>
          <t>No</t>
        </is>
      </c>
      <c r="J2161" t="inlineStr">
        <is>
          <t>0</t>
        </is>
      </c>
      <c r="K2161" t="inlineStr">
        <is>
          <t>Chʼên, Jerome, 1919-2019.</t>
        </is>
      </c>
      <c r="L2161" t="inlineStr">
        <is>
          <t>London, New York, Oxford University Press, 1965.</t>
        </is>
      </c>
      <c r="M2161" t="inlineStr">
        <is>
          <t>1965</t>
        </is>
      </c>
      <c r="O2161" t="inlineStr">
        <is>
          <t>eng</t>
        </is>
      </c>
      <c r="P2161" t="inlineStr">
        <is>
          <t>enk</t>
        </is>
      </c>
      <c r="R2161" t="inlineStr">
        <is>
          <t xml:space="preserve">DS </t>
        </is>
      </c>
      <c r="S2161" t="n">
        <v>3</v>
      </c>
      <c r="T2161" t="n">
        <v>3</v>
      </c>
      <c r="U2161" t="inlineStr">
        <is>
          <t>2000-08-25</t>
        </is>
      </c>
      <c r="V2161" t="inlineStr">
        <is>
          <t>2000-08-25</t>
        </is>
      </c>
      <c r="W2161" t="inlineStr">
        <is>
          <t>1997-03-13</t>
        </is>
      </c>
      <c r="X2161" t="inlineStr">
        <is>
          <t>1997-03-13</t>
        </is>
      </c>
      <c r="Y2161" t="n">
        <v>1412</v>
      </c>
      <c r="Z2161" t="n">
        <v>1224</v>
      </c>
      <c r="AA2161" t="n">
        <v>1402</v>
      </c>
      <c r="AB2161" t="n">
        <v>14</v>
      </c>
      <c r="AC2161" t="n">
        <v>15</v>
      </c>
      <c r="AD2161" t="n">
        <v>53</v>
      </c>
      <c r="AE2161" t="n">
        <v>58</v>
      </c>
      <c r="AF2161" t="n">
        <v>23</v>
      </c>
      <c r="AG2161" t="n">
        <v>25</v>
      </c>
      <c r="AH2161" t="n">
        <v>8</v>
      </c>
      <c r="AI2161" t="n">
        <v>8</v>
      </c>
      <c r="AJ2161" t="n">
        <v>19</v>
      </c>
      <c r="AK2161" t="n">
        <v>22</v>
      </c>
      <c r="AL2161" t="n">
        <v>12</v>
      </c>
      <c r="AM2161" t="n">
        <v>13</v>
      </c>
      <c r="AN2161" t="n">
        <v>0</v>
      </c>
      <c r="AO2161" t="n">
        <v>0</v>
      </c>
      <c r="AP2161" t="inlineStr">
        <is>
          <t>No</t>
        </is>
      </c>
      <c r="AQ2161" t="inlineStr">
        <is>
          <t>Yes</t>
        </is>
      </c>
      <c r="AR2161">
        <f>HYPERLINK("http://catalog.hathitrust.org/Record/001258686","HathiTrust Record")</f>
        <v/>
      </c>
      <c r="AS2161">
        <f>HYPERLINK("https://creighton-primo.hosted.exlibrisgroup.com/primo-explore/search?tab=default_tab&amp;search_scope=EVERYTHING&amp;vid=01CRU&amp;lang=en_US&amp;offset=0&amp;query=any,contains,991005355279702656","Catalog Record")</f>
        <v/>
      </c>
      <c r="AT2161">
        <f>HYPERLINK("http://www.worldcat.org/oclc/411952","WorldCat Record")</f>
        <v/>
      </c>
      <c r="AU2161" t="inlineStr">
        <is>
          <t>1460277:eng</t>
        </is>
      </c>
      <c r="AV2161" t="inlineStr">
        <is>
          <t>411952</t>
        </is>
      </c>
      <c r="AW2161" t="inlineStr">
        <is>
          <t>991005355279702656</t>
        </is>
      </c>
      <c r="AX2161" t="inlineStr">
        <is>
          <t>991005355279702656</t>
        </is>
      </c>
      <c r="AY2161" t="inlineStr">
        <is>
          <t>2264656500002656</t>
        </is>
      </c>
      <c r="AZ2161" t="inlineStr">
        <is>
          <t>BOOK</t>
        </is>
      </c>
      <c r="BC2161" t="inlineStr">
        <is>
          <t>32285002448768</t>
        </is>
      </c>
      <c r="BD2161" t="inlineStr">
        <is>
          <t>893536585</t>
        </is>
      </c>
    </row>
    <row r="2162">
      <c r="A2162" t="inlineStr">
        <is>
          <t>No</t>
        </is>
      </c>
      <c r="B2162" t="inlineStr">
        <is>
          <t>DS778.M3 F44 2002</t>
        </is>
      </c>
      <c r="C2162" t="inlineStr">
        <is>
          <t>0                      DS 0778000M  3                  F  44          2002</t>
        </is>
      </c>
      <c r="D2162" t="inlineStr">
        <is>
          <t>Mao : a reinterpretation / Lee Feigon.</t>
        </is>
      </c>
      <c r="F2162" t="inlineStr">
        <is>
          <t>No</t>
        </is>
      </c>
      <c r="G2162" t="inlineStr">
        <is>
          <t>1</t>
        </is>
      </c>
      <c r="H2162" t="inlineStr">
        <is>
          <t>No</t>
        </is>
      </c>
      <c r="I2162" t="inlineStr">
        <is>
          <t>No</t>
        </is>
      </c>
      <c r="J2162" t="inlineStr">
        <is>
          <t>0</t>
        </is>
      </c>
      <c r="K2162" t="inlineStr">
        <is>
          <t>Feigon, Lee, 1945-</t>
        </is>
      </c>
      <c r="L2162" t="inlineStr">
        <is>
          <t>Chicago : Ivan R. Dee, 2002.</t>
        </is>
      </c>
      <c r="M2162" t="inlineStr">
        <is>
          <t>2002</t>
        </is>
      </c>
      <c r="O2162" t="inlineStr">
        <is>
          <t>eng</t>
        </is>
      </c>
      <c r="P2162" t="inlineStr">
        <is>
          <t>ilu</t>
        </is>
      </c>
      <c r="R2162" t="inlineStr">
        <is>
          <t xml:space="preserve">DS </t>
        </is>
      </c>
      <c r="S2162" t="n">
        <v>4</v>
      </c>
      <c r="T2162" t="n">
        <v>4</v>
      </c>
      <c r="U2162" t="inlineStr">
        <is>
          <t>2006-10-30</t>
        </is>
      </c>
      <c r="V2162" t="inlineStr">
        <is>
          <t>2006-10-30</t>
        </is>
      </c>
      <c r="W2162" t="inlineStr">
        <is>
          <t>2003-02-06</t>
        </is>
      </c>
      <c r="X2162" t="inlineStr">
        <is>
          <t>2003-02-06</t>
        </is>
      </c>
      <c r="Y2162" t="n">
        <v>480</v>
      </c>
      <c r="Z2162" t="n">
        <v>414</v>
      </c>
      <c r="AA2162" t="n">
        <v>441</v>
      </c>
      <c r="AB2162" t="n">
        <v>3</v>
      </c>
      <c r="AC2162" t="n">
        <v>3</v>
      </c>
      <c r="AD2162" t="n">
        <v>26</v>
      </c>
      <c r="AE2162" t="n">
        <v>26</v>
      </c>
      <c r="AF2162" t="n">
        <v>12</v>
      </c>
      <c r="AG2162" t="n">
        <v>12</v>
      </c>
      <c r="AH2162" t="n">
        <v>9</v>
      </c>
      <c r="AI2162" t="n">
        <v>9</v>
      </c>
      <c r="AJ2162" t="n">
        <v>12</v>
      </c>
      <c r="AK2162" t="n">
        <v>12</v>
      </c>
      <c r="AL2162" t="n">
        <v>2</v>
      </c>
      <c r="AM2162" t="n">
        <v>2</v>
      </c>
      <c r="AN2162" t="n">
        <v>0</v>
      </c>
      <c r="AO2162" t="n">
        <v>0</v>
      </c>
      <c r="AP2162" t="inlineStr">
        <is>
          <t>No</t>
        </is>
      </c>
      <c r="AQ2162" t="inlineStr">
        <is>
          <t>Yes</t>
        </is>
      </c>
      <c r="AR2162">
        <f>HYPERLINK("http://catalog.hathitrust.org/Record/004283266","HathiTrust Record")</f>
        <v/>
      </c>
      <c r="AS2162">
        <f>HYPERLINK("https://creighton-primo.hosted.exlibrisgroup.com/primo-explore/search?tab=default_tab&amp;search_scope=EVERYTHING&amp;vid=01CRU&amp;lang=en_US&amp;offset=0&amp;query=any,contains,991003968709702656","Catalog Record")</f>
        <v/>
      </c>
      <c r="AT2162">
        <f>HYPERLINK("http://www.worldcat.org/oclc/49872290","WorldCat Record")</f>
        <v/>
      </c>
      <c r="AU2162" t="inlineStr">
        <is>
          <t>779054:eng</t>
        </is>
      </c>
      <c r="AV2162" t="inlineStr">
        <is>
          <t>49872290</t>
        </is>
      </c>
      <c r="AW2162" t="inlineStr">
        <is>
          <t>991003968709702656</t>
        </is>
      </c>
      <c r="AX2162" t="inlineStr">
        <is>
          <t>991003968709702656</t>
        </is>
      </c>
      <c r="AY2162" t="inlineStr">
        <is>
          <t>2270602820002656</t>
        </is>
      </c>
      <c r="AZ2162" t="inlineStr">
        <is>
          <t>BOOK</t>
        </is>
      </c>
      <c r="BB2162" t="inlineStr">
        <is>
          <t>9781566634588</t>
        </is>
      </c>
      <c r="BC2162" t="inlineStr">
        <is>
          <t>32285004697628</t>
        </is>
      </c>
      <c r="BD2162" t="inlineStr">
        <is>
          <t>893512622</t>
        </is>
      </c>
    </row>
    <row r="2163">
      <c r="A2163" t="inlineStr">
        <is>
          <t>No</t>
        </is>
      </c>
      <c r="B2163" t="inlineStr">
        <is>
          <t>DS778.M3 J55 1993</t>
        </is>
      </c>
      <c r="C2163" t="inlineStr">
        <is>
          <t>0                      DS 0778000M  3                  J  55          1993</t>
        </is>
      </c>
      <c r="D2163" t="inlineStr">
        <is>
          <t>Mao Zedong's art of war / Liu Jikun.</t>
        </is>
      </c>
      <c r="F2163" t="inlineStr">
        <is>
          <t>No</t>
        </is>
      </c>
      <c r="G2163" t="inlineStr">
        <is>
          <t>1</t>
        </is>
      </c>
      <c r="H2163" t="inlineStr">
        <is>
          <t>No</t>
        </is>
      </c>
      <c r="I2163" t="inlineStr">
        <is>
          <t>No</t>
        </is>
      </c>
      <c r="J2163" t="inlineStr">
        <is>
          <t>0</t>
        </is>
      </c>
      <c r="K2163" t="inlineStr">
        <is>
          <t>Jikun, Liu.</t>
        </is>
      </c>
      <c r="L2163" t="inlineStr">
        <is>
          <t>Hong Kong : Hai Feng Publishing Co., 1993.</t>
        </is>
      </c>
      <c r="M2163" t="inlineStr">
        <is>
          <t>1993</t>
        </is>
      </c>
      <c r="N2163" t="inlineStr">
        <is>
          <t>1st ed.</t>
        </is>
      </c>
      <c r="O2163" t="inlineStr">
        <is>
          <t>eng</t>
        </is>
      </c>
      <c r="P2163" t="inlineStr">
        <is>
          <t xml:space="preserve">hk </t>
        </is>
      </c>
      <c r="R2163" t="inlineStr">
        <is>
          <t xml:space="preserve">DS </t>
        </is>
      </c>
      <c r="S2163" t="n">
        <v>0</v>
      </c>
      <c r="T2163" t="n">
        <v>0</v>
      </c>
      <c r="U2163" t="inlineStr">
        <is>
          <t>2006-04-28</t>
        </is>
      </c>
      <c r="V2163" t="inlineStr">
        <is>
          <t>2006-04-28</t>
        </is>
      </c>
      <c r="W2163" t="inlineStr">
        <is>
          <t>1996-05-07</t>
        </is>
      </c>
      <c r="X2163" t="inlineStr">
        <is>
          <t>1996-05-07</t>
        </is>
      </c>
      <c r="Y2163" t="n">
        <v>26</v>
      </c>
      <c r="Z2163" t="n">
        <v>18</v>
      </c>
      <c r="AA2163" t="n">
        <v>23</v>
      </c>
      <c r="AB2163" t="n">
        <v>1</v>
      </c>
      <c r="AC2163" t="n">
        <v>1</v>
      </c>
      <c r="AD2163" t="n">
        <v>0</v>
      </c>
      <c r="AE2163" t="n">
        <v>0</v>
      </c>
      <c r="AF2163" t="n">
        <v>0</v>
      </c>
      <c r="AG2163" t="n">
        <v>0</v>
      </c>
      <c r="AH2163" t="n">
        <v>0</v>
      </c>
      <c r="AI2163" t="n">
        <v>0</v>
      </c>
      <c r="AJ2163" t="n">
        <v>0</v>
      </c>
      <c r="AK2163" t="n">
        <v>0</v>
      </c>
      <c r="AL2163" t="n">
        <v>0</v>
      </c>
      <c r="AM2163" t="n">
        <v>0</v>
      </c>
      <c r="AN2163" t="n">
        <v>0</v>
      </c>
      <c r="AO2163" t="n">
        <v>0</v>
      </c>
      <c r="AP2163" t="inlineStr">
        <is>
          <t>No</t>
        </is>
      </c>
      <c r="AQ2163" t="inlineStr">
        <is>
          <t>No</t>
        </is>
      </c>
      <c r="AS2163">
        <f>HYPERLINK("https://creighton-primo.hosted.exlibrisgroup.com/primo-explore/search?tab=default_tab&amp;search_scope=EVERYTHING&amp;vid=01CRU&amp;lang=en_US&amp;offset=0&amp;query=any,contains,991002497359702656","Catalog Record")</f>
        <v/>
      </c>
      <c r="AT2163">
        <f>HYPERLINK("http://www.worldcat.org/oclc/32477628","WorldCat Record")</f>
        <v/>
      </c>
      <c r="AU2163" t="inlineStr">
        <is>
          <t>44780260:eng</t>
        </is>
      </c>
      <c r="AV2163" t="inlineStr">
        <is>
          <t>32477628</t>
        </is>
      </c>
      <c r="AW2163" t="inlineStr">
        <is>
          <t>991002497359702656</t>
        </is>
      </c>
      <c r="AX2163" t="inlineStr">
        <is>
          <t>991002497359702656</t>
        </is>
      </c>
      <c r="AY2163" t="inlineStr">
        <is>
          <t>2266552910002656</t>
        </is>
      </c>
      <c r="AZ2163" t="inlineStr">
        <is>
          <t>BOOK</t>
        </is>
      </c>
      <c r="BB2163" t="inlineStr">
        <is>
          <t>9789622380844</t>
        </is>
      </c>
      <c r="BC2163" t="inlineStr">
        <is>
          <t>32285002165198</t>
        </is>
      </c>
      <c r="BD2163" t="inlineStr">
        <is>
          <t>893245252</t>
        </is>
      </c>
    </row>
    <row r="2164">
      <c r="A2164" t="inlineStr">
        <is>
          <t>No</t>
        </is>
      </c>
      <c r="B2164" t="inlineStr">
        <is>
          <t>DS778.M3 L5113</t>
        </is>
      </c>
      <c r="C2164" t="inlineStr">
        <is>
          <t>0                      DS 0778000M  3                  L  5113</t>
        </is>
      </c>
      <c r="D2164" t="inlineStr">
        <is>
          <t>The early revolutionary activities of comrade Mao Tse-tung / by Li Jui ; translated by Anthony W. Sariti ; edited by James C. Hsiung ; introd. by Stuart R. Schram.</t>
        </is>
      </c>
      <c r="F2164" t="inlineStr">
        <is>
          <t>No</t>
        </is>
      </c>
      <c r="G2164" t="inlineStr">
        <is>
          <t>1</t>
        </is>
      </c>
      <c r="H2164" t="inlineStr">
        <is>
          <t>No</t>
        </is>
      </c>
      <c r="I2164" t="inlineStr">
        <is>
          <t>No</t>
        </is>
      </c>
      <c r="J2164" t="inlineStr">
        <is>
          <t>0</t>
        </is>
      </c>
      <c r="K2164" t="inlineStr">
        <is>
          <t>Li, Rui, 1917-2019.</t>
        </is>
      </c>
      <c r="L2164" t="inlineStr">
        <is>
          <t>White Plains, N.Y. : M. E. Sharpe, c1977.</t>
        </is>
      </c>
      <c r="M2164" t="inlineStr">
        <is>
          <t>1977</t>
        </is>
      </c>
      <c r="O2164" t="inlineStr">
        <is>
          <t>eng</t>
        </is>
      </c>
      <c r="P2164" t="inlineStr">
        <is>
          <t>nyu</t>
        </is>
      </c>
      <c r="Q2164" t="inlineStr">
        <is>
          <t>The China book project</t>
        </is>
      </c>
      <c r="R2164" t="inlineStr">
        <is>
          <t xml:space="preserve">DS </t>
        </is>
      </c>
      <c r="S2164" t="n">
        <v>17</v>
      </c>
      <c r="T2164" t="n">
        <v>17</v>
      </c>
      <c r="U2164" t="inlineStr">
        <is>
          <t>2006-10-25</t>
        </is>
      </c>
      <c r="V2164" t="inlineStr">
        <is>
          <t>2006-10-25</t>
        </is>
      </c>
      <c r="W2164" t="inlineStr">
        <is>
          <t>1990-08-15</t>
        </is>
      </c>
      <c r="X2164" t="inlineStr">
        <is>
          <t>1990-08-15</t>
        </is>
      </c>
      <c r="Y2164" t="n">
        <v>438</v>
      </c>
      <c r="Z2164" t="n">
        <v>346</v>
      </c>
      <c r="AA2164" t="n">
        <v>348</v>
      </c>
      <c r="AB2164" t="n">
        <v>4</v>
      </c>
      <c r="AC2164" t="n">
        <v>4</v>
      </c>
      <c r="AD2164" t="n">
        <v>12</v>
      </c>
      <c r="AE2164" t="n">
        <v>12</v>
      </c>
      <c r="AF2164" t="n">
        <v>3</v>
      </c>
      <c r="AG2164" t="n">
        <v>3</v>
      </c>
      <c r="AH2164" t="n">
        <v>3</v>
      </c>
      <c r="AI2164" t="n">
        <v>3</v>
      </c>
      <c r="AJ2164" t="n">
        <v>7</v>
      </c>
      <c r="AK2164" t="n">
        <v>7</v>
      </c>
      <c r="AL2164" t="n">
        <v>3</v>
      </c>
      <c r="AM2164" t="n">
        <v>3</v>
      </c>
      <c r="AN2164" t="n">
        <v>0</v>
      </c>
      <c r="AO2164" t="n">
        <v>0</v>
      </c>
      <c r="AP2164" t="inlineStr">
        <is>
          <t>No</t>
        </is>
      </c>
      <c r="AQ2164" t="inlineStr">
        <is>
          <t>Yes</t>
        </is>
      </c>
      <c r="AR2164">
        <f>HYPERLINK("http://catalog.hathitrust.org/Record/000750369","HathiTrust Record")</f>
        <v/>
      </c>
      <c r="AS2164">
        <f>HYPERLINK("https://creighton-primo.hosted.exlibrisgroup.com/primo-explore/search?tab=default_tab&amp;search_scope=EVERYTHING&amp;vid=01CRU&amp;lang=en_US&amp;offset=0&amp;query=any,contains,991004416589702656","Catalog Record")</f>
        <v/>
      </c>
      <c r="AT2164">
        <f>HYPERLINK("http://www.worldcat.org/oclc/3364937","WorldCat Record")</f>
        <v/>
      </c>
      <c r="AU2164" t="inlineStr">
        <is>
          <t>4176093:eng</t>
        </is>
      </c>
      <c r="AV2164" t="inlineStr">
        <is>
          <t>3364937</t>
        </is>
      </c>
      <c r="AW2164" t="inlineStr">
        <is>
          <t>991004416589702656</t>
        </is>
      </c>
      <c r="AX2164" t="inlineStr">
        <is>
          <t>991004416589702656</t>
        </is>
      </c>
      <c r="AY2164" t="inlineStr">
        <is>
          <t>2258517370002656</t>
        </is>
      </c>
      <c r="AZ2164" t="inlineStr">
        <is>
          <t>BOOK</t>
        </is>
      </c>
      <c r="BB2164" t="inlineStr">
        <is>
          <t>9780873320702</t>
        </is>
      </c>
      <c r="BC2164" t="inlineStr">
        <is>
          <t>32285000281260</t>
        </is>
      </c>
      <c r="BD2164" t="inlineStr">
        <is>
          <t>893888673</t>
        </is>
      </c>
    </row>
    <row r="2165">
      <c r="A2165" t="inlineStr">
        <is>
          <t>No</t>
        </is>
      </c>
      <c r="B2165" t="inlineStr">
        <is>
          <t>DS778.M3 M2865</t>
        </is>
      </c>
      <c r="C2165" t="inlineStr">
        <is>
          <t>0                      DS 0778000M  3                  M  2865</t>
        </is>
      </c>
      <c r="D2165" t="inlineStr">
        <is>
          <t>Mao Tse-tung in the scales of history : a preliminary assessment / organized by the China quarterly ; and edited by Dick Wilson.</t>
        </is>
      </c>
      <c r="F2165" t="inlineStr">
        <is>
          <t>No</t>
        </is>
      </c>
      <c r="G2165" t="inlineStr">
        <is>
          <t>1</t>
        </is>
      </c>
      <c r="H2165" t="inlineStr">
        <is>
          <t>No</t>
        </is>
      </c>
      <c r="I2165" t="inlineStr">
        <is>
          <t>No</t>
        </is>
      </c>
      <c r="J2165" t="inlineStr">
        <is>
          <t>0</t>
        </is>
      </c>
      <c r="L2165" t="inlineStr">
        <is>
          <t>Cambridge ; New York : Cambridge University Press, 1977.</t>
        </is>
      </c>
      <c r="M2165" t="inlineStr">
        <is>
          <t>1977</t>
        </is>
      </c>
      <c r="O2165" t="inlineStr">
        <is>
          <t>eng</t>
        </is>
      </c>
      <c r="P2165" t="inlineStr">
        <is>
          <t>enk</t>
        </is>
      </c>
      <c r="Q2165" t="inlineStr">
        <is>
          <t>Contemporary China Institute publications</t>
        </is>
      </c>
      <c r="R2165" t="inlineStr">
        <is>
          <t xml:space="preserve">DS </t>
        </is>
      </c>
      <c r="S2165" t="n">
        <v>15</v>
      </c>
      <c r="T2165" t="n">
        <v>15</v>
      </c>
      <c r="U2165" t="inlineStr">
        <is>
          <t>2006-10-25</t>
        </is>
      </c>
      <c r="V2165" t="inlineStr">
        <is>
          <t>2006-10-25</t>
        </is>
      </c>
      <c r="W2165" t="inlineStr">
        <is>
          <t>1992-02-11</t>
        </is>
      </c>
      <c r="X2165" t="inlineStr">
        <is>
          <t>1992-02-11</t>
        </is>
      </c>
      <c r="Y2165" t="n">
        <v>1152</v>
      </c>
      <c r="Z2165" t="n">
        <v>951</v>
      </c>
      <c r="AA2165" t="n">
        <v>956</v>
      </c>
      <c r="AB2165" t="n">
        <v>8</v>
      </c>
      <c r="AC2165" t="n">
        <v>8</v>
      </c>
      <c r="AD2165" t="n">
        <v>37</v>
      </c>
      <c r="AE2165" t="n">
        <v>37</v>
      </c>
      <c r="AF2165" t="n">
        <v>17</v>
      </c>
      <c r="AG2165" t="n">
        <v>17</v>
      </c>
      <c r="AH2165" t="n">
        <v>8</v>
      </c>
      <c r="AI2165" t="n">
        <v>8</v>
      </c>
      <c r="AJ2165" t="n">
        <v>14</v>
      </c>
      <c r="AK2165" t="n">
        <v>14</v>
      </c>
      <c r="AL2165" t="n">
        <v>7</v>
      </c>
      <c r="AM2165" t="n">
        <v>7</v>
      </c>
      <c r="AN2165" t="n">
        <v>1</v>
      </c>
      <c r="AO2165" t="n">
        <v>1</v>
      </c>
      <c r="AP2165" t="inlineStr">
        <is>
          <t>No</t>
        </is>
      </c>
      <c r="AQ2165" t="inlineStr">
        <is>
          <t>No</t>
        </is>
      </c>
      <c r="AS2165">
        <f>HYPERLINK("https://creighton-primo.hosted.exlibrisgroup.com/primo-explore/search?tab=default_tab&amp;search_scope=EVERYTHING&amp;vid=01CRU&amp;lang=en_US&amp;offset=0&amp;query=any,contains,991004299389702656","Catalog Record")</f>
        <v/>
      </c>
      <c r="AT2165">
        <f>HYPERLINK("http://www.worldcat.org/oclc/2967608","WorldCat Record")</f>
        <v/>
      </c>
      <c r="AU2165" t="inlineStr">
        <is>
          <t>906987429:eng</t>
        </is>
      </c>
      <c r="AV2165" t="inlineStr">
        <is>
          <t>2967608</t>
        </is>
      </c>
      <c r="AW2165" t="inlineStr">
        <is>
          <t>991004299389702656</t>
        </is>
      </c>
      <c r="AX2165" t="inlineStr">
        <is>
          <t>991004299389702656</t>
        </is>
      </c>
      <c r="AY2165" t="inlineStr">
        <is>
          <t>2269583960002656</t>
        </is>
      </c>
      <c r="AZ2165" t="inlineStr">
        <is>
          <t>BOOK</t>
        </is>
      </c>
      <c r="BB2165" t="inlineStr">
        <is>
          <t>9780521215831</t>
        </is>
      </c>
      <c r="BC2165" t="inlineStr">
        <is>
          <t>32285000955434</t>
        </is>
      </c>
      <c r="BD2165" t="inlineStr">
        <is>
          <t>893712411</t>
        </is>
      </c>
    </row>
    <row r="2166">
      <c r="A2166" t="inlineStr">
        <is>
          <t>No</t>
        </is>
      </c>
      <c r="B2166" t="inlineStr">
        <is>
          <t>DS778.M3 S33 1983</t>
        </is>
      </c>
      <c r="C2166" t="inlineStr">
        <is>
          <t>0                      DS 0778000M  3                  S  33          1983</t>
        </is>
      </c>
      <c r="D2166" t="inlineStr">
        <is>
          <t>Mao Zedong, a preliminary reassessment / Stuart R. Schram.</t>
        </is>
      </c>
      <c r="F2166" t="inlineStr">
        <is>
          <t>No</t>
        </is>
      </c>
      <c r="G2166" t="inlineStr">
        <is>
          <t>1</t>
        </is>
      </c>
      <c r="H2166" t="inlineStr">
        <is>
          <t>No</t>
        </is>
      </c>
      <c r="I2166" t="inlineStr">
        <is>
          <t>No</t>
        </is>
      </c>
      <c r="J2166" t="inlineStr">
        <is>
          <t>0</t>
        </is>
      </c>
      <c r="K2166" t="inlineStr">
        <is>
          <t>Schram, Stuart R. (Stuart Reynolds), 1924-2012.</t>
        </is>
      </c>
      <c r="L2166" t="inlineStr">
        <is>
          <t>New York : St. Martin's Press, 1983.</t>
        </is>
      </c>
      <c r="M2166" t="inlineStr">
        <is>
          <t>1983</t>
        </is>
      </c>
      <c r="O2166" t="inlineStr">
        <is>
          <t>eng</t>
        </is>
      </c>
      <c r="P2166" t="inlineStr">
        <is>
          <t>nyu</t>
        </is>
      </c>
      <c r="R2166" t="inlineStr">
        <is>
          <t xml:space="preserve">DS </t>
        </is>
      </c>
      <c r="S2166" t="n">
        <v>15</v>
      </c>
      <c r="T2166" t="n">
        <v>15</v>
      </c>
      <c r="U2166" t="inlineStr">
        <is>
          <t>1999-11-29</t>
        </is>
      </c>
      <c r="V2166" t="inlineStr">
        <is>
          <t>1999-11-29</t>
        </is>
      </c>
      <c r="W2166" t="inlineStr">
        <is>
          <t>1990-10-19</t>
        </is>
      </c>
      <c r="X2166" t="inlineStr">
        <is>
          <t>1990-10-19</t>
        </is>
      </c>
      <c r="Y2166" t="n">
        <v>384</v>
      </c>
      <c r="Z2166" t="n">
        <v>340</v>
      </c>
      <c r="AA2166" t="n">
        <v>457</v>
      </c>
      <c r="AB2166" t="n">
        <v>2</v>
      </c>
      <c r="AC2166" t="n">
        <v>3</v>
      </c>
      <c r="AD2166" t="n">
        <v>14</v>
      </c>
      <c r="AE2166" t="n">
        <v>21</v>
      </c>
      <c r="AF2166" t="n">
        <v>7</v>
      </c>
      <c r="AG2166" t="n">
        <v>10</v>
      </c>
      <c r="AH2166" t="n">
        <v>5</v>
      </c>
      <c r="AI2166" t="n">
        <v>6</v>
      </c>
      <c r="AJ2166" t="n">
        <v>7</v>
      </c>
      <c r="AK2166" t="n">
        <v>9</v>
      </c>
      <c r="AL2166" t="n">
        <v>1</v>
      </c>
      <c r="AM2166" t="n">
        <v>2</v>
      </c>
      <c r="AN2166" t="n">
        <v>0</v>
      </c>
      <c r="AO2166" t="n">
        <v>0</v>
      </c>
      <c r="AP2166" t="inlineStr">
        <is>
          <t>No</t>
        </is>
      </c>
      <c r="AQ2166" t="inlineStr">
        <is>
          <t>No</t>
        </is>
      </c>
      <c r="AS2166">
        <f>HYPERLINK("https://creighton-primo.hosted.exlibrisgroup.com/primo-explore/search?tab=default_tab&amp;search_scope=EVERYTHING&amp;vid=01CRU&amp;lang=en_US&amp;offset=0&amp;query=any,contains,991000253089702656","Catalog Record")</f>
        <v/>
      </c>
      <c r="AT2166">
        <f>HYPERLINK("http://www.worldcat.org/oclc/9761526","WorldCat Record")</f>
        <v/>
      </c>
      <c r="AU2166" t="inlineStr">
        <is>
          <t>3768434782:eng</t>
        </is>
      </c>
      <c r="AV2166" t="inlineStr">
        <is>
          <t>9761526</t>
        </is>
      </c>
      <c r="AW2166" t="inlineStr">
        <is>
          <t>991000253089702656</t>
        </is>
      </c>
      <c r="AX2166" t="inlineStr">
        <is>
          <t>991000253089702656</t>
        </is>
      </c>
      <c r="AY2166" t="inlineStr">
        <is>
          <t>2260068700002656</t>
        </is>
      </c>
      <c r="AZ2166" t="inlineStr">
        <is>
          <t>BOOK</t>
        </is>
      </c>
      <c r="BB2166" t="inlineStr">
        <is>
          <t>9780312514051</t>
        </is>
      </c>
      <c r="BC2166" t="inlineStr">
        <is>
          <t>32285000339084</t>
        </is>
      </c>
      <c r="BD2166" t="inlineStr">
        <is>
          <t>893407055</t>
        </is>
      </c>
    </row>
    <row r="2167">
      <c r="A2167" t="inlineStr">
        <is>
          <t>No</t>
        </is>
      </c>
      <c r="B2167" t="inlineStr">
        <is>
          <t>DS778.M3 S548 2000</t>
        </is>
      </c>
      <c r="C2167" t="inlineStr">
        <is>
          <t>0                      DS 0778000M  3                  S  548         2000</t>
        </is>
      </c>
      <c r="D2167" t="inlineStr">
        <is>
          <t>Mao : a life / Philip Short.</t>
        </is>
      </c>
      <c r="F2167" t="inlineStr">
        <is>
          <t>No</t>
        </is>
      </c>
      <c r="G2167" t="inlineStr">
        <is>
          <t>1</t>
        </is>
      </c>
      <c r="H2167" t="inlineStr">
        <is>
          <t>No</t>
        </is>
      </c>
      <c r="I2167" t="inlineStr">
        <is>
          <t>No</t>
        </is>
      </c>
      <c r="J2167" t="inlineStr">
        <is>
          <t>0</t>
        </is>
      </c>
      <c r="K2167" t="inlineStr">
        <is>
          <t>Short, Philip.</t>
        </is>
      </c>
      <c r="L2167" t="inlineStr">
        <is>
          <t>New York : Henry Holt, 2000.</t>
        </is>
      </c>
      <c r="M2167" t="inlineStr">
        <is>
          <t>2000</t>
        </is>
      </c>
      <c r="N2167" t="inlineStr">
        <is>
          <t>1st American ed.</t>
        </is>
      </c>
      <c r="O2167" t="inlineStr">
        <is>
          <t>eng</t>
        </is>
      </c>
      <c r="P2167" t="inlineStr">
        <is>
          <t>nyu</t>
        </is>
      </c>
      <c r="R2167" t="inlineStr">
        <is>
          <t xml:space="preserve">DS </t>
        </is>
      </c>
      <c r="S2167" t="n">
        <v>1</v>
      </c>
      <c r="T2167" t="n">
        <v>1</v>
      </c>
      <c r="U2167" t="inlineStr">
        <is>
          <t>2003-11-10</t>
        </is>
      </c>
      <c r="V2167" t="inlineStr">
        <is>
          <t>2003-11-10</t>
        </is>
      </c>
      <c r="W2167" t="inlineStr">
        <is>
          <t>2000-07-20</t>
        </is>
      </c>
      <c r="X2167" t="inlineStr">
        <is>
          <t>2000-07-20</t>
        </is>
      </c>
      <c r="Y2167" t="n">
        <v>1259</v>
      </c>
      <c r="Z2167" t="n">
        <v>1196</v>
      </c>
      <c r="AA2167" t="n">
        <v>1298</v>
      </c>
      <c r="AB2167" t="n">
        <v>7</v>
      </c>
      <c r="AC2167" t="n">
        <v>8</v>
      </c>
      <c r="AD2167" t="n">
        <v>40</v>
      </c>
      <c r="AE2167" t="n">
        <v>41</v>
      </c>
      <c r="AF2167" t="n">
        <v>18</v>
      </c>
      <c r="AG2167" t="n">
        <v>18</v>
      </c>
      <c r="AH2167" t="n">
        <v>9</v>
      </c>
      <c r="AI2167" t="n">
        <v>9</v>
      </c>
      <c r="AJ2167" t="n">
        <v>20</v>
      </c>
      <c r="AK2167" t="n">
        <v>20</v>
      </c>
      <c r="AL2167" t="n">
        <v>4</v>
      </c>
      <c r="AM2167" t="n">
        <v>5</v>
      </c>
      <c r="AN2167" t="n">
        <v>0</v>
      </c>
      <c r="AO2167" t="n">
        <v>0</v>
      </c>
      <c r="AP2167" t="inlineStr">
        <is>
          <t>No</t>
        </is>
      </c>
      <c r="AQ2167" t="inlineStr">
        <is>
          <t>No</t>
        </is>
      </c>
      <c r="AS2167">
        <f>HYPERLINK("https://creighton-primo.hosted.exlibrisgroup.com/primo-explore/search?tab=default_tab&amp;search_scope=EVERYTHING&amp;vid=01CRU&amp;lang=en_US&amp;offset=0&amp;query=any,contains,991003208239702656","Catalog Record")</f>
        <v/>
      </c>
      <c r="AT2167">
        <f>HYPERLINK("http://www.worldcat.org/oclc/41977376","WorldCat Record")</f>
        <v/>
      </c>
      <c r="AU2167" t="inlineStr">
        <is>
          <t>1128690:eng</t>
        </is>
      </c>
      <c r="AV2167" t="inlineStr">
        <is>
          <t>41977376</t>
        </is>
      </c>
      <c r="AW2167" t="inlineStr">
        <is>
          <t>991003208239702656</t>
        </is>
      </c>
      <c r="AX2167" t="inlineStr">
        <is>
          <t>991003208239702656</t>
        </is>
      </c>
      <c r="AY2167" t="inlineStr">
        <is>
          <t>2257491050002656</t>
        </is>
      </c>
      <c r="AZ2167" t="inlineStr">
        <is>
          <t>BOOK</t>
        </is>
      </c>
      <c r="BB2167" t="inlineStr">
        <is>
          <t>9780805031157</t>
        </is>
      </c>
      <c r="BC2167" t="inlineStr">
        <is>
          <t>32285003712030</t>
        </is>
      </c>
      <c r="BD2167" t="inlineStr">
        <is>
          <t>893705015</t>
        </is>
      </c>
    </row>
    <row r="2168">
      <c r="A2168" t="inlineStr">
        <is>
          <t>No</t>
        </is>
      </c>
      <c r="B2168" t="inlineStr">
        <is>
          <t>DS778.M3 S685 1999</t>
        </is>
      </c>
      <c r="C2168" t="inlineStr">
        <is>
          <t>0                      DS 0778000M  3                  S  685         1999</t>
        </is>
      </c>
      <c r="D2168" t="inlineStr">
        <is>
          <t>Mao Zedong / Jonathan Spence.</t>
        </is>
      </c>
      <c r="F2168" t="inlineStr">
        <is>
          <t>No</t>
        </is>
      </c>
      <c r="G2168" t="inlineStr">
        <is>
          <t>1</t>
        </is>
      </c>
      <c r="H2168" t="inlineStr">
        <is>
          <t>No</t>
        </is>
      </c>
      <c r="I2168" t="inlineStr">
        <is>
          <t>No</t>
        </is>
      </c>
      <c r="J2168" t="inlineStr">
        <is>
          <t>0</t>
        </is>
      </c>
      <c r="K2168" t="inlineStr">
        <is>
          <t>Spence, Jonathan D.</t>
        </is>
      </c>
      <c r="L2168" t="inlineStr">
        <is>
          <t>New York : Viking, 1999.</t>
        </is>
      </c>
      <c r="M2168" t="inlineStr">
        <is>
          <t>1999</t>
        </is>
      </c>
      <c r="O2168" t="inlineStr">
        <is>
          <t>eng</t>
        </is>
      </c>
      <c r="P2168" t="inlineStr">
        <is>
          <t>nyu</t>
        </is>
      </c>
      <c r="Q2168" t="inlineStr">
        <is>
          <t>Penguin lives series</t>
        </is>
      </c>
      <c r="R2168" t="inlineStr">
        <is>
          <t xml:space="preserve">DS </t>
        </is>
      </c>
      <c r="S2168" t="n">
        <v>7</v>
      </c>
      <c r="T2168" t="n">
        <v>7</v>
      </c>
      <c r="U2168" t="inlineStr">
        <is>
          <t>2001-11-15</t>
        </is>
      </c>
      <c r="V2168" t="inlineStr">
        <is>
          <t>2001-11-15</t>
        </is>
      </c>
      <c r="W2168" t="inlineStr">
        <is>
          <t>2000-02-09</t>
        </is>
      </c>
      <c r="X2168" t="inlineStr">
        <is>
          <t>2000-02-09</t>
        </is>
      </c>
      <c r="Y2168" t="n">
        <v>1635</v>
      </c>
      <c r="Z2168" t="n">
        <v>1517</v>
      </c>
      <c r="AA2168" t="n">
        <v>1633</v>
      </c>
      <c r="AB2168" t="n">
        <v>15</v>
      </c>
      <c r="AC2168" t="n">
        <v>16</v>
      </c>
      <c r="AD2168" t="n">
        <v>48</v>
      </c>
      <c r="AE2168" t="n">
        <v>50</v>
      </c>
      <c r="AF2168" t="n">
        <v>18</v>
      </c>
      <c r="AG2168" t="n">
        <v>19</v>
      </c>
      <c r="AH2168" t="n">
        <v>9</v>
      </c>
      <c r="AI2168" t="n">
        <v>9</v>
      </c>
      <c r="AJ2168" t="n">
        <v>23</v>
      </c>
      <c r="AK2168" t="n">
        <v>23</v>
      </c>
      <c r="AL2168" t="n">
        <v>10</v>
      </c>
      <c r="AM2168" t="n">
        <v>11</v>
      </c>
      <c r="AN2168" t="n">
        <v>0</v>
      </c>
      <c r="AO2168" t="n">
        <v>0</v>
      </c>
      <c r="AP2168" t="inlineStr">
        <is>
          <t>No</t>
        </is>
      </c>
      <c r="AQ2168" t="inlineStr">
        <is>
          <t>Yes</t>
        </is>
      </c>
      <c r="AR2168">
        <f>HYPERLINK("http://catalog.hathitrust.org/Record/004063033","HathiTrust Record")</f>
        <v/>
      </c>
      <c r="AS2168">
        <f>HYPERLINK("https://creighton-primo.hosted.exlibrisgroup.com/primo-explore/search?tab=default_tab&amp;search_scope=EVERYTHING&amp;vid=01CRU&amp;lang=en_US&amp;offset=0&amp;query=any,contains,991003035089702656","Catalog Record")</f>
        <v/>
      </c>
      <c r="AT2168">
        <f>HYPERLINK("http://www.worldcat.org/oclc/41641238","WorldCat Record")</f>
        <v/>
      </c>
      <c r="AU2168" t="inlineStr">
        <is>
          <t>5946800:eng</t>
        </is>
      </c>
      <c r="AV2168" t="inlineStr">
        <is>
          <t>41641238</t>
        </is>
      </c>
      <c r="AW2168" t="inlineStr">
        <is>
          <t>991003035089702656</t>
        </is>
      </c>
      <c r="AX2168" t="inlineStr">
        <is>
          <t>991003035089702656</t>
        </is>
      </c>
      <c r="AY2168" t="inlineStr">
        <is>
          <t>2263538570002656</t>
        </is>
      </c>
      <c r="AZ2168" t="inlineStr">
        <is>
          <t>BOOK</t>
        </is>
      </c>
      <c r="BB2168" t="inlineStr">
        <is>
          <t>9780670886692</t>
        </is>
      </c>
      <c r="BC2168" t="inlineStr">
        <is>
          <t>32285003660494</t>
        </is>
      </c>
      <c r="BD2168" t="inlineStr">
        <is>
          <t>893780545</t>
        </is>
      </c>
    </row>
    <row r="2169">
      <c r="A2169" t="inlineStr">
        <is>
          <t>No</t>
        </is>
      </c>
      <c r="B2169" t="inlineStr">
        <is>
          <t>DS778.M3 S76</t>
        </is>
      </c>
      <c r="C2169" t="inlineStr">
        <is>
          <t>0                      DS 0778000M  3                  S  76</t>
        </is>
      </c>
      <c r="D2169" t="inlineStr">
        <is>
          <t>Continuing the revolution : the political thought of Mao / John Bryan Starr.</t>
        </is>
      </c>
      <c r="F2169" t="inlineStr">
        <is>
          <t>No</t>
        </is>
      </c>
      <c r="G2169" t="inlineStr">
        <is>
          <t>1</t>
        </is>
      </c>
      <c r="H2169" t="inlineStr">
        <is>
          <t>No</t>
        </is>
      </c>
      <c r="I2169" t="inlineStr">
        <is>
          <t>No</t>
        </is>
      </c>
      <c r="J2169" t="inlineStr">
        <is>
          <t>0</t>
        </is>
      </c>
      <c r="K2169" t="inlineStr">
        <is>
          <t>Starr, John Bryan.</t>
        </is>
      </c>
      <c r="L2169" t="inlineStr">
        <is>
          <t>Princeton, N.J. : Princeton University Press, c1979.</t>
        </is>
      </c>
      <c r="M2169" t="inlineStr">
        <is>
          <t>1979</t>
        </is>
      </c>
      <c r="O2169" t="inlineStr">
        <is>
          <t>eng</t>
        </is>
      </c>
      <c r="P2169" t="inlineStr">
        <is>
          <t>nju</t>
        </is>
      </c>
      <c r="R2169" t="inlineStr">
        <is>
          <t xml:space="preserve">DS </t>
        </is>
      </c>
      <c r="S2169" t="n">
        <v>5</v>
      </c>
      <c r="T2169" t="n">
        <v>5</v>
      </c>
      <c r="U2169" t="inlineStr">
        <is>
          <t>1996-12-16</t>
        </is>
      </c>
      <c r="V2169" t="inlineStr">
        <is>
          <t>1996-12-16</t>
        </is>
      </c>
      <c r="W2169" t="inlineStr">
        <is>
          <t>1990-10-19</t>
        </is>
      </c>
      <c r="X2169" t="inlineStr">
        <is>
          <t>1990-10-19</t>
        </is>
      </c>
      <c r="Y2169" t="n">
        <v>722</v>
      </c>
      <c r="Z2169" t="n">
        <v>550</v>
      </c>
      <c r="AA2169" t="n">
        <v>745</v>
      </c>
      <c r="AB2169" t="n">
        <v>4</v>
      </c>
      <c r="AC2169" t="n">
        <v>6</v>
      </c>
      <c r="AD2169" t="n">
        <v>26</v>
      </c>
      <c r="AE2169" t="n">
        <v>35</v>
      </c>
      <c r="AF2169" t="n">
        <v>9</v>
      </c>
      <c r="AG2169" t="n">
        <v>16</v>
      </c>
      <c r="AH2169" t="n">
        <v>7</v>
      </c>
      <c r="AI2169" t="n">
        <v>9</v>
      </c>
      <c r="AJ2169" t="n">
        <v>16</v>
      </c>
      <c r="AK2169" t="n">
        <v>18</v>
      </c>
      <c r="AL2169" t="n">
        <v>3</v>
      </c>
      <c r="AM2169" t="n">
        <v>4</v>
      </c>
      <c r="AN2169" t="n">
        <v>0</v>
      </c>
      <c r="AO2169" t="n">
        <v>0</v>
      </c>
      <c r="AP2169" t="inlineStr">
        <is>
          <t>No</t>
        </is>
      </c>
      <c r="AQ2169" t="inlineStr">
        <is>
          <t>No</t>
        </is>
      </c>
      <c r="AS2169">
        <f>HYPERLINK("https://creighton-primo.hosted.exlibrisgroup.com/primo-explore/search?tab=default_tab&amp;search_scope=EVERYTHING&amp;vid=01CRU&amp;lang=en_US&amp;offset=0&amp;query=any,contains,991004644939702656","Catalog Record")</f>
        <v/>
      </c>
      <c r="AT2169">
        <f>HYPERLINK("http://www.worldcat.org/oclc/4490748","WorldCat Record")</f>
        <v/>
      </c>
      <c r="AU2169" t="inlineStr">
        <is>
          <t>889308332:eng</t>
        </is>
      </c>
      <c r="AV2169" t="inlineStr">
        <is>
          <t>4490748</t>
        </is>
      </c>
      <c r="AW2169" t="inlineStr">
        <is>
          <t>991004644939702656</t>
        </is>
      </c>
      <c r="AX2169" t="inlineStr">
        <is>
          <t>991004644939702656</t>
        </is>
      </c>
      <c r="AY2169" t="inlineStr">
        <is>
          <t>2262012760002656</t>
        </is>
      </c>
      <c r="AZ2169" t="inlineStr">
        <is>
          <t>BOOK</t>
        </is>
      </c>
      <c r="BB2169" t="inlineStr">
        <is>
          <t>9780691075969</t>
        </is>
      </c>
      <c r="BC2169" t="inlineStr">
        <is>
          <t>32285000339092</t>
        </is>
      </c>
      <c r="BD2169" t="inlineStr">
        <is>
          <t>893700483</t>
        </is>
      </c>
    </row>
    <row r="2170">
      <c r="A2170" t="inlineStr">
        <is>
          <t>No</t>
        </is>
      </c>
      <c r="B2170" t="inlineStr">
        <is>
          <t>DS778.T39 A5 1987</t>
        </is>
      </c>
      <c r="C2170" t="inlineStr">
        <is>
          <t>0                      DS 0778000T  39                 A  5           1987</t>
        </is>
      </c>
      <c r="D2170" t="inlineStr">
        <is>
          <t>Fundamental issues in present-day China / Deng Xiaoping ; translated by the Bureau for the Compilation and Translation of Works of Marx, Engels, Lenin and Stalin under the Central Committee of the Communist Party of China.</t>
        </is>
      </c>
      <c r="F2170" t="inlineStr">
        <is>
          <t>No</t>
        </is>
      </c>
      <c r="G2170" t="inlineStr">
        <is>
          <t>1</t>
        </is>
      </c>
      <c r="H2170" t="inlineStr">
        <is>
          <t>No</t>
        </is>
      </c>
      <c r="I2170" t="inlineStr">
        <is>
          <t>No</t>
        </is>
      </c>
      <c r="J2170" t="inlineStr">
        <is>
          <t>0</t>
        </is>
      </c>
      <c r="K2170" t="inlineStr">
        <is>
          <t>Deng, Xiaoping, 1904-1997.</t>
        </is>
      </c>
      <c r="L2170" t="inlineStr">
        <is>
          <t>Beijing : Foreign Languages Press ; Oxford ; New York : Pergamon Press, 1987</t>
        </is>
      </c>
      <c r="M2170" t="inlineStr">
        <is>
          <t>1987</t>
        </is>
      </c>
      <c r="N2170" t="inlineStr">
        <is>
          <t>1st ed.</t>
        </is>
      </c>
      <c r="O2170" t="inlineStr">
        <is>
          <t>eng</t>
        </is>
      </c>
      <c r="P2170" t="inlineStr">
        <is>
          <t xml:space="preserve">cc </t>
        </is>
      </c>
      <c r="R2170" t="inlineStr">
        <is>
          <t xml:space="preserve">DS </t>
        </is>
      </c>
      <c r="S2170" t="n">
        <v>6</v>
      </c>
      <c r="T2170" t="n">
        <v>6</v>
      </c>
      <c r="U2170" t="inlineStr">
        <is>
          <t>2001-11-13</t>
        </is>
      </c>
      <c r="V2170" t="inlineStr">
        <is>
          <t>2001-11-13</t>
        </is>
      </c>
      <c r="W2170" t="inlineStr">
        <is>
          <t>1991-06-28</t>
        </is>
      </c>
      <c r="X2170" t="inlineStr">
        <is>
          <t>1991-06-28</t>
        </is>
      </c>
      <c r="Y2170" t="n">
        <v>435</v>
      </c>
      <c r="Z2170" t="n">
        <v>337</v>
      </c>
      <c r="AA2170" t="n">
        <v>353</v>
      </c>
      <c r="AB2170" t="n">
        <v>3</v>
      </c>
      <c r="AC2170" t="n">
        <v>3</v>
      </c>
      <c r="AD2170" t="n">
        <v>17</v>
      </c>
      <c r="AE2170" t="n">
        <v>17</v>
      </c>
      <c r="AF2170" t="n">
        <v>6</v>
      </c>
      <c r="AG2170" t="n">
        <v>6</v>
      </c>
      <c r="AH2170" t="n">
        <v>7</v>
      </c>
      <c r="AI2170" t="n">
        <v>7</v>
      </c>
      <c r="AJ2170" t="n">
        <v>9</v>
      </c>
      <c r="AK2170" t="n">
        <v>9</v>
      </c>
      <c r="AL2170" t="n">
        <v>2</v>
      </c>
      <c r="AM2170" t="n">
        <v>2</v>
      </c>
      <c r="AN2170" t="n">
        <v>0</v>
      </c>
      <c r="AO2170" t="n">
        <v>0</v>
      </c>
      <c r="AP2170" t="inlineStr">
        <is>
          <t>No</t>
        </is>
      </c>
      <c r="AQ2170" t="inlineStr">
        <is>
          <t>Yes</t>
        </is>
      </c>
      <c r="AR2170">
        <f>HYPERLINK("http://catalog.hathitrust.org/Record/000950495","HathiTrust Record")</f>
        <v/>
      </c>
      <c r="AS2170">
        <f>HYPERLINK("https://creighton-primo.hosted.exlibrisgroup.com/primo-explore/search?tab=default_tab&amp;search_scope=EVERYTHING&amp;vid=01CRU&amp;lang=en_US&amp;offset=0&amp;query=any,contains,991001156599702656","Catalog Record")</f>
        <v/>
      </c>
      <c r="AT2170">
        <f>HYPERLINK("http://www.worldcat.org/oclc/16865789","WorldCat Record")</f>
        <v/>
      </c>
      <c r="AU2170" t="inlineStr">
        <is>
          <t>203290315:eng</t>
        </is>
      </c>
      <c r="AV2170" t="inlineStr">
        <is>
          <t>16865789</t>
        </is>
      </c>
      <c r="AW2170" t="inlineStr">
        <is>
          <t>991001156599702656</t>
        </is>
      </c>
      <c r="AX2170" t="inlineStr">
        <is>
          <t>991001156599702656</t>
        </is>
      </c>
      <c r="AY2170" t="inlineStr">
        <is>
          <t>2269861870002656</t>
        </is>
      </c>
      <c r="AZ2170" t="inlineStr">
        <is>
          <t>BOOK</t>
        </is>
      </c>
      <c r="BB2170" t="inlineStr">
        <is>
          <t>9780080363639</t>
        </is>
      </c>
      <c r="BC2170" t="inlineStr">
        <is>
          <t>32285000672518</t>
        </is>
      </c>
      <c r="BD2170" t="inlineStr">
        <is>
          <t>893522334</t>
        </is>
      </c>
    </row>
    <row r="2171">
      <c r="A2171" t="inlineStr">
        <is>
          <t>No</t>
        </is>
      </c>
      <c r="B2171" t="inlineStr">
        <is>
          <t>DS778.T39 E95 1994</t>
        </is>
      </c>
      <c r="C2171" t="inlineStr">
        <is>
          <t>0                      DS 0778000T  39                 E  95          1994</t>
        </is>
      </c>
      <c r="D2171" t="inlineStr">
        <is>
          <t>Deng Xiaoping and the making of modern China / Richard Evans.</t>
        </is>
      </c>
      <c r="F2171" t="inlineStr">
        <is>
          <t>No</t>
        </is>
      </c>
      <c r="G2171" t="inlineStr">
        <is>
          <t>1</t>
        </is>
      </c>
      <c r="H2171" t="inlineStr">
        <is>
          <t>No</t>
        </is>
      </c>
      <c r="I2171" t="inlineStr">
        <is>
          <t>Yes</t>
        </is>
      </c>
      <c r="J2171" t="inlineStr">
        <is>
          <t>0</t>
        </is>
      </c>
      <c r="K2171" t="inlineStr">
        <is>
          <t>Evans, Richard, 1928-2012.</t>
        </is>
      </c>
      <c r="L2171" t="inlineStr">
        <is>
          <t>New York, N.Y. : Viking, 1994.</t>
        </is>
      </c>
      <c r="M2171" t="inlineStr">
        <is>
          <t>1994</t>
        </is>
      </c>
      <c r="N2171" t="inlineStr">
        <is>
          <t>1st American ed.</t>
        </is>
      </c>
      <c r="O2171" t="inlineStr">
        <is>
          <t>eng</t>
        </is>
      </c>
      <c r="P2171" t="inlineStr">
        <is>
          <t>nyu</t>
        </is>
      </c>
      <c r="R2171" t="inlineStr">
        <is>
          <t xml:space="preserve">DS </t>
        </is>
      </c>
      <c r="S2171" t="n">
        <v>14</v>
      </c>
      <c r="T2171" t="n">
        <v>14</v>
      </c>
      <c r="U2171" t="inlineStr">
        <is>
          <t>2006-04-25</t>
        </is>
      </c>
      <c r="V2171" t="inlineStr">
        <is>
          <t>2006-04-25</t>
        </is>
      </c>
      <c r="W2171" t="inlineStr">
        <is>
          <t>1994-03-23</t>
        </is>
      </c>
      <c r="X2171" t="inlineStr">
        <is>
          <t>1994-03-23</t>
        </is>
      </c>
      <c r="Y2171" t="n">
        <v>923</v>
      </c>
      <c r="Z2171" t="n">
        <v>856</v>
      </c>
      <c r="AA2171" t="n">
        <v>1082</v>
      </c>
      <c r="AB2171" t="n">
        <v>12</v>
      </c>
      <c r="AC2171" t="n">
        <v>12</v>
      </c>
      <c r="AD2171" t="n">
        <v>31</v>
      </c>
      <c r="AE2171" t="n">
        <v>38</v>
      </c>
      <c r="AF2171" t="n">
        <v>9</v>
      </c>
      <c r="AG2171" t="n">
        <v>13</v>
      </c>
      <c r="AH2171" t="n">
        <v>6</v>
      </c>
      <c r="AI2171" t="n">
        <v>9</v>
      </c>
      <c r="AJ2171" t="n">
        <v>13</v>
      </c>
      <c r="AK2171" t="n">
        <v>15</v>
      </c>
      <c r="AL2171" t="n">
        <v>10</v>
      </c>
      <c r="AM2171" t="n">
        <v>10</v>
      </c>
      <c r="AN2171" t="n">
        <v>0</v>
      </c>
      <c r="AO2171" t="n">
        <v>0</v>
      </c>
      <c r="AP2171" t="inlineStr">
        <is>
          <t>No</t>
        </is>
      </c>
      <c r="AQ2171" t="inlineStr">
        <is>
          <t>Yes</t>
        </is>
      </c>
      <c r="AR2171">
        <f>HYPERLINK("http://catalog.hathitrust.org/Record/002880391","HathiTrust Record")</f>
        <v/>
      </c>
      <c r="AS2171">
        <f>HYPERLINK("https://creighton-primo.hosted.exlibrisgroup.com/primo-explore/search?tab=default_tab&amp;search_scope=EVERYTHING&amp;vid=01CRU&amp;lang=en_US&amp;offset=0&amp;query=any,contains,991002255929702656","Catalog Record")</f>
        <v/>
      </c>
      <c r="AT2171">
        <f>HYPERLINK("http://www.worldcat.org/oclc/29224154","WorldCat Record")</f>
        <v/>
      </c>
      <c r="AU2171" t="inlineStr">
        <is>
          <t>594703:eng</t>
        </is>
      </c>
      <c r="AV2171" t="inlineStr">
        <is>
          <t>29224154</t>
        </is>
      </c>
      <c r="AW2171" t="inlineStr">
        <is>
          <t>991002255929702656</t>
        </is>
      </c>
      <c r="AX2171" t="inlineStr">
        <is>
          <t>991002255929702656</t>
        </is>
      </c>
      <c r="AY2171" t="inlineStr">
        <is>
          <t>2264908540002656</t>
        </is>
      </c>
      <c r="AZ2171" t="inlineStr">
        <is>
          <t>BOOK</t>
        </is>
      </c>
      <c r="BB2171" t="inlineStr">
        <is>
          <t>9780670848164</t>
        </is>
      </c>
      <c r="BC2171" t="inlineStr">
        <is>
          <t>32285001857621</t>
        </is>
      </c>
      <c r="BD2171" t="inlineStr">
        <is>
          <t>893697538</t>
        </is>
      </c>
    </row>
    <row r="2172">
      <c r="A2172" t="inlineStr">
        <is>
          <t>No</t>
        </is>
      </c>
      <c r="B2172" t="inlineStr">
        <is>
          <t>DS778.T39 L36 1995</t>
        </is>
      </c>
      <c r="C2172" t="inlineStr">
        <is>
          <t>0                      DS 0778000T  39                 L  36          1995</t>
        </is>
      </c>
      <c r="D2172" t="inlineStr">
        <is>
          <t>China after Deng Xiaoping : the power struggle in Beijing since Tiananmen / Willy Wo-Lap Lam.</t>
        </is>
      </c>
      <c r="F2172" t="inlineStr">
        <is>
          <t>No</t>
        </is>
      </c>
      <c r="G2172" t="inlineStr">
        <is>
          <t>1</t>
        </is>
      </c>
      <c r="H2172" t="inlineStr">
        <is>
          <t>No</t>
        </is>
      </c>
      <c r="I2172" t="inlineStr">
        <is>
          <t>No</t>
        </is>
      </c>
      <c r="J2172" t="inlineStr">
        <is>
          <t>0</t>
        </is>
      </c>
      <c r="K2172" t="inlineStr">
        <is>
          <t>Lam, Willy Wo-Lap.</t>
        </is>
      </c>
      <c r="L2172" t="inlineStr">
        <is>
          <t>Singapore ; New York : J. Wiley &amp; Sons, c1995.</t>
        </is>
      </c>
      <c r="M2172" t="inlineStr">
        <is>
          <t>1995</t>
        </is>
      </c>
      <c r="O2172" t="inlineStr">
        <is>
          <t>eng</t>
        </is>
      </c>
      <c r="P2172" t="inlineStr">
        <is>
          <t xml:space="preserve">si </t>
        </is>
      </c>
      <c r="R2172" t="inlineStr">
        <is>
          <t xml:space="preserve">DS </t>
        </is>
      </c>
      <c r="S2172" t="n">
        <v>11</v>
      </c>
      <c r="T2172" t="n">
        <v>11</v>
      </c>
      <c r="U2172" t="inlineStr">
        <is>
          <t>2007-04-10</t>
        </is>
      </c>
      <c r="V2172" t="inlineStr">
        <is>
          <t>2007-04-10</t>
        </is>
      </c>
      <c r="W2172" t="inlineStr">
        <is>
          <t>1996-04-18</t>
        </is>
      </c>
      <c r="X2172" t="inlineStr">
        <is>
          <t>1996-04-18</t>
        </is>
      </c>
      <c r="Y2172" t="n">
        <v>409</v>
      </c>
      <c r="Z2172" t="n">
        <v>279</v>
      </c>
      <c r="AA2172" t="n">
        <v>291</v>
      </c>
      <c r="AB2172" t="n">
        <v>4</v>
      </c>
      <c r="AC2172" t="n">
        <v>4</v>
      </c>
      <c r="AD2172" t="n">
        <v>15</v>
      </c>
      <c r="AE2172" t="n">
        <v>15</v>
      </c>
      <c r="AF2172" t="n">
        <v>4</v>
      </c>
      <c r="AG2172" t="n">
        <v>4</v>
      </c>
      <c r="AH2172" t="n">
        <v>3</v>
      </c>
      <c r="AI2172" t="n">
        <v>3</v>
      </c>
      <c r="AJ2172" t="n">
        <v>8</v>
      </c>
      <c r="AK2172" t="n">
        <v>8</v>
      </c>
      <c r="AL2172" t="n">
        <v>3</v>
      </c>
      <c r="AM2172" t="n">
        <v>3</v>
      </c>
      <c r="AN2172" t="n">
        <v>1</v>
      </c>
      <c r="AO2172" t="n">
        <v>1</v>
      </c>
      <c r="AP2172" t="inlineStr">
        <is>
          <t>No</t>
        </is>
      </c>
      <c r="AQ2172" t="inlineStr">
        <is>
          <t>Yes</t>
        </is>
      </c>
      <c r="AR2172">
        <f>HYPERLINK("http://catalog.hathitrust.org/Record/003004155","HathiTrust Record")</f>
        <v/>
      </c>
      <c r="AS2172">
        <f>HYPERLINK("https://creighton-primo.hosted.exlibrisgroup.com/primo-explore/search?tab=default_tab&amp;search_scope=EVERYTHING&amp;vid=01CRU&amp;lang=en_US&amp;offset=0&amp;query=any,contains,991002481969702656","Catalog Record")</f>
        <v/>
      </c>
      <c r="AT2172">
        <f>HYPERLINK("http://www.worldcat.org/oclc/32311396","WorldCat Record")</f>
        <v/>
      </c>
      <c r="AU2172" t="inlineStr">
        <is>
          <t>34129557:eng</t>
        </is>
      </c>
      <c r="AV2172" t="inlineStr">
        <is>
          <t>32311396</t>
        </is>
      </c>
      <c r="AW2172" t="inlineStr">
        <is>
          <t>991002481969702656</t>
        </is>
      </c>
      <c r="AX2172" t="inlineStr">
        <is>
          <t>991002481969702656</t>
        </is>
      </c>
      <c r="AY2172" t="inlineStr">
        <is>
          <t>2266823880002656</t>
        </is>
      </c>
      <c r="AZ2172" t="inlineStr">
        <is>
          <t>BOOK</t>
        </is>
      </c>
      <c r="BB2172" t="inlineStr">
        <is>
          <t>9780471131144</t>
        </is>
      </c>
      <c r="BC2172" t="inlineStr">
        <is>
          <t>32285002154895</t>
        </is>
      </c>
      <c r="BD2172" t="inlineStr">
        <is>
          <t>893798651</t>
        </is>
      </c>
    </row>
    <row r="2173">
      <c r="A2173" t="inlineStr">
        <is>
          <t>No</t>
        </is>
      </c>
      <c r="B2173" t="inlineStr">
        <is>
          <t>DS779.2 .C44</t>
        </is>
      </c>
      <c r="C2173" t="inlineStr">
        <is>
          <t>0                      DS 0779200C  44</t>
        </is>
      </c>
      <c r="D2173" t="inlineStr">
        <is>
          <t>China briefing, 1980 / edited by Robert B. Oxnam and Richard C. Bush.</t>
        </is>
      </c>
      <c r="F2173" t="inlineStr">
        <is>
          <t>No</t>
        </is>
      </c>
      <c r="G2173" t="inlineStr">
        <is>
          <t>1</t>
        </is>
      </c>
      <c r="H2173" t="inlineStr">
        <is>
          <t>No</t>
        </is>
      </c>
      <c r="I2173" t="inlineStr">
        <is>
          <t>No</t>
        </is>
      </c>
      <c r="J2173" t="inlineStr">
        <is>
          <t>0</t>
        </is>
      </c>
      <c r="L2173" t="inlineStr">
        <is>
          <t>Boulder, Colo. : Westview Press, 1980.</t>
        </is>
      </c>
      <c r="M2173" t="inlineStr">
        <is>
          <t>1980</t>
        </is>
      </c>
      <c r="O2173" t="inlineStr">
        <is>
          <t>eng</t>
        </is>
      </c>
      <c r="P2173" t="inlineStr">
        <is>
          <t>cou</t>
        </is>
      </c>
      <c r="R2173" t="inlineStr">
        <is>
          <t xml:space="preserve">DS </t>
        </is>
      </c>
      <c r="S2173" t="n">
        <v>5</v>
      </c>
      <c r="T2173" t="n">
        <v>5</v>
      </c>
      <c r="U2173" t="inlineStr">
        <is>
          <t>1999-09-13</t>
        </is>
      </c>
      <c r="V2173" t="inlineStr">
        <is>
          <t>1999-09-13</t>
        </is>
      </c>
      <c r="W2173" t="inlineStr">
        <is>
          <t>1990-10-19</t>
        </is>
      </c>
      <c r="X2173" t="inlineStr">
        <is>
          <t>1990-10-19</t>
        </is>
      </c>
      <c r="Y2173" t="n">
        <v>274</v>
      </c>
      <c r="Z2173" t="n">
        <v>250</v>
      </c>
      <c r="AA2173" t="n">
        <v>311</v>
      </c>
      <c r="AB2173" t="n">
        <v>1</v>
      </c>
      <c r="AC2173" t="n">
        <v>2</v>
      </c>
      <c r="AD2173" t="n">
        <v>10</v>
      </c>
      <c r="AE2173" t="n">
        <v>13</v>
      </c>
      <c r="AF2173" t="n">
        <v>5</v>
      </c>
      <c r="AG2173" t="n">
        <v>5</v>
      </c>
      <c r="AH2173" t="n">
        <v>3</v>
      </c>
      <c r="AI2173" t="n">
        <v>3</v>
      </c>
      <c r="AJ2173" t="n">
        <v>5</v>
      </c>
      <c r="AK2173" t="n">
        <v>7</v>
      </c>
      <c r="AL2173" t="n">
        <v>0</v>
      </c>
      <c r="AM2173" t="n">
        <v>1</v>
      </c>
      <c r="AN2173" t="n">
        <v>0</v>
      </c>
      <c r="AO2173" t="n">
        <v>0</v>
      </c>
      <c r="AP2173" t="inlineStr">
        <is>
          <t>No</t>
        </is>
      </c>
      <c r="AQ2173" t="inlineStr">
        <is>
          <t>No</t>
        </is>
      </c>
      <c r="AS2173">
        <f>HYPERLINK("https://creighton-primo.hosted.exlibrisgroup.com/primo-explore/search?tab=default_tab&amp;search_scope=EVERYTHING&amp;vid=01CRU&amp;lang=en_US&amp;offset=0&amp;query=any,contains,991005007549702656","Catalog Record")</f>
        <v/>
      </c>
      <c r="AT2173">
        <f>HYPERLINK("http://www.worldcat.org/oclc/6580212","WorldCat Record")</f>
        <v/>
      </c>
      <c r="AU2173" t="inlineStr">
        <is>
          <t>23108379:eng</t>
        </is>
      </c>
      <c r="AV2173" t="inlineStr">
        <is>
          <t>6580212</t>
        </is>
      </c>
      <c r="AW2173" t="inlineStr">
        <is>
          <t>991005007549702656</t>
        </is>
      </c>
      <c r="AX2173" t="inlineStr">
        <is>
          <t>991005007549702656</t>
        </is>
      </c>
      <c r="AY2173" t="inlineStr">
        <is>
          <t>2254862850002656</t>
        </is>
      </c>
      <c r="AZ2173" t="inlineStr">
        <is>
          <t>BOOK</t>
        </is>
      </c>
      <c r="BB2173" t="inlineStr">
        <is>
          <t>9780865310285</t>
        </is>
      </c>
      <c r="BC2173" t="inlineStr">
        <is>
          <t>32285000339118</t>
        </is>
      </c>
      <c r="BD2173" t="inlineStr">
        <is>
          <t>893688460</t>
        </is>
      </c>
    </row>
    <row r="2174">
      <c r="A2174" t="inlineStr">
        <is>
          <t>No</t>
        </is>
      </c>
      <c r="B2174" t="inlineStr">
        <is>
          <t>DS779.2 .E93</t>
        </is>
      </c>
      <c r="C2174" t="inlineStr">
        <is>
          <t>0                      DS 0779200E  93</t>
        </is>
      </c>
      <c r="D2174" t="inlineStr">
        <is>
          <t>China after Mao / Leslie Evans.</t>
        </is>
      </c>
      <c r="F2174" t="inlineStr">
        <is>
          <t>No</t>
        </is>
      </c>
      <c r="G2174" t="inlineStr">
        <is>
          <t>1</t>
        </is>
      </c>
      <c r="H2174" t="inlineStr">
        <is>
          <t>No</t>
        </is>
      </c>
      <c r="I2174" t="inlineStr">
        <is>
          <t>No</t>
        </is>
      </c>
      <c r="J2174" t="inlineStr">
        <is>
          <t>0</t>
        </is>
      </c>
      <c r="K2174" t="inlineStr">
        <is>
          <t>Evans, Leslie.</t>
        </is>
      </c>
      <c r="L2174" t="inlineStr">
        <is>
          <t>New York : Monad Press : distributed by Pathfinder Press, 1978.</t>
        </is>
      </c>
      <c r="M2174" t="inlineStr">
        <is>
          <t>1978</t>
        </is>
      </c>
      <c r="O2174" t="inlineStr">
        <is>
          <t>eng</t>
        </is>
      </c>
      <c r="P2174" t="inlineStr">
        <is>
          <t>nyu</t>
        </is>
      </c>
      <c r="R2174" t="inlineStr">
        <is>
          <t xml:space="preserve">DS </t>
        </is>
      </c>
      <c r="S2174" t="n">
        <v>3</v>
      </c>
      <c r="T2174" t="n">
        <v>3</v>
      </c>
      <c r="U2174" t="inlineStr">
        <is>
          <t>2006-05-26</t>
        </is>
      </c>
      <c r="V2174" t="inlineStr">
        <is>
          <t>2006-05-26</t>
        </is>
      </c>
      <c r="W2174" t="inlineStr">
        <is>
          <t>1990-10-19</t>
        </is>
      </c>
      <c r="X2174" t="inlineStr">
        <is>
          <t>1990-10-19</t>
        </is>
      </c>
      <c r="Y2174" t="n">
        <v>414</v>
      </c>
      <c r="Z2174" t="n">
        <v>327</v>
      </c>
      <c r="AA2174" t="n">
        <v>333</v>
      </c>
      <c r="AB2174" t="n">
        <v>3</v>
      </c>
      <c r="AC2174" t="n">
        <v>3</v>
      </c>
      <c r="AD2174" t="n">
        <v>14</v>
      </c>
      <c r="AE2174" t="n">
        <v>14</v>
      </c>
      <c r="AF2174" t="n">
        <v>5</v>
      </c>
      <c r="AG2174" t="n">
        <v>5</v>
      </c>
      <c r="AH2174" t="n">
        <v>4</v>
      </c>
      <c r="AI2174" t="n">
        <v>4</v>
      </c>
      <c r="AJ2174" t="n">
        <v>8</v>
      </c>
      <c r="AK2174" t="n">
        <v>8</v>
      </c>
      <c r="AL2174" t="n">
        <v>2</v>
      </c>
      <c r="AM2174" t="n">
        <v>2</v>
      </c>
      <c r="AN2174" t="n">
        <v>0</v>
      </c>
      <c r="AO2174" t="n">
        <v>0</v>
      </c>
      <c r="AP2174" t="inlineStr">
        <is>
          <t>No</t>
        </is>
      </c>
      <c r="AQ2174" t="inlineStr">
        <is>
          <t>Yes</t>
        </is>
      </c>
      <c r="AR2174">
        <f>HYPERLINK("http://catalog.hathitrust.org/Record/000260305","HathiTrust Record")</f>
        <v/>
      </c>
      <c r="AS2174">
        <f>HYPERLINK("https://creighton-primo.hosted.exlibrisgroup.com/primo-explore/search?tab=default_tab&amp;search_scope=EVERYTHING&amp;vid=01CRU&amp;lang=en_US&amp;offset=0&amp;query=any,contains,991004697959702656","Catalog Record")</f>
        <v/>
      </c>
      <c r="AT2174">
        <f>HYPERLINK("http://www.worldcat.org/oclc/4650082","WorldCat Record")</f>
        <v/>
      </c>
      <c r="AU2174" t="inlineStr">
        <is>
          <t>3768381183:eng</t>
        </is>
      </c>
      <c r="AV2174" t="inlineStr">
        <is>
          <t>4650082</t>
        </is>
      </c>
      <c r="AW2174" t="inlineStr">
        <is>
          <t>991004697959702656</t>
        </is>
      </c>
      <c r="AX2174" t="inlineStr">
        <is>
          <t>991004697959702656</t>
        </is>
      </c>
      <c r="AY2174" t="inlineStr">
        <is>
          <t>2269879970002656</t>
        </is>
      </c>
      <c r="AZ2174" t="inlineStr">
        <is>
          <t>BOOK</t>
        </is>
      </c>
      <c r="BB2174" t="inlineStr">
        <is>
          <t>9780913460610</t>
        </is>
      </c>
      <c r="BC2174" t="inlineStr">
        <is>
          <t>32285000339126</t>
        </is>
      </c>
      <c r="BD2174" t="inlineStr">
        <is>
          <t>893882825</t>
        </is>
      </c>
    </row>
    <row r="2175">
      <c r="A2175" t="inlineStr">
        <is>
          <t>No</t>
        </is>
      </c>
      <c r="B2175" t="inlineStr">
        <is>
          <t>DS779.2 .T47 2003</t>
        </is>
      </c>
      <c r="C2175" t="inlineStr">
        <is>
          <t>0                      DS 0779200T  47          2003</t>
        </is>
      </c>
      <c r="D2175" t="inlineStr">
        <is>
          <t>The new Chinese empire : and what it means for the United States / Ross Terrill.</t>
        </is>
      </c>
      <c r="F2175" t="inlineStr">
        <is>
          <t>No</t>
        </is>
      </c>
      <c r="G2175" t="inlineStr">
        <is>
          <t>1</t>
        </is>
      </c>
      <c r="H2175" t="inlineStr">
        <is>
          <t>No</t>
        </is>
      </c>
      <c r="I2175" t="inlineStr">
        <is>
          <t>No</t>
        </is>
      </c>
      <c r="J2175" t="inlineStr">
        <is>
          <t>0</t>
        </is>
      </c>
      <c r="K2175" t="inlineStr">
        <is>
          <t>Terrill, Ross.</t>
        </is>
      </c>
      <c r="L2175" t="inlineStr">
        <is>
          <t>New York : Basic Books, c2003.</t>
        </is>
      </c>
      <c r="M2175" t="inlineStr">
        <is>
          <t>2003</t>
        </is>
      </c>
      <c r="O2175" t="inlineStr">
        <is>
          <t>eng</t>
        </is>
      </c>
      <c r="P2175" t="inlineStr">
        <is>
          <t>nyu</t>
        </is>
      </c>
      <c r="R2175" t="inlineStr">
        <is>
          <t xml:space="preserve">DS </t>
        </is>
      </c>
      <c r="S2175" t="n">
        <v>12</v>
      </c>
      <c r="T2175" t="n">
        <v>12</v>
      </c>
      <c r="U2175" t="inlineStr">
        <is>
          <t>2006-08-25</t>
        </is>
      </c>
      <c r="V2175" t="inlineStr">
        <is>
          <t>2006-08-25</t>
        </is>
      </c>
      <c r="W2175" t="inlineStr">
        <is>
          <t>2003-07-29</t>
        </is>
      </c>
      <c r="X2175" t="inlineStr">
        <is>
          <t>2003-07-29</t>
        </is>
      </c>
      <c r="Y2175" t="n">
        <v>815</v>
      </c>
      <c r="Z2175" t="n">
        <v>704</v>
      </c>
      <c r="AA2175" t="n">
        <v>801</v>
      </c>
      <c r="AB2175" t="n">
        <v>5</v>
      </c>
      <c r="AC2175" t="n">
        <v>7</v>
      </c>
      <c r="AD2175" t="n">
        <v>32</v>
      </c>
      <c r="AE2175" t="n">
        <v>34</v>
      </c>
      <c r="AF2175" t="n">
        <v>15</v>
      </c>
      <c r="AG2175" t="n">
        <v>15</v>
      </c>
      <c r="AH2175" t="n">
        <v>8</v>
      </c>
      <c r="AI2175" t="n">
        <v>8</v>
      </c>
      <c r="AJ2175" t="n">
        <v>14</v>
      </c>
      <c r="AK2175" t="n">
        <v>15</v>
      </c>
      <c r="AL2175" t="n">
        <v>4</v>
      </c>
      <c r="AM2175" t="n">
        <v>5</v>
      </c>
      <c r="AN2175" t="n">
        <v>0</v>
      </c>
      <c r="AO2175" t="n">
        <v>0</v>
      </c>
      <c r="AP2175" t="inlineStr">
        <is>
          <t>No</t>
        </is>
      </c>
      <c r="AQ2175" t="inlineStr">
        <is>
          <t>No</t>
        </is>
      </c>
      <c r="AS2175">
        <f>HYPERLINK("https://creighton-primo.hosted.exlibrisgroup.com/primo-explore/search?tab=default_tab&amp;search_scope=EVERYTHING&amp;vid=01CRU&amp;lang=en_US&amp;offset=0&amp;query=any,contains,991004089199702656","Catalog Record")</f>
        <v/>
      </c>
      <c r="AT2175">
        <f>HYPERLINK("http://www.worldcat.org/oclc/50866940","WorldCat Record")</f>
        <v/>
      </c>
      <c r="AU2175" t="inlineStr">
        <is>
          <t>905859:eng</t>
        </is>
      </c>
      <c r="AV2175" t="inlineStr">
        <is>
          <t>50866940</t>
        </is>
      </c>
      <c r="AW2175" t="inlineStr">
        <is>
          <t>991004089199702656</t>
        </is>
      </c>
      <c r="AX2175" t="inlineStr">
        <is>
          <t>991004089199702656</t>
        </is>
      </c>
      <c r="AY2175" t="inlineStr">
        <is>
          <t>2260286310002656</t>
        </is>
      </c>
      <c r="AZ2175" t="inlineStr">
        <is>
          <t>BOOK</t>
        </is>
      </c>
      <c r="BB2175" t="inlineStr">
        <is>
          <t>9780465084128</t>
        </is>
      </c>
      <c r="BC2175" t="inlineStr">
        <is>
          <t>32285004757661</t>
        </is>
      </c>
      <c r="BD2175" t="inlineStr">
        <is>
          <t>893525639</t>
        </is>
      </c>
    </row>
    <row r="2176">
      <c r="A2176" t="inlineStr">
        <is>
          <t>No</t>
        </is>
      </c>
      <c r="B2176" t="inlineStr">
        <is>
          <t>DS779.215 .Z43 1999</t>
        </is>
      </c>
      <c r="C2176" t="inlineStr">
        <is>
          <t>0                      DS 0779215Z  43          1999</t>
        </is>
      </c>
      <c r="D2176" t="inlineStr">
        <is>
          <t>Discovering Chinese nationalism in China : modernization, identity, and international relations / Yongnian Zheng.</t>
        </is>
      </c>
      <c r="F2176" t="inlineStr">
        <is>
          <t>No</t>
        </is>
      </c>
      <c r="G2176" t="inlineStr">
        <is>
          <t>1</t>
        </is>
      </c>
      <c r="H2176" t="inlineStr">
        <is>
          <t>No</t>
        </is>
      </c>
      <c r="I2176" t="inlineStr">
        <is>
          <t>No</t>
        </is>
      </c>
      <c r="J2176" t="inlineStr">
        <is>
          <t>0</t>
        </is>
      </c>
      <c r="K2176" t="inlineStr">
        <is>
          <t>Zheng, Yongnian.</t>
        </is>
      </c>
      <c r="L2176" t="inlineStr">
        <is>
          <t>Cambridge ; New York : Cambridge University Press, 1999.</t>
        </is>
      </c>
      <c r="M2176" t="inlineStr">
        <is>
          <t>1999</t>
        </is>
      </c>
      <c r="O2176" t="inlineStr">
        <is>
          <t>eng</t>
        </is>
      </c>
      <c r="P2176" t="inlineStr">
        <is>
          <t>enk</t>
        </is>
      </c>
      <c r="Q2176" t="inlineStr">
        <is>
          <t>Cambridge Asia-Pacific studies</t>
        </is>
      </c>
      <c r="R2176" t="inlineStr">
        <is>
          <t xml:space="preserve">DS </t>
        </is>
      </c>
      <c r="S2176" t="n">
        <v>8</v>
      </c>
      <c r="T2176" t="n">
        <v>8</v>
      </c>
      <c r="U2176" t="inlineStr">
        <is>
          <t>2006-04-07</t>
        </is>
      </c>
      <c r="V2176" t="inlineStr">
        <is>
          <t>2006-04-07</t>
        </is>
      </c>
      <c r="W2176" t="inlineStr">
        <is>
          <t>2002-02-04</t>
        </is>
      </c>
      <c r="X2176" t="inlineStr">
        <is>
          <t>2002-02-04</t>
        </is>
      </c>
      <c r="Y2176" t="n">
        <v>499</v>
      </c>
      <c r="Z2176" t="n">
        <v>363</v>
      </c>
      <c r="AA2176" t="n">
        <v>368</v>
      </c>
      <c r="AB2176" t="n">
        <v>4</v>
      </c>
      <c r="AC2176" t="n">
        <v>4</v>
      </c>
      <c r="AD2176" t="n">
        <v>23</v>
      </c>
      <c r="AE2176" t="n">
        <v>23</v>
      </c>
      <c r="AF2176" t="n">
        <v>10</v>
      </c>
      <c r="AG2176" t="n">
        <v>10</v>
      </c>
      <c r="AH2176" t="n">
        <v>5</v>
      </c>
      <c r="AI2176" t="n">
        <v>5</v>
      </c>
      <c r="AJ2176" t="n">
        <v>12</v>
      </c>
      <c r="AK2176" t="n">
        <v>12</v>
      </c>
      <c r="AL2176" t="n">
        <v>3</v>
      </c>
      <c r="AM2176" t="n">
        <v>3</v>
      </c>
      <c r="AN2176" t="n">
        <v>0</v>
      </c>
      <c r="AO2176" t="n">
        <v>0</v>
      </c>
      <c r="AP2176" t="inlineStr">
        <is>
          <t>No</t>
        </is>
      </c>
      <c r="AQ2176" t="inlineStr">
        <is>
          <t>No</t>
        </is>
      </c>
      <c r="AS2176">
        <f>HYPERLINK("https://creighton-primo.hosted.exlibrisgroup.com/primo-explore/search?tab=default_tab&amp;search_scope=EVERYTHING&amp;vid=01CRU&amp;lang=en_US&amp;offset=0&amp;query=any,contains,991003688539702656","Catalog Record")</f>
        <v/>
      </c>
      <c r="AT2176">
        <f>HYPERLINK("http://www.worldcat.org/oclc/40174500","WorldCat Record")</f>
        <v/>
      </c>
      <c r="AU2176" t="inlineStr">
        <is>
          <t>327477748:eng</t>
        </is>
      </c>
      <c r="AV2176" t="inlineStr">
        <is>
          <t>40174500</t>
        </is>
      </c>
      <c r="AW2176" t="inlineStr">
        <is>
          <t>991003688539702656</t>
        </is>
      </c>
      <c r="AX2176" t="inlineStr">
        <is>
          <t>991003688539702656</t>
        </is>
      </c>
      <c r="AY2176" t="inlineStr">
        <is>
          <t>2258342940002656</t>
        </is>
      </c>
      <c r="AZ2176" t="inlineStr">
        <is>
          <t>BOOK</t>
        </is>
      </c>
      <c r="BB2176" t="inlineStr">
        <is>
          <t>9780521641807</t>
        </is>
      </c>
      <c r="BC2176" t="inlineStr">
        <is>
          <t>32285004451844</t>
        </is>
      </c>
      <c r="BD2176" t="inlineStr">
        <is>
          <t>893787625</t>
        </is>
      </c>
    </row>
    <row r="2177">
      <c r="A2177" t="inlineStr">
        <is>
          <t>No</t>
        </is>
      </c>
      <c r="B2177" t="inlineStr">
        <is>
          <t>DS779.22 .W36 2000</t>
        </is>
      </c>
      <c r="C2177" t="inlineStr">
        <is>
          <t>0                      DS 0779220W  36          2000</t>
        </is>
      </c>
      <c r="D2177" t="inlineStr">
        <is>
          <t>Joining the modern world : inside and outside China / Wang Gungwu.</t>
        </is>
      </c>
      <c r="F2177" t="inlineStr">
        <is>
          <t>No</t>
        </is>
      </c>
      <c r="G2177" t="inlineStr">
        <is>
          <t>1</t>
        </is>
      </c>
      <c r="H2177" t="inlineStr">
        <is>
          <t>No</t>
        </is>
      </c>
      <c r="I2177" t="inlineStr">
        <is>
          <t>No</t>
        </is>
      </c>
      <c r="J2177" t="inlineStr">
        <is>
          <t>0</t>
        </is>
      </c>
      <c r="K2177" t="inlineStr">
        <is>
          <t>Wang, Gungwu.</t>
        </is>
      </c>
      <c r="L2177" t="inlineStr">
        <is>
          <t>Singapore : Singapore University Press ; River Edge, NJ : World Scientific, 2000.</t>
        </is>
      </c>
      <c r="M2177" t="inlineStr">
        <is>
          <t>2000</t>
        </is>
      </c>
      <c r="O2177" t="inlineStr">
        <is>
          <t>eng</t>
        </is>
      </c>
      <c r="P2177" t="inlineStr">
        <is>
          <t xml:space="preserve">si </t>
        </is>
      </c>
      <c r="R2177" t="inlineStr">
        <is>
          <t xml:space="preserve">DS </t>
        </is>
      </c>
      <c r="S2177" t="n">
        <v>5</v>
      </c>
      <c r="T2177" t="n">
        <v>5</v>
      </c>
      <c r="U2177" t="inlineStr">
        <is>
          <t>2006-04-08</t>
        </is>
      </c>
      <c r="V2177" t="inlineStr">
        <is>
          <t>2006-04-08</t>
        </is>
      </c>
      <c r="W2177" t="inlineStr">
        <is>
          <t>2001-08-07</t>
        </is>
      </c>
      <c r="X2177" t="inlineStr">
        <is>
          <t>2001-08-07</t>
        </is>
      </c>
      <c r="Y2177" t="n">
        <v>172</v>
      </c>
      <c r="Z2177" t="n">
        <v>113</v>
      </c>
      <c r="AA2177" t="n">
        <v>237</v>
      </c>
      <c r="AB2177" t="n">
        <v>2</v>
      </c>
      <c r="AC2177" t="n">
        <v>3</v>
      </c>
      <c r="AD2177" t="n">
        <v>8</v>
      </c>
      <c r="AE2177" t="n">
        <v>13</v>
      </c>
      <c r="AF2177" t="n">
        <v>3</v>
      </c>
      <c r="AG2177" t="n">
        <v>4</v>
      </c>
      <c r="AH2177" t="n">
        <v>2</v>
      </c>
      <c r="AI2177" t="n">
        <v>5</v>
      </c>
      <c r="AJ2177" t="n">
        <v>5</v>
      </c>
      <c r="AK2177" t="n">
        <v>6</v>
      </c>
      <c r="AL2177" t="n">
        <v>1</v>
      </c>
      <c r="AM2177" t="n">
        <v>2</v>
      </c>
      <c r="AN2177" t="n">
        <v>0</v>
      </c>
      <c r="AO2177" t="n">
        <v>0</v>
      </c>
      <c r="AP2177" t="inlineStr">
        <is>
          <t>No</t>
        </is>
      </c>
      <c r="AQ2177" t="inlineStr">
        <is>
          <t>No</t>
        </is>
      </c>
      <c r="AS2177">
        <f>HYPERLINK("https://creighton-primo.hosted.exlibrisgroup.com/primo-explore/search?tab=default_tab&amp;search_scope=EVERYTHING&amp;vid=01CRU&amp;lang=en_US&amp;offset=0&amp;query=any,contains,991003538349702656","Catalog Record")</f>
        <v/>
      </c>
      <c r="AT2177">
        <f>HYPERLINK("http://www.worldcat.org/oclc/46465498","WorldCat Record")</f>
        <v/>
      </c>
      <c r="AU2177" t="inlineStr">
        <is>
          <t>314106266:eng</t>
        </is>
      </c>
      <c r="AV2177" t="inlineStr">
        <is>
          <t>46465498</t>
        </is>
      </c>
      <c r="AW2177" t="inlineStr">
        <is>
          <t>991003538349702656</t>
        </is>
      </c>
      <c r="AX2177" t="inlineStr">
        <is>
          <t>991003538349702656</t>
        </is>
      </c>
      <c r="AY2177" t="inlineStr">
        <is>
          <t>2268228760002656</t>
        </is>
      </c>
      <c r="AZ2177" t="inlineStr">
        <is>
          <t>BOOK</t>
        </is>
      </c>
      <c r="BB2177" t="inlineStr">
        <is>
          <t>9789810244880</t>
        </is>
      </c>
      <c r="BC2177" t="inlineStr">
        <is>
          <t>32285004376363</t>
        </is>
      </c>
      <c r="BD2177" t="inlineStr">
        <is>
          <t>893692815</t>
        </is>
      </c>
    </row>
    <row r="2178">
      <c r="A2178" t="inlineStr">
        <is>
          <t>No</t>
        </is>
      </c>
      <c r="B2178" t="inlineStr">
        <is>
          <t>DS779.23 .C55 1985</t>
        </is>
      </c>
      <c r="C2178" t="inlineStr">
        <is>
          <t>0                      DS 0779230C  55          1985</t>
        </is>
      </c>
      <c r="D2178" t="inlineStr">
        <is>
          <t>The heart of the dragon / Alasdair Clayre.</t>
        </is>
      </c>
      <c r="F2178" t="inlineStr">
        <is>
          <t>No</t>
        </is>
      </c>
      <c r="G2178" t="inlineStr">
        <is>
          <t>1</t>
        </is>
      </c>
      <c r="H2178" t="inlineStr">
        <is>
          <t>No</t>
        </is>
      </c>
      <c r="I2178" t="inlineStr">
        <is>
          <t>No</t>
        </is>
      </c>
      <c r="J2178" t="inlineStr">
        <is>
          <t>0</t>
        </is>
      </c>
      <c r="K2178" t="inlineStr">
        <is>
          <t>Clayre, Alasdair.</t>
        </is>
      </c>
      <c r="L2178" t="inlineStr">
        <is>
          <t>Boston : Houghton Mifflin, 1985, c1984.</t>
        </is>
      </c>
      <c r="M2178" t="inlineStr">
        <is>
          <t>1985</t>
        </is>
      </c>
      <c r="N2178" t="inlineStr">
        <is>
          <t>1st American ed.</t>
        </is>
      </c>
      <c r="O2178" t="inlineStr">
        <is>
          <t>eng</t>
        </is>
      </c>
      <c r="P2178" t="inlineStr">
        <is>
          <t>mau</t>
        </is>
      </c>
      <c r="R2178" t="inlineStr">
        <is>
          <t xml:space="preserve">DS </t>
        </is>
      </c>
      <c r="S2178" t="n">
        <v>7</v>
      </c>
      <c r="T2178" t="n">
        <v>7</v>
      </c>
      <c r="U2178" t="inlineStr">
        <is>
          <t>1994-02-28</t>
        </is>
      </c>
      <c r="V2178" t="inlineStr">
        <is>
          <t>1994-02-28</t>
        </is>
      </c>
      <c r="W2178" t="inlineStr">
        <is>
          <t>1990-08-09</t>
        </is>
      </c>
      <c r="X2178" t="inlineStr">
        <is>
          <t>1990-08-09</t>
        </is>
      </c>
      <c r="Y2178" t="n">
        <v>1969</v>
      </c>
      <c r="Z2178" t="n">
        <v>1897</v>
      </c>
      <c r="AA2178" t="n">
        <v>2034</v>
      </c>
      <c r="AB2178" t="n">
        <v>19</v>
      </c>
      <c r="AC2178" t="n">
        <v>20</v>
      </c>
      <c r="AD2178" t="n">
        <v>33</v>
      </c>
      <c r="AE2178" t="n">
        <v>35</v>
      </c>
      <c r="AF2178" t="n">
        <v>13</v>
      </c>
      <c r="AG2178" t="n">
        <v>14</v>
      </c>
      <c r="AH2178" t="n">
        <v>4</v>
      </c>
      <c r="AI2178" t="n">
        <v>4</v>
      </c>
      <c r="AJ2178" t="n">
        <v>12</v>
      </c>
      <c r="AK2178" t="n">
        <v>13</v>
      </c>
      <c r="AL2178" t="n">
        <v>9</v>
      </c>
      <c r="AM2178" t="n">
        <v>10</v>
      </c>
      <c r="AN2178" t="n">
        <v>1</v>
      </c>
      <c r="AO2178" t="n">
        <v>1</v>
      </c>
      <c r="AP2178" t="inlineStr">
        <is>
          <t>No</t>
        </is>
      </c>
      <c r="AQ2178" t="inlineStr">
        <is>
          <t>Yes</t>
        </is>
      </c>
      <c r="AR2178">
        <f>HYPERLINK("http://catalog.hathitrust.org/Record/000653608","HathiTrust Record")</f>
        <v/>
      </c>
      <c r="AS2178">
        <f>HYPERLINK("https://creighton-primo.hosted.exlibrisgroup.com/primo-explore/search?tab=default_tab&amp;search_scope=EVERYTHING&amp;vid=01CRU&amp;lang=en_US&amp;offset=0&amp;query=any,contains,991000436709702656","Catalog Record")</f>
        <v/>
      </c>
      <c r="AT2178">
        <f>HYPERLINK("http://www.worldcat.org/oclc/10799170","WorldCat Record")</f>
        <v/>
      </c>
      <c r="AU2178" t="inlineStr">
        <is>
          <t>3799873:eng</t>
        </is>
      </c>
      <c r="AV2178" t="inlineStr">
        <is>
          <t>10799170</t>
        </is>
      </c>
      <c r="AW2178" t="inlineStr">
        <is>
          <t>991000436709702656</t>
        </is>
      </c>
      <c r="AX2178" t="inlineStr">
        <is>
          <t>991000436709702656</t>
        </is>
      </c>
      <c r="AY2178" t="inlineStr">
        <is>
          <t>2269811970002656</t>
        </is>
      </c>
      <c r="AZ2178" t="inlineStr">
        <is>
          <t>BOOK</t>
        </is>
      </c>
      <c r="BB2178" t="inlineStr">
        <is>
          <t>9780395353363</t>
        </is>
      </c>
      <c r="BC2178" t="inlineStr">
        <is>
          <t>32285000272830</t>
        </is>
      </c>
      <c r="BD2178" t="inlineStr">
        <is>
          <t>893790504</t>
        </is>
      </c>
    </row>
    <row r="2179">
      <c r="A2179" t="inlineStr">
        <is>
          <t>No</t>
        </is>
      </c>
      <c r="B2179" t="inlineStr">
        <is>
          <t>DS779.23 .L49 1986</t>
        </is>
      </c>
      <c r="C2179" t="inlineStr">
        <is>
          <t>0                      DS 0779230L  49          1986</t>
        </is>
      </c>
      <c r="D2179" t="inlineStr">
        <is>
          <t>After the nightmare : a survivor of the Cultural Revolution reports on China today / Liang Heng and Judith Shapiro.</t>
        </is>
      </c>
      <c r="F2179" t="inlineStr">
        <is>
          <t>No</t>
        </is>
      </c>
      <c r="G2179" t="inlineStr">
        <is>
          <t>1</t>
        </is>
      </c>
      <c r="H2179" t="inlineStr">
        <is>
          <t>No</t>
        </is>
      </c>
      <c r="I2179" t="inlineStr">
        <is>
          <t>No</t>
        </is>
      </c>
      <c r="J2179" t="inlineStr">
        <is>
          <t>0</t>
        </is>
      </c>
      <c r="K2179" t="inlineStr">
        <is>
          <t>Liang, Heng.</t>
        </is>
      </c>
      <c r="L2179" t="inlineStr">
        <is>
          <t>New York : Knopf, 1986.</t>
        </is>
      </c>
      <c r="M2179" t="inlineStr">
        <is>
          <t>1986</t>
        </is>
      </c>
      <c r="N2179" t="inlineStr">
        <is>
          <t>1st ed.</t>
        </is>
      </c>
      <c r="O2179" t="inlineStr">
        <is>
          <t>eng</t>
        </is>
      </c>
      <c r="P2179" t="inlineStr">
        <is>
          <t>nyu</t>
        </is>
      </c>
      <c r="R2179" t="inlineStr">
        <is>
          <t xml:space="preserve">DS </t>
        </is>
      </c>
      <c r="S2179" t="n">
        <v>1</v>
      </c>
      <c r="T2179" t="n">
        <v>1</v>
      </c>
      <c r="U2179" t="inlineStr">
        <is>
          <t>2007-04-09</t>
        </is>
      </c>
      <c r="V2179" t="inlineStr">
        <is>
          <t>2007-04-09</t>
        </is>
      </c>
      <c r="W2179" t="inlineStr">
        <is>
          <t>1990-10-23</t>
        </is>
      </c>
      <c r="X2179" t="inlineStr">
        <is>
          <t>1990-10-23</t>
        </is>
      </c>
      <c r="Y2179" t="n">
        <v>892</v>
      </c>
      <c r="Z2179" t="n">
        <v>825</v>
      </c>
      <c r="AA2179" t="n">
        <v>835</v>
      </c>
      <c r="AB2179" t="n">
        <v>4</v>
      </c>
      <c r="AC2179" t="n">
        <v>4</v>
      </c>
      <c r="AD2179" t="n">
        <v>25</v>
      </c>
      <c r="AE2179" t="n">
        <v>25</v>
      </c>
      <c r="AF2179" t="n">
        <v>9</v>
      </c>
      <c r="AG2179" t="n">
        <v>9</v>
      </c>
      <c r="AH2179" t="n">
        <v>5</v>
      </c>
      <c r="AI2179" t="n">
        <v>5</v>
      </c>
      <c r="AJ2179" t="n">
        <v>16</v>
      </c>
      <c r="AK2179" t="n">
        <v>16</v>
      </c>
      <c r="AL2179" t="n">
        <v>3</v>
      </c>
      <c r="AM2179" t="n">
        <v>3</v>
      </c>
      <c r="AN2179" t="n">
        <v>0</v>
      </c>
      <c r="AO2179" t="n">
        <v>0</v>
      </c>
      <c r="AP2179" t="inlineStr">
        <is>
          <t>No</t>
        </is>
      </c>
      <c r="AQ2179" t="inlineStr">
        <is>
          <t>Yes</t>
        </is>
      </c>
      <c r="AR2179">
        <f>HYPERLINK("http://catalog.hathitrust.org/Record/000665572","HathiTrust Record")</f>
        <v/>
      </c>
      <c r="AS2179">
        <f>HYPERLINK("https://creighton-primo.hosted.exlibrisgroup.com/primo-explore/search?tab=default_tab&amp;search_scope=EVERYTHING&amp;vid=01CRU&amp;lang=en_US&amp;offset=0&amp;query=any,contains,991000764619702656","Catalog Record")</f>
        <v/>
      </c>
      <c r="AT2179">
        <f>HYPERLINK("http://www.worldcat.org/oclc/12978800","WorldCat Record")</f>
        <v/>
      </c>
      <c r="AU2179" t="inlineStr">
        <is>
          <t>287292034:eng</t>
        </is>
      </c>
      <c r="AV2179" t="inlineStr">
        <is>
          <t>12978800</t>
        </is>
      </c>
      <c r="AW2179" t="inlineStr">
        <is>
          <t>991000764619702656</t>
        </is>
      </c>
      <c r="AX2179" t="inlineStr">
        <is>
          <t>991000764619702656</t>
        </is>
      </c>
      <c r="AY2179" t="inlineStr">
        <is>
          <t>2258299090002656</t>
        </is>
      </c>
      <c r="AZ2179" t="inlineStr">
        <is>
          <t>BOOK</t>
        </is>
      </c>
      <c r="BB2179" t="inlineStr">
        <is>
          <t>9780394551531</t>
        </is>
      </c>
      <c r="BC2179" t="inlineStr">
        <is>
          <t>32285000339142</t>
        </is>
      </c>
      <c r="BD2179" t="inlineStr">
        <is>
          <t>893327566</t>
        </is>
      </c>
    </row>
    <row r="2180">
      <c r="A2180" t="inlineStr">
        <is>
          <t>No</t>
        </is>
      </c>
      <c r="B2180" t="inlineStr">
        <is>
          <t>DS779.23 .S45 1999</t>
        </is>
      </c>
      <c r="C2180" t="inlineStr">
        <is>
          <t>0                      DS 0779230S  45          1999</t>
        </is>
      </c>
      <c r="D2180" t="inlineStr">
        <is>
          <t>Chinese business etiquette : a guide to protocol, manners, and culture in the People's Republic of China / Scott D. Seligman ; foreword by Robert A. Kapp ; illustrations by Edward J. Trenn.</t>
        </is>
      </c>
      <c r="F2180" t="inlineStr">
        <is>
          <t>No</t>
        </is>
      </c>
      <c r="G2180" t="inlineStr">
        <is>
          <t>1</t>
        </is>
      </c>
      <c r="H2180" t="inlineStr">
        <is>
          <t>No</t>
        </is>
      </c>
      <c r="I2180" t="inlineStr">
        <is>
          <t>No</t>
        </is>
      </c>
      <c r="J2180" t="inlineStr">
        <is>
          <t>0</t>
        </is>
      </c>
      <c r="K2180" t="inlineStr">
        <is>
          <t>Seligman, Scott D.</t>
        </is>
      </c>
      <c r="L2180" t="inlineStr">
        <is>
          <t>New York : Warner Books, c1999.</t>
        </is>
      </c>
      <c r="M2180" t="inlineStr">
        <is>
          <t>1999</t>
        </is>
      </c>
      <c r="O2180" t="inlineStr">
        <is>
          <t>eng</t>
        </is>
      </c>
      <c r="P2180" t="inlineStr">
        <is>
          <t>nyu</t>
        </is>
      </c>
      <c r="R2180" t="inlineStr">
        <is>
          <t xml:space="preserve">DS </t>
        </is>
      </c>
      <c r="S2180" t="n">
        <v>4</v>
      </c>
      <c r="T2180" t="n">
        <v>4</v>
      </c>
      <c r="U2180" t="inlineStr">
        <is>
          <t>2002-04-09</t>
        </is>
      </c>
      <c r="V2180" t="inlineStr">
        <is>
          <t>2002-04-09</t>
        </is>
      </c>
      <c r="W2180" t="inlineStr">
        <is>
          <t>2002-04-09</t>
        </is>
      </c>
      <c r="X2180" t="inlineStr">
        <is>
          <t>2002-04-09</t>
        </is>
      </c>
      <c r="Y2180" t="n">
        <v>360</v>
      </c>
      <c r="Z2180" t="n">
        <v>281</v>
      </c>
      <c r="AA2180" t="n">
        <v>300</v>
      </c>
      <c r="AB2180" t="n">
        <v>2</v>
      </c>
      <c r="AC2180" t="n">
        <v>2</v>
      </c>
      <c r="AD2180" t="n">
        <v>10</v>
      </c>
      <c r="AE2180" t="n">
        <v>10</v>
      </c>
      <c r="AF2180" t="n">
        <v>3</v>
      </c>
      <c r="AG2180" t="n">
        <v>3</v>
      </c>
      <c r="AH2180" t="n">
        <v>2</v>
      </c>
      <c r="AI2180" t="n">
        <v>2</v>
      </c>
      <c r="AJ2180" t="n">
        <v>6</v>
      </c>
      <c r="AK2180" t="n">
        <v>6</v>
      </c>
      <c r="AL2180" t="n">
        <v>1</v>
      </c>
      <c r="AM2180" t="n">
        <v>1</v>
      </c>
      <c r="AN2180" t="n">
        <v>0</v>
      </c>
      <c r="AO2180" t="n">
        <v>0</v>
      </c>
      <c r="AP2180" t="inlineStr">
        <is>
          <t>No</t>
        </is>
      </c>
      <c r="AQ2180" t="inlineStr">
        <is>
          <t>No</t>
        </is>
      </c>
      <c r="AS2180">
        <f>HYPERLINK("https://creighton-primo.hosted.exlibrisgroup.com/primo-explore/search?tab=default_tab&amp;search_scope=EVERYTHING&amp;vid=01CRU&amp;lang=en_US&amp;offset=0&amp;query=any,contains,991003766199702656","Catalog Record")</f>
        <v/>
      </c>
      <c r="AT2180">
        <f>HYPERLINK("http://www.worldcat.org/oclc/39069255","WorldCat Record")</f>
        <v/>
      </c>
      <c r="AU2180" t="inlineStr">
        <is>
          <t>836922790:eng</t>
        </is>
      </c>
      <c r="AV2180" t="inlineStr">
        <is>
          <t>39069255</t>
        </is>
      </c>
      <c r="AW2180" t="inlineStr">
        <is>
          <t>991003766199702656</t>
        </is>
      </c>
      <c r="AX2180" t="inlineStr">
        <is>
          <t>991003766199702656</t>
        </is>
      </c>
      <c r="AY2180" t="inlineStr">
        <is>
          <t>2259763520002656</t>
        </is>
      </c>
      <c r="AZ2180" t="inlineStr">
        <is>
          <t>BOOK</t>
        </is>
      </c>
      <c r="BB2180" t="inlineStr">
        <is>
          <t>9780446673877</t>
        </is>
      </c>
      <c r="BC2180" t="inlineStr">
        <is>
          <t>32285004478409</t>
        </is>
      </c>
      <c r="BD2180" t="inlineStr">
        <is>
          <t>893781372</t>
        </is>
      </c>
    </row>
    <row r="2181">
      <c r="A2181" t="inlineStr">
        <is>
          <t>No</t>
        </is>
      </c>
      <c r="B2181" t="inlineStr">
        <is>
          <t>DS779.23 .U56 1989</t>
        </is>
      </c>
      <c r="C2181" t="inlineStr">
        <is>
          <t>0                      DS 0779230U  56          1989</t>
        </is>
      </c>
      <c r="D2181" t="inlineStr">
        <is>
          <t>Unofficial China : popular culture and thought in the People's Republic / edited by Perry Link, Richard Madsen, Paul G. Pickowicz.</t>
        </is>
      </c>
      <c r="F2181" t="inlineStr">
        <is>
          <t>No</t>
        </is>
      </c>
      <c r="G2181" t="inlineStr">
        <is>
          <t>1</t>
        </is>
      </c>
      <c r="H2181" t="inlineStr">
        <is>
          <t>No</t>
        </is>
      </c>
      <c r="I2181" t="inlineStr">
        <is>
          <t>No</t>
        </is>
      </c>
      <c r="J2181" t="inlineStr">
        <is>
          <t>0</t>
        </is>
      </c>
      <c r="L2181" t="inlineStr">
        <is>
          <t>Boulder : Westview Press, 1989.</t>
        </is>
      </c>
      <c r="M2181" t="inlineStr">
        <is>
          <t>1989</t>
        </is>
      </c>
      <c r="O2181" t="inlineStr">
        <is>
          <t>eng</t>
        </is>
      </c>
      <c r="P2181" t="inlineStr">
        <is>
          <t>cou</t>
        </is>
      </c>
      <c r="R2181" t="inlineStr">
        <is>
          <t xml:space="preserve">DS </t>
        </is>
      </c>
      <c r="S2181" t="n">
        <v>8</v>
      </c>
      <c r="T2181" t="n">
        <v>8</v>
      </c>
      <c r="U2181" t="inlineStr">
        <is>
          <t>2005-04-27</t>
        </is>
      </c>
      <c r="V2181" t="inlineStr">
        <is>
          <t>2005-04-27</t>
        </is>
      </c>
      <c r="W2181" t="inlineStr">
        <is>
          <t>1993-11-29</t>
        </is>
      </c>
      <c r="X2181" t="inlineStr">
        <is>
          <t>1993-11-29</t>
        </is>
      </c>
      <c r="Y2181" t="n">
        <v>536</v>
      </c>
      <c r="Z2181" t="n">
        <v>422</v>
      </c>
      <c r="AA2181" t="n">
        <v>444</v>
      </c>
      <c r="AB2181" t="n">
        <v>4</v>
      </c>
      <c r="AC2181" t="n">
        <v>4</v>
      </c>
      <c r="AD2181" t="n">
        <v>22</v>
      </c>
      <c r="AE2181" t="n">
        <v>22</v>
      </c>
      <c r="AF2181" t="n">
        <v>7</v>
      </c>
      <c r="AG2181" t="n">
        <v>7</v>
      </c>
      <c r="AH2181" t="n">
        <v>8</v>
      </c>
      <c r="AI2181" t="n">
        <v>8</v>
      </c>
      <c r="AJ2181" t="n">
        <v>11</v>
      </c>
      <c r="AK2181" t="n">
        <v>11</v>
      </c>
      <c r="AL2181" t="n">
        <v>3</v>
      </c>
      <c r="AM2181" t="n">
        <v>3</v>
      </c>
      <c r="AN2181" t="n">
        <v>0</v>
      </c>
      <c r="AO2181" t="n">
        <v>0</v>
      </c>
      <c r="AP2181" t="inlineStr">
        <is>
          <t>No</t>
        </is>
      </c>
      <c r="AQ2181" t="inlineStr">
        <is>
          <t>Yes</t>
        </is>
      </c>
      <c r="AR2181">
        <f>HYPERLINK("http://catalog.hathitrust.org/Record/001833711","HathiTrust Record")</f>
        <v/>
      </c>
      <c r="AS2181">
        <f>HYPERLINK("https://creighton-primo.hosted.exlibrisgroup.com/primo-explore/search?tab=default_tab&amp;search_scope=EVERYTHING&amp;vid=01CRU&amp;lang=en_US&amp;offset=0&amp;query=any,contains,991001533459702656","Catalog Record")</f>
        <v/>
      </c>
      <c r="AT2181">
        <f>HYPERLINK("http://www.worldcat.org/oclc/20056614","WorldCat Record")</f>
        <v/>
      </c>
      <c r="AU2181" t="inlineStr">
        <is>
          <t>795534729:eng</t>
        </is>
      </c>
      <c r="AV2181" t="inlineStr">
        <is>
          <t>20056614</t>
        </is>
      </c>
      <c r="AW2181" t="inlineStr">
        <is>
          <t>991001533459702656</t>
        </is>
      </c>
      <c r="AX2181" t="inlineStr">
        <is>
          <t>991001533459702656</t>
        </is>
      </c>
      <c r="AY2181" t="inlineStr">
        <is>
          <t>2271287160002656</t>
        </is>
      </c>
      <c r="AZ2181" t="inlineStr">
        <is>
          <t>BOOK</t>
        </is>
      </c>
      <c r="BB2181" t="inlineStr">
        <is>
          <t>9780813309248</t>
        </is>
      </c>
      <c r="BC2181" t="inlineStr">
        <is>
          <t>32285001813434</t>
        </is>
      </c>
      <c r="BD2181" t="inlineStr">
        <is>
          <t>893497149</t>
        </is>
      </c>
    </row>
    <row r="2182">
      <c r="A2182" t="inlineStr">
        <is>
          <t>No</t>
        </is>
      </c>
      <c r="B2182" t="inlineStr">
        <is>
          <t>DS779.26 .B38 1996</t>
        </is>
      </c>
      <c r="C2182" t="inlineStr">
        <is>
          <t>0                      DS 0779260B  38          1996</t>
        </is>
      </c>
      <c r="D2182" t="inlineStr">
        <is>
          <t>Burying Mao : Chinese politics in the age of Deng Xiaoping / Richard Baum.</t>
        </is>
      </c>
      <c r="F2182" t="inlineStr">
        <is>
          <t>No</t>
        </is>
      </c>
      <c r="G2182" t="inlineStr">
        <is>
          <t>1</t>
        </is>
      </c>
      <c r="H2182" t="inlineStr">
        <is>
          <t>No</t>
        </is>
      </c>
      <c r="I2182" t="inlineStr">
        <is>
          <t>No</t>
        </is>
      </c>
      <c r="J2182" t="inlineStr">
        <is>
          <t>0</t>
        </is>
      </c>
      <c r="K2182" t="inlineStr">
        <is>
          <t>Baum, Richard, 1940-2012.</t>
        </is>
      </c>
      <c r="L2182" t="inlineStr">
        <is>
          <t>Princeton, N.J. : Princeton University Press, c1996.</t>
        </is>
      </c>
      <c r="M2182" t="inlineStr">
        <is>
          <t>1996</t>
        </is>
      </c>
      <c r="O2182" t="inlineStr">
        <is>
          <t>eng</t>
        </is>
      </c>
      <c r="P2182" t="inlineStr">
        <is>
          <t>nju</t>
        </is>
      </c>
      <c r="R2182" t="inlineStr">
        <is>
          <t xml:space="preserve">DS </t>
        </is>
      </c>
      <c r="S2182" t="n">
        <v>10</v>
      </c>
      <c r="T2182" t="n">
        <v>10</v>
      </c>
      <c r="U2182" t="inlineStr">
        <is>
          <t>2001-11-13</t>
        </is>
      </c>
      <c r="V2182" t="inlineStr">
        <is>
          <t>2001-11-13</t>
        </is>
      </c>
      <c r="W2182" t="inlineStr">
        <is>
          <t>1996-05-09</t>
        </is>
      </c>
      <c r="X2182" t="inlineStr">
        <is>
          <t>1996-05-09</t>
        </is>
      </c>
      <c r="Y2182" t="n">
        <v>148</v>
      </c>
      <c r="Z2182" t="n">
        <v>98</v>
      </c>
      <c r="AA2182" t="n">
        <v>790</v>
      </c>
      <c r="AB2182" t="n">
        <v>2</v>
      </c>
      <c r="AC2182" t="n">
        <v>7</v>
      </c>
      <c r="AD2182" t="n">
        <v>4</v>
      </c>
      <c r="AE2182" t="n">
        <v>38</v>
      </c>
      <c r="AF2182" t="n">
        <v>1</v>
      </c>
      <c r="AG2182" t="n">
        <v>14</v>
      </c>
      <c r="AH2182" t="n">
        <v>0</v>
      </c>
      <c r="AI2182" t="n">
        <v>11</v>
      </c>
      <c r="AJ2182" t="n">
        <v>2</v>
      </c>
      <c r="AK2182" t="n">
        <v>18</v>
      </c>
      <c r="AL2182" t="n">
        <v>1</v>
      </c>
      <c r="AM2182" t="n">
        <v>6</v>
      </c>
      <c r="AN2182" t="n">
        <v>0</v>
      </c>
      <c r="AO2182" t="n">
        <v>0</v>
      </c>
      <c r="AP2182" t="inlineStr">
        <is>
          <t>No</t>
        </is>
      </c>
      <c r="AQ2182" t="inlineStr">
        <is>
          <t>No</t>
        </is>
      </c>
      <c r="AS2182">
        <f>HYPERLINK("https://creighton-primo.hosted.exlibrisgroup.com/primo-explore/search?tab=default_tab&amp;search_scope=EVERYTHING&amp;vid=01CRU&amp;lang=en_US&amp;offset=0&amp;query=any,contains,991002643759702656","Catalog Record")</f>
        <v/>
      </c>
      <c r="AT2182">
        <f>HYPERLINK("http://www.worldcat.org/oclc/37196894","WorldCat Record")</f>
        <v/>
      </c>
      <c r="AU2182" t="inlineStr">
        <is>
          <t>806696858:eng</t>
        </is>
      </c>
      <c r="AV2182" t="inlineStr">
        <is>
          <t>37196894</t>
        </is>
      </c>
      <c r="AW2182" t="inlineStr">
        <is>
          <t>991002643759702656</t>
        </is>
      </c>
      <c r="AX2182" t="inlineStr">
        <is>
          <t>991002643759702656</t>
        </is>
      </c>
      <c r="AY2182" t="inlineStr">
        <is>
          <t>2266925940002656</t>
        </is>
      </c>
      <c r="AZ2182" t="inlineStr">
        <is>
          <t>BOOK</t>
        </is>
      </c>
      <c r="BB2182" t="inlineStr">
        <is>
          <t>9780691036373</t>
        </is>
      </c>
      <c r="BC2182" t="inlineStr">
        <is>
          <t>32285002166410</t>
        </is>
      </c>
      <c r="BD2182" t="inlineStr">
        <is>
          <t>893804845</t>
        </is>
      </c>
    </row>
    <row r="2183">
      <c r="A2183" t="inlineStr">
        <is>
          <t>No</t>
        </is>
      </c>
      <c r="B2183" t="inlineStr">
        <is>
          <t>DS779.26 .B47</t>
        </is>
      </c>
      <c r="C2183" t="inlineStr">
        <is>
          <t>0                      DS 0779260B  47</t>
        </is>
      </c>
      <c r="D2183" t="inlineStr">
        <is>
          <t>China since Mao / Neil G. Burton, Charles Bettelheim.</t>
        </is>
      </c>
      <c r="F2183" t="inlineStr">
        <is>
          <t>No</t>
        </is>
      </c>
      <c r="G2183" t="inlineStr">
        <is>
          <t>1</t>
        </is>
      </c>
      <c r="H2183" t="inlineStr">
        <is>
          <t>No</t>
        </is>
      </c>
      <c r="I2183" t="inlineStr">
        <is>
          <t>No</t>
        </is>
      </c>
      <c r="J2183" t="inlineStr">
        <is>
          <t>0</t>
        </is>
      </c>
      <c r="K2183" t="inlineStr">
        <is>
          <t>Burton, Neil G.</t>
        </is>
      </c>
      <c r="L2183" t="inlineStr">
        <is>
          <t>New York : Monthly Review Press, c1978.</t>
        </is>
      </c>
      <c r="M2183" t="inlineStr">
        <is>
          <t>1978</t>
        </is>
      </c>
      <c r="O2183" t="inlineStr">
        <is>
          <t>eng</t>
        </is>
      </c>
      <c r="P2183" t="inlineStr">
        <is>
          <t>nyu</t>
        </is>
      </c>
      <c r="R2183" t="inlineStr">
        <is>
          <t xml:space="preserve">DS </t>
        </is>
      </c>
      <c r="S2183" t="n">
        <v>2</v>
      </c>
      <c r="T2183" t="n">
        <v>2</v>
      </c>
      <c r="U2183" t="inlineStr">
        <is>
          <t>1998-10-03</t>
        </is>
      </c>
      <c r="V2183" t="inlineStr">
        <is>
          <t>1998-10-03</t>
        </is>
      </c>
      <c r="W2183" t="inlineStr">
        <is>
          <t>1990-10-23</t>
        </is>
      </c>
      <c r="X2183" t="inlineStr">
        <is>
          <t>1990-10-23</t>
        </is>
      </c>
      <c r="Y2183" t="n">
        <v>472</v>
      </c>
      <c r="Z2183" t="n">
        <v>334</v>
      </c>
      <c r="AA2183" t="n">
        <v>599</v>
      </c>
      <c r="AB2183" t="n">
        <v>2</v>
      </c>
      <c r="AC2183" t="n">
        <v>3</v>
      </c>
      <c r="AD2183" t="n">
        <v>15</v>
      </c>
      <c r="AE2183" t="n">
        <v>19</v>
      </c>
      <c r="AF2183" t="n">
        <v>3</v>
      </c>
      <c r="AG2183" t="n">
        <v>4</v>
      </c>
      <c r="AH2183" t="n">
        <v>2</v>
      </c>
      <c r="AI2183" t="n">
        <v>4</v>
      </c>
      <c r="AJ2183" t="n">
        <v>11</v>
      </c>
      <c r="AK2183" t="n">
        <v>12</v>
      </c>
      <c r="AL2183" t="n">
        <v>1</v>
      </c>
      <c r="AM2183" t="n">
        <v>2</v>
      </c>
      <c r="AN2183" t="n">
        <v>0</v>
      </c>
      <c r="AO2183" t="n">
        <v>0</v>
      </c>
      <c r="AP2183" t="inlineStr">
        <is>
          <t>No</t>
        </is>
      </c>
      <c r="AQ2183" t="inlineStr">
        <is>
          <t>Yes</t>
        </is>
      </c>
      <c r="AR2183">
        <f>HYPERLINK("http://catalog.hathitrust.org/Record/000178426","HathiTrust Record")</f>
        <v/>
      </c>
      <c r="AS2183">
        <f>HYPERLINK("https://creighton-primo.hosted.exlibrisgroup.com/primo-explore/search?tab=default_tab&amp;search_scope=EVERYTHING&amp;vid=01CRU&amp;lang=en_US&amp;offset=0&amp;query=any,contains,991004579759702656","Catalog Record")</f>
        <v/>
      </c>
      <c r="AT2183">
        <f>HYPERLINK("http://www.worldcat.org/oclc/4056382","WorldCat Record")</f>
        <v/>
      </c>
      <c r="AU2183" t="inlineStr">
        <is>
          <t>351851932:eng</t>
        </is>
      </c>
      <c r="AV2183" t="inlineStr">
        <is>
          <t>4056382</t>
        </is>
      </c>
      <c r="AW2183" t="inlineStr">
        <is>
          <t>991004579759702656</t>
        </is>
      </c>
      <c r="AX2183" t="inlineStr">
        <is>
          <t>991004579759702656</t>
        </is>
      </c>
      <c r="AY2183" t="inlineStr">
        <is>
          <t>2272020560002656</t>
        </is>
      </c>
      <c r="AZ2183" t="inlineStr">
        <is>
          <t>BOOK</t>
        </is>
      </c>
      <c r="BB2183" t="inlineStr">
        <is>
          <t>9780853454748</t>
        </is>
      </c>
      <c r="BC2183" t="inlineStr">
        <is>
          <t>32285000339167</t>
        </is>
      </c>
      <c r="BD2183" t="inlineStr">
        <is>
          <t>893895172</t>
        </is>
      </c>
    </row>
    <row r="2184">
      <c r="A2184" t="inlineStr">
        <is>
          <t>No</t>
        </is>
      </c>
      <c r="B2184" t="inlineStr">
        <is>
          <t>DS779.26 .B864 2001</t>
        </is>
      </c>
      <c r="C2184" t="inlineStr">
        <is>
          <t>0                      DS 0779260B  864         2001</t>
        </is>
      </c>
      <c r="D2184" t="inlineStr">
        <is>
          <t>Bad elements : Chinese rebels from Los Angeles to Beijing / Ian Buruma.</t>
        </is>
      </c>
      <c r="F2184" t="inlineStr">
        <is>
          <t>No</t>
        </is>
      </c>
      <c r="G2184" t="inlineStr">
        <is>
          <t>1</t>
        </is>
      </c>
      <c r="H2184" t="inlineStr">
        <is>
          <t>No</t>
        </is>
      </c>
      <c r="I2184" t="inlineStr">
        <is>
          <t>No</t>
        </is>
      </c>
      <c r="J2184" t="inlineStr">
        <is>
          <t>0</t>
        </is>
      </c>
      <c r="K2184" t="inlineStr">
        <is>
          <t>Buruma, Ian.</t>
        </is>
      </c>
      <c r="L2184" t="inlineStr">
        <is>
          <t>New York : Random House, c2001.</t>
        </is>
      </c>
      <c r="M2184" t="inlineStr">
        <is>
          <t>2001</t>
        </is>
      </c>
      <c r="N2184" t="inlineStr">
        <is>
          <t>1st ed.</t>
        </is>
      </c>
      <c r="O2184" t="inlineStr">
        <is>
          <t>eng</t>
        </is>
      </c>
      <c r="P2184" t="inlineStr">
        <is>
          <t>nyu</t>
        </is>
      </c>
      <c r="R2184" t="inlineStr">
        <is>
          <t xml:space="preserve">DS </t>
        </is>
      </c>
      <c r="S2184" t="n">
        <v>3</v>
      </c>
      <c r="T2184" t="n">
        <v>3</v>
      </c>
      <c r="U2184" t="inlineStr">
        <is>
          <t>2003-04-25</t>
        </is>
      </c>
      <c r="V2184" t="inlineStr">
        <is>
          <t>2003-04-25</t>
        </is>
      </c>
      <c r="W2184" t="inlineStr">
        <is>
          <t>2001-12-06</t>
        </is>
      </c>
      <c r="X2184" t="inlineStr">
        <is>
          <t>2001-12-06</t>
        </is>
      </c>
      <c r="Y2184" t="n">
        <v>660</v>
      </c>
      <c r="Z2184" t="n">
        <v>608</v>
      </c>
      <c r="AA2184" t="n">
        <v>687</v>
      </c>
      <c r="AB2184" t="n">
        <v>4</v>
      </c>
      <c r="AC2184" t="n">
        <v>4</v>
      </c>
      <c r="AD2184" t="n">
        <v>26</v>
      </c>
      <c r="AE2184" t="n">
        <v>28</v>
      </c>
      <c r="AF2184" t="n">
        <v>11</v>
      </c>
      <c r="AG2184" t="n">
        <v>12</v>
      </c>
      <c r="AH2184" t="n">
        <v>7</v>
      </c>
      <c r="AI2184" t="n">
        <v>7</v>
      </c>
      <c r="AJ2184" t="n">
        <v>14</v>
      </c>
      <c r="AK2184" t="n">
        <v>15</v>
      </c>
      <c r="AL2184" t="n">
        <v>3</v>
      </c>
      <c r="AM2184" t="n">
        <v>3</v>
      </c>
      <c r="AN2184" t="n">
        <v>0</v>
      </c>
      <c r="AO2184" t="n">
        <v>0</v>
      </c>
      <c r="AP2184" t="inlineStr">
        <is>
          <t>No</t>
        </is>
      </c>
      <c r="AQ2184" t="inlineStr">
        <is>
          <t>Yes</t>
        </is>
      </c>
      <c r="AR2184">
        <f>HYPERLINK("http://catalog.hathitrust.org/Record/004262857","HathiTrust Record")</f>
        <v/>
      </c>
      <c r="AS2184">
        <f>HYPERLINK("https://creighton-primo.hosted.exlibrisgroup.com/primo-explore/search?tab=default_tab&amp;search_scope=EVERYTHING&amp;vid=01CRU&amp;lang=en_US&amp;offset=0&amp;query=any,contains,991003645799702656","Catalog Record")</f>
        <v/>
      </c>
      <c r="AT2184">
        <f>HYPERLINK("http://www.worldcat.org/oclc/46343171","WorldCat Record")</f>
        <v/>
      </c>
      <c r="AU2184" t="inlineStr">
        <is>
          <t>9175926:eng</t>
        </is>
      </c>
      <c r="AV2184" t="inlineStr">
        <is>
          <t>46343171</t>
        </is>
      </c>
      <c r="AW2184" t="inlineStr">
        <is>
          <t>991003645799702656</t>
        </is>
      </c>
      <c r="AX2184" t="inlineStr">
        <is>
          <t>991003645799702656</t>
        </is>
      </c>
      <c r="AY2184" t="inlineStr">
        <is>
          <t>2271059470002656</t>
        </is>
      </c>
      <c r="AZ2184" t="inlineStr">
        <is>
          <t>BOOK</t>
        </is>
      </c>
      <c r="BB2184" t="inlineStr">
        <is>
          <t>9780679457688</t>
        </is>
      </c>
      <c r="BC2184" t="inlineStr">
        <is>
          <t>32285004426853</t>
        </is>
      </c>
      <c r="BD2184" t="inlineStr">
        <is>
          <t>893781231</t>
        </is>
      </c>
    </row>
    <row r="2185">
      <c r="A2185" t="inlineStr">
        <is>
          <t>No</t>
        </is>
      </c>
      <c r="B2185" t="inlineStr">
        <is>
          <t>DS779.26 .C22 2006</t>
        </is>
      </c>
      <c r="C2185" t="inlineStr">
        <is>
          <t>0                      DS 0779260C  22          2006</t>
        </is>
      </c>
      <c r="D2185" t="inlineStr">
        <is>
          <t>China's deep reform : Domestic politics in transition / edited by Lowell Dittmer and Guoli Liu.</t>
        </is>
      </c>
      <c r="F2185" t="inlineStr">
        <is>
          <t>No</t>
        </is>
      </c>
      <c r="G2185" t="inlineStr">
        <is>
          <t>1</t>
        </is>
      </c>
      <c r="H2185" t="inlineStr">
        <is>
          <t>No</t>
        </is>
      </c>
      <c r="I2185" t="inlineStr">
        <is>
          <t>No</t>
        </is>
      </c>
      <c r="J2185" t="inlineStr">
        <is>
          <t>0</t>
        </is>
      </c>
      <c r="L2185" t="inlineStr">
        <is>
          <t>Lanham, Md. : Rowman &amp; Littlefield Publishers, Inc., c2006.</t>
        </is>
      </c>
      <c r="M2185" t="inlineStr">
        <is>
          <t>2006</t>
        </is>
      </c>
      <c r="O2185" t="inlineStr">
        <is>
          <t>eng</t>
        </is>
      </c>
      <c r="P2185" t="inlineStr">
        <is>
          <t>mdu</t>
        </is>
      </c>
      <c r="R2185" t="inlineStr">
        <is>
          <t xml:space="preserve">DS </t>
        </is>
      </c>
      <c r="S2185" t="n">
        <v>3</v>
      </c>
      <c r="T2185" t="n">
        <v>3</v>
      </c>
      <c r="U2185" t="inlineStr">
        <is>
          <t>2008-03-25</t>
        </is>
      </c>
      <c r="V2185" t="inlineStr">
        <is>
          <t>2008-03-25</t>
        </is>
      </c>
      <c r="W2185" t="inlineStr">
        <is>
          <t>2007-02-15</t>
        </is>
      </c>
      <c r="X2185" t="inlineStr">
        <is>
          <t>2007-02-15</t>
        </is>
      </c>
      <c r="Y2185" t="n">
        <v>314</v>
      </c>
      <c r="Z2185" t="n">
        <v>236</v>
      </c>
      <c r="AA2185" t="n">
        <v>253</v>
      </c>
      <c r="AB2185" t="n">
        <v>2</v>
      </c>
      <c r="AC2185" t="n">
        <v>2</v>
      </c>
      <c r="AD2185" t="n">
        <v>15</v>
      </c>
      <c r="AE2185" t="n">
        <v>16</v>
      </c>
      <c r="AF2185" t="n">
        <v>7</v>
      </c>
      <c r="AG2185" t="n">
        <v>8</v>
      </c>
      <c r="AH2185" t="n">
        <v>4</v>
      </c>
      <c r="AI2185" t="n">
        <v>5</v>
      </c>
      <c r="AJ2185" t="n">
        <v>7</v>
      </c>
      <c r="AK2185" t="n">
        <v>7</v>
      </c>
      <c r="AL2185" t="n">
        <v>1</v>
      </c>
      <c r="AM2185" t="n">
        <v>1</v>
      </c>
      <c r="AN2185" t="n">
        <v>0</v>
      </c>
      <c r="AO2185" t="n">
        <v>0</v>
      </c>
      <c r="AP2185" t="inlineStr">
        <is>
          <t>No</t>
        </is>
      </c>
      <c r="AQ2185" t="inlineStr">
        <is>
          <t>Yes</t>
        </is>
      </c>
      <c r="AR2185">
        <f>HYPERLINK("http://catalog.hathitrust.org/Record/005420668","HathiTrust Record")</f>
        <v/>
      </c>
      <c r="AS2185">
        <f>HYPERLINK("https://creighton-primo.hosted.exlibrisgroup.com/primo-explore/search?tab=default_tab&amp;search_scope=EVERYTHING&amp;vid=01CRU&amp;lang=en_US&amp;offset=0&amp;query=any,contains,991005033529702656","Catalog Record")</f>
        <v/>
      </c>
      <c r="AT2185">
        <f>HYPERLINK("http://www.worldcat.org/oclc/62326765","WorldCat Record")</f>
        <v/>
      </c>
      <c r="AU2185" t="inlineStr">
        <is>
          <t>892210418:eng</t>
        </is>
      </c>
      <c r="AV2185" t="inlineStr">
        <is>
          <t>62326765</t>
        </is>
      </c>
      <c r="AW2185" t="inlineStr">
        <is>
          <t>991005033529702656</t>
        </is>
      </c>
      <c r="AX2185" t="inlineStr">
        <is>
          <t>991005033529702656</t>
        </is>
      </c>
      <c r="AY2185" t="inlineStr">
        <is>
          <t>2272176360002656</t>
        </is>
      </c>
      <c r="AZ2185" t="inlineStr">
        <is>
          <t>BOOK</t>
        </is>
      </c>
      <c r="BB2185" t="inlineStr">
        <is>
          <t>9780742539303</t>
        </is>
      </c>
      <c r="BC2185" t="inlineStr">
        <is>
          <t>32285005277396</t>
        </is>
      </c>
      <c r="BD2185" t="inlineStr">
        <is>
          <t>893353656</t>
        </is>
      </c>
    </row>
    <row r="2186">
      <c r="A2186" t="inlineStr">
        <is>
          <t>No</t>
        </is>
      </c>
      <c r="B2186" t="inlineStr">
        <is>
          <t>DS779.26 .C47285 2006</t>
        </is>
      </c>
      <c r="C2186" t="inlineStr">
        <is>
          <t>0                      DS 0779260C  47285       2006</t>
        </is>
      </c>
      <c r="D2186" t="inlineStr">
        <is>
          <t>China : the balance sheet : what the world needs to know now about the emerging superpower / C. Fred Bergsten ... [et al.].</t>
        </is>
      </c>
      <c r="F2186" t="inlineStr">
        <is>
          <t>No</t>
        </is>
      </c>
      <c r="G2186" t="inlineStr">
        <is>
          <t>1</t>
        </is>
      </c>
      <c r="H2186" t="inlineStr">
        <is>
          <t>No</t>
        </is>
      </c>
      <c r="I2186" t="inlineStr">
        <is>
          <t>No</t>
        </is>
      </c>
      <c r="J2186" t="inlineStr">
        <is>
          <t>0</t>
        </is>
      </c>
      <c r="L2186" t="inlineStr">
        <is>
          <t>New York : Public Affairs, c2006.</t>
        </is>
      </c>
      <c r="M2186" t="inlineStr">
        <is>
          <t>2006</t>
        </is>
      </c>
      <c r="N2186" t="inlineStr">
        <is>
          <t>1st ed.</t>
        </is>
      </c>
      <c r="O2186" t="inlineStr">
        <is>
          <t>eng</t>
        </is>
      </c>
      <c r="P2186" t="inlineStr">
        <is>
          <t>nyu</t>
        </is>
      </c>
      <c r="R2186" t="inlineStr">
        <is>
          <t xml:space="preserve">DS </t>
        </is>
      </c>
      <c r="S2186" t="n">
        <v>12</v>
      </c>
      <c r="T2186" t="n">
        <v>12</v>
      </c>
      <c r="U2186" t="inlineStr">
        <is>
          <t>2007-11-20</t>
        </is>
      </c>
      <c r="V2186" t="inlineStr">
        <is>
          <t>2007-11-20</t>
        </is>
      </c>
      <c r="W2186" t="inlineStr">
        <is>
          <t>2006-07-12</t>
        </is>
      </c>
      <c r="X2186" t="inlineStr">
        <is>
          <t>2006-07-12</t>
        </is>
      </c>
      <c r="Y2186" t="n">
        <v>987</v>
      </c>
      <c r="Z2186" t="n">
        <v>801</v>
      </c>
      <c r="AA2186" t="n">
        <v>894</v>
      </c>
      <c r="AB2186" t="n">
        <v>5</v>
      </c>
      <c r="AC2186" t="n">
        <v>7</v>
      </c>
      <c r="AD2186" t="n">
        <v>34</v>
      </c>
      <c r="AE2186" t="n">
        <v>37</v>
      </c>
      <c r="AF2186" t="n">
        <v>15</v>
      </c>
      <c r="AG2186" t="n">
        <v>16</v>
      </c>
      <c r="AH2186" t="n">
        <v>8</v>
      </c>
      <c r="AI2186" t="n">
        <v>8</v>
      </c>
      <c r="AJ2186" t="n">
        <v>13</v>
      </c>
      <c r="AK2186" t="n">
        <v>14</v>
      </c>
      <c r="AL2186" t="n">
        <v>4</v>
      </c>
      <c r="AM2186" t="n">
        <v>6</v>
      </c>
      <c r="AN2186" t="n">
        <v>1</v>
      </c>
      <c r="AO2186" t="n">
        <v>1</v>
      </c>
      <c r="AP2186" t="inlineStr">
        <is>
          <t>No</t>
        </is>
      </c>
      <c r="AQ2186" t="inlineStr">
        <is>
          <t>No</t>
        </is>
      </c>
      <c r="AS2186">
        <f>HYPERLINK("https://creighton-primo.hosted.exlibrisgroup.com/primo-explore/search?tab=default_tab&amp;search_scope=EVERYTHING&amp;vid=01CRU&amp;lang=en_US&amp;offset=0&amp;query=any,contains,991004844079702656","Catalog Record")</f>
        <v/>
      </c>
      <c r="AT2186">
        <f>HYPERLINK("http://www.worldcat.org/oclc/65400743","WorldCat Record")</f>
        <v/>
      </c>
      <c r="AU2186" t="inlineStr">
        <is>
          <t>867006896:eng</t>
        </is>
      </c>
      <c r="AV2186" t="inlineStr">
        <is>
          <t>65400743</t>
        </is>
      </c>
      <c r="AW2186" t="inlineStr">
        <is>
          <t>991004844079702656</t>
        </is>
      </c>
      <c r="AX2186" t="inlineStr">
        <is>
          <t>991004844079702656</t>
        </is>
      </c>
      <c r="AY2186" t="inlineStr">
        <is>
          <t>2258330830002656</t>
        </is>
      </c>
      <c r="AZ2186" t="inlineStr">
        <is>
          <t>BOOK</t>
        </is>
      </c>
      <c r="BB2186" t="inlineStr">
        <is>
          <t>9781586484644</t>
        </is>
      </c>
      <c r="BC2186" t="inlineStr">
        <is>
          <t>32285005193676</t>
        </is>
      </c>
      <c r="BD2186" t="inlineStr">
        <is>
          <t>893870183</t>
        </is>
      </c>
    </row>
    <row r="2187">
      <c r="A2187" t="inlineStr">
        <is>
          <t>No</t>
        </is>
      </c>
      <c r="B2187" t="inlineStr">
        <is>
          <t>DS779.26 .C473527 1998</t>
        </is>
      </c>
      <c r="C2187" t="inlineStr">
        <is>
          <t>0                      DS 0779260C  473527      1998</t>
        </is>
      </c>
      <c r="D2187" t="inlineStr">
        <is>
          <t>China since 1978 : reform, modernisation and 'socialism with Chinese characteristics' / Colin Mackerras, Pradeep Taneja, Graham Young.</t>
        </is>
      </c>
      <c r="F2187" t="inlineStr">
        <is>
          <t>No</t>
        </is>
      </c>
      <c r="G2187" t="inlineStr">
        <is>
          <t>1</t>
        </is>
      </c>
      <c r="H2187" t="inlineStr">
        <is>
          <t>No</t>
        </is>
      </c>
      <c r="I2187" t="inlineStr">
        <is>
          <t>No</t>
        </is>
      </c>
      <c r="J2187" t="inlineStr">
        <is>
          <t>0</t>
        </is>
      </c>
      <c r="K2187" t="inlineStr">
        <is>
          <t>Mackerras, Colin.</t>
        </is>
      </c>
      <c r="L2187" t="inlineStr">
        <is>
          <t>Melbourne : Addison Wesley Longman, 1998.</t>
        </is>
      </c>
      <c r="M2187" t="inlineStr">
        <is>
          <t>1998</t>
        </is>
      </c>
      <c r="N2187" t="inlineStr">
        <is>
          <t>2nd rev. ed.</t>
        </is>
      </c>
      <c r="O2187" t="inlineStr">
        <is>
          <t>eng</t>
        </is>
      </c>
      <c r="P2187" t="inlineStr">
        <is>
          <t xml:space="preserve">at </t>
        </is>
      </c>
      <c r="R2187" t="inlineStr">
        <is>
          <t xml:space="preserve">DS </t>
        </is>
      </c>
      <c r="S2187" t="n">
        <v>5</v>
      </c>
      <c r="T2187" t="n">
        <v>5</v>
      </c>
      <c r="U2187" t="inlineStr">
        <is>
          <t>2007-05-09</t>
        </is>
      </c>
      <c r="V2187" t="inlineStr">
        <is>
          <t>2007-05-09</t>
        </is>
      </c>
      <c r="W2187" t="inlineStr">
        <is>
          <t>1999-10-05</t>
        </is>
      </c>
      <c r="X2187" t="inlineStr">
        <is>
          <t>1999-10-05</t>
        </is>
      </c>
      <c r="Y2187" t="n">
        <v>185</v>
      </c>
      <c r="Z2187" t="n">
        <v>108</v>
      </c>
      <c r="AA2187" t="n">
        <v>266</v>
      </c>
      <c r="AB2187" t="n">
        <v>2</v>
      </c>
      <c r="AC2187" t="n">
        <v>3</v>
      </c>
      <c r="AD2187" t="n">
        <v>7</v>
      </c>
      <c r="AE2187" t="n">
        <v>19</v>
      </c>
      <c r="AF2187" t="n">
        <v>2</v>
      </c>
      <c r="AG2187" t="n">
        <v>6</v>
      </c>
      <c r="AH2187" t="n">
        <v>1</v>
      </c>
      <c r="AI2187" t="n">
        <v>6</v>
      </c>
      <c r="AJ2187" t="n">
        <v>4</v>
      </c>
      <c r="AK2187" t="n">
        <v>10</v>
      </c>
      <c r="AL2187" t="n">
        <v>1</v>
      </c>
      <c r="AM2187" t="n">
        <v>2</v>
      </c>
      <c r="AN2187" t="n">
        <v>0</v>
      </c>
      <c r="AO2187" t="n">
        <v>0</v>
      </c>
      <c r="AP2187" t="inlineStr">
        <is>
          <t>No</t>
        </is>
      </c>
      <c r="AQ2187" t="inlineStr">
        <is>
          <t>No</t>
        </is>
      </c>
      <c r="AS2187">
        <f>HYPERLINK("https://creighton-primo.hosted.exlibrisgroup.com/primo-explore/search?tab=default_tab&amp;search_scope=EVERYTHING&amp;vid=01CRU&amp;lang=en_US&amp;offset=0&amp;query=any,contains,991002926929702656","Catalog Record")</f>
        <v/>
      </c>
      <c r="AT2187">
        <f>HYPERLINK("http://www.worldcat.org/oclc/40716346","WorldCat Record")</f>
        <v/>
      </c>
      <c r="AU2187" t="inlineStr">
        <is>
          <t>196641802:eng</t>
        </is>
      </c>
      <c r="AV2187" t="inlineStr">
        <is>
          <t>40716346</t>
        </is>
      </c>
      <c r="AW2187" t="inlineStr">
        <is>
          <t>991002926929702656</t>
        </is>
      </c>
      <c r="AX2187" t="inlineStr">
        <is>
          <t>991002926929702656</t>
        </is>
      </c>
      <c r="AY2187" t="inlineStr">
        <is>
          <t>2260901580002656</t>
        </is>
      </c>
      <c r="AZ2187" t="inlineStr">
        <is>
          <t>BOOK</t>
        </is>
      </c>
      <c r="BB2187" t="inlineStr">
        <is>
          <t>9780582810266</t>
        </is>
      </c>
      <c r="BC2187" t="inlineStr">
        <is>
          <t>32285003592655</t>
        </is>
      </c>
      <c r="BD2187" t="inlineStr">
        <is>
          <t>893524208</t>
        </is>
      </c>
    </row>
    <row r="2188">
      <c r="A2188" t="inlineStr">
        <is>
          <t>No</t>
        </is>
      </c>
      <c r="B2188" t="inlineStr">
        <is>
          <t>DS779.26 .C473543 2000</t>
        </is>
      </c>
      <c r="C2188" t="inlineStr">
        <is>
          <t>0                      DS 0779260C  473543      2000</t>
        </is>
      </c>
      <c r="D2188" t="inlineStr">
        <is>
          <t>China under Jiang Zemin / edited by Hung-mao Tien, Yun-han chu.</t>
        </is>
      </c>
      <c r="F2188" t="inlineStr">
        <is>
          <t>No</t>
        </is>
      </c>
      <c r="G2188" t="inlineStr">
        <is>
          <t>1</t>
        </is>
      </c>
      <c r="H2188" t="inlineStr">
        <is>
          <t>No</t>
        </is>
      </c>
      <c r="I2188" t="inlineStr">
        <is>
          <t>No</t>
        </is>
      </c>
      <c r="J2188" t="inlineStr">
        <is>
          <t>0</t>
        </is>
      </c>
      <c r="L2188" t="inlineStr">
        <is>
          <t>Boulder, Colo. : Lynne Rienner Publishers, 2000.</t>
        </is>
      </c>
      <c r="M2188" t="inlineStr">
        <is>
          <t>2000</t>
        </is>
      </c>
      <c r="O2188" t="inlineStr">
        <is>
          <t>eng</t>
        </is>
      </c>
      <c r="P2188" t="inlineStr">
        <is>
          <t>cou</t>
        </is>
      </c>
      <c r="R2188" t="inlineStr">
        <is>
          <t xml:space="preserve">DS </t>
        </is>
      </c>
      <c r="S2188" t="n">
        <v>4</v>
      </c>
      <c r="T2188" t="n">
        <v>4</v>
      </c>
      <c r="U2188" t="inlineStr">
        <is>
          <t>2005-04-10</t>
        </is>
      </c>
      <c r="V2188" t="inlineStr">
        <is>
          <t>2005-04-10</t>
        </is>
      </c>
      <c r="W2188" t="inlineStr">
        <is>
          <t>2002-10-17</t>
        </is>
      </c>
      <c r="X2188" t="inlineStr">
        <is>
          <t>2002-10-17</t>
        </is>
      </c>
      <c r="Y2188" t="n">
        <v>507</v>
      </c>
      <c r="Z2188" t="n">
        <v>403</v>
      </c>
      <c r="AA2188" t="n">
        <v>407</v>
      </c>
      <c r="AB2188" t="n">
        <v>2</v>
      </c>
      <c r="AC2188" t="n">
        <v>2</v>
      </c>
      <c r="AD2188" t="n">
        <v>24</v>
      </c>
      <c r="AE2188" t="n">
        <v>24</v>
      </c>
      <c r="AF2188" t="n">
        <v>11</v>
      </c>
      <c r="AG2188" t="n">
        <v>11</v>
      </c>
      <c r="AH2188" t="n">
        <v>9</v>
      </c>
      <c r="AI2188" t="n">
        <v>9</v>
      </c>
      <c r="AJ2188" t="n">
        <v>10</v>
      </c>
      <c r="AK2188" t="n">
        <v>10</v>
      </c>
      <c r="AL2188" t="n">
        <v>1</v>
      </c>
      <c r="AM2188" t="n">
        <v>1</v>
      </c>
      <c r="AN2188" t="n">
        <v>0</v>
      </c>
      <c r="AO2188" t="n">
        <v>0</v>
      </c>
      <c r="AP2188" t="inlineStr">
        <is>
          <t>No</t>
        </is>
      </c>
      <c r="AQ2188" t="inlineStr">
        <is>
          <t>No</t>
        </is>
      </c>
      <c r="AS2188">
        <f>HYPERLINK("https://creighton-primo.hosted.exlibrisgroup.com/primo-explore/search?tab=default_tab&amp;search_scope=EVERYTHING&amp;vid=01CRU&amp;lang=en_US&amp;offset=0&amp;query=any,contains,991003875899702656","Catalog Record")</f>
        <v/>
      </c>
      <c r="AT2188">
        <f>HYPERLINK("http://www.worldcat.org/oclc/42641740","WorldCat Record")</f>
        <v/>
      </c>
      <c r="AU2188" t="inlineStr">
        <is>
          <t>56480791:eng</t>
        </is>
      </c>
      <c r="AV2188" t="inlineStr">
        <is>
          <t>42641740</t>
        </is>
      </c>
      <c r="AW2188" t="inlineStr">
        <is>
          <t>991003875899702656</t>
        </is>
      </c>
      <c r="AX2188" t="inlineStr">
        <is>
          <t>991003875899702656</t>
        </is>
      </c>
      <c r="AY2188" t="inlineStr">
        <is>
          <t>2258616810002656</t>
        </is>
      </c>
      <c r="AZ2188" t="inlineStr">
        <is>
          <t>BOOK</t>
        </is>
      </c>
      <c r="BB2188" t="inlineStr">
        <is>
          <t>9781555878443</t>
        </is>
      </c>
      <c r="BC2188" t="inlineStr">
        <is>
          <t>32285004655972</t>
        </is>
      </c>
      <c r="BD2188" t="inlineStr">
        <is>
          <t>893262991</t>
        </is>
      </c>
    </row>
    <row r="2189">
      <c r="A2189" t="inlineStr">
        <is>
          <t>No</t>
        </is>
      </c>
      <c r="B2189" t="inlineStr">
        <is>
          <t>DS779.26 .C4737</t>
        </is>
      </c>
      <c r="C2189" t="inlineStr">
        <is>
          <t>0                      DS 0779260C  4737</t>
        </is>
      </c>
      <c r="D2189" t="inlineStr">
        <is>
          <t>China's quest for independence : policy evolution in the 1970s / edited by Thomas Fingar and the Stanford journal of international studies : Paul Blencowe, editor in chief.</t>
        </is>
      </c>
      <c r="F2189" t="inlineStr">
        <is>
          <t>No</t>
        </is>
      </c>
      <c r="G2189" t="inlineStr">
        <is>
          <t>1</t>
        </is>
      </c>
      <c r="H2189" t="inlineStr">
        <is>
          <t>No</t>
        </is>
      </c>
      <c r="I2189" t="inlineStr">
        <is>
          <t>No</t>
        </is>
      </c>
      <c r="J2189" t="inlineStr">
        <is>
          <t>0</t>
        </is>
      </c>
      <c r="L2189" t="inlineStr">
        <is>
          <t>Boulder, Colo. : Westview Press, 1980.</t>
        </is>
      </c>
      <c r="M2189" t="inlineStr">
        <is>
          <t>1980</t>
        </is>
      </c>
      <c r="O2189" t="inlineStr">
        <is>
          <t>eng</t>
        </is>
      </c>
      <c r="P2189" t="inlineStr">
        <is>
          <t>cou</t>
        </is>
      </c>
      <c r="Q2189" t="inlineStr">
        <is>
          <t>Westview special studies on China and East Asia</t>
        </is>
      </c>
      <c r="R2189" t="inlineStr">
        <is>
          <t xml:space="preserve">DS </t>
        </is>
      </c>
      <c r="S2189" t="n">
        <v>2</v>
      </c>
      <c r="T2189" t="n">
        <v>2</v>
      </c>
      <c r="U2189" t="inlineStr">
        <is>
          <t>2005-12-06</t>
        </is>
      </c>
      <c r="V2189" t="inlineStr">
        <is>
          <t>2005-12-06</t>
        </is>
      </c>
      <c r="W2189" t="inlineStr">
        <is>
          <t>1990-10-23</t>
        </is>
      </c>
      <c r="X2189" t="inlineStr">
        <is>
          <t>1990-10-23</t>
        </is>
      </c>
      <c r="Y2189" t="n">
        <v>417</v>
      </c>
      <c r="Z2189" t="n">
        <v>328</v>
      </c>
      <c r="AA2189" t="n">
        <v>349</v>
      </c>
      <c r="AB2189" t="n">
        <v>4</v>
      </c>
      <c r="AC2189" t="n">
        <v>4</v>
      </c>
      <c r="AD2189" t="n">
        <v>17</v>
      </c>
      <c r="AE2189" t="n">
        <v>17</v>
      </c>
      <c r="AF2189" t="n">
        <v>5</v>
      </c>
      <c r="AG2189" t="n">
        <v>5</v>
      </c>
      <c r="AH2189" t="n">
        <v>5</v>
      </c>
      <c r="AI2189" t="n">
        <v>5</v>
      </c>
      <c r="AJ2189" t="n">
        <v>6</v>
      </c>
      <c r="AK2189" t="n">
        <v>6</v>
      </c>
      <c r="AL2189" t="n">
        <v>3</v>
      </c>
      <c r="AM2189" t="n">
        <v>3</v>
      </c>
      <c r="AN2189" t="n">
        <v>1</v>
      </c>
      <c r="AO2189" t="n">
        <v>1</v>
      </c>
      <c r="AP2189" t="inlineStr">
        <is>
          <t>No</t>
        </is>
      </c>
      <c r="AQ2189" t="inlineStr">
        <is>
          <t>Yes</t>
        </is>
      </c>
      <c r="AR2189">
        <f>HYPERLINK("http://catalog.hathitrust.org/Record/000707686","HathiTrust Record")</f>
        <v/>
      </c>
      <c r="AS2189">
        <f>HYPERLINK("https://creighton-primo.hosted.exlibrisgroup.com/primo-explore/search?tab=default_tab&amp;search_scope=EVERYTHING&amp;vid=01CRU&amp;lang=en_US&amp;offset=0&amp;query=any,contains,991004855449702656","Catalog Record")</f>
        <v/>
      </c>
      <c r="AT2189">
        <f>HYPERLINK("http://www.worldcat.org/oclc/5674124","WorldCat Record")</f>
        <v/>
      </c>
      <c r="AU2189" t="inlineStr">
        <is>
          <t>878700118:eng</t>
        </is>
      </c>
      <c r="AV2189" t="inlineStr">
        <is>
          <t>5674124</t>
        </is>
      </c>
      <c r="AW2189" t="inlineStr">
        <is>
          <t>991004855449702656</t>
        </is>
      </c>
      <c r="AX2189" t="inlineStr">
        <is>
          <t>991004855449702656</t>
        </is>
      </c>
      <c r="AY2189" t="inlineStr">
        <is>
          <t>2256316750002656</t>
        </is>
      </c>
      <c r="AZ2189" t="inlineStr">
        <is>
          <t>BOOK</t>
        </is>
      </c>
      <c r="BB2189" t="inlineStr">
        <is>
          <t>9780891585701</t>
        </is>
      </c>
      <c r="BC2189" t="inlineStr">
        <is>
          <t>32285000339175</t>
        </is>
      </c>
      <c r="BD2189" t="inlineStr">
        <is>
          <t>893776520</t>
        </is>
      </c>
    </row>
    <row r="2190">
      <c r="A2190" t="inlineStr">
        <is>
          <t>No</t>
        </is>
      </c>
      <c r="B2190" t="inlineStr">
        <is>
          <t>DS779.26 .C47376 1994</t>
        </is>
      </c>
      <c r="C2190" t="inlineStr">
        <is>
          <t>0                      DS 0779260C  47376       1994</t>
        </is>
      </c>
      <c r="D2190" t="inlineStr">
        <is>
          <t>The Chinese and their future : Beijing, Taipei, and Hong Kong / Zhiling Lin and Thomas W. Robinson, editors.</t>
        </is>
      </c>
      <c r="F2190" t="inlineStr">
        <is>
          <t>No</t>
        </is>
      </c>
      <c r="G2190" t="inlineStr">
        <is>
          <t>1</t>
        </is>
      </c>
      <c r="H2190" t="inlineStr">
        <is>
          <t>No</t>
        </is>
      </c>
      <c r="I2190" t="inlineStr">
        <is>
          <t>No</t>
        </is>
      </c>
      <c r="J2190" t="inlineStr">
        <is>
          <t>0</t>
        </is>
      </c>
      <c r="L2190" t="inlineStr">
        <is>
          <t>Washington, D.C. : AEI Press, 1994.</t>
        </is>
      </c>
      <c r="M2190" t="inlineStr">
        <is>
          <t>1994</t>
        </is>
      </c>
      <c r="O2190" t="inlineStr">
        <is>
          <t>eng</t>
        </is>
      </c>
      <c r="P2190" t="inlineStr">
        <is>
          <t>dcu</t>
        </is>
      </c>
      <c r="R2190" t="inlineStr">
        <is>
          <t xml:space="preserve">DS </t>
        </is>
      </c>
      <c r="S2190" t="n">
        <v>12</v>
      </c>
      <c r="T2190" t="n">
        <v>12</v>
      </c>
      <c r="U2190" t="inlineStr">
        <is>
          <t>2007-04-26</t>
        </is>
      </c>
      <c r="V2190" t="inlineStr">
        <is>
          <t>2007-04-26</t>
        </is>
      </c>
      <c r="W2190" t="inlineStr">
        <is>
          <t>1996-05-20</t>
        </is>
      </c>
      <c r="X2190" t="inlineStr">
        <is>
          <t>1996-05-20</t>
        </is>
      </c>
      <c r="Y2190" t="n">
        <v>308</v>
      </c>
      <c r="Z2190" t="n">
        <v>266</v>
      </c>
      <c r="AA2190" t="n">
        <v>292</v>
      </c>
      <c r="AB2190" t="n">
        <v>2</v>
      </c>
      <c r="AC2190" t="n">
        <v>2</v>
      </c>
      <c r="AD2190" t="n">
        <v>11</v>
      </c>
      <c r="AE2190" t="n">
        <v>12</v>
      </c>
      <c r="AF2190" t="n">
        <v>5</v>
      </c>
      <c r="AG2190" t="n">
        <v>5</v>
      </c>
      <c r="AH2190" t="n">
        <v>2</v>
      </c>
      <c r="AI2190" t="n">
        <v>2</v>
      </c>
      <c r="AJ2190" t="n">
        <v>4</v>
      </c>
      <c r="AK2190" t="n">
        <v>4</v>
      </c>
      <c r="AL2190" t="n">
        <v>1</v>
      </c>
      <c r="AM2190" t="n">
        <v>1</v>
      </c>
      <c r="AN2190" t="n">
        <v>0</v>
      </c>
      <c r="AO2190" t="n">
        <v>1</v>
      </c>
      <c r="AP2190" t="inlineStr">
        <is>
          <t>No</t>
        </is>
      </c>
      <c r="AQ2190" t="inlineStr">
        <is>
          <t>Yes</t>
        </is>
      </c>
      <c r="AR2190">
        <f>HYPERLINK("http://catalog.hathitrust.org/Record/003047699","HathiTrust Record")</f>
        <v/>
      </c>
      <c r="AS2190">
        <f>HYPERLINK("https://creighton-primo.hosted.exlibrisgroup.com/primo-explore/search?tab=default_tab&amp;search_scope=EVERYTHING&amp;vid=01CRU&amp;lang=en_US&amp;offset=0&amp;query=any,contains,991002217469702656","Catalog Record")</f>
        <v/>
      </c>
      <c r="AT2190">
        <f>HYPERLINK("http://www.worldcat.org/oclc/28550088","WorldCat Record")</f>
        <v/>
      </c>
      <c r="AU2190" t="inlineStr">
        <is>
          <t>367842979:eng</t>
        </is>
      </c>
      <c r="AV2190" t="inlineStr">
        <is>
          <t>28550088</t>
        </is>
      </c>
      <c r="AW2190" t="inlineStr">
        <is>
          <t>991002217469702656</t>
        </is>
      </c>
      <c r="AX2190" t="inlineStr">
        <is>
          <t>991002217469702656</t>
        </is>
      </c>
      <c r="AY2190" t="inlineStr">
        <is>
          <t>2272671780002656</t>
        </is>
      </c>
      <c r="AZ2190" t="inlineStr">
        <is>
          <t>BOOK</t>
        </is>
      </c>
      <c r="BB2190" t="inlineStr">
        <is>
          <t>9780844738048</t>
        </is>
      </c>
      <c r="BC2190" t="inlineStr">
        <is>
          <t>32285002175528</t>
        </is>
      </c>
      <c r="BD2190" t="inlineStr">
        <is>
          <t>893232690</t>
        </is>
      </c>
    </row>
    <row r="2191">
      <c r="A2191" t="inlineStr">
        <is>
          <t>No</t>
        </is>
      </c>
      <c r="B2191" t="inlineStr">
        <is>
          <t>DS779.26 .C66</t>
        </is>
      </c>
      <c r="C2191" t="inlineStr">
        <is>
          <t>0                      DS 0779260C  66</t>
        </is>
      </c>
      <c r="D2191" t="inlineStr">
        <is>
          <t>China's global role : an analysis of Peking's national power capabilities in the context of an evolving international system / John Franklin Copper.</t>
        </is>
      </c>
      <c r="F2191" t="inlineStr">
        <is>
          <t>No</t>
        </is>
      </c>
      <c r="G2191" t="inlineStr">
        <is>
          <t>1</t>
        </is>
      </c>
      <c r="H2191" t="inlineStr">
        <is>
          <t>No</t>
        </is>
      </c>
      <c r="I2191" t="inlineStr">
        <is>
          <t>No</t>
        </is>
      </c>
      <c r="J2191" t="inlineStr">
        <is>
          <t>0</t>
        </is>
      </c>
      <c r="K2191" t="inlineStr">
        <is>
          <t>Copper, John Franklin.</t>
        </is>
      </c>
      <c r="L2191" t="inlineStr">
        <is>
          <t>Stanford, Calif. : Hoover Institution Press, Stanford University, c1980.</t>
        </is>
      </c>
      <c r="M2191" t="inlineStr">
        <is>
          <t>1980</t>
        </is>
      </c>
      <c r="O2191" t="inlineStr">
        <is>
          <t>eng</t>
        </is>
      </c>
      <c r="P2191" t="inlineStr">
        <is>
          <t>cau</t>
        </is>
      </c>
      <c r="Q2191" t="inlineStr">
        <is>
          <t>Hoover Institution publication ; 226</t>
        </is>
      </c>
      <c r="R2191" t="inlineStr">
        <is>
          <t xml:space="preserve">DS </t>
        </is>
      </c>
      <c r="S2191" t="n">
        <v>3</v>
      </c>
      <c r="T2191" t="n">
        <v>3</v>
      </c>
      <c r="U2191" t="inlineStr">
        <is>
          <t>2005-11-28</t>
        </is>
      </c>
      <c r="V2191" t="inlineStr">
        <is>
          <t>2005-11-28</t>
        </is>
      </c>
      <c r="W2191" t="inlineStr">
        <is>
          <t>1990-10-23</t>
        </is>
      </c>
      <c r="X2191" t="inlineStr">
        <is>
          <t>1990-10-23</t>
        </is>
      </c>
      <c r="Y2191" t="n">
        <v>549</v>
      </c>
      <c r="Z2191" t="n">
        <v>437</v>
      </c>
      <c r="AA2191" t="n">
        <v>439</v>
      </c>
      <c r="AB2191" t="n">
        <v>3</v>
      </c>
      <c r="AC2191" t="n">
        <v>3</v>
      </c>
      <c r="AD2191" t="n">
        <v>21</v>
      </c>
      <c r="AE2191" t="n">
        <v>21</v>
      </c>
      <c r="AF2191" t="n">
        <v>6</v>
      </c>
      <c r="AG2191" t="n">
        <v>6</v>
      </c>
      <c r="AH2191" t="n">
        <v>6</v>
      </c>
      <c r="AI2191" t="n">
        <v>6</v>
      </c>
      <c r="AJ2191" t="n">
        <v>13</v>
      </c>
      <c r="AK2191" t="n">
        <v>13</v>
      </c>
      <c r="AL2191" t="n">
        <v>2</v>
      </c>
      <c r="AM2191" t="n">
        <v>2</v>
      </c>
      <c r="AN2191" t="n">
        <v>0</v>
      </c>
      <c r="AO2191" t="n">
        <v>0</v>
      </c>
      <c r="AP2191" t="inlineStr">
        <is>
          <t>No</t>
        </is>
      </c>
      <c r="AQ2191" t="inlineStr">
        <is>
          <t>Yes</t>
        </is>
      </c>
      <c r="AR2191">
        <f>HYPERLINK("http://catalog.hathitrust.org/Record/000697592","HathiTrust Record")</f>
        <v/>
      </c>
      <c r="AS2191">
        <f>HYPERLINK("https://creighton-primo.hosted.exlibrisgroup.com/primo-explore/search?tab=default_tab&amp;search_scope=EVERYTHING&amp;vid=01CRU&amp;lang=en_US&amp;offset=0&amp;query=any,contains,991005035399702656","Catalog Record")</f>
        <v/>
      </c>
      <c r="AT2191">
        <f>HYPERLINK("http://www.worldcat.org/oclc/6753160","WorldCat Record")</f>
        <v/>
      </c>
      <c r="AU2191" t="inlineStr">
        <is>
          <t>365970281:eng</t>
        </is>
      </c>
      <c r="AV2191" t="inlineStr">
        <is>
          <t>6753160</t>
        </is>
      </c>
      <c r="AW2191" t="inlineStr">
        <is>
          <t>991005035399702656</t>
        </is>
      </c>
      <c r="AX2191" t="inlineStr">
        <is>
          <t>991005035399702656</t>
        </is>
      </c>
      <c r="AY2191" t="inlineStr">
        <is>
          <t>2264615130002656</t>
        </is>
      </c>
      <c r="AZ2191" t="inlineStr">
        <is>
          <t>BOOK</t>
        </is>
      </c>
      <c r="BB2191" t="inlineStr">
        <is>
          <t>9780817972622</t>
        </is>
      </c>
      <c r="BC2191" t="inlineStr">
        <is>
          <t>32285000339183</t>
        </is>
      </c>
      <c r="BD2191" t="inlineStr">
        <is>
          <t>893248244</t>
        </is>
      </c>
    </row>
    <row r="2192">
      <c r="A2192" t="inlineStr">
        <is>
          <t>No</t>
        </is>
      </c>
      <c r="B2192" t="inlineStr">
        <is>
          <t>DS779.26 .G67 1986</t>
        </is>
      </c>
      <c r="C2192" t="inlineStr">
        <is>
          <t>0                      DS 0779260G  67          1986</t>
        </is>
      </c>
      <c r="D2192" t="inlineStr">
        <is>
          <t>The China challenge : adjustment and reform / David S.G. Goodman, Martin Lockett, and Gerald Segal.</t>
        </is>
      </c>
      <c r="F2192" t="inlineStr">
        <is>
          <t>No</t>
        </is>
      </c>
      <c r="G2192" t="inlineStr">
        <is>
          <t>1</t>
        </is>
      </c>
      <c r="H2192" t="inlineStr">
        <is>
          <t>No</t>
        </is>
      </c>
      <c r="I2192" t="inlineStr">
        <is>
          <t>No</t>
        </is>
      </c>
      <c r="J2192" t="inlineStr">
        <is>
          <t>0</t>
        </is>
      </c>
      <c r="K2192" t="inlineStr">
        <is>
          <t>Goodman, David S. G.</t>
        </is>
      </c>
      <c r="L2192" t="inlineStr">
        <is>
          <t>London ; New York : Routledge &amp; Kegan Paul : Royal Institute of International Affairs, 1986.</t>
        </is>
      </c>
      <c r="M2192" t="inlineStr">
        <is>
          <t>1986</t>
        </is>
      </c>
      <c r="O2192" t="inlineStr">
        <is>
          <t>eng</t>
        </is>
      </c>
      <c r="P2192" t="inlineStr">
        <is>
          <t>enk</t>
        </is>
      </c>
      <c r="Q2192" t="inlineStr">
        <is>
          <t>Chatham House papers ; 32</t>
        </is>
      </c>
      <c r="R2192" t="inlineStr">
        <is>
          <t xml:space="preserve">DS </t>
        </is>
      </c>
      <c r="S2192" t="n">
        <v>6</v>
      </c>
      <c r="T2192" t="n">
        <v>6</v>
      </c>
      <c r="U2192" t="inlineStr">
        <is>
          <t>2006-04-08</t>
        </is>
      </c>
      <c r="V2192" t="inlineStr">
        <is>
          <t>2006-04-08</t>
        </is>
      </c>
      <c r="W2192" t="inlineStr">
        <is>
          <t>1990-10-23</t>
        </is>
      </c>
      <c r="X2192" t="inlineStr">
        <is>
          <t>1990-10-23</t>
        </is>
      </c>
      <c r="Y2192" t="n">
        <v>218</v>
      </c>
      <c r="Z2192" t="n">
        <v>130</v>
      </c>
      <c r="AA2192" t="n">
        <v>131</v>
      </c>
      <c r="AB2192" t="n">
        <v>2</v>
      </c>
      <c r="AC2192" t="n">
        <v>2</v>
      </c>
      <c r="AD2192" t="n">
        <v>5</v>
      </c>
      <c r="AE2192" t="n">
        <v>5</v>
      </c>
      <c r="AF2192" t="n">
        <v>1</v>
      </c>
      <c r="AG2192" t="n">
        <v>1</v>
      </c>
      <c r="AH2192" t="n">
        <v>2</v>
      </c>
      <c r="AI2192" t="n">
        <v>2</v>
      </c>
      <c r="AJ2192" t="n">
        <v>3</v>
      </c>
      <c r="AK2192" t="n">
        <v>3</v>
      </c>
      <c r="AL2192" t="n">
        <v>1</v>
      </c>
      <c r="AM2192" t="n">
        <v>1</v>
      </c>
      <c r="AN2192" t="n">
        <v>0</v>
      </c>
      <c r="AO2192" t="n">
        <v>0</v>
      </c>
      <c r="AP2192" t="inlineStr">
        <is>
          <t>No</t>
        </is>
      </c>
      <c r="AQ2192" t="inlineStr">
        <is>
          <t>No</t>
        </is>
      </c>
      <c r="AS2192">
        <f>HYPERLINK("https://creighton-primo.hosted.exlibrisgroup.com/primo-explore/search?tab=default_tab&amp;search_scope=EVERYTHING&amp;vid=01CRU&amp;lang=en_US&amp;offset=0&amp;query=any,contains,991000917079702656","Catalog Record")</f>
        <v/>
      </c>
      <c r="AT2192">
        <f>HYPERLINK("http://www.worldcat.org/oclc/14187226","WorldCat Record")</f>
        <v/>
      </c>
      <c r="AU2192" t="inlineStr">
        <is>
          <t>7749951:eng</t>
        </is>
      </c>
      <c r="AV2192" t="inlineStr">
        <is>
          <t>14187226</t>
        </is>
      </c>
      <c r="AW2192" t="inlineStr">
        <is>
          <t>991000917079702656</t>
        </is>
      </c>
      <c r="AX2192" t="inlineStr">
        <is>
          <t>991000917079702656</t>
        </is>
      </c>
      <c r="AY2192" t="inlineStr">
        <is>
          <t>2260170150002656</t>
        </is>
      </c>
      <c r="AZ2192" t="inlineStr">
        <is>
          <t>BOOK</t>
        </is>
      </c>
      <c r="BB2192" t="inlineStr">
        <is>
          <t>9780710211118</t>
        </is>
      </c>
      <c r="BC2192" t="inlineStr">
        <is>
          <t>32285000339191</t>
        </is>
      </c>
      <c r="BD2192" t="inlineStr">
        <is>
          <t>893778368</t>
        </is>
      </c>
    </row>
    <row r="2193">
      <c r="A2193" t="inlineStr">
        <is>
          <t>No</t>
        </is>
      </c>
      <c r="B2193" t="inlineStr">
        <is>
          <t>DS779.26 .L57 1990</t>
        </is>
      </c>
      <c r="C2193" t="inlineStr">
        <is>
          <t>0                      DS 0779260L  57          1990</t>
        </is>
      </c>
      <c r="D2193" t="inlineStr">
        <is>
          <t>China's crisis, China's hope / Liu Binyan ; translated by Howard Goldblatt.</t>
        </is>
      </c>
      <c r="F2193" t="inlineStr">
        <is>
          <t>No</t>
        </is>
      </c>
      <c r="G2193" t="inlineStr">
        <is>
          <t>1</t>
        </is>
      </c>
      <c r="H2193" t="inlineStr">
        <is>
          <t>No</t>
        </is>
      </c>
      <c r="I2193" t="inlineStr">
        <is>
          <t>No</t>
        </is>
      </c>
      <c r="J2193" t="inlineStr">
        <is>
          <t>0</t>
        </is>
      </c>
      <c r="K2193" t="inlineStr">
        <is>
          <t>Liu, Binyan, 1925-2005.</t>
        </is>
      </c>
      <c r="L2193" t="inlineStr">
        <is>
          <t>Cambridge, Mass. : Harvard University Press, 1990.</t>
        </is>
      </c>
      <c r="M2193" t="inlineStr">
        <is>
          <t>1990</t>
        </is>
      </c>
      <c r="O2193" t="inlineStr">
        <is>
          <t>eng</t>
        </is>
      </c>
      <c r="P2193" t="inlineStr">
        <is>
          <t>mau</t>
        </is>
      </c>
      <c r="R2193" t="inlineStr">
        <is>
          <t xml:space="preserve">DS </t>
        </is>
      </c>
      <c r="S2193" t="n">
        <v>1</v>
      </c>
      <c r="T2193" t="n">
        <v>1</v>
      </c>
      <c r="U2193" t="inlineStr">
        <is>
          <t>2005-04-30</t>
        </is>
      </c>
      <c r="V2193" t="inlineStr">
        <is>
          <t>2005-04-30</t>
        </is>
      </c>
      <c r="W2193" t="inlineStr">
        <is>
          <t>1999-04-22</t>
        </is>
      </c>
      <c r="X2193" t="inlineStr">
        <is>
          <t>1999-04-22</t>
        </is>
      </c>
      <c r="Y2193" t="n">
        <v>518</v>
      </c>
      <c r="Z2193" t="n">
        <v>418</v>
      </c>
      <c r="AA2193" t="n">
        <v>425</v>
      </c>
      <c r="AB2193" t="n">
        <v>4</v>
      </c>
      <c r="AC2193" t="n">
        <v>4</v>
      </c>
      <c r="AD2193" t="n">
        <v>19</v>
      </c>
      <c r="AE2193" t="n">
        <v>19</v>
      </c>
      <c r="AF2193" t="n">
        <v>7</v>
      </c>
      <c r="AG2193" t="n">
        <v>7</v>
      </c>
      <c r="AH2193" t="n">
        <v>7</v>
      </c>
      <c r="AI2193" t="n">
        <v>7</v>
      </c>
      <c r="AJ2193" t="n">
        <v>8</v>
      </c>
      <c r="AK2193" t="n">
        <v>8</v>
      </c>
      <c r="AL2193" t="n">
        <v>3</v>
      </c>
      <c r="AM2193" t="n">
        <v>3</v>
      </c>
      <c r="AN2193" t="n">
        <v>0</v>
      </c>
      <c r="AO2193" t="n">
        <v>0</v>
      </c>
      <c r="AP2193" t="inlineStr">
        <is>
          <t>No</t>
        </is>
      </c>
      <c r="AQ2193" t="inlineStr">
        <is>
          <t>Yes</t>
        </is>
      </c>
      <c r="AR2193">
        <f>HYPERLINK("http://catalog.hathitrust.org/Record/002215407","HathiTrust Record")</f>
        <v/>
      </c>
      <c r="AS2193">
        <f>HYPERLINK("https://creighton-primo.hosted.exlibrisgroup.com/primo-explore/search?tab=default_tab&amp;search_scope=EVERYTHING&amp;vid=01CRU&amp;lang=en_US&amp;offset=0&amp;query=any,contains,991001695029702656","Catalog Record")</f>
        <v/>
      </c>
      <c r="AT2193">
        <f>HYPERLINK("http://www.worldcat.org/oclc/21482656","WorldCat Record")</f>
        <v/>
      </c>
      <c r="AU2193" t="inlineStr">
        <is>
          <t>48254887:eng</t>
        </is>
      </c>
      <c r="AV2193" t="inlineStr">
        <is>
          <t>21482656</t>
        </is>
      </c>
      <c r="AW2193" t="inlineStr">
        <is>
          <t>991001695029702656</t>
        </is>
      </c>
      <c r="AX2193" t="inlineStr">
        <is>
          <t>991001695029702656</t>
        </is>
      </c>
      <c r="AY2193" t="inlineStr">
        <is>
          <t>2260061160002656</t>
        </is>
      </c>
      <c r="AZ2193" t="inlineStr">
        <is>
          <t>BOOK</t>
        </is>
      </c>
      <c r="BB2193" t="inlineStr">
        <is>
          <t>9780674118829</t>
        </is>
      </c>
      <c r="BC2193" t="inlineStr">
        <is>
          <t>32285003554648</t>
        </is>
      </c>
      <c r="BD2193" t="inlineStr">
        <is>
          <t>893420524</t>
        </is>
      </c>
    </row>
    <row r="2194">
      <c r="A2194" t="inlineStr">
        <is>
          <t>No</t>
        </is>
      </c>
      <c r="B2194" t="inlineStr">
        <is>
          <t>DS779.26 .L58 1999</t>
        </is>
      </c>
      <c r="C2194" t="inlineStr">
        <is>
          <t>0                      DS 0779260L  58          1999</t>
        </is>
      </c>
      <c r="D2194" t="inlineStr">
        <is>
          <t>Gadflying China : a democratic perspective / X. Drew Liu.</t>
        </is>
      </c>
      <c r="F2194" t="inlineStr">
        <is>
          <t>No</t>
        </is>
      </c>
      <c r="G2194" t="inlineStr">
        <is>
          <t>1</t>
        </is>
      </c>
      <c r="H2194" t="inlineStr">
        <is>
          <t>No</t>
        </is>
      </c>
      <c r="I2194" t="inlineStr">
        <is>
          <t>No</t>
        </is>
      </c>
      <c r="J2194" t="inlineStr">
        <is>
          <t>0</t>
        </is>
      </c>
      <c r="K2194" t="inlineStr">
        <is>
          <t>Liu, X. Drew.</t>
        </is>
      </c>
      <c r="L2194" t="inlineStr">
        <is>
          <t>Washington, D.C. : China Strategic Institute, c1999.</t>
        </is>
      </c>
      <c r="M2194" t="inlineStr">
        <is>
          <t>1999</t>
        </is>
      </c>
      <c r="O2194" t="inlineStr">
        <is>
          <t>eng</t>
        </is>
      </c>
      <c r="P2194" t="inlineStr">
        <is>
          <t>dcu</t>
        </is>
      </c>
      <c r="R2194" t="inlineStr">
        <is>
          <t xml:space="preserve">DS </t>
        </is>
      </c>
      <c r="S2194" t="n">
        <v>1</v>
      </c>
      <c r="T2194" t="n">
        <v>1</v>
      </c>
      <c r="U2194" t="inlineStr">
        <is>
          <t>2003-09-04</t>
        </is>
      </c>
      <c r="V2194" t="inlineStr">
        <is>
          <t>2003-09-04</t>
        </is>
      </c>
      <c r="W2194" t="inlineStr">
        <is>
          <t>1999-03-31</t>
        </is>
      </c>
      <c r="X2194" t="inlineStr">
        <is>
          <t>1999-03-31</t>
        </is>
      </c>
      <c r="Y2194" t="n">
        <v>316</v>
      </c>
      <c r="Z2194" t="n">
        <v>278</v>
      </c>
      <c r="AA2194" t="n">
        <v>284</v>
      </c>
      <c r="AB2194" t="n">
        <v>2</v>
      </c>
      <c r="AC2194" t="n">
        <v>2</v>
      </c>
      <c r="AD2194" t="n">
        <v>18</v>
      </c>
      <c r="AE2194" t="n">
        <v>18</v>
      </c>
      <c r="AF2194" t="n">
        <v>5</v>
      </c>
      <c r="AG2194" t="n">
        <v>5</v>
      </c>
      <c r="AH2194" t="n">
        <v>7</v>
      </c>
      <c r="AI2194" t="n">
        <v>7</v>
      </c>
      <c r="AJ2194" t="n">
        <v>9</v>
      </c>
      <c r="AK2194" t="n">
        <v>9</v>
      </c>
      <c r="AL2194" t="n">
        <v>1</v>
      </c>
      <c r="AM2194" t="n">
        <v>1</v>
      </c>
      <c r="AN2194" t="n">
        <v>0</v>
      </c>
      <c r="AO2194" t="n">
        <v>0</v>
      </c>
      <c r="AP2194" t="inlineStr">
        <is>
          <t>No</t>
        </is>
      </c>
      <c r="AQ2194" t="inlineStr">
        <is>
          <t>Yes</t>
        </is>
      </c>
      <c r="AR2194">
        <f>HYPERLINK("http://catalog.hathitrust.org/Record/003508364","HathiTrust Record")</f>
        <v/>
      </c>
      <c r="AS2194">
        <f>HYPERLINK("https://creighton-primo.hosted.exlibrisgroup.com/primo-explore/search?tab=default_tab&amp;search_scope=EVERYTHING&amp;vid=01CRU&amp;lang=en_US&amp;offset=0&amp;query=any,contains,991003016489702656","Catalog Record")</f>
        <v/>
      </c>
      <c r="AT2194">
        <f>HYPERLINK("http://www.worldcat.org/oclc/41038702","WorldCat Record")</f>
        <v/>
      </c>
      <c r="AU2194" t="inlineStr">
        <is>
          <t>475876634:eng</t>
        </is>
      </c>
      <c r="AV2194" t="inlineStr">
        <is>
          <t>41038702</t>
        </is>
      </c>
      <c r="AW2194" t="inlineStr">
        <is>
          <t>991003016489702656</t>
        </is>
      </c>
      <c r="AX2194" t="inlineStr">
        <is>
          <t>991003016489702656</t>
        </is>
      </c>
      <c r="AY2194" t="inlineStr">
        <is>
          <t>2259840180002656</t>
        </is>
      </c>
      <c r="AZ2194" t="inlineStr">
        <is>
          <t>BOOK</t>
        </is>
      </c>
      <c r="BB2194" t="inlineStr">
        <is>
          <t>9780966050219</t>
        </is>
      </c>
      <c r="BC2194" t="inlineStr">
        <is>
          <t>32285003548129</t>
        </is>
      </c>
      <c r="BD2194" t="inlineStr">
        <is>
          <t>893530767</t>
        </is>
      </c>
    </row>
    <row r="2195">
      <c r="A2195" t="inlineStr">
        <is>
          <t>No</t>
        </is>
      </c>
      <c r="B2195" t="inlineStr">
        <is>
          <t>DS779.26 .M3713 1982</t>
        </is>
      </c>
      <c r="C2195" t="inlineStr">
        <is>
          <t>0                      DS 0779260M  3713        1982</t>
        </is>
      </c>
      <c r="D2195" t="inlineStr">
        <is>
          <t>Cult &amp; canon : the origins and development of state Maoism / Helmut Martin.</t>
        </is>
      </c>
      <c r="F2195" t="inlineStr">
        <is>
          <t>No</t>
        </is>
      </c>
      <c r="G2195" t="inlineStr">
        <is>
          <t>1</t>
        </is>
      </c>
      <c r="H2195" t="inlineStr">
        <is>
          <t>No</t>
        </is>
      </c>
      <c r="I2195" t="inlineStr">
        <is>
          <t>No</t>
        </is>
      </c>
      <c r="J2195" t="inlineStr">
        <is>
          <t>0</t>
        </is>
      </c>
      <c r="K2195" t="inlineStr">
        <is>
          <t>Martin, Helmut, 1940-</t>
        </is>
      </c>
      <c r="L2195" t="inlineStr">
        <is>
          <t>Armonk, N.Y. : M.E. Sharpe, c1982.</t>
        </is>
      </c>
      <c r="M2195" t="inlineStr">
        <is>
          <t>1982</t>
        </is>
      </c>
      <c r="O2195" t="inlineStr">
        <is>
          <t>eng</t>
        </is>
      </c>
      <c r="P2195" t="inlineStr">
        <is>
          <t>nyu</t>
        </is>
      </c>
      <c r="R2195" t="inlineStr">
        <is>
          <t xml:space="preserve">DS </t>
        </is>
      </c>
      <c r="S2195" t="n">
        <v>2</v>
      </c>
      <c r="T2195" t="n">
        <v>2</v>
      </c>
      <c r="U2195" t="inlineStr">
        <is>
          <t>2001-11-24</t>
        </is>
      </c>
      <c r="V2195" t="inlineStr">
        <is>
          <t>2001-11-24</t>
        </is>
      </c>
      <c r="W2195" t="inlineStr">
        <is>
          <t>1990-10-23</t>
        </is>
      </c>
      <c r="X2195" t="inlineStr">
        <is>
          <t>1990-10-23</t>
        </is>
      </c>
      <c r="Y2195" t="n">
        <v>300</v>
      </c>
      <c r="Z2195" t="n">
        <v>238</v>
      </c>
      <c r="AA2195" t="n">
        <v>240</v>
      </c>
      <c r="AB2195" t="n">
        <v>3</v>
      </c>
      <c r="AC2195" t="n">
        <v>3</v>
      </c>
      <c r="AD2195" t="n">
        <v>11</v>
      </c>
      <c r="AE2195" t="n">
        <v>11</v>
      </c>
      <c r="AF2195" t="n">
        <v>3</v>
      </c>
      <c r="AG2195" t="n">
        <v>3</v>
      </c>
      <c r="AH2195" t="n">
        <v>5</v>
      </c>
      <c r="AI2195" t="n">
        <v>5</v>
      </c>
      <c r="AJ2195" t="n">
        <v>5</v>
      </c>
      <c r="AK2195" t="n">
        <v>5</v>
      </c>
      <c r="AL2195" t="n">
        <v>2</v>
      </c>
      <c r="AM2195" t="n">
        <v>2</v>
      </c>
      <c r="AN2195" t="n">
        <v>0</v>
      </c>
      <c r="AO2195" t="n">
        <v>0</v>
      </c>
      <c r="AP2195" t="inlineStr">
        <is>
          <t>No</t>
        </is>
      </c>
      <c r="AQ2195" t="inlineStr">
        <is>
          <t>Yes</t>
        </is>
      </c>
      <c r="AR2195">
        <f>HYPERLINK("http://catalog.hathitrust.org/Record/000273635","HathiTrust Record")</f>
        <v/>
      </c>
      <c r="AS2195">
        <f>HYPERLINK("https://creighton-primo.hosted.exlibrisgroup.com/primo-explore/search?tab=default_tab&amp;search_scope=EVERYTHING&amp;vid=01CRU&amp;lang=en_US&amp;offset=0&amp;query=any,contains,991000063999702656","Catalog Record")</f>
        <v/>
      </c>
      <c r="AT2195">
        <f>HYPERLINK("http://www.worldcat.org/oclc/8762547","WorldCat Record")</f>
        <v/>
      </c>
      <c r="AU2195" t="inlineStr">
        <is>
          <t>520643:eng</t>
        </is>
      </c>
      <c r="AV2195" t="inlineStr">
        <is>
          <t>8762547</t>
        </is>
      </c>
      <c r="AW2195" t="inlineStr">
        <is>
          <t>991000063999702656</t>
        </is>
      </c>
      <c r="AX2195" t="inlineStr">
        <is>
          <t>991000063999702656</t>
        </is>
      </c>
      <c r="AY2195" t="inlineStr">
        <is>
          <t>2266712340002656</t>
        </is>
      </c>
      <c r="AZ2195" t="inlineStr">
        <is>
          <t>BOOK</t>
        </is>
      </c>
      <c r="BB2195" t="inlineStr">
        <is>
          <t>9780873321501</t>
        </is>
      </c>
      <c r="BC2195" t="inlineStr">
        <is>
          <t>32285000339209</t>
        </is>
      </c>
      <c r="BD2195" t="inlineStr">
        <is>
          <t>893521354</t>
        </is>
      </c>
    </row>
    <row r="2196">
      <c r="A2196" t="inlineStr">
        <is>
          <t>No</t>
        </is>
      </c>
      <c r="B2196" t="inlineStr">
        <is>
          <t>DS779.26 .M45 1996</t>
        </is>
      </c>
      <c r="C2196" t="inlineStr">
        <is>
          <t>0                      DS 0779260M  45          1996</t>
        </is>
      </c>
      <c r="D2196" t="inlineStr">
        <is>
          <t>The Deng Xiaoping era : an inquiry into the fate of Chinese socialism, 1978-1994 / Maurice Meisner.</t>
        </is>
      </c>
      <c r="F2196" t="inlineStr">
        <is>
          <t>No</t>
        </is>
      </c>
      <c r="G2196" t="inlineStr">
        <is>
          <t>1</t>
        </is>
      </c>
      <c r="H2196" t="inlineStr">
        <is>
          <t>No</t>
        </is>
      </c>
      <c r="I2196" t="inlineStr">
        <is>
          <t>No</t>
        </is>
      </c>
      <c r="J2196" t="inlineStr">
        <is>
          <t>0</t>
        </is>
      </c>
      <c r="K2196" t="inlineStr">
        <is>
          <t>Meisner, Maurice J., 1931-</t>
        </is>
      </c>
      <c r="L2196" t="inlineStr">
        <is>
          <t>New York : Hill and Wang, 1996</t>
        </is>
      </c>
      <c r="M2196" t="inlineStr">
        <is>
          <t>1996</t>
        </is>
      </c>
      <c r="N2196" t="inlineStr">
        <is>
          <t>1st ed.</t>
        </is>
      </c>
      <c r="O2196" t="inlineStr">
        <is>
          <t>eng</t>
        </is>
      </c>
      <c r="P2196" t="inlineStr">
        <is>
          <t>nyu</t>
        </is>
      </c>
      <c r="R2196" t="inlineStr">
        <is>
          <t xml:space="preserve">DS </t>
        </is>
      </c>
      <c r="S2196" t="n">
        <v>4</v>
      </c>
      <c r="T2196" t="n">
        <v>4</v>
      </c>
      <c r="U2196" t="inlineStr">
        <is>
          <t>2007-04-10</t>
        </is>
      </c>
      <c r="V2196" t="inlineStr">
        <is>
          <t>2007-04-10</t>
        </is>
      </c>
      <c r="W2196" t="inlineStr">
        <is>
          <t>1996-11-01</t>
        </is>
      </c>
      <c r="X2196" t="inlineStr">
        <is>
          <t>1996-11-01</t>
        </is>
      </c>
      <c r="Y2196" t="n">
        <v>677</v>
      </c>
      <c r="Z2196" t="n">
        <v>567</v>
      </c>
      <c r="AA2196" t="n">
        <v>571</v>
      </c>
      <c r="AB2196" t="n">
        <v>4</v>
      </c>
      <c r="AC2196" t="n">
        <v>4</v>
      </c>
      <c r="AD2196" t="n">
        <v>18</v>
      </c>
      <c r="AE2196" t="n">
        <v>18</v>
      </c>
      <c r="AF2196" t="n">
        <v>6</v>
      </c>
      <c r="AG2196" t="n">
        <v>6</v>
      </c>
      <c r="AH2196" t="n">
        <v>4</v>
      </c>
      <c r="AI2196" t="n">
        <v>4</v>
      </c>
      <c r="AJ2196" t="n">
        <v>10</v>
      </c>
      <c r="AK2196" t="n">
        <v>10</v>
      </c>
      <c r="AL2196" t="n">
        <v>3</v>
      </c>
      <c r="AM2196" t="n">
        <v>3</v>
      </c>
      <c r="AN2196" t="n">
        <v>0</v>
      </c>
      <c r="AO2196" t="n">
        <v>0</v>
      </c>
      <c r="AP2196" t="inlineStr">
        <is>
          <t>No</t>
        </is>
      </c>
      <c r="AQ2196" t="inlineStr">
        <is>
          <t>No</t>
        </is>
      </c>
      <c r="AS2196">
        <f>HYPERLINK("https://creighton-primo.hosted.exlibrisgroup.com/primo-explore/search?tab=default_tab&amp;search_scope=EVERYTHING&amp;vid=01CRU&amp;lang=en_US&amp;offset=0&amp;query=any,contains,991002577469702656","Catalog Record")</f>
        <v/>
      </c>
      <c r="AT2196">
        <f>HYPERLINK("http://www.worldcat.org/oclc/33666128","WorldCat Record")</f>
        <v/>
      </c>
      <c r="AU2196" t="inlineStr">
        <is>
          <t>2019459:eng</t>
        </is>
      </c>
      <c r="AV2196" t="inlineStr">
        <is>
          <t>33666128</t>
        </is>
      </c>
      <c r="AW2196" t="inlineStr">
        <is>
          <t>991002577469702656</t>
        </is>
      </c>
      <c r="AX2196" t="inlineStr">
        <is>
          <t>991002577469702656</t>
        </is>
      </c>
      <c r="AY2196" t="inlineStr">
        <is>
          <t>2257739790002656</t>
        </is>
      </c>
      <c r="AZ2196" t="inlineStr">
        <is>
          <t>BOOK</t>
        </is>
      </c>
      <c r="BB2196" t="inlineStr">
        <is>
          <t>9780809078158</t>
        </is>
      </c>
      <c r="BC2196" t="inlineStr">
        <is>
          <t>32285002370830</t>
        </is>
      </c>
      <c r="BD2196" t="inlineStr">
        <is>
          <t>893804764</t>
        </is>
      </c>
    </row>
    <row r="2197">
      <c r="A2197" t="inlineStr">
        <is>
          <t>No</t>
        </is>
      </c>
      <c r="B2197" t="inlineStr">
        <is>
          <t>DS779.26 .M66 1983</t>
        </is>
      </c>
      <c r="C2197" t="inlineStr">
        <is>
          <t>0                      DS 0779260M  66          1983</t>
        </is>
      </c>
      <c r="D2197" t="inlineStr">
        <is>
          <t>Chinese politics after Mao : development and liberalization, 1976 to 1983 / Peter R. Moody, Jr.</t>
        </is>
      </c>
      <c r="F2197" t="inlineStr">
        <is>
          <t>No</t>
        </is>
      </c>
      <c r="G2197" t="inlineStr">
        <is>
          <t>1</t>
        </is>
      </c>
      <c r="H2197" t="inlineStr">
        <is>
          <t>No</t>
        </is>
      </c>
      <c r="I2197" t="inlineStr">
        <is>
          <t>No</t>
        </is>
      </c>
      <c r="J2197" t="inlineStr">
        <is>
          <t>0</t>
        </is>
      </c>
      <c r="K2197" t="inlineStr">
        <is>
          <t>Moody, Peter R.</t>
        </is>
      </c>
      <c r="L2197" t="inlineStr">
        <is>
          <t>New York, N.Y., U.S.A. : Praeger, 1983.</t>
        </is>
      </c>
      <c r="M2197" t="inlineStr">
        <is>
          <t>1983</t>
        </is>
      </c>
      <c r="O2197" t="inlineStr">
        <is>
          <t>eng</t>
        </is>
      </c>
      <c r="P2197" t="inlineStr">
        <is>
          <t>nyu</t>
        </is>
      </c>
      <c r="R2197" t="inlineStr">
        <is>
          <t xml:space="preserve">DS </t>
        </is>
      </c>
      <c r="S2197" t="n">
        <v>9</v>
      </c>
      <c r="T2197" t="n">
        <v>9</v>
      </c>
      <c r="U2197" t="inlineStr">
        <is>
          <t>2005-12-06</t>
        </is>
      </c>
      <c r="V2197" t="inlineStr">
        <is>
          <t>2005-12-06</t>
        </is>
      </c>
      <c r="W2197" t="inlineStr">
        <is>
          <t>1990-10-23</t>
        </is>
      </c>
      <c r="X2197" t="inlineStr">
        <is>
          <t>1990-10-23</t>
        </is>
      </c>
      <c r="Y2197" t="n">
        <v>470</v>
      </c>
      <c r="Z2197" t="n">
        <v>386</v>
      </c>
      <c r="AA2197" t="n">
        <v>401</v>
      </c>
      <c r="AB2197" t="n">
        <v>3</v>
      </c>
      <c r="AC2197" t="n">
        <v>3</v>
      </c>
      <c r="AD2197" t="n">
        <v>17</v>
      </c>
      <c r="AE2197" t="n">
        <v>17</v>
      </c>
      <c r="AF2197" t="n">
        <v>7</v>
      </c>
      <c r="AG2197" t="n">
        <v>7</v>
      </c>
      <c r="AH2197" t="n">
        <v>5</v>
      </c>
      <c r="AI2197" t="n">
        <v>5</v>
      </c>
      <c r="AJ2197" t="n">
        <v>9</v>
      </c>
      <c r="AK2197" t="n">
        <v>9</v>
      </c>
      <c r="AL2197" t="n">
        <v>2</v>
      </c>
      <c r="AM2197" t="n">
        <v>2</v>
      </c>
      <c r="AN2197" t="n">
        <v>0</v>
      </c>
      <c r="AO2197" t="n">
        <v>0</v>
      </c>
      <c r="AP2197" t="inlineStr">
        <is>
          <t>No</t>
        </is>
      </c>
      <c r="AQ2197" t="inlineStr">
        <is>
          <t>Yes</t>
        </is>
      </c>
      <c r="AR2197">
        <f>HYPERLINK("http://catalog.hathitrust.org/Record/000279221","HathiTrust Record")</f>
        <v/>
      </c>
      <c r="AS2197">
        <f>HYPERLINK("https://creighton-primo.hosted.exlibrisgroup.com/primo-explore/search?tab=default_tab&amp;search_scope=EVERYTHING&amp;vid=01CRU&amp;lang=en_US&amp;offset=0&amp;query=any,contains,991000238749702656","Catalog Record")</f>
        <v/>
      </c>
      <c r="AT2197">
        <f>HYPERLINK("http://www.worldcat.org/oclc/9682472","WorldCat Record")</f>
        <v/>
      </c>
      <c r="AU2197" t="inlineStr">
        <is>
          <t>916975083:eng</t>
        </is>
      </c>
      <c r="AV2197" t="inlineStr">
        <is>
          <t>9682472</t>
        </is>
      </c>
      <c r="AW2197" t="inlineStr">
        <is>
          <t>991000238749702656</t>
        </is>
      </c>
      <c r="AX2197" t="inlineStr">
        <is>
          <t>991000238749702656</t>
        </is>
      </c>
      <c r="AY2197" t="inlineStr">
        <is>
          <t>2264080300002656</t>
        </is>
      </c>
      <c r="AZ2197" t="inlineStr">
        <is>
          <t>BOOK</t>
        </is>
      </c>
      <c r="BB2197" t="inlineStr">
        <is>
          <t>9780030635274</t>
        </is>
      </c>
      <c r="BC2197" t="inlineStr">
        <is>
          <t>32285000339217</t>
        </is>
      </c>
      <c r="BD2197" t="inlineStr">
        <is>
          <t>893871528</t>
        </is>
      </c>
    </row>
    <row r="2198">
      <c r="A2198" t="inlineStr">
        <is>
          <t>No</t>
        </is>
      </c>
      <c r="B2198" t="inlineStr">
        <is>
          <t>DS779.26 .N38 1990</t>
        </is>
      </c>
      <c r="C2198" t="inlineStr">
        <is>
          <t>0                      DS 0779260N  38          1990</t>
        </is>
      </c>
      <c r="D2198" t="inlineStr">
        <is>
          <t>China's crisis : dilemmas of reform and prospects for democracy / Andrew J. Nathan.</t>
        </is>
      </c>
      <c r="F2198" t="inlineStr">
        <is>
          <t>No</t>
        </is>
      </c>
      <c r="G2198" t="inlineStr">
        <is>
          <t>1</t>
        </is>
      </c>
      <c r="H2198" t="inlineStr">
        <is>
          <t>No</t>
        </is>
      </c>
      <c r="I2198" t="inlineStr">
        <is>
          <t>No</t>
        </is>
      </c>
      <c r="J2198" t="inlineStr">
        <is>
          <t>0</t>
        </is>
      </c>
      <c r="K2198" t="inlineStr">
        <is>
          <t>Nathan, Andrew J. (Andrew James)</t>
        </is>
      </c>
      <c r="L2198" t="inlineStr">
        <is>
          <t>New York : Columbia University Press, c1990.</t>
        </is>
      </c>
      <c r="M2198" t="inlineStr">
        <is>
          <t>1990</t>
        </is>
      </c>
      <c r="O2198" t="inlineStr">
        <is>
          <t>eng</t>
        </is>
      </c>
      <c r="P2198" t="inlineStr">
        <is>
          <t>nyu</t>
        </is>
      </c>
      <c r="Q2198" t="inlineStr">
        <is>
          <t>Studies of the East Asian Institute</t>
        </is>
      </c>
      <c r="R2198" t="inlineStr">
        <is>
          <t xml:space="preserve">DS </t>
        </is>
      </c>
      <c r="S2198" t="n">
        <v>16</v>
      </c>
      <c r="T2198" t="n">
        <v>16</v>
      </c>
      <c r="U2198" t="inlineStr">
        <is>
          <t>2008-11-29</t>
        </is>
      </c>
      <c r="V2198" t="inlineStr">
        <is>
          <t>2008-11-29</t>
        </is>
      </c>
      <c r="W2198" t="inlineStr">
        <is>
          <t>1991-05-06</t>
        </is>
      </c>
      <c r="X2198" t="inlineStr">
        <is>
          <t>1991-05-06</t>
        </is>
      </c>
      <c r="Y2198" t="n">
        <v>1033</v>
      </c>
      <c r="Z2198" t="n">
        <v>876</v>
      </c>
      <c r="AA2198" t="n">
        <v>881</v>
      </c>
      <c r="AB2198" t="n">
        <v>7</v>
      </c>
      <c r="AC2198" t="n">
        <v>7</v>
      </c>
      <c r="AD2198" t="n">
        <v>42</v>
      </c>
      <c r="AE2198" t="n">
        <v>42</v>
      </c>
      <c r="AF2198" t="n">
        <v>16</v>
      </c>
      <c r="AG2198" t="n">
        <v>16</v>
      </c>
      <c r="AH2198" t="n">
        <v>10</v>
      </c>
      <c r="AI2198" t="n">
        <v>10</v>
      </c>
      <c r="AJ2198" t="n">
        <v>18</v>
      </c>
      <c r="AK2198" t="n">
        <v>18</v>
      </c>
      <c r="AL2198" t="n">
        <v>6</v>
      </c>
      <c r="AM2198" t="n">
        <v>6</v>
      </c>
      <c r="AN2198" t="n">
        <v>1</v>
      </c>
      <c r="AO2198" t="n">
        <v>1</v>
      </c>
      <c r="AP2198" t="inlineStr">
        <is>
          <t>No</t>
        </is>
      </c>
      <c r="AQ2198" t="inlineStr">
        <is>
          <t>Yes</t>
        </is>
      </c>
      <c r="AR2198">
        <f>HYPERLINK("http://catalog.hathitrust.org/Record/001951770","HathiTrust Record")</f>
        <v/>
      </c>
      <c r="AS2198">
        <f>HYPERLINK("https://creighton-primo.hosted.exlibrisgroup.com/primo-explore/search?tab=default_tab&amp;search_scope=EVERYTHING&amp;vid=01CRU&amp;lang=en_US&amp;offset=0&amp;query=any,contains,991001623759702656","Catalog Record")</f>
        <v/>
      </c>
      <c r="AT2198">
        <f>HYPERLINK("http://www.worldcat.org/oclc/20827289","WorldCat Record")</f>
        <v/>
      </c>
      <c r="AU2198" t="inlineStr">
        <is>
          <t>313966214:eng</t>
        </is>
      </c>
      <c r="AV2198" t="inlineStr">
        <is>
          <t>20827289</t>
        </is>
      </c>
      <c r="AW2198" t="inlineStr">
        <is>
          <t>991001623759702656</t>
        </is>
      </c>
      <c r="AX2198" t="inlineStr">
        <is>
          <t>991001623759702656</t>
        </is>
      </c>
      <c r="AY2198" t="inlineStr">
        <is>
          <t>2261313880002656</t>
        </is>
      </c>
      <c r="AZ2198" t="inlineStr">
        <is>
          <t>BOOK</t>
        </is>
      </c>
      <c r="BB2198" t="inlineStr">
        <is>
          <t>9780231072847</t>
        </is>
      </c>
      <c r="BC2198" t="inlineStr">
        <is>
          <t>32285000571223</t>
        </is>
      </c>
      <c r="BD2198" t="inlineStr">
        <is>
          <t>893439253</t>
        </is>
      </c>
    </row>
    <row r="2199">
      <c r="A2199" t="inlineStr">
        <is>
          <t>No</t>
        </is>
      </c>
      <c r="B2199" t="inlineStr">
        <is>
          <t>DS779.26 .N383 1997</t>
        </is>
      </c>
      <c r="C2199" t="inlineStr">
        <is>
          <t>0                      DS 0779260N  383         1997</t>
        </is>
      </c>
      <c r="D2199" t="inlineStr">
        <is>
          <t>China's transition / Andrew J. Nathan ; with contributions by Tianjian Shi and Helena V.S. Ho.</t>
        </is>
      </c>
      <c r="F2199" t="inlineStr">
        <is>
          <t>No</t>
        </is>
      </c>
      <c r="G2199" t="inlineStr">
        <is>
          <t>1</t>
        </is>
      </c>
      <c r="H2199" t="inlineStr">
        <is>
          <t>No</t>
        </is>
      </c>
      <c r="I2199" t="inlineStr">
        <is>
          <t>No</t>
        </is>
      </c>
      <c r="J2199" t="inlineStr">
        <is>
          <t>0</t>
        </is>
      </c>
      <c r="K2199" t="inlineStr">
        <is>
          <t>Nathan, Andrew J. (Andrew James)</t>
        </is>
      </c>
      <c r="L2199" t="inlineStr">
        <is>
          <t>New York : Columbia University Press, c1997.</t>
        </is>
      </c>
      <c r="M2199" t="inlineStr">
        <is>
          <t>1997</t>
        </is>
      </c>
      <c r="O2199" t="inlineStr">
        <is>
          <t>eng</t>
        </is>
      </c>
      <c r="P2199" t="inlineStr">
        <is>
          <t>nyu</t>
        </is>
      </c>
      <c r="Q2199" t="inlineStr">
        <is>
          <t>A study of the East Asian Institute</t>
        </is>
      </c>
      <c r="R2199" t="inlineStr">
        <is>
          <t xml:space="preserve">DS </t>
        </is>
      </c>
      <c r="S2199" t="n">
        <v>10</v>
      </c>
      <c r="T2199" t="n">
        <v>10</v>
      </c>
      <c r="U2199" t="inlineStr">
        <is>
          <t>2010-10-26</t>
        </is>
      </c>
      <c r="V2199" t="inlineStr">
        <is>
          <t>2010-10-26</t>
        </is>
      </c>
      <c r="W2199" t="inlineStr">
        <is>
          <t>1998-03-30</t>
        </is>
      </c>
      <c r="X2199" t="inlineStr">
        <is>
          <t>1998-03-30</t>
        </is>
      </c>
      <c r="Y2199" t="n">
        <v>536</v>
      </c>
      <c r="Z2199" t="n">
        <v>427</v>
      </c>
      <c r="AA2199" t="n">
        <v>435</v>
      </c>
      <c r="AB2199" t="n">
        <v>6</v>
      </c>
      <c r="AC2199" t="n">
        <v>6</v>
      </c>
      <c r="AD2199" t="n">
        <v>25</v>
      </c>
      <c r="AE2199" t="n">
        <v>25</v>
      </c>
      <c r="AF2199" t="n">
        <v>10</v>
      </c>
      <c r="AG2199" t="n">
        <v>10</v>
      </c>
      <c r="AH2199" t="n">
        <v>6</v>
      </c>
      <c r="AI2199" t="n">
        <v>6</v>
      </c>
      <c r="AJ2199" t="n">
        <v>12</v>
      </c>
      <c r="AK2199" t="n">
        <v>12</v>
      </c>
      <c r="AL2199" t="n">
        <v>5</v>
      </c>
      <c r="AM2199" t="n">
        <v>5</v>
      </c>
      <c r="AN2199" t="n">
        <v>0</v>
      </c>
      <c r="AO2199" t="n">
        <v>0</v>
      </c>
      <c r="AP2199" t="inlineStr">
        <is>
          <t>No</t>
        </is>
      </c>
      <c r="AQ2199" t="inlineStr">
        <is>
          <t>No</t>
        </is>
      </c>
      <c r="AS2199">
        <f>HYPERLINK("https://creighton-primo.hosted.exlibrisgroup.com/primo-explore/search?tab=default_tab&amp;search_scope=EVERYTHING&amp;vid=01CRU&amp;lang=en_US&amp;offset=0&amp;query=any,contains,991002820669702656","Catalog Record")</f>
        <v/>
      </c>
      <c r="AT2199">
        <f>HYPERLINK("http://www.worldcat.org/oclc/37109212","WorldCat Record")</f>
        <v/>
      </c>
      <c r="AU2199" t="inlineStr">
        <is>
          <t>602459:eng</t>
        </is>
      </c>
      <c r="AV2199" t="inlineStr">
        <is>
          <t>37109212</t>
        </is>
      </c>
      <c r="AW2199" t="inlineStr">
        <is>
          <t>991002820669702656</t>
        </is>
      </c>
      <c r="AX2199" t="inlineStr">
        <is>
          <t>991002820669702656</t>
        </is>
      </c>
      <c r="AY2199" t="inlineStr">
        <is>
          <t>2265265110002656</t>
        </is>
      </c>
      <c r="AZ2199" t="inlineStr">
        <is>
          <t>BOOK</t>
        </is>
      </c>
      <c r="BB2199" t="inlineStr">
        <is>
          <t>9780231110228</t>
        </is>
      </c>
      <c r="BC2199" t="inlineStr">
        <is>
          <t>32285003381604</t>
        </is>
      </c>
      <c r="BD2199" t="inlineStr">
        <is>
          <t>893604081</t>
        </is>
      </c>
    </row>
    <row r="2200">
      <c r="A2200" t="inlineStr">
        <is>
          <t>No</t>
        </is>
      </c>
      <c r="B2200" t="inlineStr">
        <is>
          <t>DS779.26 .P93</t>
        </is>
      </c>
      <c r="C2200" t="inlineStr">
        <is>
          <t>0                      DS 0779260P  93</t>
        </is>
      </c>
      <c r="D2200" t="inlineStr">
        <is>
          <t>The dynamics of Chinese politics / Lucian Pye.</t>
        </is>
      </c>
      <c r="F2200" t="inlineStr">
        <is>
          <t>No</t>
        </is>
      </c>
      <c r="G2200" t="inlineStr">
        <is>
          <t>1</t>
        </is>
      </c>
      <c r="H2200" t="inlineStr">
        <is>
          <t>No</t>
        </is>
      </c>
      <c r="I2200" t="inlineStr">
        <is>
          <t>No</t>
        </is>
      </c>
      <c r="J2200" t="inlineStr">
        <is>
          <t>0</t>
        </is>
      </c>
      <c r="K2200" t="inlineStr">
        <is>
          <t>Pye, Lucian W., 1921-2008.</t>
        </is>
      </c>
      <c r="L2200" t="inlineStr">
        <is>
          <t>Cambridge, Mass. : Oelgeschlager, Gunn &amp; Hain, c1981.</t>
        </is>
      </c>
      <c r="M2200" t="inlineStr">
        <is>
          <t>1981</t>
        </is>
      </c>
      <c r="O2200" t="inlineStr">
        <is>
          <t>eng</t>
        </is>
      </c>
      <c r="P2200" t="inlineStr">
        <is>
          <t>mau</t>
        </is>
      </c>
      <c r="R2200" t="inlineStr">
        <is>
          <t xml:space="preserve">DS </t>
        </is>
      </c>
      <c r="S2200" t="n">
        <v>3</v>
      </c>
      <c r="T2200" t="n">
        <v>3</v>
      </c>
      <c r="U2200" t="inlineStr">
        <is>
          <t>2007-04-09</t>
        </is>
      </c>
      <c r="V2200" t="inlineStr">
        <is>
          <t>2007-04-09</t>
        </is>
      </c>
      <c r="W2200" t="inlineStr">
        <is>
          <t>1990-10-23</t>
        </is>
      </c>
      <c r="X2200" t="inlineStr">
        <is>
          <t>1990-10-23</t>
        </is>
      </c>
      <c r="Y2200" t="n">
        <v>628</v>
      </c>
      <c r="Z2200" t="n">
        <v>522</v>
      </c>
      <c r="AA2200" t="n">
        <v>529</v>
      </c>
      <c r="AB2200" t="n">
        <v>4</v>
      </c>
      <c r="AC2200" t="n">
        <v>4</v>
      </c>
      <c r="AD2200" t="n">
        <v>26</v>
      </c>
      <c r="AE2200" t="n">
        <v>26</v>
      </c>
      <c r="AF2200" t="n">
        <v>11</v>
      </c>
      <c r="AG2200" t="n">
        <v>11</v>
      </c>
      <c r="AH2200" t="n">
        <v>6</v>
      </c>
      <c r="AI2200" t="n">
        <v>6</v>
      </c>
      <c r="AJ2200" t="n">
        <v>14</v>
      </c>
      <c r="AK2200" t="n">
        <v>14</v>
      </c>
      <c r="AL2200" t="n">
        <v>3</v>
      </c>
      <c r="AM2200" t="n">
        <v>3</v>
      </c>
      <c r="AN2200" t="n">
        <v>0</v>
      </c>
      <c r="AO2200" t="n">
        <v>0</v>
      </c>
      <c r="AP2200" t="inlineStr">
        <is>
          <t>No</t>
        </is>
      </c>
      <c r="AQ2200" t="inlineStr">
        <is>
          <t>Yes</t>
        </is>
      </c>
      <c r="AR2200">
        <f>HYPERLINK("http://catalog.hathitrust.org/Record/000224617","HathiTrust Record")</f>
        <v/>
      </c>
      <c r="AS2200">
        <f>HYPERLINK("https://creighton-primo.hosted.exlibrisgroup.com/primo-explore/search?tab=default_tab&amp;search_scope=EVERYTHING&amp;vid=01CRU&amp;lang=en_US&amp;offset=0&amp;query=any,contains,991005166129702656","Catalog Record")</f>
        <v/>
      </c>
      <c r="AT2200">
        <f>HYPERLINK("http://www.worldcat.org/oclc/7835734","WorldCat Record")</f>
        <v/>
      </c>
      <c r="AU2200" t="inlineStr">
        <is>
          <t>145521255:eng</t>
        </is>
      </c>
      <c r="AV2200" t="inlineStr">
        <is>
          <t>7835734</t>
        </is>
      </c>
      <c r="AW2200" t="inlineStr">
        <is>
          <t>991005166129702656</t>
        </is>
      </c>
      <c r="AX2200" t="inlineStr">
        <is>
          <t>991005166129702656</t>
        </is>
      </c>
      <c r="AY2200" t="inlineStr">
        <is>
          <t>2255015370002656</t>
        </is>
      </c>
      <c r="AZ2200" t="inlineStr">
        <is>
          <t>BOOK</t>
        </is>
      </c>
      <c r="BB2200" t="inlineStr">
        <is>
          <t>9780899461328</t>
        </is>
      </c>
      <c r="BC2200" t="inlineStr">
        <is>
          <t>32285000339225</t>
        </is>
      </c>
      <c r="BD2200" t="inlineStr">
        <is>
          <t>893443514</t>
        </is>
      </c>
    </row>
    <row r="2201">
      <c r="A2201" t="inlineStr">
        <is>
          <t>No</t>
        </is>
      </c>
      <c r="B2201" t="inlineStr">
        <is>
          <t>DS779.26 .S737 1997</t>
        </is>
      </c>
      <c r="C2201" t="inlineStr">
        <is>
          <t>0                      DS 0779260S  737         1997</t>
        </is>
      </c>
      <c r="D2201" t="inlineStr">
        <is>
          <t>Understanding China : a guide to China's economy, history, and political structure / John Bryan Starr.</t>
        </is>
      </c>
      <c r="F2201" t="inlineStr">
        <is>
          <t>No</t>
        </is>
      </c>
      <c r="G2201" t="inlineStr">
        <is>
          <t>1</t>
        </is>
      </c>
      <c r="H2201" t="inlineStr">
        <is>
          <t>No</t>
        </is>
      </c>
      <c r="I2201" t="inlineStr">
        <is>
          <t>Yes</t>
        </is>
      </c>
      <c r="J2201" t="inlineStr">
        <is>
          <t>0</t>
        </is>
      </c>
      <c r="K2201" t="inlineStr">
        <is>
          <t>Starr, John Bryan.</t>
        </is>
      </c>
      <c r="L2201" t="inlineStr">
        <is>
          <t>New York : Hill &amp; Wang, 1997.</t>
        </is>
      </c>
      <c r="M2201" t="inlineStr">
        <is>
          <t>1997</t>
        </is>
      </c>
      <c r="N2201" t="inlineStr">
        <is>
          <t>1st ed.</t>
        </is>
      </c>
      <c r="O2201" t="inlineStr">
        <is>
          <t>eng</t>
        </is>
      </c>
      <c r="P2201" t="inlineStr">
        <is>
          <t>nyu</t>
        </is>
      </c>
      <c r="R2201" t="inlineStr">
        <is>
          <t xml:space="preserve">DS </t>
        </is>
      </c>
      <c r="S2201" t="n">
        <v>9</v>
      </c>
      <c r="T2201" t="n">
        <v>9</v>
      </c>
      <c r="U2201" t="inlineStr">
        <is>
          <t>2005-12-01</t>
        </is>
      </c>
      <c r="V2201" t="inlineStr">
        <is>
          <t>2005-12-01</t>
        </is>
      </c>
      <c r="W2201" t="inlineStr">
        <is>
          <t>1997-10-07</t>
        </is>
      </c>
      <c r="X2201" t="inlineStr">
        <is>
          <t>1997-10-07</t>
        </is>
      </c>
      <c r="Y2201" t="n">
        <v>1172</v>
      </c>
      <c r="Z2201" t="n">
        <v>1090</v>
      </c>
      <c r="AA2201" t="n">
        <v>1368</v>
      </c>
      <c r="AB2201" t="n">
        <v>9</v>
      </c>
      <c r="AC2201" t="n">
        <v>12</v>
      </c>
      <c r="AD2201" t="n">
        <v>30</v>
      </c>
      <c r="AE2201" t="n">
        <v>40</v>
      </c>
      <c r="AF2201" t="n">
        <v>11</v>
      </c>
      <c r="AG2201" t="n">
        <v>15</v>
      </c>
      <c r="AH2201" t="n">
        <v>7</v>
      </c>
      <c r="AI2201" t="n">
        <v>9</v>
      </c>
      <c r="AJ2201" t="n">
        <v>15</v>
      </c>
      <c r="AK2201" t="n">
        <v>19</v>
      </c>
      <c r="AL2201" t="n">
        <v>3</v>
      </c>
      <c r="AM2201" t="n">
        <v>6</v>
      </c>
      <c r="AN2201" t="n">
        <v>1</v>
      </c>
      <c r="AO2201" t="n">
        <v>2</v>
      </c>
      <c r="AP2201" t="inlineStr">
        <is>
          <t>No</t>
        </is>
      </c>
      <c r="AQ2201" t="inlineStr">
        <is>
          <t>No</t>
        </is>
      </c>
      <c r="AS2201">
        <f>HYPERLINK("https://creighton-primo.hosted.exlibrisgroup.com/primo-explore/search?tab=default_tab&amp;search_scope=EVERYTHING&amp;vid=01CRU&amp;lang=en_US&amp;offset=0&amp;query=any,contains,991002768029702656","Catalog Record")</f>
        <v/>
      </c>
      <c r="AT2201">
        <f>HYPERLINK("http://www.worldcat.org/oclc/36327275","WorldCat Record")</f>
        <v/>
      </c>
      <c r="AU2201" t="inlineStr">
        <is>
          <t>41242600:eng</t>
        </is>
      </c>
      <c r="AV2201" t="inlineStr">
        <is>
          <t>36327275</t>
        </is>
      </c>
      <c r="AW2201" t="inlineStr">
        <is>
          <t>991002768029702656</t>
        </is>
      </c>
      <c r="AX2201" t="inlineStr">
        <is>
          <t>991002768029702656</t>
        </is>
      </c>
      <c r="AY2201" t="inlineStr">
        <is>
          <t>2265088100002656</t>
        </is>
      </c>
      <c r="AZ2201" t="inlineStr">
        <is>
          <t>BOOK</t>
        </is>
      </c>
      <c r="BB2201" t="inlineStr">
        <is>
          <t>9780809094882</t>
        </is>
      </c>
      <c r="BC2201" t="inlineStr">
        <is>
          <t>32285003253274</t>
        </is>
      </c>
      <c r="BD2201" t="inlineStr">
        <is>
          <t>893257691</t>
        </is>
      </c>
    </row>
    <row r="2202">
      <c r="A2202" t="inlineStr">
        <is>
          <t>No</t>
        </is>
      </c>
      <c r="B2202" t="inlineStr">
        <is>
          <t>DS779.27 .C4873 1984</t>
        </is>
      </c>
      <c r="C2202" t="inlineStr">
        <is>
          <t>0                      DS 0779270C  4873        1984</t>
        </is>
      </c>
      <c r="D2202" t="inlineStr">
        <is>
          <t>China and the world : Chinese foreign policy in the post-Mao era / edited by Samuel S. Kim.</t>
        </is>
      </c>
      <c r="F2202" t="inlineStr">
        <is>
          <t>No</t>
        </is>
      </c>
      <c r="G2202" t="inlineStr">
        <is>
          <t>1</t>
        </is>
      </c>
      <c r="H2202" t="inlineStr">
        <is>
          <t>No</t>
        </is>
      </c>
      <c r="I2202" t="inlineStr">
        <is>
          <t>No</t>
        </is>
      </c>
      <c r="J2202" t="inlineStr">
        <is>
          <t>0</t>
        </is>
      </c>
      <c r="L2202" t="inlineStr">
        <is>
          <t>Boulder : Westview Press, c1984.</t>
        </is>
      </c>
      <c r="M2202" t="inlineStr">
        <is>
          <t>1984</t>
        </is>
      </c>
      <c r="O2202" t="inlineStr">
        <is>
          <t>eng</t>
        </is>
      </c>
      <c r="P2202" t="inlineStr">
        <is>
          <t>cou</t>
        </is>
      </c>
      <c r="R2202" t="inlineStr">
        <is>
          <t xml:space="preserve">DS </t>
        </is>
      </c>
      <c r="S2202" t="n">
        <v>8</v>
      </c>
      <c r="T2202" t="n">
        <v>8</v>
      </c>
      <c r="U2202" t="inlineStr">
        <is>
          <t>2005-12-06</t>
        </is>
      </c>
      <c r="V2202" t="inlineStr">
        <is>
          <t>2005-12-06</t>
        </is>
      </c>
      <c r="W2202" t="inlineStr">
        <is>
          <t>1990-10-23</t>
        </is>
      </c>
      <c r="X2202" t="inlineStr">
        <is>
          <t>1990-10-23</t>
        </is>
      </c>
      <c r="Y2202" t="n">
        <v>491</v>
      </c>
      <c r="Z2202" t="n">
        <v>385</v>
      </c>
      <c r="AA2202" t="n">
        <v>388</v>
      </c>
      <c r="AB2202" t="n">
        <v>4</v>
      </c>
      <c r="AC2202" t="n">
        <v>4</v>
      </c>
      <c r="AD2202" t="n">
        <v>24</v>
      </c>
      <c r="AE2202" t="n">
        <v>24</v>
      </c>
      <c r="AF2202" t="n">
        <v>10</v>
      </c>
      <c r="AG2202" t="n">
        <v>10</v>
      </c>
      <c r="AH2202" t="n">
        <v>6</v>
      </c>
      <c r="AI2202" t="n">
        <v>6</v>
      </c>
      <c r="AJ2202" t="n">
        <v>12</v>
      </c>
      <c r="AK2202" t="n">
        <v>12</v>
      </c>
      <c r="AL2202" t="n">
        <v>3</v>
      </c>
      <c r="AM2202" t="n">
        <v>3</v>
      </c>
      <c r="AN2202" t="n">
        <v>0</v>
      </c>
      <c r="AO2202" t="n">
        <v>0</v>
      </c>
      <c r="AP2202" t="inlineStr">
        <is>
          <t>No</t>
        </is>
      </c>
      <c r="AQ2202" t="inlineStr">
        <is>
          <t>Yes</t>
        </is>
      </c>
      <c r="AR2202">
        <f>HYPERLINK("http://catalog.hathitrust.org/Record/000335655","HathiTrust Record")</f>
        <v/>
      </c>
      <c r="AS2202">
        <f>HYPERLINK("https://creighton-primo.hosted.exlibrisgroup.com/primo-explore/search?tab=default_tab&amp;search_scope=EVERYTHING&amp;vid=01CRU&amp;lang=en_US&amp;offset=0&amp;query=any,contains,991000435849702656","Catalog Record")</f>
        <v/>
      </c>
      <c r="AT2202">
        <f>HYPERLINK("http://www.worldcat.org/oclc/10798878","WorldCat Record")</f>
        <v/>
      </c>
      <c r="AU2202" t="inlineStr">
        <is>
          <t>3855252296:eng</t>
        </is>
      </c>
      <c r="AV2202" t="inlineStr">
        <is>
          <t>10798878</t>
        </is>
      </c>
      <c r="AW2202" t="inlineStr">
        <is>
          <t>991000435849702656</t>
        </is>
      </c>
      <c r="AX2202" t="inlineStr">
        <is>
          <t>991000435849702656</t>
        </is>
      </c>
      <c r="AY2202" t="inlineStr">
        <is>
          <t>2271121970002656</t>
        </is>
      </c>
      <c r="AZ2202" t="inlineStr">
        <is>
          <t>BOOK</t>
        </is>
      </c>
      <c r="BB2202" t="inlineStr">
        <is>
          <t>9780865315563</t>
        </is>
      </c>
      <c r="BC2202" t="inlineStr">
        <is>
          <t>32285000339233</t>
        </is>
      </c>
      <c r="BD2202" t="inlineStr">
        <is>
          <t>893243240</t>
        </is>
      </c>
    </row>
    <row r="2203">
      <c r="A2203" t="inlineStr">
        <is>
          <t>No</t>
        </is>
      </c>
      <c r="B2203" t="inlineStr">
        <is>
          <t>DS779.27 .C488 1981</t>
        </is>
      </c>
      <c r="C2203" t="inlineStr">
        <is>
          <t>0                      DS 0779270C  488         1981</t>
        </is>
      </c>
      <c r="D2203" t="inlineStr">
        <is>
          <t>The China factor : Sino-American relations and the global scene.</t>
        </is>
      </c>
      <c r="F2203" t="inlineStr">
        <is>
          <t>No</t>
        </is>
      </c>
      <c r="G2203" t="inlineStr">
        <is>
          <t>1</t>
        </is>
      </c>
      <c r="H2203" t="inlineStr">
        <is>
          <t>No</t>
        </is>
      </c>
      <c r="I2203" t="inlineStr">
        <is>
          <t>No</t>
        </is>
      </c>
      <c r="J2203" t="inlineStr">
        <is>
          <t>0</t>
        </is>
      </c>
      <c r="L2203" t="inlineStr">
        <is>
          <t>Englewood Cliffs, N.J. : Prentice-Hall, c1981.</t>
        </is>
      </c>
      <c r="M2203" t="inlineStr">
        <is>
          <t>1981</t>
        </is>
      </c>
      <c r="O2203" t="inlineStr">
        <is>
          <t>eng</t>
        </is>
      </c>
      <c r="P2203" t="inlineStr">
        <is>
          <t>nju</t>
        </is>
      </c>
      <c r="Q2203" t="inlineStr">
        <is>
          <t>A Spectrum book</t>
        </is>
      </c>
      <c r="R2203" t="inlineStr">
        <is>
          <t xml:space="preserve">DS </t>
        </is>
      </c>
      <c r="S2203" t="n">
        <v>3</v>
      </c>
      <c r="T2203" t="n">
        <v>3</v>
      </c>
      <c r="U2203" t="inlineStr">
        <is>
          <t>1999-12-09</t>
        </is>
      </c>
      <c r="V2203" t="inlineStr">
        <is>
          <t>1999-12-09</t>
        </is>
      </c>
      <c r="W2203" t="inlineStr">
        <is>
          <t>1990-10-23</t>
        </is>
      </c>
      <c r="X2203" t="inlineStr">
        <is>
          <t>1990-10-23</t>
        </is>
      </c>
      <c r="Y2203" t="n">
        <v>714</v>
      </c>
      <c r="Z2203" t="n">
        <v>621</v>
      </c>
      <c r="AA2203" t="n">
        <v>623</v>
      </c>
      <c r="AB2203" t="n">
        <v>6</v>
      </c>
      <c r="AC2203" t="n">
        <v>6</v>
      </c>
      <c r="AD2203" t="n">
        <v>24</v>
      </c>
      <c r="AE2203" t="n">
        <v>24</v>
      </c>
      <c r="AF2203" t="n">
        <v>6</v>
      </c>
      <c r="AG2203" t="n">
        <v>6</v>
      </c>
      <c r="AH2203" t="n">
        <v>4</v>
      </c>
      <c r="AI2203" t="n">
        <v>4</v>
      </c>
      <c r="AJ2203" t="n">
        <v>13</v>
      </c>
      <c r="AK2203" t="n">
        <v>13</v>
      </c>
      <c r="AL2203" t="n">
        <v>5</v>
      </c>
      <c r="AM2203" t="n">
        <v>5</v>
      </c>
      <c r="AN2203" t="n">
        <v>1</v>
      </c>
      <c r="AO2203" t="n">
        <v>1</v>
      </c>
      <c r="AP2203" t="inlineStr">
        <is>
          <t>No</t>
        </is>
      </c>
      <c r="AQ2203" t="inlineStr">
        <is>
          <t>Yes</t>
        </is>
      </c>
      <c r="AR2203">
        <f>HYPERLINK("http://catalog.hathitrust.org/Record/000185185","HathiTrust Record")</f>
        <v/>
      </c>
      <c r="AS2203">
        <f>HYPERLINK("https://creighton-primo.hosted.exlibrisgroup.com/primo-explore/search?tab=default_tab&amp;search_scope=EVERYTHING&amp;vid=01CRU&amp;lang=en_US&amp;offset=0&amp;query=any,contains,991005132569702656","Catalog Record")</f>
        <v/>
      </c>
      <c r="AT2203">
        <f>HYPERLINK("http://www.worldcat.org/oclc/7573660","WorldCat Record")</f>
        <v/>
      </c>
      <c r="AU2203" t="inlineStr">
        <is>
          <t>859765808:eng</t>
        </is>
      </c>
      <c r="AV2203" t="inlineStr">
        <is>
          <t>7573660</t>
        </is>
      </c>
      <c r="AW2203" t="inlineStr">
        <is>
          <t>991005132569702656</t>
        </is>
      </c>
      <c r="AX2203" t="inlineStr">
        <is>
          <t>991005132569702656</t>
        </is>
      </c>
      <c r="AY2203" t="inlineStr">
        <is>
          <t>2271544590002656</t>
        </is>
      </c>
      <c r="AZ2203" t="inlineStr">
        <is>
          <t>BOOK</t>
        </is>
      </c>
      <c r="BB2203" t="inlineStr">
        <is>
          <t>9780131326965</t>
        </is>
      </c>
      <c r="BC2203" t="inlineStr">
        <is>
          <t>32285000339241</t>
        </is>
      </c>
      <c r="BD2203" t="inlineStr">
        <is>
          <t>893230261</t>
        </is>
      </c>
    </row>
    <row r="2204">
      <c r="A2204" t="inlineStr">
        <is>
          <t>No</t>
        </is>
      </c>
      <c r="B2204" t="inlineStr">
        <is>
          <t>DS779.27 .C49</t>
        </is>
      </c>
      <c r="C2204" t="inlineStr">
        <is>
          <t>0                      DS 0779270C  49</t>
        </is>
      </c>
      <c r="D2204" t="inlineStr">
        <is>
          <t>China in the global community / edited by James C. Hsiung and Samuel S. Kim ; written under the auspices of the Center for International Studies, Princeton University.</t>
        </is>
      </c>
      <c r="F2204" t="inlineStr">
        <is>
          <t>No</t>
        </is>
      </c>
      <c r="G2204" t="inlineStr">
        <is>
          <t>1</t>
        </is>
      </c>
      <c r="H2204" t="inlineStr">
        <is>
          <t>No</t>
        </is>
      </c>
      <c r="I2204" t="inlineStr">
        <is>
          <t>No</t>
        </is>
      </c>
      <c r="J2204" t="inlineStr">
        <is>
          <t>0</t>
        </is>
      </c>
      <c r="L2204" t="inlineStr">
        <is>
          <t>New York, N.Y. : Praeger, 1980.</t>
        </is>
      </c>
      <c r="M2204" t="inlineStr">
        <is>
          <t>1980</t>
        </is>
      </c>
      <c r="O2204" t="inlineStr">
        <is>
          <t>eng</t>
        </is>
      </c>
      <c r="P2204" t="inlineStr">
        <is>
          <t>nyu</t>
        </is>
      </c>
      <c r="R2204" t="inlineStr">
        <is>
          <t xml:space="preserve">DS </t>
        </is>
      </c>
      <c r="S2204" t="n">
        <v>3</v>
      </c>
      <c r="T2204" t="n">
        <v>3</v>
      </c>
      <c r="U2204" t="inlineStr">
        <is>
          <t>2005-12-07</t>
        </is>
      </c>
      <c r="V2204" t="inlineStr">
        <is>
          <t>2005-12-07</t>
        </is>
      </c>
      <c r="W2204" t="inlineStr">
        <is>
          <t>1990-10-23</t>
        </is>
      </c>
      <c r="X2204" t="inlineStr">
        <is>
          <t>1990-10-23</t>
        </is>
      </c>
      <c r="Y2204" t="n">
        <v>451</v>
      </c>
      <c r="Z2204" t="n">
        <v>364</v>
      </c>
      <c r="AA2204" t="n">
        <v>369</v>
      </c>
      <c r="AB2204" t="n">
        <v>3</v>
      </c>
      <c r="AC2204" t="n">
        <v>3</v>
      </c>
      <c r="AD2204" t="n">
        <v>16</v>
      </c>
      <c r="AE2204" t="n">
        <v>16</v>
      </c>
      <c r="AF2204" t="n">
        <v>6</v>
      </c>
      <c r="AG2204" t="n">
        <v>6</v>
      </c>
      <c r="AH2204" t="n">
        <v>5</v>
      </c>
      <c r="AI2204" t="n">
        <v>5</v>
      </c>
      <c r="AJ2204" t="n">
        <v>7</v>
      </c>
      <c r="AK2204" t="n">
        <v>7</v>
      </c>
      <c r="AL2204" t="n">
        <v>2</v>
      </c>
      <c r="AM2204" t="n">
        <v>2</v>
      </c>
      <c r="AN2204" t="n">
        <v>0</v>
      </c>
      <c r="AO2204" t="n">
        <v>0</v>
      </c>
      <c r="AP2204" t="inlineStr">
        <is>
          <t>No</t>
        </is>
      </c>
      <c r="AQ2204" t="inlineStr">
        <is>
          <t>No</t>
        </is>
      </c>
      <c r="AS2204">
        <f>HYPERLINK("https://creighton-primo.hosted.exlibrisgroup.com/primo-explore/search?tab=default_tab&amp;search_scope=EVERYTHING&amp;vid=01CRU&amp;lang=en_US&amp;offset=0&amp;query=any,contains,991004927819702656","Catalog Record")</f>
        <v/>
      </c>
      <c r="AT2204">
        <f>HYPERLINK("http://www.worldcat.org/oclc/6087476","WorldCat Record")</f>
        <v/>
      </c>
      <c r="AU2204" t="inlineStr">
        <is>
          <t>352317118:eng</t>
        </is>
      </c>
      <c r="AV2204" t="inlineStr">
        <is>
          <t>6087476</t>
        </is>
      </c>
      <c r="AW2204" t="inlineStr">
        <is>
          <t>991004927819702656</t>
        </is>
      </c>
      <c r="AX2204" t="inlineStr">
        <is>
          <t>991004927819702656</t>
        </is>
      </c>
      <c r="AY2204" t="inlineStr">
        <is>
          <t>2259544360002656</t>
        </is>
      </c>
      <c r="AZ2204" t="inlineStr">
        <is>
          <t>BOOK</t>
        </is>
      </c>
      <c r="BB2204" t="inlineStr">
        <is>
          <t>9780030570094</t>
        </is>
      </c>
      <c r="BC2204" t="inlineStr">
        <is>
          <t>32285000339258</t>
        </is>
      </c>
      <c r="BD2204" t="inlineStr">
        <is>
          <t>893430624</t>
        </is>
      </c>
    </row>
    <row r="2205">
      <c r="A2205" t="inlineStr">
        <is>
          <t>No</t>
        </is>
      </c>
      <c r="B2205" t="inlineStr">
        <is>
          <t>DS779.27 .C493 1999</t>
        </is>
      </c>
      <c r="C2205" t="inlineStr">
        <is>
          <t>0                      DS 0779270C  493         1999</t>
        </is>
      </c>
      <c r="D2205" t="inlineStr">
        <is>
          <t>China joins the world : progress and prospects / edited by Elizabeth Economy, Michel Oksenberg.</t>
        </is>
      </c>
      <c r="F2205" t="inlineStr">
        <is>
          <t>No</t>
        </is>
      </c>
      <c r="G2205" t="inlineStr">
        <is>
          <t>1</t>
        </is>
      </c>
      <c r="H2205" t="inlineStr">
        <is>
          <t>No</t>
        </is>
      </c>
      <c r="I2205" t="inlineStr">
        <is>
          <t>No</t>
        </is>
      </c>
      <c r="J2205" t="inlineStr">
        <is>
          <t>0</t>
        </is>
      </c>
      <c r="L2205" t="inlineStr">
        <is>
          <t>New York : Council on Foreign Relations Press, c1999.</t>
        </is>
      </c>
      <c r="M2205" t="inlineStr">
        <is>
          <t>1999</t>
        </is>
      </c>
      <c r="O2205" t="inlineStr">
        <is>
          <t>eng</t>
        </is>
      </c>
      <c r="P2205" t="inlineStr">
        <is>
          <t>nyu</t>
        </is>
      </c>
      <c r="R2205" t="inlineStr">
        <is>
          <t xml:space="preserve">DS </t>
        </is>
      </c>
      <c r="S2205" t="n">
        <v>4</v>
      </c>
      <c r="T2205" t="n">
        <v>4</v>
      </c>
      <c r="U2205" t="inlineStr">
        <is>
          <t>2006-04-25</t>
        </is>
      </c>
      <c r="V2205" t="inlineStr">
        <is>
          <t>2006-04-25</t>
        </is>
      </c>
      <c r="W2205" t="inlineStr">
        <is>
          <t>1999-04-19</t>
        </is>
      </c>
      <c r="X2205" t="inlineStr">
        <is>
          <t>1999-04-19</t>
        </is>
      </c>
      <c r="Y2205" t="n">
        <v>362</v>
      </c>
      <c r="Z2205" t="n">
        <v>275</v>
      </c>
      <c r="AA2205" t="n">
        <v>290</v>
      </c>
      <c r="AB2205" t="n">
        <v>3</v>
      </c>
      <c r="AC2205" t="n">
        <v>3</v>
      </c>
      <c r="AD2205" t="n">
        <v>18</v>
      </c>
      <c r="AE2205" t="n">
        <v>19</v>
      </c>
      <c r="AF2205" t="n">
        <v>4</v>
      </c>
      <c r="AG2205" t="n">
        <v>4</v>
      </c>
      <c r="AH2205" t="n">
        <v>4</v>
      </c>
      <c r="AI2205" t="n">
        <v>4</v>
      </c>
      <c r="AJ2205" t="n">
        <v>9</v>
      </c>
      <c r="AK2205" t="n">
        <v>9</v>
      </c>
      <c r="AL2205" t="n">
        <v>2</v>
      </c>
      <c r="AM2205" t="n">
        <v>2</v>
      </c>
      <c r="AN2205" t="n">
        <v>2</v>
      </c>
      <c r="AO2205" t="n">
        <v>3</v>
      </c>
      <c r="AP2205" t="inlineStr">
        <is>
          <t>No</t>
        </is>
      </c>
      <c r="AQ2205" t="inlineStr">
        <is>
          <t>Yes</t>
        </is>
      </c>
      <c r="AR2205">
        <f>HYPERLINK("http://catalog.hathitrust.org/Record/003329686","HathiTrust Record")</f>
        <v/>
      </c>
      <c r="AS2205">
        <f>HYPERLINK("https://creighton-primo.hosted.exlibrisgroup.com/primo-explore/search?tab=default_tab&amp;search_scope=EVERYTHING&amp;vid=01CRU&amp;lang=en_US&amp;offset=0&amp;query=any,contains,991003004889702656","Catalog Record")</f>
        <v/>
      </c>
      <c r="AT2205">
        <f>HYPERLINK("http://www.worldcat.org/oclc/40716062","WorldCat Record")</f>
        <v/>
      </c>
      <c r="AU2205" t="inlineStr">
        <is>
          <t>890981056:eng</t>
        </is>
      </c>
      <c r="AV2205" t="inlineStr">
        <is>
          <t>40716062</t>
        </is>
      </c>
      <c r="AW2205" t="inlineStr">
        <is>
          <t>991003004889702656</t>
        </is>
      </c>
      <c r="AX2205" t="inlineStr">
        <is>
          <t>991003004889702656</t>
        </is>
      </c>
      <c r="AY2205" t="inlineStr">
        <is>
          <t>2270810600002656</t>
        </is>
      </c>
      <c r="AZ2205" t="inlineStr">
        <is>
          <t>BOOK</t>
        </is>
      </c>
      <c r="BB2205" t="inlineStr">
        <is>
          <t>9780876092255</t>
        </is>
      </c>
      <c r="BC2205" t="inlineStr">
        <is>
          <t>32285003553699</t>
        </is>
      </c>
      <c r="BD2205" t="inlineStr">
        <is>
          <t>893799279</t>
        </is>
      </c>
    </row>
    <row r="2206">
      <c r="A2206" t="inlineStr">
        <is>
          <t>No</t>
        </is>
      </c>
      <c r="B2206" t="inlineStr">
        <is>
          <t>DS779.27 .C52 1982</t>
        </is>
      </c>
      <c r="C2206" t="inlineStr">
        <is>
          <t>0                      DS 0779270C  52          1982</t>
        </is>
      </c>
      <c r="D2206" t="inlineStr">
        <is>
          <t>China's foreign relations : new perspectives / edited by Chün-tu Hsüeh = [Chung-kuo wai chiao kuan hsi hsin lun /Hsüeh Chün-tu pien chu].</t>
        </is>
      </c>
      <c r="F2206" t="inlineStr">
        <is>
          <t>No</t>
        </is>
      </c>
      <c r="G2206" t="inlineStr">
        <is>
          <t>1</t>
        </is>
      </c>
      <c r="H2206" t="inlineStr">
        <is>
          <t>No</t>
        </is>
      </c>
      <c r="I2206" t="inlineStr">
        <is>
          <t>No</t>
        </is>
      </c>
      <c r="J2206" t="inlineStr">
        <is>
          <t>0</t>
        </is>
      </c>
      <c r="L2206" t="inlineStr">
        <is>
          <t>New York, N.Y. : Praeger, 1982.</t>
        </is>
      </c>
      <c r="M2206" t="inlineStr">
        <is>
          <t>1982</t>
        </is>
      </c>
      <c r="O2206" t="inlineStr">
        <is>
          <t>eng</t>
        </is>
      </c>
      <c r="P2206" t="inlineStr">
        <is>
          <t>nyu</t>
        </is>
      </c>
      <c r="R2206" t="inlineStr">
        <is>
          <t xml:space="preserve">DS </t>
        </is>
      </c>
      <c r="S2206" t="n">
        <v>7</v>
      </c>
      <c r="T2206" t="n">
        <v>7</v>
      </c>
      <c r="U2206" t="inlineStr">
        <is>
          <t>1999-09-13</t>
        </is>
      </c>
      <c r="V2206" t="inlineStr">
        <is>
          <t>1999-09-13</t>
        </is>
      </c>
      <c r="W2206" t="inlineStr">
        <is>
          <t>1990-10-23</t>
        </is>
      </c>
      <c r="X2206" t="inlineStr">
        <is>
          <t>1990-10-23</t>
        </is>
      </c>
      <c r="Y2206" t="n">
        <v>465</v>
      </c>
      <c r="Z2206" t="n">
        <v>381</v>
      </c>
      <c r="AA2206" t="n">
        <v>388</v>
      </c>
      <c r="AB2206" t="n">
        <v>3</v>
      </c>
      <c r="AC2206" t="n">
        <v>3</v>
      </c>
      <c r="AD2206" t="n">
        <v>17</v>
      </c>
      <c r="AE2206" t="n">
        <v>17</v>
      </c>
      <c r="AF2206" t="n">
        <v>7</v>
      </c>
      <c r="AG2206" t="n">
        <v>7</v>
      </c>
      <c r="AH2206" t="n">
        <v>5</v>
      </c>
      <c r="AI2206" t="n">
        <v>5</v>
      </c>
      <c r="AJ2206" t="n">
        <v>7</v>
      </c>
      <c r="AK2206" t="n">
        <v>7</v>
      </c>
      <c r="AL2206" t="n">
        <v>2</v>
      </c>
      <c r="AM2206" t="n">
        <v>2</v>
      </c>
      <c r="AN2206" t="n">
        <v>0</v>
      </c>
      <c r="AO2206" t="n">
        <v>0</v>
      </c>
      <c r="AP2206" t="inlineStr">
        <is>
          <t>No</t>
        </is>
      </c>
      <c r="AQ2206" t="inlineStr">
        <is>
          <t>Yes</t>
        </is>
      </c>
      <c r="AR2206">
        <f>HYPERLINK("http://catalog.hathitrust.org/Record/000766210","HathiTrust Record")</f>
        <v/>
      </c>
      <c r="AS2206">
        <f>HYPERLINK("https://creighton-primo.hosted.exlibrisgroup.com/primo-explore/search?tab=default_tab&amp;search_scope=EVERYTHING&amp;vid=01CRU&amp;lang=en_US&amp;offset=0&amp;query=any,contains,991005196989702656","Catalog Record")</f>
        <v/>
      </c>
      <c r="AT2206">
        <f>HYPERLINK("http://www.worldcat.org/oclc/8051407","WorldCat Record")</f>
        <v/>
      </c>
      <c r="AU2206" t="inlineStr">
        <is>
          <t>906986444:eng</t>
        </is>
      </c>
      <c r="AV2206" t="inlineStr">
        <is>
          <t>8051407</t>
        </is>
      </c>
      <c r="AW2206" t="inlineStr">
        <is>
          <t>991005196989702656</t>
        </is>
      </c>
      <c r="AX2206" t="inlineStr">
        <is>
          <t>991005196989702656</t>
        </is>
      </c>
      <c r="AY2206" t="inlineStr">
        <is>
          <t>2258891570002656</t>
        </is>
      </c>
      <c r="AZ2206" t="inlineStr">
        <is>
          <t>BOOK</t>
        </is>
      </c>
      <c r="BB2206" t="inlineStr">
        <is>
          <t>9780030602399</t>
        </is>
      </c>
      <c r="BC2206" t="inlineStr">
        <is>
          <t>32285000339266</t>
        </is>
      </c>
      <c r="BD2206" t="inlineStr">
        <is>
          <t>893807973</t>
        </is>
      </c>
    </row>
    <row r="2207">
      <c r="A2207" t="inlineStr">
        <is>
          <t>No</t>
        </is>
      </c>
      <c r="B2207" t="inlineStr">
        <is>
          <t>DS779.27 .C53 1988</t>
        </is>
      </c>
      <c r="C2207" t="inlineStr">
        <is>
          <t>0                      DS 0779270C  53          1988</t>
        </is>
      </c>
      <c r="D2207" t="inlineStr">
        <is>
          <t>Chinese defense and foreign policy / edited by June Teufel Dreyer.</t>
        </is>
      </c>
      <c r="F2207" t="inlineStr">
        <is>
          <t>No</t>
        </is>
      </c>
      <c r="G2207" t="inlineStr">
        <is>
          <t>1</t>
        </is>
      </c>
      <c r="H2207" t="inlineStr">
        <is>
          <t>No</t>
        </is>
      </c>
      <c r="I2207" t="inlineStr">
        <is>
          <t>No</t>
        </is>
      </c>
      <c r="J2207" t="inlineStr">
        <is>
          <t>0</t>
        </is>
      </c>
      <c r="L2207" t="inlineStr">
        <is>
          <t>New York : Professors World Peace Academy : Distributed by Paragon House, c1988.</t>
        </is>
      </c>
      <c r="M2207" t="inlineStr">
        <is>
          <t>1988</t>
        </is>
      </c>
      <c r="O2207" t="inlineStr">
        <is>
          <t>eng</t>
        </is>
      </c>
      <c r="P2207" t="inlineStr">
        <is>
          <t>nyu</t>
        </is>
      </c>
      <c r="Q2207" t="inlineStr">
        <is>
          <t>World social systems series. China in a new era</t>
        </is>
      </c>
      <c r="R2207" t="inlineStr">
        <is>
          <t xml:space="preserve">DS </t>
        </is>
      </c>
      <c r="S2207" t="n">
        <v>2</v>
      </c>
      <c r="T2207" t="n">
        <v>2</v>
      </c>
      <c r="U2207" t="inlineStr">
        <is>
          <t>1997-12-13</t>
        </is>
      </c>
      <c r="V2207" t="inlineStr">
        <is>
          <t>1997-12-13</t>
        </is>
      </c>
      <c r="W2207" t="inlineStr">
        <is>
          <t>1996-03-11</t>
        </is>
      </c>
      <c r="X2207" t="inlineStr">
        <is>
          <t>1996-03-11</t>
        </is>
      </c>
      <c r="Y2207" t="n">
        <v>270</v>
      </c>
      <c r="Z2207" t="n">
        <v>217</v>
      </c>
      <c r="AA2207" t="n">
        <v>228</v>
      </c>
      <c r="AB2207" t="n">
        <v>2</v>
      </c>
      <c r="AC2207" t="n">
        <v>2</v>
      </c>
      <c r="AD2207" t="n">
        <v>12</v>
      </c>
      <c r="AE2207" t="n">
        <v>13</v>
      </c>
      <c r="AF2207" t="n">
        <v>3</v>
      </c>
      <c r="AG2207" t="n">
        <v>3</v>
      </c>
      <c r="AH2207" t="n">
        <v>4</v>
      </c>
      <c r="AI2207" t="n">
        <v>5</v>
      </c>
      <c r="AJ2207" t="n">
        <v>7</v>
      </c>
      <c r="AK2207" t="n">
        <v>8</v>
      </c>
      <c r="AL2207" t="n">
        <v>1</v>
      </c>
      <c r="AM2207" t="n">
        <v>1</v>
      </c>
      <c r="AN2207" t="n">
        <v>0</v>
      </c>
      <c r="AO2207" t="n">
        <v>0</v>
      </c>
      <c r="AP2207" t="inlineStr">
        <is>
          <t>No</t>
        </is>
      </c>
      <c r="AQ2207" t="inlineStr">
        <is>
          <t>Yes</t>
        </is>
      </c>
      <c r="AR2207">
        <f>HYPERLINK("http://catalog.hathitrust.org/Record/001820472","HathiTrust Record")</f>
        <v/>
      </c>
      <c r="AS2207">
        <f>HYPERLINK("https://creighton-primo.hosted.exlibrisgroup.com/primo-explore/search?tab=default_tab&amp;search_scope=EVERYTHING&amp;vid=01CRU&amp;lang=en_US&amp;offset=0&amp;query=any,contains,991001321009702656","Catalog Record")</f>
        <v/>
      </c>
      <c r="AT2207">
        <f>HYPERLINK("http://www.worldcat.org/oclc/18224671","WorldCat Record")</f>
        <v/>
      </c>
      <c r="AU2207" t="inlineStr">
        <is>
          <t>55111460:eng</t>
        </is>
      </c>
      <c r="AV2207" t="inlineStr">
        <is>
          <t>18224671</t>
        </is>
      </c>
      <c r="AW2207" t="inlineStr">
        <is>
          <t>991001321009702656</t>
        </is>
      </c>
      <c r="AX2207" t="inlineStr">
        <is>
          <t>991001321009702656</t>
        </is>
      </c>
      <c r="AY2207" t="inlineStr">
        <is>
          <t>2263953180002656</t>
        </is>
      </c>
      <c r="AZ2207" t="inlineStr">
        <is>
          <t>BOOK</t>
        </is>
      </c>
      <c r="BB2207" t="inlineStr">
        <is>
          <t>9780943852553</t>
        </is>
      </c>
      <c r="BC2207" t="inlineStr">
        <is>
          <t>32285002141322</t>
        </is>
      </c>
      <c r="BD2207" t="inlineStr">
        <is>
          <t>893351859</t>
        </is>
      </c>
    </row>
    <row r="2208">
      <c r="A2208" t="inlineStr">
        <is>
          <t>No</t>
        </is>
      </c>
      <c r="B2208" t="inlineStr">
        <is>
          <t>DS779.27 .H78 2000</t>
        </is>
      </c>
      <c r="C2208" t="inlineStr">
        <is>
          <t>0                      DS 0779270H  78          2000</t>
        </is>
      </c>
      <c r="D2208" t="inlineStr">
        <is>
          <t>China's international relations in the 21st century dynamics of paradigm shifts / Weixing Hu, Gerald Chan, Daojiong Zha.</t>
        </is>
      </c>
      <c r="F2208" t="inlineStr">
        <is>
          <t>No</t>
        </is>
      </c>
      <c r="G2208" t="inlineStr">
        <is>
          <t>1</t>
        </is>
      </c>
      <c r="H2208" t="inlineStr">
        <is>
          <t>No</t>
        </is>
      </c>
      <c r="I2208" t="inlineStr">
        <is>
          <t>No</t>
        </is>
      </c>
      <c r="J2208" t="inlineStr">
        <is>
          <t>0</t>
        </is>
      </c>
      <c r="K2208" t="inlineStr">
        <is>
          <t>Hu, Weixing.</t>
        </is>
      </c>
      <c r="L2208" t="inlineStr">
        <is>
          <t>Lanham : University Press of America, c2000.</t>
        </is>
      </c>
      <c r="M2208" t="inlineStr">
        <is>
          <t>2000</t>
        </is>
      </c>
      <c r="O2208" t="inlineStr">
        <is>
          <t>eng</t>
        </is>
      </c>
      <c r="P2208" t="inlineStr">
        <is>
          <t>mdu</t>
        </is>
      </c>
      <c r="R2208" t="inlineStr">
        <is>
          <t xml:space="preserve">DS </t>
        </is>
      </c>
      <c r="S2208" t="n">
        <v>11</v>
      </c>
      <c r="T2208" t="n">
        <v>11</v>
      </c>
      <c r="U2208" t="inlineStr">
        <is>
          <t>2009-12-03</t>
        </is>
      </c>
      <c r="V2208" t="inlineStr">
        <is>
          <t>2009-12-03</t>
        </is>
      </c>
      <c r="W2208" t="inlineStr">
        <is>
          <t>2002-04-16</t>
        </is>
      </c>
      <c r="X2208" t="inlineStr">
        <is>
          <t>2002-04-16</t>
        </is>
      </c>
      <c r="Y2208" t="n">
        <v>227</v>
      </c>
      <c r="Z2208" t="n">
        <v>165</v>
      </c>
      <c r="AA2208" t="n">
        <v>182</v>
      </c>
      <c r="AB2208" t="n">
        <v>2</v>
      </c>
      <c r="AC2208" t="n">
        <v>2</v>
      </c>
      <c r="AD2208" t="n">
        <v>8</v>
      </c>
      <c r="AE2208" t="n">
        <v>9</v>
      </c>
      <c r="AF2208" t="n">
        <v>1</v>
      </c>
      <c r="AG2208" t="n">
        <v>2</v>
      </c>
      <c r="AH2208" t="n">
        <v>4</v>
      </c>
      <c r="AI2208" t="n">
        <v>5</v>
      </c>
      <c r="AJ2208" t="n">
        <v>5</v>
      </c>
      <c r="AK2208" t="n">
        <v>5</v>
      </c>
      <c r="AL2208" t="n">
        <v>1</v>
      </c>
      <c r="AM2208" t="n">
        <v>1</v>
      </c>
      <c r="AN2208" t="n">
        <v>0</v>
      </c>
      <c r="AO2208" t="n">
        <v>0</v>
      </c>
      <c r="AP2208" t="inlineStr">
        <is>
          <t>No</t>
        </is>
      </c>
      <c r="AQ2208" t="inlineStr">
        <is>
          <t>Yes</t>
        </is>
      </c>
      <c r="AR2208">
        <f>HYPERLINK("http://catalog.hathitrust.org/Record/004169309","HathiTrust Record")</f>
        <v/>
      </c>
      <c r="AS2208">
        <f>HYPERLINK("https://creighton-primo.hosted.exlibrisgroup.com/primo-explore/search?tab=default_tab&amp;search_scope=EVERYTHING&amp;vid=01CRU&amp;lang=en_US&amp;offset=0&amp;query=any,contains,991003768019702656","Catalog Record")</f>
        <v/>
      </c>
      <c r="AT2208">
        <f>HYPERLINK("http://www.worldcat.org/oclc/44802747","WorldCat Record")</f>
        <v/>
      </c>
      <c r="AU2208" t="inlineStr">
        <is>
          <t>324696774:eng</t>
        </is>
      </c>
      <c r="AV2208" t="inlineStr">
        <is>
          <t>44802747</t>
        </is>
      </c>
      <c r="AW2208" t="inlineStr">
        <is>
          <t>991003768019702656</t>
        </is>
      </c>
      <c r="AX2208" t="inlineStr">
        <is>
          <t>991003768019702656</t>
        </is>
      </c>
      <c r="AY2208" t="inlineStr">
        <is>
          <t>2272353300002656</t>
        </is>
      </c>
      <c r="AZ2208" t="inlineStr">
        <is>
          <t>BOOK</t>
        </is>
      </c>
      <c r="BB2208" t="inlineStr">
        <is>
          <t>9780761818311</t>
        </is>
      </c>
      <c r="BC2208" t="inlineStr">
        <is>
          <t>32285004479761</t>
        </is>
      </c>
      <c r="BD2208" t="inlineStr">
        <is>
          <t>893318386</t>
        </is>
      </c>
    </row>
    <row r="2209">
      <c r="A2209" t="inlineStr">
        <is>
          <t>No</t>
        </is>
      </c>
      <c r="B2209" t="inlineStr">
        <is>
          <t>DS779.27 .I53 1999</t>
        </is>
      </c>
      <c r="C2209" t="inlineStr">
        <is>
          <t>0                      DS 0779270I  53          1999</t>
        </is>
      </c>
      <c r="D2209" t="inlineStr">
        <is>
          <t>In the eyes of the dragon : China views the world / edited by Yong Deng and Fei-Ling Wang.</t>
        </is>
      </c>
      <c r="F2209" t="inlineStr">
        <is>
          <t>No</t>
        </is>
      </c>
      <c r="G2209" t="inlineStr">
        <is>
          <t>1</t>
        </is>
      </c>
      <c r="H2209" t="inlineStr">
        <is>
          <t>No</t>
        </is>
      </c>
      <c r="I2209" t="inlineStr">
        <is>
          <t>No</t>
        </is>
      </c>
      <c r="J2209" t="inlineStr">
        <is>
          <t>0</t>
        </is>
      </c>
      <c r="L2209" t="inlineStr">
        <is>
          <t>Lanham : Rowman &amp; Littlefield Publishers, c1999.</t>
        </is>
      </c>
      <c r="M2209" t="inlineStr">
        <is>
          <t>1999</t>
        </is>
      </c>
      <c r="O2209" t="inlineStr">
        <is>
          <t>eng</t>
        </is>
      </c>
      <c r="P2209" t="inlineStr">
        <is>
          <t>mdu</t>
        </is>
      </c>
      <c r="R2209" t="inlineStr">
        <is>
          <t xml:space="preserve">DS </t>
        </is>
      </c>
      <c r="S2209" t="n">
        <v>7</v>
      </c>
      <c r="T2209" t="n">
        <v>7</v>
      </c>
      <c r="U2209" t="inlineStr">
        <is>
          <t>2010-10-26</t>
        </is>
      </c>
      <c r="V2209" t="inlineStr">
        <is>
          <t>2010-10-26</t>
        </is>
      </c>
      <c r="W2209" t="inlineStr">
        <is>
          <t>2000-07-27</t>
        </is>
      </c>
      <c r="X2209" t="inlineStr">
        <is>
          <t>2000-07-27</t>
        </is>
      </c>
      <c r="Y2209" t="n">
        <v>557</v>
      </c>
      <c r="Z2209" t="n">
        <v>446</v>
      </c>
      <c r="AA2209" t="n">
        <v>899</v>
      </c>
      <c r="AB2209" t="n">
        <v>5</v>
      </c>
      <c r="AC2209" t="n">
        <v>6</v>
      </c>
      <c r="AD2209" t="n">
        <v>21</v>
      </c>
      <c r="AE2209" t="n">
        <v>30</v>
      </c>
      <c r="AF2209" t="n">
        <v>6</v>
      </c>
      <c r="AG2209" t="n">
        <v>13</v>
      </c>
      <c r="AH2209" t="n">
        <v>6</v>
      </c>
      <c r="AI2209" t="n">
        <v>8</v>
      </c>
      <c r="AJ2209" t="n">
        <v>9</v>
      </c>
      <c r="AK2209" t="n">
        <v>11</v>
      </c>
      <c r="AL2209" t="n">
        <v>4</v>
      </c>
      <c r="AM2209" t="n">
        <v>5</v>
      </c>
      <c r="AN2209" t="n">
        <v>0</v>
      </c>
      <c r="AO2209" t="n">
        <v>0</v>
      </c>
      <c r="AP2209" t="inlineStr">
        <is>
          <t>No</t>
        </is>
      </c>
      <c r="AQ2209" t="inlineStr">
        <is>
          <t>Yes</t>
        </is>
      </c>
      <c r="AR2209">
        <f>HYPERLINK("http://catalog.hathitrust.org/Record/004032579","HathiTrust Record")</f>
        <v/>
      </c>
      <c r="AS2209">
        <f>HYPERLINK("https://creighton-primo.hosted.exlibrisgroup.com/primo-explore/search?tab=default_tab&amp;search_scope=EVERYTHING&amp;vid=01CRU&amp;lang=en_US&amp;offset=0&amp;query=any,contains,991003222929702656","Catalog Record")</f>
        <v/>
      </c>
      <c r="AT2209">
        <f>HYPERLINK("http://www.worldcat.org/oclc/40230376","WorldCat Record")</f>
        <v/>
      </c>
      <c r="AU2209" t="inlineStr">
        <is>
          <t>799848299:eng</t>
        </is>
      </c>
      <c r="AV2209" t="inlineStr">
        <is>
          <t>40230376</t>
        </is>
      </c>
      <c r="AW2209" t="inlineStr">
        <is>
          <t>991003222929702656</t>
        </is>
      </c>
      <c r="AX2209" t="inlineStr">
        <is>
          <t>991003222929702656</t>
        </is>
      </c>
      <c r="AY2209" t="inlineStr">
        <is>
          <t>2254942890002656</t>
        </is>
      </c>
      <c r="AZ2209" t="inlineStr">
        <is>
          <t>BOOK</t>
        </is>
      </c>
      <c r="BB2209" t="inlineStr">
        <is>
          <t>9780847693368</t>
        </is>
      </c>
      <c r="BC2209" t="inlineStr">
        <is>
          <t>32285003743167</t>
        </is>
      </c>
      <c r="BD2209" t="inlineStr">
        <is>
          <t>893893492</t>
        </is>
      </c>
    </row>
    <row r="2210">
      <c r="A2210" t="inlineStr">
        <is>
          <t>No</t>
        </is>
      </c>
      <c r="B2210" t="inlineStr">
        <is>
          <t>DS779.27 .K55</t>
        </is>
      </c>
      <c r="C2210" t="inlineStr">
        <is>
          <t>0                      DS 0779270K  55</t>
        </is>
      </c>
      <c r="D2210" t="inlineStr">
        <is>
          <t>China, the United Nations, and world order / Samuel S. Kim.</t>
        </is>
      </c>
      <c r="F2210" t="inlineStr">
        <is>
          <t>No</t>
        </is>
      </c>
      <c r="G2210" t="inlineStr">
        <is>
          <t>1</t>
        </is>
      </c>
      <c r="H2210" t="inlineStr">
        <is>
          <t>No</t>
        </is>
      </c>
      <c r="I2210" t="inlineStr">
        <is>
          <t>No</t>
        </is>
      </c>
      <c r="J2210" t="inlineStr">
        <is>
          <t>0</t>
        </is>
      </c>
      <c r="K2210" t="inlineStr">
        <is>
          <t>Kim, Samuel S., 1935-</t>
        </is>
      </c>
      <c r="L2210" t="inlineStr">
        <is>
          <t>Princeton, N.J. : Princeton University Press, c1979.</t>
        </is>
      </c>
      <c r="M2210" t="inlineStr">
        <is>
          <t>1979</t>
        </is>
      </c>
      <c r="O2210" t="inlineStr">
        <is>
          <t>eng</t>
        </is>
      </c>
      <c r="P2210" t="inlineStr">
        <is>
          <t>nju</t>
        </is>
      </c>
      <c r="R2210" t="inlineStr">
        <is>
          <t xml:space="preserve">DS </t>
        </is>
      </c>
      <c r="S2210" t="n">
        <v>2</v>
      </c>
      <c r="T2210" t="n">
        <v>2</v>
      </c>
      <c r="U2210" t="inlineStr">
        <is>
          <t>1996-05-05</t>
        </is>
      </c>
      <c r="V2210" t="inlineStr">
        <is>
          <t>1996-05-05</t>
        </is>
      </c>
      <c r="W2210" t="inlineStr">
        <is>
          <t>1990-10-23</t>
        </is>
      </c>
      <c r="X2210" t="inlineStr">
        <is>
          <t>1990-10-23</t>
        </is>
      </c>
      <c r="Y2210" t="n">
        <v>804</v>
      </c>
      <c r="Z2210" t="n">
        <v>626</v>
      </c>
      <c r="AA2210" t="n">
        <v>815</v>
      </c>
      <c r="AB2210" t="n">
        <v>3</v>
      </c>
      <c r="AC2210" t="n">
        <v>5</v>
      </c>
      <c r="AD2210" t="n">
        <v>28</v>
      </c>
      <c r="AE2210" t="n">
        <v>36</v>
      </c>
      <c r="AF2210" t="n">
        <v>9</v>
      </c>
      <c r="AG2210" t="n">
        <v>15</v>
      </c>
      <c r="AH2210" t="n">
        <v>9</v>
      </c>
      <c r="AI2210" t="n">
        <v>10</v>
      </c>
      <c r="AJ2210" t="n">
        <v>16</v>
      </c>
      <c r="AK2210" t="n">
        <v>17</v>
      </c>
      <c r="AL2210" t="n">
        <v>2</v>
      </c>
      <c r="AM2210" t="n">
        <v>3</v>
      </c>
      <c r="AN2210" t="n">
        <v>2</v>
      </c>
      <c r="AO2210" t="n">
        <v>2</v>
      </c>
      <c r="AP2210" t="inlineStr">
        <is>
          <t>No</t>
        </is>
      </c>
      <c r="AQ2210" t="inlineStr">
        <is>
          <t>No</t>
        </is>
      </c>
      <c r="AS2210">
        <f>HYPERLINK("https://creighton-primo.hosted.exlibrisgroup.com/primo-explore/search?tab=default_tab&amp;search_scope=EVERYTHING&amp;vid=01CRU&amp;lang=en_US&amp;offset=0&amp;query=any,contains,991004650899702656","Catalog Record")</f>
        <v/>
      </c>
      <c r="AT2210">
        <f>HYPERLINK("http://www.worldcat.org/oclc/4493859","WorldCat Record")</f>
        <v/>
      </c>
      <c r="AU2210" t="inlineStr">
        <is>
          <t>442224:eng</t>
        </is>
      </c>
      <c r="AV2210" t="inlineStr">
        <is>
          <t>4493859</t>
        </is>
      </c>
      <c r="AW2210" t="inlineStr">
        <is>
          <t>991004650899702656</t>
        </is>
      </c>
      <c r="AX2210" t="inlineStr">
        <is>
          <t>991004650899702656</t>
        </is>
      </c>
      <c r="AY2210" t="inlineStr">
        <is>
          <t>2263093920002656</t>
        </is>
      </c>
      <c r="AZ2210" t="inlineStr">
        <is>
          <t>BOOK</t>
        </is>
      </c>
      <c r="BB2210" t="inlineStr">
        <is>
          <t>9780691075990</t>
        </is>
      </c>
      <c r="BC2210" t="inlineStr">
        <is>
          <t>32285000339274</t>
        </is>
      </c>
      <c r="BD2210" t="inlineStr">
        <is>
          <t>893253937</t>
        </is>
      </c>
    </row>
    <row r="2211">
      <c r="A2211" t="inlineStr">
        <is>
          <t>No</t>
        </is>
      </c>
      <c r="B2211" t="inlineStr">
        <is>
          <t>DS779.27 .M33 2001</t>
        </is>
      </c>
      <c r="C2211" t="inlineStr">
        <is>
          <t>0                      DS 0779270M  33          2001</t>
        </is>
      </c>
      <c r="D2211" t="inlineStr">
        <is>
          <t>The making of Chinese foreign and security policy in the era of reform, 1978-2000 / David M. Lampton, editor.</t>
        </is>
      </c>
      <c r="F2211" t="inlineStr">
        <is>
          <t>No</t>
        </is>
      </c>
      <c r="G2211" t="inlineStr">
        <is>
          <t>1</t>
        </is>
      </c>
      <c r="H2211" t="inlineStr">
        <is>
          <t>No</t>
        </is>
      </c>
      <c r="I2211" t="inlineStr">
        <is>
          <t>No</t>
        </is>
      </c>
      <c r="J2211" t="inlineStr">
        <is>
          <t>0</t>
        </is>
      </c>
      <c r="L2211" t="inlineStr">
        <is>
          <t>Stanford, Calif. : Stanford University Press, c2001.</t>
        </is>
      </c>
      <c r="M2211" t="inlineStr">
        <is>
          <t>2001</t>
        </is>
      </c>
      <c r="O2211" t="inlineStr">
        <is>
          <t>eng</t>
        </is>
      </c>
      <c r="P2211" t="inlineStr">
        <is>
          <t>cau</t>
        </is>
      </c>
      <c r="R2211" t="inlineStr">
        <is>
          <t xml:space="preserve">DS </t>
        </is>
      </c>
      <c r="S2211" t="n">
        <v>4</v>
      </c>
      <c r="T2211" t="n">
        <v>4</v>
      </c>
      <c r="U2211" t="inlineStr">
        <is>
          <t>2007-04-12</t>
        </is>
      </c>
      <c r="V2211" t="inlineStr">
        <is>
          <t>2007-04-12</t>
        </is>
      </c>
      <c r="W2211" t="inlineStr">
        <is>
          <t>2002-04-01</t>
        </is>
      </c>
      <c r="X2211" t="inlineStr">
        <is>
          <t>2002-04-01</t>
        </is>
      </c>
      <c r="Y2211" t="n">
        <v>470</v>
      </c>
      <c r="Z2211" t="n">
        <v>346</v>
      </c>
      <c r="AA2211" t="n">
        <v>368</v>
      </c>
      <c r="AB2211" t="n">
        <v>3</v>
      </c>
      <c r="AC2211" t="n">
        <v>4</v>
      </c>
      <c r="AD2211" t="n">
        <v>21</v>
      </c>
      <c r="AE2211" t="n">
        <v>25</v>
      </c>
      <c r="AF2211" t="n">
        <v>8</v>
      </c>
      <c r="AG2211" t="n">
        <v>10</v>
      </c>
      <c r="AH2211" t="n">
        <v>6</v>
      </c>
      <c r="AI2211" t="n">
        <v>8</v>
      </c>
      <c r="AJ2211" t="n">
        <v>12</v>
      </c>
      <c r="AK2211" t="n">
        <v>13</v>
      </c>
      <c r="AL2211" t="n">
        <v>2</v>
      </c>
      <c r="AM2211" t="n">
        <v>3</v>
      </c>
      <c r="AN2211" t="n">
        <v>0</v>
      </c>
      <c r="AO2211" t="n">
        <v>0</v>
      </c>
      <c r="AP2211" t="inlineStr">
        <is>
          <t>No</t>
        </is>
      </c>
      <c r="AQ2211" t="inlineStr">
        <is>
          <t>Yes</t>
        </is>
      </c>
      <c r="AR2211">
        <f>HYPERLINK("http://catalog.hathitrust.org/Record/007244375","HathiTrust Record")</f>
        <v/>
      </c>
      <c r="AS2211">
        <f>HYPERLINK("https://creighton-primo.hosted.exlibrisgroup.com/primo-explore/search?tab=default_tab&amp;search_scope=EVERYTHING&amp;vid=01CRU&amp;lang=en_US&amp;offset=0&amp;query=any,contains,991003780479702656","Catalog Record")</f>
        <v/>
      </c>
      <c r="AT2211">
        <f>HYPERLINK("http://www.worldcat.org/oclc/45835554","WorldCat Record")</f>
        <v/>
      </c>
      <c r="AU2211" t="inlineStr">
        <is>
          <t>364485202:eng</t>
        </is>
      </c>
      <c r="AV2211" t="inlineStr">
        <is>
          <t>45835554</t>
        </is>
      </c>
      <c r="AW2211" t="inlineStr">
        <is>
          <t>991003780479702656</t>
        </is>
      </c>
      <c r="AX2211" t="inlineStr">
        <is>
          <t>991003780479702656</t>
        </is>
      </c>
      <c r="AY2211" t="inlineStr">
        <is>
          <t>2268225160002656</t>
        </is>
      </c>
      <c r="AZ2211" t="inlineStr">
        <is>
          <t>BOOK</t>
        </is>
      </c>
      <c r="BB2211" t="inlineStr">
        <is>
          <t>9780804740555</t>
        </is>
      </c>
      <c r="BC2211" t="inlineStr">
        <is>
          <t>32285004476072</t>
        </is>
      </c>
      <c r="BD2211" t="inlineStr">
        <is>
          <t>893349134</t>
        </is>
      </c>
    </row>
    <row r="2212">
      <c r="A2212" t="inlineStr">
        <is>
          <t>No</t>
        </is>
      </c>
      <c r="B2212" t="inlineStr">
        <is>
          <t>DS779.27 .N49 2006</t>
        </is>
      </c>
      <c r="C2212" t="inlineStr">
        <is>
          <t>0                      DS 0779270N  49          2006</t>
        </is>
      </c>
      <c r="D2212" t="inlineStr">
        <is>
          <t>New directions in the study of China's foreign policy / edited by Alastair Iain Johnston and Robert S. Ross.</t>
        </is>
      </c>
      <c r="F2212" t="inlineStr">
        <is>
          <t>No</t>
        </is>
      </c>
      <c r="G2212" t="inlineStr">
        <is>
          <t>1</t>
        </is>
      </c>
      <c r="H2212" t="inlineStr">
        <is>
          <t>No</t>
        </is>
      </c>
      <c r="I2212" t="inlineStr">
        <is>
          <t>No</t>
        </is>
      </c>
      <c r="J2212" t="inlineStr">
        <is>
          <t>0</t>
        </is>
      </c>
      <c r="L2212" t="inlineStr">
        <is>
          <t>Stanford, Calif. : Stanford University Press, 2006.</t>
        </is>
      </c>
      <c r="M2212" t="inlineStr">
        <is>
          <t>2006</t>
        </is>
      </c>
      <c r="O2212" t="inlineStr">
        <is>
          <t>eng</t>
        </is>
      </c>
      <c r="P2212" t="inlineStr">
        <is>
          <t>cau</t>
        </is>
      </c>
      <c r="R2212" t="inlineStr">
        <is>
          <t xml:space="preserve">DS </t>
        </is>
      </c>
      <c r="S2212" t="n">
        <v>2</v>
      </c>
      <c r="T2212" t="n">
        <v>2</v>
      </c>
      <c r="U2212" t="inlineStr">
        <is>
          <t>2009-12-03</t>
        </is>
      </c>
      <c r="V2212" t="inlineStr">
        <is>
          <t>2009-12-03</t>
        </is>
      </c>
      <c r="W2212" t="inlineStr">
        <is>
          <t>2009-04-13</t>
        </is>
      </c>
      <c r="X2212" t="inlineStr">
        <is>
          <t>2009-04-13</t>
        </is>
      </c>
      <c r="Y2212" t="n">
        <v>373</v>
      </c>
      <c r="Z2212" t="n">
        <v>261</v>
      </c>
      <c r="AA2212" t="n">
        <v>262</v>
      </c>
      <c r="AB2212" t="n">
        <v>2</v>
      </c>
      <c r="AC2212" t="n">
        <v>2</v>
      </c>
      <c r="AD2212" t="n">
        <v>15</v>
      </c>
      <c r="AE2212" t="n">
        <v>15</v>
      </c>
      <c r="AF2212" t="n">
        <v>4</v>
      </c>
      <c r="AG2212" t="n">
        <v>4</v>
      </c>
      <c r="AH2212" t="n">
        <v>6</v>
      </c>
      <c r="AI2212" t="n">
        <v>6</v>
      </c>
      <c r="AJ2212" t="n">
        <v>9</v>
      </c>
      <c r="AK2212" t="n">
        <v>9</v>
      </c>
      <c r="AL2212" t="n">
        <v>1</v>
      </c>
      <c r="AM2212" t="n">
        <v>1</v>
      </c>
      <c r="AN2212" t="n">
        <v>0</v>
      </c>
      <c r="AO2212" t="n">
        <v>0</v>
      </c>
      <c r="AP2212" t="inlineStr">
        <is>
          <t>No</t>
        </is>
      </c>
      <c r="AQ2212" t="inlineStr">
        <is>
          <t>Yes</t>
        </is>
      </c>
      <c r="AR2212">
        <f>HYPERLINK("http://catalog.hathitrust.org/Record/005243561","HathiTrust Record")</f>
        <v/>
      </c>
      <c r="AS2212">
        <f>HYPERLINK("https://creighton-primo.hosted.exlibrisgroup.com/primo-explore/search?tab=default_tab&amp;search_scope=EVERYTHING&amp;vid=01CRU&amp;lang=en_US&amp;offset=0&amp;query=any,contains,991005304199702656","Catalog Record")</f>
        <v/>
      </c>
      <c r="AT2212">
        <f>HYPERLINK("http://www.worldcat.org/oclc/64427511","WorldCat Record")</f>
        <v/>
      </c>
      <c r="AU2212" t="inlineStr">
        <is>
          <t>351407894:eng</t>
        </is>
      </c>
      <c r="AV2212" t="inlineStr">
        <is>
          <t>64427511</t>
        </is>
      </c>
      <c r="AW2212" t="inlineStr">
        <is>
          <t>991005304199702656</t>
        </is>
      </c>
      <c r="AX2212" t="inlineStr">
        <is>
          <t>991005304199702656</t>
        </is>
      </c>
      <c r="AY2212" t="inlineStr">
        <is>
          <t>2256047150002656</t>
        </is>
      </c>
      <c r="AZ2212" t="inlineStr">
        <is>
          <t>BOOK</t>
        </is>
      </c>
      <c r="BB2212" t="inlineStr">
        <is>
          <t>9780804753623</t>
        </is>
      </c>
      <c r="BC2212" t="inlineStr">
        <is>
          <t>32285005514731</t>
        </is>
      </c>
      <c r="BD2212" t="inlineStr">
        <is>
          <t>893326546</t>
        </is>
      </c>
    </row>
    <row r="2213">
      <c r="A2213" t="inlineStr">
        <is>
          <t>No</t>
        </is>
      </c>
      <c r="B2213" t="inlineStr">
        <is>
          <t>DS779.27 .R57 2000</t>
        </is>
      </c>
      <c r="C2213" t="inlineStr">
        <is>
          <t>0                      DS 0779270R  57          2000</t>
        </is>
      </c>
      <c r="D2213" t="inlineStr">
        <is>
          <t>The rise of China / edited by Michael E. Brown ... [et al.].</t>
        </is>
      </c>
      <c r="F2213" t="inlineStr">
        <is>
          <t>No</t>
        </is>
      </c>
      <c r="G2213" t="inlineStr">
        <is>
          <t>1</t>
        </is>
      </c>
      <c r="H2213" t="inlineStr">
        <is>
          <t>No</t>
        </is>
      </c>
      <c r="I2213" t="inlineStr">
        <is>
          <t>No</t>
        </is>
      </c>
      <c r="J2213" t="inlineStr">
        <is>
          <t>0</t>
        </is>
      </c>
      <c r="L2213" t="inlineStr">
        <is>
          <t>Cambridge, Mass. : MIT Press, 2000.</t>
        </is>
      </c>
      <c r="M2213" t="inlineStr">
        <is>
          <t>2000</t>
        </is>
      </c>
      <c r="O2213" t="inlineStr">
        <is>
          <t>eng</t>
        </is>
      </c>
      <c r="P2213" t="inlineStr">
        <is>
          <t>mau</t>
        </is>
      </c>
      <c r="Q2213" t="inlineStr">
        <is>
          <t>International security readers</t>
        </is>
      </c>
      <c r="R2213" t="inlineStr">
        <is>
          <t xml:space="preserve">DS </t>
        </is>
      </c>
      <c r="S2213" t="n">
        <v>9</v>
      </c>
      <c r="T2213" t="n">
        <v>9</v>
      </c>
      <c r="U2213" t="inlineStr">
        <is>
          <t>2007-04-12</t>
        </is>
      </c>
      <c r="V2213" t="inlineStr">
        <is>
          <t>2007-04-12</t>
        </is>
      </c>
      <c r="W2213" t="inlineStr">
        <is>
          <t>2001-02-22</t>
        </is>
      </c>
      <c r="X2213" t="inlineStr">
        <is>
          <t>2001-02-22</t>
        </is>
      </c>
      <c r="Y2213" t="n">
        <v>424</v>
      </c>
      <c r="Z2213" t="n">
        <v>325</v>
      </c>
      <c r="AA2213" t="n">
        <v>586</v>
      </c>
      <c r="AB2213" t="n">
        <v>4</v>
      </c>
      <c r="AC2213" t="n">
        <v>28</v>
      </c>
      <c r="AD2213" t="n">
        <v>22</v>
      </c>
      <c r="AE2213" t="n">
        <v>35</v>
      </c>
      <c r="AF2213" t="n">
        <v>10</v>
      </c>
      <c r="AG2213" t="n">
        <v>12</v>
      </c>
      <c r="AH2213" t="n">
        <v>5</v>
      </c>
      <c r="AI2213" t="n">
        <v>5</v>
      </c>
      <c r="AJ2213" t="n">
        <v>11</v>
      </c>
      <c r="AK2213" t="n">
        <v>13</v>
      </c>
      <c r="AL2213" t="n">
        <v>3</v>
      </c>
      <c r="AM2213" t="n">
        <v>13</v>
      </c>
      <c r="AN2213" t="n">
        <v>0</v>
      </c>
      <c r="AO2213" t="n">
        <v>0</v>
      </c>
      <c r="AP2213" t="inlineStr">
        <is>
          <t>No</t>
        </is>
      </c>
      <c r="AQ2213" t="inlineStr">
        <is>
          <t>No</t>
        </is>
      </c>
      <c r="AS2213">
        <f>HYPERLINK("https://creighton-primo.hosted.exlibrisgroup.com/primo-explore/search?tab=default_tab&amp;search_scope=EVERYTHING&amp;vid=01CRU&amp;lang=en_US&amp;offset=0&amp;query=any,contains,991003306019702656","Catalog Record")</f>
        <v/>
      </c>
      <c r="AT2213">
        <f>HYPERLINK("http://www.worldcat.org/oclc/43969857","WorldCat Record")</f>
        <v/>
      </c>
      <c r="AU2213" t="inlineStr">
        <is>
          <t>56545582:eng</t>
        </is>
      </c>
      <c r="AV2213" t="inlineStr">
        <is>
          <t>43969857</t>
        </is>
      </c>
      <c r="AW2213" t="inlineStr">
        <is>
          <t>991003306019702656</t>
        </is>
      </c>
      <c r="AX2213" t="inlineStr">
        <is>
          <t>991003306019702656</t>
        </is>
      </c>
      <c r="AY2213" t="inlineStr">
        <is>
          <t>2255496370002656</t>
        </is>
      </c>
      <c r="AZ2213" t="inlineStr">
        <is>
          <t>BOOK</t>
        </is>
      </c>
      <c r="BB2213" t="inlineStr">
        <is>
          <t>9780262522762</t>
        </is>
      </c>
      <c r="BC2213" t="inlineStr">
        <is>
          <t>32285004296298</t>
        </is>
      </c>
      <c r="BD2213" t="inlineStr">
        <is>
          <t>893887340</t>
        </is>
      </c>
    </row>
    <row r="2214">
      <c r="A2214" t="inlineStr">
        <is>
          <t>No</t>
        </is>
      </c>
      <c r="B2214" t="inlineStr">
        <is>
          <t>DS779.27 .S86 2005</t>
        </is>
      </c>
      <c r="C2214" t="inlineStr">
        <is>
          <t>0                      DS 0779270S  86          2005</t>
        </is>
      </c>
      <c r="D2214" t="inlineStr">
        <is>
          <t>China's rise in Asia : promises and perils / Robert G. Sutter.</t>
        </is>
      </c>
      <c r="F2214" t="inlineStr">
        <is>
          <t>No</t>
        </is>
      </c>
      <c r="G2214" t="inlineStr">
        <is>
          <t>1</t>
        </is>
      </c>
      <c r="H2214" t="inlineStr">
        <is>
          <t>No</t>
        </is>
      </c>
      <c r="I2214" t="inlineStr">
        <is>
          <t>No</t>
        </is>
      </c>
      <c r="J2214" t="inlineStr">
        <is>
          <t>0</t>
        </is>
      </c>
      <c r="K2214" t="inlineStr">
        <is>
          <t>Sutter, Robert G.</t>
        </is>
      </c>
      <c r="L2214" t="inlineStr">
        <is>
          <t>Lanham, MD : Rowman &amp; Littlefield Publishers, c2005.</t>
        </is>
      </c>
      <c r="M2214" t="inlineStr">
        <is>
          <t>2005</t>
        </is>
      </c>
      <c r="O2214" t="inlineStr">
        <is>
          <t>eng</t>
        </is>
      </c>
      <c r="P2214" t="inlineStr">
        <is>
          <t>mdu</t>
        </is>
      </c>
      <c r="R2214" t="inlineStr">
        <is>
          <t xml:space="preserve">DS </t>
        </is>
      </c>
      <c r="S2214" t="n">
        <v>5</v>
      </c>
      <c r="T2214" t="n">
        <v>5</v>
      </c>
      <c r="U2214" t="inlineStr">
        <is>
          <t>2007-04-12</t>
        </is>
      </c>
      <c r="V2214" t="inlineStr">
        <is>
          <t>2007-04-12</t>
        </is>
      </c>
      <c r="W2214" t="inlineStr">
        <is>
          <t>2006-02-15</t>
        </is>
      </c>
      <c r="X2214" t="inlineStr">
        <is>
          <t>2006-02-15</t>
        </is>
      </c>
      <c r="Y2214" t="n">
        <v>406</v>
      </c>
      <c r="Z2214" t="n">
        <v>311</v>
      </c>
      <c r="AA2214" t="n">
        <v>327</v>
      </c>
      <c r="AB2214" t="n">
        <v>4</v>
      </c>
      <c r="AC2214" t="n">
        <v>4</v>
      </c>
      <c r="AD2214" t="n">
        <v>19</v>
      </c>
      <c r="AE2214" t="n">
        <v>20</v>
      </c>
      <c r="AF2214" t="n">
        <v>8</v>
      </c>
      <c r="AG2214" t="n">
        <v>9</v>
      </c>
      <c r="AH2214" t="n">
        <v>6</v>
      </c>
      <c r="AI2214" t="n">
        <v>7</v>
      </c>
      <c r="AJ2214" t="n">
        <v>9</v>
      </c>
      <c r="AK2214" t="n">
        <v>9</v>
      </c>
      <c r="AL2214" t="n">
        <v>3</v>
      </c>
      <c r="AM2214" t="n">
        <v>3</v>
      </c>
      <c r="AN2214" t="n">
        <v>0</v>
      </c>
      <c r="AO2214" t="n">
        <v>0</v>
      </c>
      <c r="AP2214" t="inlineStr">
        <is>
          <t>No</t>
        </is>
      </c>
      <c r="AQ2214" t="inlineStr">
        <is>
          <t>Yes</t>
        </is>
      </c>
      <c r="AR2214">
        <f>HYPERLINK("http://catalog.hathitrust.org/Record/005018409","HathiTrust Record")</f>
        <v/>
      </c>
      <c r="AS2214">
        <f>HYPERLINK("https://creighton-primo.hosted.exlibrisgroup.com/primo-explore/search?tab=default_tab&amp;search_scope=EVERYTHING&amp;vid=01CRU&amp;lang=en_US&amp;offset=0&amp;query=any,contains,991004742339702656","Catalog Record")</f>
        <v/>
      </c>
      <c r="AT2214">
        <f>HYPERLINK("http://www.worldcat.org/oclc/57170057","WorldCat Record")</f>
        <v/>
      </c>
      <c r="AU2214" t="inlineStr">
        <is>
          <t>180487:eng</t>
        </is>
      </c>
      <c r="AV2214" t="inlineStr">
        <is>
          <t>57170057</t>
        </is>
      </c>
      <c r="AW2214" t="inlineStr">
        <is>
          <t>991004742339702656</t>
        </is>
      </c>
      <c r="AX2214" t="inlineStr">
        <is>
          <t>991004742339702656</t>
        </is>
      </c>
      <c r="AY2214" t="inlineStr">
        <is>
          <t>2258940540002656</t>
        </is>
      </c>
      <c r="AZ2214" t="inlineStr">
        <is>
          <t>BOOK</t>
        </is>
      </c>
      <c r="BB2214" t="inlineStr">
        <is>
          <t>9780742539068</t>
        </is>
      </c>
      <c r="BC2214" t="inlineStr">
        <is>
          <t>32285005161988</t>
        </is>
      </c>
      <c r="BD2214" t="inlineStr">
        <is>
          <t>893706783</t>
        </is>
      </c>
    </row>
    <row r="2215">
      <c r="A2215" t="inlineStr">
        <is>
          <t>No</t>
        </is>
      </c>
      <c r="B2215" t="inlineStr">
        <is>
          <t>DS779.27 .S873 2008</t>
        </is>
      </c>
      <c r="C2215" t="inlineStr">
        <is>
          <t>0                      DS 0779270S  873         2008</t>
        </is>
      </c>
      <c r="D2215" t="inlineStr">
        <is>
          <t>Chinese foreign relations : power and policy since the Cold War / Robert G. Sutter.</t>
        </is>
      </c>
      <c r="F2215" t="inlineStr">
        <is>
          <t>No</t>
        </is>
      </c>
      <c r="G2215" t="inlineStr">
        <is>
          <t>1</t>
        </is>
      </c>
      <c r="H2215" t="inlineStr">
        <is>
          <t>No</t>
        </is>
      </c>
      <c r="I2215" t="inlineStr">
        <is>
          <t>No</t>
        </is>
      </c>
      <c r="J2215" t="inlineStr">
        <is>
          <t>0</t>
        </is>
      </c>
      <c r="K2215" t="inlineStr">
        <is>
          <t>Sutter, Robert G.</t>
        </is>
      </c>
      <c r="L2215" t="inlineStr">
        <is>
          <t>Lanham, MD : Rowman &amp; Littlefield, c2008.</t>
        </is>
      </c>
      <c r="M2215" t="inlineStr">
        <is>
          <t>2008</t>
        </is>
      </c>
      <c r="O2215" t="inlineStr">
        <is>
          <t>eng</t>
        </is>
      </c>
      <c r="P2215" t="inlineStr">
        <is>
          <t>mdu</t>
        </is>
      </c>
      <c r="Q2215" t="inlineStr">
        <is>
          <t>Asia in world politics</t>
        </is>
      </c>
      <c r="R2215" t="inlineStr">
        <is>
          <t xml:space="preserve">DS </t>
        </is>
      </c>
      <c r="S2215" t="n">
        <v>3</v>
      </c>
      <c r="T2215" t="n">
        <v>3</v>
      </c>
      <c r="U2215" t="inlineStr">
        <is>
          <t>2009-12-03</t>
        </is>
      </c>
      <c r="V2215" t="inlineStr">
        <is>
          <t>2009-12-03</t>
        </is>
      </c>
      <c r="W2215" t="inlineStr">
        <is>
          <t>2008-07-30</t>
        </is>
      </c>
      <c r="X2215" t="inlineStr">
        <is>
          <t>2008-07-30</t>
        </is>
      </c>
      <c r="Y2215" t="n">
        <v>478</v>
      </c>
      <c r="Z2215" t="n">
        <v>364</v>
      </c>
      <c r="AA2215" t="n">
        <v>800</v>
      </c>
      <c r="AB2215" t="n">
        <v>3</v>
      </c>
      <c r="AC2215" t="n">
        <v>16</v>
      </c>
      <c r="AD2215" t="n">
        <v>20</v>
      </c>
      <c r="AE2215" t="n">
        <v>42</v>
      </c>
      <c r="AF2215" t="n">
        <v>9</v>
      </c>
      <c r="AG2215" t="n">
        <v>15</v>
      </c>
      <c r="AH2215" t="n">
        <v>4</v>
      </c>
      <c r="AI2215" t="n">
        <v>8</v>
      </c>
      <c r="AJ2215" t="n">
        <v>11</v>
      </c>
      <c r="AK2215" t="n">
        <v>15</v>
      </c>
      <c r="AL2215" t="n">
        <v>2</v>
      </c>
      <c r="AM2215" t="n">
        <v>11</v>
      </c>
      <c r="AN2215" t="n">
        <v>0</v>
      </c>
      <c r="AO2215" t="n">
        <v>0</v>
      </c>
      <c r="AP2215" t="inlineStr">
        <is>
          <t>No</t>
        </is>
      </c>
      <c r="AQ2215" t="inlineStr">
        <is>
          <t>Yes</t>
        </is>
      </c>
      <c r="AR2215">
        <f>HYPERLINK("http://catalog.hathitrust.org/Record/005596255","HathiTrust Record")</f>
        <v/>
      </c>
      <c r="AS2215">
        <f>HYPERLINK("https://creighton-primo.hosted.exlibrisgroup.com/primo-explore/search?tab=default_tab&amp;search_scope=EVERYTHING&amp;vid=01CRU&amp;lang=en_US&amp;offset=0&amp;query=any,contains,991005216439702656","Catalog Record")</f>
        <v/>
      </c>
      <c r="AT2215">
        <f>HYPERLINK("http://www.worldcat.org/oclc/82772706","WorldCat Record")</f>
        <v/>
      </c>
      <c r="AU2215" t="inlineStr">
        <is>
          <t>4916350639:eng</t>
        </is>
      </c>
      <c r="AV2215" t="inlineStr">
        <is>
          <t>82772706</t>
        </is>
      </c>
      <c r="AW2215" t="inlineStr">
        <is>
          <t>991005216439702656</t>
        </is>
      </c>
      <c r="AX2215" t="inlineStr">
        <is>
          <t>991005216439702656</t>
        </is>
      </c>
      <c r="AY2215" t="inlineStr">
        <is>
          <t>2264993760002656</t>
        </is>
      </c>
      <c r="AZ2215" t="inlineStr">
        <is>
          <t>BOOK</t>
        </is>
      </c>
      <c r="BB2215" t="inlineStr">
        <is>
          <t>9780742555365</t>
        </is>
      </c>
      <c r="BC2215" t="inlineStr">
        <is>
          <t>32285005451264</t>
        </is>
      </c>
      <c r="BD2215" t="inlineStr">
        <is>
          <t>893902309</t>
        </is>
      </c>
    </row>
    <row r="2216">
      <c r="A2216" t="inlineStr">
        <is>
          <t>No</t>
        </is>
      </c>
      <c r="B2216" t="inlineStr">
        <is>
          <t>DS779.27 .Y34 1983b</t>
        </is>
      </c>
      <c r="C2216" t="inlineStr">
        <is>
          <t>0                      DS 0779270Y  34          1983b</t>
        </is>
      </c>
      <c r="D2216" t="inlineStr">
        <is>
          <t>Towards the end of isolationism : China's foreign policy after Mao / Michael Yahuda.</t>
        </is>
      </c>
      <c r="F2216" t="inlineStr">
        <is>
          <t>No</t>
        </is>
      </c>
      <c r="G2216" t="inlineStr">
        <is>
          <t>1</t>
        </is>
      </c>
      <c r="H2216" t="inlineStr">
        <is>
          <t>No</t>
        </is>
      </c>
      <c r="I2216" t="inlineStr">
        <is>
          <t>No</t>
        </is>
      </c>
      <c r="J2216" t="inlineStr">
        <is>
          <t>0</t>
        </is>
      </c>
      <c r="K2216" t="inlineStr">
        <is>
          <t>Yahuda, Michael B.</t>
        </is>
      </c>
      <c r="L2216" t="inlineStr">
        <is>
          <t>New York : St. Martin's Press, 1983.</t>
        </is>
      </c>
      <c r="M2216" t="inlineStr">
        <is>
          <t>1983</t>
        </is>
      </c>
      <c r="O2216" t="inlineStr">
        <is>
          <t>eng</t>
        </is>
      </c>
      <c r="P2216" t="inlineStr">
        <is>
          <t>nyu</t>
        </is>
      </c>
      <c r="R2216" t="inlineStr">
        <is>
          <t xml:space="preserve">DS </t>
        </is>
      </c>
      <c r="S2216" t="n">
        <v>3</v>
      </c>
      <c r="T2216" t="n">
        <v>3</v>
      </c>
      <c r="U2216" t="inlineStr">
        <is>
          <t>2005-12-07</t>
        </is>
      </c>
      <c r="V2216" t="inlineStr">
        <is>
          <t>2005-12-07</t>
        </is>
      </c>
      <c r="W2216" t="inlineStr">
        <is>
          <t>1990-10-23</t>
        </is>
      </c>
      <c r="X2216" t="inlineStr">
        <is>
          <t>1990-10-23</t>
        </is>
      </c>
      <c r="Y2216" t="n">
        <v>359</v>
      </c>
      <c r="Z2216" t="n">
        <v>307</v>
      </c>
      <c r="AA2216" t="n">
        <v>374</v>
      </c>
      <c r="AB2216" t="n">
        <v>2</v>
      </c>
      <c r="AC2216" t="n">
        <v>3</v>
      </c>
      <c r="AD2216" t="n">
        <v>19</v>
      </c>
      <c r="AE2216" t="n">
        <v>20</v>
      </c>
      <c r="AF2216" t="n">
        <v>8</v>
      </c>
      <c r="AG2216" t="n">
        <v>8</v>
      </c>
      <c r="AH2216" t="n">
        <v>6</v>
      </c>
      <c r="AI2216" t="n">
        <v>6</v>
      </c>
      <c r="AJ2216" t="n">
        <v>11</v>
      </c>
      <c r="AK2216" t="n">
        <v>11</v>
      </c>
      <c r="AL2216" t="n">
        <v>1</v>
      </c>
      <c r="AM2216" t="n">
        <v>2</v>
      </c>
      <c r="AN2216" t="n">
        <v>0</v>
      </c>
      <c r="AO2216" t="n">
        <v>0</v>
      </c>
      <c r="AP2216" t="inlineStr">
        <is>
          <t>No</t>
        </is>
      </c>
      <c r="AQ2216" t="inlineStr">
        <is>
          <t>No</t>
        </is>
      </c>
      <c r="AS2216">
        <f>HYPERLINK("https://creighton-primo.hosted.exlibrisgroup.com/primo-explore/search?tab=default_tab&amp;search_scope=EVERYTHING&amp;vid=01CRU&amp;lang=en_US&amp;offset=0&amp;query=any,contains,991000338669702656","Catalog Record")</f>
        <v/>
      </c>
      <c r="AT2216">
        <f>HYPERLINK("http://www.worldcat.org/oclc/10240742","WorldCat Record")</f>
        <v/>
      </c>
      <c r="AU2216" t="inlineStr">
        <is>
          <t>2759176:eng</t>
        </is>
      </c>
      <c r="AV2216" t="inlineStr">
        <is>
          <t>10240742</t>
        </is>
      </c>
      <c r="AW2216" t="inlineStr">
        <is>
          <t>991000338669702656</t>
        </is>
      </c>
      <c r="AX2216" t="inlineStr">
        <is>
          <t>991000338669702656</t>
        </is>
      </c>
      <c r="AY2216" t="inlineStr">
        <is>
          <t>2270611960002656</t>
        </is>
      </c>
      <c r="AZ2216" t="inlineStr">
        <is>
          <t>BOOK</t>
        </is>
      </c>
      <c r="BB2216" t="inlineStr">
        <is>
          <t>9780312811419</t>
        </is>
      </c>
      <c r="BC2216" t="inlineStr">
        <is>
          <t>32285000339282</t>
        </is>
      </c>
      <c r="BD2216" t="inlineStr">
        <is>
          <t>893896795</t>
        </is>
      </c>
    </row>
    <row r="2217">
      <c r="A2217" t="inlineStr">
        <is>
          <t>No</t>
        </is>
      </c>
      <c r="B2217" t="inlineStr">
        <is>
          <t>DS779.29.W45 A4 1997</t>
        </is>
      </c>
      <c r="C2217" t="inlineStr">
        <is>
          <t>0                      DS 0779290W  45                 A  4           1997</t>
        </is>
      </c>
      <c r="D2217" t="inlineStr">
        <is>
          <t>The courage to stand alone : letters from prison and other writings / Wei Jingsheng ; edited and translated by Kristina M. Torgeson ; with essays by Andrew J. Nathan, Liu Qing, Sophia Woodman.</t>
        </is>
      </c>
      <c r="F2217" t="inlineStr">
        <is>
          <t>No</t>
        </is>
      </c>
      <c r="G2217" t="inlineStr">
        <is>
          <t>1</t>
        </is>
      </c>
      <c r="H2217" t="inlineStr">
        <is>
          <t>No</t>
        </is>
      </c>
      <c r="I2217" t="inlineStr">
        <is>
          <t>No</t>
        </is>
      </c>
      <c r="J2217" t="inlineStr">
        <is>
          <t>0</t>
        </is>
      </c>
      <c r="K2217" t="inlineStr">
        <is>
          <t>Wei, Jingsheng.</t>
        </is>
      </c>
      <c r="L2217" t="inlineStr">
        <is>
          <t>New York : Viking, 1997.</t>
        </is>
      </c>
      <c r="M2217" t="inlineStr">
        <is>
          <t>1997</t>
        </is>
      </c>
      <c r="O2217" t="inlineStr">
        <is>
          <t>eng</t>
        </is>
      </c>
      <c r="P2217" t="inlineStr">
        <is>
          <t>nyu</t>
        </is>
      </c>
      <c r="R2217" t="inlineStr">
        <is>
          <t xml:space="preserve">DS </t>
        </is>
      </c>
      <c r="S2217" t="n">
        <v>7</v>
      </c>
      <c r="T2217" t="n">
        <v>7</v>
      </c>
      <c r="U2217" t="inlineStr">
        <is>
          <t>1998-05-09</t>
        </is>
      </c>
      <c r="V2217" t="inlineStr">
        <is>
          <t>1998-05-09</t>
        </is>
      </c>
      <c r="W2217" t="inlineStr">
        <is>
          <t>1997-07-02</t>
        </is>
      </c>
      <c r="X2217" t="inlineStr">
        <is>
          <t>1997-07-02</t>
        </is>
      </c>
      <c r="Y2217" t="n">
        <v>851</v>
      </c>
      <c r="Z2217" t="n">
        <v>746</v>
      </c>
      <c r="AA2217" t="n">
        <v>797</v>
      </c>
      <c r="AB2217" t="n">
        <v>4</v>
      </c>
      <c r="AC2217" t="n">
        <v>4</v>
      </c>
      <c r="AD2217" t="n">
        <v>29</v>
      </c>
      <c r="AE2217" t="n">
        <v>33</v>
      </c>
      <c r="AF2217" t="n">
        <v>12</v>
      </c>
      <c r="AG2217" t="n">
        <v>14</v>
      </c>
      <c r="AH2217" t="n">
        <v>6</v>
      </c>
      <c r="AI2217" t="n">
        <v>8</v>
      </c>
      <c r="AJ2217" t="n">
        <v>15</v>
      </c>
      <c r="AK2217" t="n">
        <v>17</v>
      </c>
      <c r="AL2217" t="n">
        <v>3</v>
      </c>
      <c r="AM2217" t="n">
        <v>3</v>
      </c>
      <c r="AN2217" t="n">
        <v>0</v>
      </c>
      <c r="AO2217" t="n">
        <v>0</v>
      </c>
      <c r="AP2217" t="inlineStr">
        <is>
          <t>No</t>
        </is>
      </c>
      <c r="AQ2217" t="inlineStr">
        <is>
          <t>Yes</t>
        </is>
      </c>
      <c r="AR2217">
        <f>HYPERLINK("http://catalog.hathitrust.org/Record/003161920","HathiTrust Record")</f>
        <v/>
      </c>
      <c r="AS2217">
        <f>HYPERLINK("https://creighton-primo.hosted.exlibrisgroup.com/primo-explore/search?tab=default_tab&amp;search_scope=EVERYTHING&amp;vid=01CRU&amp;lang=en_US&amp;offset=0&amp;query=any,contains,991002740779702656","Catalog Record")</f>
        <v/>
      </c>
      <c r="AT2217">
        <f>HYPERLINK("http://www.worldcat.org/oclc/35990327","WorldCat Record")</f>
        <v/>
      </c>
      <c r="AU2217" t="inlineStr">
        <is>
          <t>796321603:eng</t>
        </is>
      </c>
      <c r="AV2217" t="inlineStr">
        <is>
          <t>35990327</t>
        </is>
      </c>
      <c r="AW2217" t="inlineStr">
        <is>
          <t>991002740779702656</t>
        </is>
      </c>
      <c r="AX2217" t="inlineStr">
        <is>
          <t>991002740779702656</t>
        </is>
      </c>
      <c r="AY2217" t="inlineStr">
        <is>
          <t>2264455680002656</t>
        </is>
      </c>
      <c r="AZ2217" t="inlineStr">
        <is>
          <t>BOOK</t>
        </is>
      </c>
      <c r="BB2217" t="inlineStr">
        <is>
          <t>9780670872497</t>
        </is>
      </c>
      <c r="BC2217" t="inlineStr">
        <is>
          <t>32285002880275</t>
        </is>
      </c>
      <c r="BD2217" t="inlineStr">
        <is>
          <t>893867621</t>
        </is>
      </c>
    </row>
    <row r="2218">
      <c r="A2218" t="inlineStr">
        <is>
          <t>No</t>
        </is>
      </c>
      <c r="B2218" t="inlineStr">
        <is>
          <t>DS779.32 .C67 1993</t>
        </is>
      </c>
      <c r="C2218" t="inlineStr">
        <is>
          <t>0                      DS 0779320C  67          1993</t>
        </is>
      </c>
      <c r="D2218" t="inlineStr">
        <is>
          <t>Spring winds of Beijing / Gail Copeland.</t>
        </is>
      </c>
      <c r="F2218" t="inlineStr">
        <is>
          <t>No</t>
        </is>
      </c>
      <c r="G2218" t="inlineStr">
        <is>
          <t>1</t>
        </is>
      </c>
      <c r="H2218" t="inlineStr">
        <is>
          <t>No</t>
        </is>
      </c>
      <c r="I2218" t="inlineStr">
        <is>
          <t>No</t>
        </is>
      </c>
      <c r="J2218" t="inlineStr">
        <is>
          <t>0</t>
        </is>
      </c>
      <c r="K2218" t="inlineStr">
        <is>
          <t>Copeland, Gail.</t>
        </is>
      </c>
      <c r="L2218" t="inlineStr">
        <is>
          <t>Lakewood, CO. : Glenbridge Publishing, c1993.</t>
        </is>
      </c>
      <c r="M2218" t="inlineStr">
        <is>
          <t>1993</t>
        </is>
      </c>
      <c r="O2218" t="inlineStr">
        <is>
          <t>eng</t>
        </is>
      </c>
      <c r="P2218" t="inlineStr">
        <is>
          <t>cou</t>
        </is>
      </c>
      <c r="R2218" t="inlineStr">
        <is>
          <t xml:space="preserve">DS </t>
        </is>
      </c>
      <c r="S2218" t="n">
        <v>9</v>
      </c>
      <c r="T2218" t="n">
        <v>9</v>
      </c>
      <c r="U2218" t="inlineStr">
        <is>
          <t>1998-11-20</t>
        </is>
      </c>
      <c r="V2218" t="inlineStr">
        <is>
          <t>1998-11-20</t>
        </is>
      </c>
      <c r="W2218" t="inlineStr">
        <is>
          <t>1996-12-04</t>
        </is>
      </c>
      <c r="X2218" t="inlineStr">
        <is>
          <t>1996-12-04</t>
        </is>
      </c>
      <c r="Y2218" t="n">
        <v>167</v>
      </c>
      <c r="Z2218" t="n">
        <v>142</v>
      </c>
      <c r="AA2218" t="n">
        <v>156</v>
      </c>
      <c r="AB2218" t="n">
        <v>3</v>
      </c>
      <c r="AC2218" t="n">
        <v>3</v>
      </c>
      <c r="AD2218" t="n">
        <v>7</v>
      </c>
      <c r="AE2218" t="n">
        <v>7</v>
      </c>
      <c r="AF2218" t="n">
        <v>3</v>
      </c>
      <c r="AG2218" t="n">
        <v>3</v>
      </c>
      <c r="AH2218" t="n">
        <v>2</v>
      </c>
      <c r="AI2218" t="n">
        <v>2</v>
      </c>
      <c r="AJ2218" t="n">
        <v>5</v>
      </c>
      <c r="AK2218" t="n">
        <v>5</v>
      </c>
      <c r="AL2218" t="n">
        <v>2</v>
      </c>
      <c r="AM2218" t="n">
        <v>2</v>
      </c>
      <c r="AN2218" t="n">
        <v>0</v>
      </c>
      <c r="AO2218" t="n">
        <v>0</v>
      </c>
      <c r="AP2218" t="inlineStr">
        <is>
          <t>No</t>
        </is>
      </c>
      <c r="AQ2218" t="inlineStr">
        <is>
          <t>Yes</t>
        </is>
      </c>
      <c r="AR2218">
        <f>HYPERLINK("http://catalog.hathitrust.org/Record/002631038","HathiTrust Record")</f>
        <v/>
      </c>
      <c r="AS2218">
        <f>HYPERLINK("https://creighton-primo.hosted.exlibrisgroup.com/primo-explore/search?tab=default_tab&amp;search_scope=EVERYTHING&amp;vid=01CRU&amp;lang=en_US&amp;offset=0&amp;query=any,contains,991002168399702656","Catalog Record")</f>
        <v/>
      </c>
      <c r="AT2218">
        <f>HYPERLINK("http://www.worldcat.org/oclc/27898162","WorldCat Record")</f>
        <v/>
      </c>
      <c r="AU2218" t="inlineStr">
        <is>
          <t>30827367:eng</t>
        </is>
      </c>
      <c r="AV2218" t="inlineStr">
        <is>
          <t>27898162</t>
        </is>
      </c>
      <c r="AW2218" t="inlineStr">
        <is>
          <t>991002168399702656</t>
        </is>
      </c>
      <c r="AX2218" t="inlineStr">
        <is>
          <t>991002168399702656</t>
        </is>
      </c>
      <c r="AY2218" t="inlineStr">
        <is>
          <t>2263156770002656</t>
        </is>
      </c>
      <c r="AZ2218" t="inlineStr">
        <is>
          <t>BOOK</t>
        </is>
      </c>
      <c r="BB2218" t="inlineStr">
        <is>
          <t>9780944435205</t>
        </is>
      </c>
      <c r="BC2218" t="inlineStr">
        <is>
          <t>32285002388063</t>
        </is>
      </c>
      <c r="BD2218" t="inlineStr">
        <is>
          <t>893226540</t>
        </is>
      </c>
    </row>
    <row r="2219">
      <c r="A2219" t="inlineStr">
        <is>
          <t>No</t>
        </is>
      </c>
      <c r="B2219" t="inlineStr">
        <is>
          <t>DS779.32 .C84 1991</t>
        </is>
      </c>
      <c r="C2219" t="inlineStr">
        <is>
          <t>0                      DS 0779320C  84          1991</t>
        </is>
      </c>
      <c r="D2219" t="inlineStr">
        <is>
          <t>Culture &amp; politics in China : an anatomy of Tiananmen Square / Peter Li, Marjorie H. Li and Steven Mark, editors.</t>
        </is>
      </c>
      <c r="F2219" t="inlineStr">
        <is>
          <t>No</t>
        </is>
      </c>
      <c r="G2219" t="inlineStr">
        <is>
          <t>1</t>
        </is>
      </c>
      <c r="H2219" t="inlineStr">
        <is>
          <t>No</t>
        </is>
      </c>
      <c r="I2219" t="inlineStr">
        <is>
          <t>No</t>
        </is>
      </c>
      <c r="J2219" t="inlineStr">
        <is>
          <t>0</t>
        </is>
      </c>
      <c r="L2219" t="inlineStr">
        <is>
          <t>New Brunswick, U.S.A. : Transaction Publishers, c1991</t>
        </is>
      </c>
      <c r="M2219" t="inlineStr">
        <is>
          <t>1991</t>
        </is>
      </c>
      <c r="O2219" t="inlineStr">
        <is>
          <t>eng</t>
        </is>
      </c>
      <c r="P2219" t="inlineStr">
        <is>
          <t>nju</t>
        </is>
      </c>
      <c r="R2219" t="inlineStr">
        <is>
          <t xml:space="preserve">DS </t>
        </is>
      </c>
      <c r="S2219" t="n">
        <v>2</v>
      </c>
      <c r="T2219" t="n">
        <v>2</v>
      </c>
      <c r="U2219" t="inlineStr">
        <is>
          <t>2008-11-18</t>
        </is>
      </c>
      <c r="V2219" t="inlineStr">
        <is>
          <t>2008-11-18</t>
        </is>
      </c>
      <c r="W2219" t="inlineStr">
        <is>
          <t>2007-11-27</t>
        </is>
      </c>
      <c r="X2219" t="inlineStr">
        <is>
          <t>2007-11-27</t>
        </is>
      </c>
      <c r="Y2219" t="n">
        <v>419</v>
      </c>
      <c r="Z2219" t="n">
        <v>337</v>
      </c>
      <c r="AA2219" t="n">
        <v>382</v>
      </c>
      <c r="AB2219" t="n">
        <v>3</v>
      </c>
      <c r="AC2219" t="n">
        <v>3</v>
      </c>
      <c r="AD2219" t="n">
        <v>15</v>
      </c>
      <c r="AE2219" t="n">
        <v>15</v>
      </c>
      <c r="AF2219" t="n">
        <v>2</v>
      </c>
      <c r="AG2219" t="n">
        <v>2</v>
      </c>
      <c r="AH2219" t="n">
        <v>7</v>
      </c>
      <c r="AI2219" t="n">
        <v>7</v>
      </c>
      <c r="AJ2219" t="n">
        <v>7</v>
      </c>
      <c r="AK2219" t="n">
        <v>7</v>
      </c>
      <c r="AL2219" t="n">
        <v>2</v>
      </c>
      <c r="AM2219" t="n">
        <v>2</v>
      </c>
      <c r="AN2219" t="n">
        <v>0</v>
      </c>
      <c r="AO2219" t="n">
        <v>0</v>
      </c>
      <c r="AP2219" t="inlineStr">
        <is>
          <t>No</t>
        </is>
      </c>
      <c r="AQ2219" t="inlineStr">
        <is>
          <t>No</t>
        </is>
      </c>
      <c r="AS2219">
        <f>HYPERLINK("https://creighton-primo.hosted.exlibrisgroup.com/primo-explore/search?tab=default_tab&amp;search_scope=EVERYTHING&amp;vid=01CRU&amp;lang=en_US&amp;offset=0&amp;query=any,contains,991005153109702656","Catalog Record")</f>
        <v/>
      </c>
      <c r="AT2219">
        <f>HYPERLINK("http://www.worldcat.org/oclc/22118951","WorldCat Record")</f>
        <v/>
      </c>
      <c r="AU2219" t="inlineStr">
        <is>
          <t>364206883:eng</t>
        </is>
      </c>
      <c r="AV2219" t="inlineStr">
        <is>
          <t>22118951</t>
        </is>
      </c>
      <c r="AW2219" t="inlineStr">
        <is>
          <t>991005153109702656</t>
        </is>
      </c>
      <c r="AX2219" t="inlineStr">
        <is>
          <t>991005153109702656</t>
        </is>
      </c>
      <c r="AY2219" t="inlineStr">
        <is>
          <t>2260690780002656</t>
        </is>
      </c>
      <c r="AZ2219" t="inlineStr">
        <is>
          <t>BOOK</t>
        </is>
      </c>
      <c r="BB2219" t="inlineStr">
        <is>
          <t>9780887383533</t>
        </is>
      </c>
      <c r="BC2219" t="inlineStr">
        <is>
          <t>32285005368567</t>
        </is>
      </c>
      <c r="BD2219" t="inlineStr">
        <is>
          <t>893501412</t>
        </is>
      </c>
    </row>
    <row r="2220">
      <c r="A2220" t="inlineStr">
        <is>
          <t>No</t>
        </is>
      </c>
      <c r="B2220" t="inlineStr">
        <is>
          <t>DS783.8 .D63 1984</t>
        </is>
      </c>
      <c r="C2220" t="inlineStr">
        <is>
          <t>0                      DS 0783800D  63          1984</t>
        </is>
      </c>
      <c r="D2220" t="inlineStr">
        <is>
          <t>When the wicked rise : American opinion-makers and the Manchurian crisis of 1931-1933 / Justus D. Doenecke.</t>
        </is>
      </c>
      <c r="F2220" t="inlineStr">
        <is>
          <t>No</t>
        </is>
      </c>
      <c r="G2220" t="inlineStr">
        <is>
          <t>1</t>
        </is>
      </c>
      <c r="H2220" t="inlineStr">
        <is>
          <t>No</t>
        </is>
      </c>
      <c r="I2220" t="inlineStr">
        <is>
          <t>No</t>
        </is>
      </c>
      <c r="J2220" t="inlineStr">
        <is>
          <t>0</t>
        </is>
      </c>
      <c r="K2220" t="inlineStr">
        <is>
          <t>Doenecke, Justus D.</t>
        </is>
      </c>
      <c r="L2220" t="inlineStr">
        <is>
          <t>Lewisburg, Pa. : Bucknell University Press ; London : Associated University Presses, c1984.</t>
        </is>
      </c>
      <c r="M2220" t="inlineStr">
        <is>
          <t>1984</t>
        </is>
      </c>
      <c r="O2220" t="inlineStr">
        <is>
          <t>eng</t>
        </is>
      </c>
      <c r="P2220" t="inlineStr">
        <is>
          <t>pau</t>
        </is>
      </c>
      <c r="R2220" t="inlineStr">
        <is>
          <t xml:space="preserve">DS </t>
        </is>
      </c>
      <c r="S2220" t="n">
        <v>2</v>
      </c>
      <c r="T2220" t="n">
        <v>2</v>
      </c>
      <c r="U2220" t="inlineStr">
        <is>
          <t>1994-04-21</t>
        </is>
      </c>
      <c r="V2220" t="inlineStr">
        <is>
          <t>1994-04-21</t>
        </is>
      </c>
      <c r="W2220" t="inlineStr">
        <is>
          <t>1990-10-23</t>
        </is>
      </c>
      <c r="X2220" t="inlineStr">
        <is>
          <t>1990-10-23</t>
        </is>
      </c>
      <c r="Y2220" t="n">
        <v>322</v>
      </c>
      <c r="Z2220" t="n">
        <v>265</v>
      </c>
      <c r="AA2220" t="n">
        <v>269</v>
      </c>
      <c r="AB2220" t="n">
        <v>3</v>
      </c>
      <c r="AC2220" t="n">
        <v>3</v>
      </c>
      <c r="AD2220" t="n">
        <v>12</v>
      </c>
      <c r="AE2220" t="n">
        <v>12</v>
      </c>
      <c r="AF2220" t="n">
        <v>2</v>
      </c>
      <c r="AG2220" t="n">
        <v>2</v>
      </c>
      <c r="AH2220" t="n">
        <v>5</v>
      </c>
      <c r="AI2220" t="n">
        <v>5</v>
      </c>
      <c r="AJ2220" t="n">
        <v>7</v>
      </c>
      <c r="AK2220" t="n">
        <v>7</v>
      </c>
      <c r="AL2220" t="n">
        <v>2</v>
      </c>
      <c r="AM2220" t="n">
        <v>2</v>
      </c>
      <c r="AN2220" t="n">
        <v>0</v>
      </c>
      <c r="AO2220" t="n">
        <v>0</v>
      </c>
      <c r="AP2220" t="inlineStr">
        <is>
          <t>No</t>
        </is>
      </c>
      <c r="AQ2220" t="inlineStr">
        <is>
          <t>Yes</t>
        </is>
      </c>
      <c r="AR2220">
        <f>HYPERLINK("http://catalog.hathitrust.org/Record/000241484","HathiTrust Record")</f>
        <v/>
      </c>
      <c r="AS2220">
        <f>HYPERLINK("https://creighton-primo.hosted.exlibrisgroup.com/primo-explore/search?tab=default_tab&amp;search_scope=EVERYTHING&amp;vid=01CRU&amp;lang=en_US&amp;offset=0&amp;query=any,contains,991000226129702656","Catalog Record")</f>
        <v/>
      </c>
      <c r="AT2220">
        <f>HYPERLINK("http://www.worldcat.org/oclc/9620006","WorldCat Record")</f>
        <v/>
      </c>
      <c r="AU2220" t="inlineStr">
        <is>
          <t>20724226:eng</t>
        </is>
      </c>
      <c r="AV2220" t="inlineStr">
        <is>
          <t>9620006</t>
        </is>
      </c>
      <c r="AW2220" t="inlineStr">
        <is>
          <t>991000226129702656</t>
        </is>
      </c>
      <c r="AX2220" t="inlineStr">
        <is>
          <t>991000226129702656</t>
        </is>
      </c>
      <c r="AY2220" t="inlineStr">
        <is>
          <t>2270339970002656</t>
        </is>
      </c>
      <c r="AZ2220" t="inlineStr">
        <is>
          <t>BOOK</t>
        </is>
      </c>
      <c r="BB2220" t="inlineStr">
        <is>
          <t>9780838750483</t>
        </is>
      </c>
      <c r="BC2220" t="inlineStr">
        <is>
          <t>32285000339290</t>
        </is>
      </c>
      <c r="BD2220" t="inlineStr">
        <is>
          <t>893614036</t>
        </is>
      </c>
    </row>
    <row r="2221">
      <c r="A2221" t="inlineStr">
        <is>
          <t>No</t>
        </is>
      </c>
      <c r="B2221" t="inlineStr">
        <is>
          <t>DS785 .F34 1998</t>
        </is>
      </c>
      <c r="C2221" t="inlineStr">
        <is>
          <t>0                      DS 0785000F  34          1998</t>
        </is>
      </c>
      <c r="D2221" t="inlineStr">
        <is>
          <t>Demystifying Tibet : unlocking the secrets of the land of the snows / Lee Feigon.</t>
        </is>
      </c>
      <c r="F2221" t="inlineStr">
        <is>
          <t>No</t>
        </is>
      </c>
      <c r="G2221" t="inlineStr">
        <is>
          <t>1</t>
        </is>
      </c>
      <c r="H2221" t="inlineStr">
        <is>
          <t>No</t>
        </is>
      </c>
      <c r="I2221" t="inlineStr">
        <is>
          <t>No</t>
        </is>
      </c>
      <c r="J2221" t="inlineStr">
        <is>
          <t>0</t>
        </is>
      </c>
      <c r="K2221" t="inlineStr">
        <is>
          <t>Feigon, Lee, 1945-</t>
        </is>
      </c>
      <c r="L2221" t="inlineStr">
        <is>
          <t>Chicago : Ivan R. Dee, Publisher, 1998.</t>
        </is>
      </c>
      <c r="M2221" t="inlineStr">
        <is>
          <t>1998</t>
        </is>
      </c>
      <c r="N2221" t="inlineStr">
        <is>
          <t>1st elephant pbk. ed.</t>
        </is>
      </c>
      <c r="O2221" t="inlineStr">
        <is>
          <t>eng</t>
        </is>
      </c>
      <c r="P2221" t="inlineStr">
        <is>
          <t>ilu</t>
        </is>
      </c>
      <c r="R2221" t="inlineStr">
        <is>
          <t xml:space="preserve">DS </t>
        </is>
      </c>
      <c r="S2221" t="n">
        <v>6</v>
      </c>
      <c r="T2221" t="n">
        <v>6</v>
      </c>
      <c r="U2221" t="inlineStr">
        <is>
          <t>2005-02-15</t>
        </is>
      </c>
      <c r="V2221" t="inlineStr">
        <is>
          <t>2005-02-15</t>
        </is>
      </c>
      <c r="W2221" t="inlineStr">
        <is>
          <t>2002-01-10</t>
        </is>
      </c>
      <c r="X2221" t="inlineStr">
        <is>
          <t>2002-01-10</t>
        </is>
      </c>
      <c r="Y2221" t="n">
        <v>86</v>
      </c>
      <c r="Z2221" t="n">
        <v>72</v>
      </c>
      <c r="AA2221" t="n">
        <v>655</v>
      </c>
      <c r="AB2221" t="n">
        <v>1</v>
      </c>
      <c r="AC2221" t="n">
        <v>3</v>
      </c>
      <c r="AD2221" t="n">
        <v>4</v>
      </c>
      <c r="AE2221" t="n">
        <v>22</v>
      </c>
      <c r="AF2221" t="n">
        <v>3</v>
      </c>
      <c r="AG2221" t="n">
        <v>11</v>
      </c>
      <c r="AH2221" t="n">
        <v>0</v>
      </c>
      <c r="AI2221" t="n">
        <v>4</v>
      </c>
      <c r="AJ2221" t="n">
        <v>3</v>
      </c>
      <c r="AK2221" t="n">
        <v>11</v>
      </c>
      <c r="AL2221" t="n">
        <v>0</v>
      </c>
      <c r="AM2221" t="n">
        <v>1</v>
      </c>
      <c r="AN2221" t="n">
        <v>0</v>
      </c>
      <c r="AO2221" t="n">
        <v>0</v>
      </c>
      <c r="AP2221" t="inlineStr">
        <is>
          <t>No</t>
        </is>
      </c>
      <c r="AQ2221" t="inlineStr">
        <is>
          <t>No</t>
        </is>
      </c>
      <c r="AS2221">
        <f>HYPERLINK("https://creighton-primo.hosted.exlibrisgroup.com/primo-explore/search?tab=default_tab&amp;search_scope=EVERYTHING&amp;vid=01CRU&amp;lang=en_US&amp;offset=0&amp;query=any,contains,991003697209702656","Catalog Record")</f>
        <v/>
      </c>
      <c r="AT2221">
        <f>HYPERLINK("http://www.worldcat.org/oclc/38258001","WorldCat Record")</f>
        <v/>
      </c>
      <c r="AU2221" t="inlineStr">
        <is>
          <t>793897153:eng</t>
        </is>
      </c>
      <c r="AV2221" t="inlineStr">
        <is>
          <t>38258001</t>
        </is>
      </c>
      <c r="AW2221" t="inlineStr">
        <is>
          <t>991003697209702656</t>
        </is>
      </c>
      <c r="AX2221" t="inlineStr">
        <is>
          <t>991003697209702656</t>
        </is>
      </c>
      <c r="AY2221" t="inlineStr">
        <is>
          <t>2270909240002656</t>
        </is>
      </c>
      <c r="AZ2221" t="inlineStr">
        <is>
          <t>BOOK</t>
        </is>
      </c>
      <c r="BB2221" t="inlineStr">
        <is>
          <t>9781566631969</t>
        </is>
      </c>
      <c r="BC2221" t="inlineStr">
        <is>
          <t>32285004447867</t>
        </is>
      </c>
      <c r="BD2221" t="inlineStr">
        <is>
          <t>893592772</t>
        </is>
      </c>
    </row>
    <row r="2222">
      <c r="A2222" t="inlineStr">
        <is>
          <t>No</t>
        </is>
      </c>
      <c r="B2222" t="inlineStr">
        <is>
          <t>DS785 .F56 1974</t>
        </is>
      </c>
      <c r="C2222" t="inlineStr">
        <is>
          <t>0                      DS 0785000F  56          1974</t>
        </is>
      </c>
      <c r="D2222" t="inlineStr">
        <is>
          <t>Bayonets to Lhasa : the first full account of the British invasion of Tibet in 1904.</t>
        </is>
      </c>
      <c r="F2222" t="inlineStr">
        <is>
          <t>No</t>
        </is>
      </c>
      <c r="G2222" t="inlineStr">
        <is>
          <t>1</t>
        </is>
      </c>
      <c r="H2222" t="inlineStr">
        <is>
          <t>No</t>
        </is>
      </c>
      <c r="I2222" t="inlineStr">
        <is>
          <t>No</t>
        </is>
      </c>
      <c r="J2222" t="inlineStr">
        <is>
          <t>0</t>
        </is>
      </c>
      <c r="K2222" t="inlineStr">
        <is>
          <t>Fleming, Peter, 1907-1971.</t>
        </is>
      </c>
      <c r="L2222" t="inlineStr">
        <is>
          <t>Westport, Conn., Greenwood Press [1974, c1961]</t>
        </is>
      </c>
      <c r="M2222" t="inlineStr">
        <is>
          <t>1974</t>
        </is>
      </c>
      <c r="O2222" t="inlineStr">
        <is>
          <t>eng</t>
        </is>
      </c>
      <c r="P2222" t="inlineStr">
        <is>
          <t>ctu</t>
        </is>
      </c>
      <c r="R2222" t="inlineStr">
        <is>
          <t xml:space="preserve">DS </t>
        </is>
      </c>
      <c r="S2222" t="n">
        <v>2</v>
      </c>
      <c r="T2222" t="n">
        <v>2</v>
      </c>
      <c r="U2222" t="inlineStr">
        <is>
          <t>2008-04-25</t>
        </is>
      </c>
      <c r="V2222" t="inlineStr">
        <is>
          <t>2008-04-25</t>
        </is>
      </c>
      <c r="W2222" t="inlineStr">
        <is>
          <t>1996-08-12</t>
        </is>
      </c>
      <c r="X2222" t="inlineStr">
        <is>
          <t>1996-08-12</t>
        </is>
      </c>
      <c r="Y2222" t="n">
        <v>68</v>
      </c>
      <c r="Z2222" t="n">
        <v>57</v>
      </c>
      <c r="AA2222" t="n">
        <v>600</v>
      </c>
      <c r="AB2222" t="n">
        <v>1</v>
      </c>
      <c r="AC2222" t="n">
        <v>1</v>
      </c>
      <c r="AD2222" t="n">
        <v>2</v>
      </c>
      <c r="AE2222" t="n">
        <v>16</v>
      </c>
      <c r="AF2222" t="n">
        <v>1</v>
      </c>
      <c r="AG2222" t="n">
        <v>6</v>
      </c>
      <c r="AH2222" t="n">
        <v>0</v>
      </c>
      <c r="AI2222" t="n">
        <v>4</v>
      </c>
      <c r="AJ2222" t="n">
        <v>2</v>
      </c>
      <c r="AK2222" t="n">
        <v>11</v>
      </c>
      <c r="AL2222" t="n">
        <v>0</v>
      </c>
      <c r="AM2222" t="n">
        <v>0</v>
      </c>
      <c r="AN2222" t="n">
        <v>0</v>
      </c>
      <c r="AO2222" t="n">
        <v>0</v>
      </c>
      <c r="AP2222" t="inlineStr">
        <is>
          <t>No</t>
        </is>
      </c>
      <c r="AQ2222" t="inlineStr">
        <is>
          <t>No</t>
        </is>
      </c>
      <c r="AS2222">
        <f>HYPERLINK("https://creighton-primo.hosted.exlibrisgroup.com/primo-explore/search?tab=default_tab&amp;search_scope=EVERYTHING&amp;vid=01CRU&amp;lang=en_US&amp;offset=0&amp;query=any,contains,991003288329702656","Catalog Record")</f>
        <v/>
      </c>
      <c r="AT2222">
        <f>HYPERLINK("http://www.worldcat.org/oclc/810305","WorldCat Record")</f>
        <v/>
      </c>
      <c r="AU2222" t="inlineStr">
        <is>
          <t>431966674:eng</t>
        </is>
      </c>
      <c r="AV2222" t="inlineStr">
        <is>
          <t>810305</t>
        </is>
      </c>
      <c r="AW2222" t="inlineStr">
        <is>
          <t>991003288329702656</t>
        </is>
      </c>
      <c r="AX2222" t="inlineStr">
        <is>
          <t>991003288329702656</t>
        </is>
      </c>
      <c r="AY2222" t="inlineStr">
        <is>
          <t>2269007400002656</t>
        </is>
      </c>
      <c r="AZ2222" t="inlineStr">
        <is>
          <t>BOOK</t>
        </is>
      </c>
      <c r="BB2222" t="inlineStr">
        <is>
          <t>9780837172163</t>
        </is>
      </c>
      <c r="BC2222" t="inlineStr">
        <is>
          <t>32285002274180</t>
        </is>
      </c>
      <c r="BD2222" t="inlineStr">
        <is>
          <t>893445598</t>
        </is>
      </c>
    </row>
    <row r="2223">
      <c r="A2223" t="inlineStr">
        <is>
          <t>No</t>
        </is>
      </c>
      <c r="B2223" t="inlineStr">
        <is>
          <t>DS785 .G8313</t>
        </is>
      </c>
      <c r="C2223" t="inlineStr">
        <is>
          <t>0                      DS 0785000G  8313</t>
        </is>
      </c>
      <c r="D2223" t="inlineStr">
        <is>
          <t>The empire of the steppes; a history of central Asia. Translated from the French by Naomi Walford.</t>
        </is>
      </c>
      <c r="F2223" t="inlineStr">
        <is>
          <t>No</t>
        </is>
      </c>
      <c r="G2223" t="inlineStr">
        <is>
          <t>1</t>
        </is>
      </c>
      <c r="H2223" t="inlineStr">
        <is>
          <t>No</t>
        </is>
      </c>
      <c r="I2223" t="inlineStr">
        <is>
          <t>No</t>
        </is>
      </c>
      <c r="J2223" t="inlineStr">
        <is>
          <t>0</t>
        </is>
      </c>
      <c r="K2223" t="inlineStr">
        <is>
          <t>Grousset, René, 1885-1952.</t>
        </is>
      </c>
      <c r="L2223" t="inlineStr">
        <is>
          <t>New Brunswick, N.J., Rutgers University Press [1970]</t>
        </is>
      </c>
      <c r="M2223" t="inlineStr">
        <is>
          <t>1970</t>
        </is>
      </c>
      <c r="O2223" t="inlineStr">
        <is>
          <t>eng</t>
        </is>
      </c>
      <c r="P2223" t="inlineStr">
        <is>
          <t>nju</t>
        </is>
      </c>
      <c r="R2223" t="inlineStr">
        <is>
          <t xml:space="preserve">DS </t>
        </is>
      </c>
      <c r="S2223" t="n">
        <v>2</v>
      </c>
      <c r="T2223" t="n">
        <v>2</v>
      </c>
      <c r="U2223" t="inlineStr">
        <is>
          <t>2008-05-06</t>
        </is>
      </c>
      <c r="V2223" t="inlineStr">
        <is>
          <t>2008-05-06</t>
        </is>
      </c>
      <c r="W2223" t="inlineStr">
        <is>
          <t>1997-03-14</t>
        </is>
      </c>
      <c r="X2223" t="inlineStr">
        <is>
          <t>1997-03-14</t>
        </is>
      </c>
      <c r="Y2223" t="n">
        <v>1417</v>
      </c>
      <c r="Z2223" t="n">
        <v>1276</v>
      </c>
      <c r="AA2223" t="n">
        <v>1364</v>
      </c>
      <c r="AB2223" t="n">
        <v>12</v>
      </c>
      <c r="AC2223" t="n">
        <v>12</v>
      </c>
      <c r="AD2223" t="n">
        <v>43</v>
      </c>
      <c r="AE2223" t="n">
        <v>45</v>
      </c>
      <c r="AF2223" t="n">
        <v>19</v>
      </c>
      <c r="AG2223" t="n">
        <v>20</v>
      </c>
      <c r="AH2223" t="n">
        <v>10</v>
      </c>
      <c r="AI2223" t="n">
        <v>10</v>
      </c>
      <c r="AJ2223" t="n">
        <v>16</v>
      </c>
      <c r="AK2223" t="n">
        <v>17</v>
      </c>
      <c r="AL2223" t="n">
        <v>8</v>
      </c>
      <c r="AM2223" t="n">
        <v>8</v>
      </c>
      <c r="AN2223" t="n">
        <v>0</v>
      </c>
      <c r="AO2223" t="n">
        <v>1</v>
      </c>
      <c r="AP2223" t="inlineStr">
        <is>
          <t>No</t>
        </is>
      </c>
      <c r="AQ2223" t="inlineStr">
        <is>
          <t>Yes</t>
        </is>
      </c>
      <c r="AR2223">
        <f>HYPERLINK("http://catalog.hathitrust.org/Record/001240095","HathiTrust Record")</f>
        <v/>
      </c>
      <c r="AS2223">
        <f>HYPERLINK("https://creighton-primo.hosted.exlibrisgroup.com/primo-explore/search?tab=default_tab&amp;search_scope=EVERYTHING&amp;vid=01CRU&amp;lang=en_US&amp;offset=0&amp;query=any,contains,991000543219702656","Catalog Record")</f>
        <v/>
      </c>
      <c r="AT2223">
        <f>HYPERLINK("http://www.worldcat.org/oclc/90972","WorldCat Record")</f>
        <v/>
      </c>
      <c r="AU2223" t="inlineStr">
        <is>
          <t>4088249844:eng</t>
        </is>
      </c>
      <c r="AV2223" t="inlineStr">
        <is>
          <t>90972</t>
        </is>
      </c>
      <c r="AW2223" t="inlineStr">
        <is>
          <t>991000543219702656</t>
        </is>
      </c>
      <c r="AX2223" t="inlineStr">
        <is>
          <t>991000543219702656</t>
        </is>
      </c>
      <c r="AY2223" t="inlineStr">
        <is>
          <t>2266369280002656</t>
        </is>
      </c>
      <c r="AZ2223" t="inlineStr">
        <is>
          <t>BOOK</t>
        </is>
      </c>
      <c r="BB2223" t="inlineStr">
        <is>
          <t>9780813506272</t>
        </is>
      </c>
      <c r="BC2223" t="inlineStr">
        <is>
          <t>32285002449378</t>
        </is>
      </c>
      <c r="BD2223" t="inlineStr">
        <is>
          <t>893601842</t>
        </is>
      </c>
    </row>
    <row r="2224">
      <c r="A2224" t="inlineStr">
        <is>
          <t>No</t>
        </is>
      </c>
      <c r="B2224" t="inlineStr">
        <is>
          <t>DS785 .H273 1954</t>
        </is>
      </c>
      <c r="C2224" t="inlineStr">
        <is>
          <t>0                      DS 0785000H  273         1954</t>
        </is>
      </c>
      <c r="D2224" t="inlineStr">
        <is>
          <t>Seven years in Tibet / translated by Richard Graves.</t>
        </is>
      </c>
      <c r="F2224" t="inlineStr">
        <is>
          <t>No</t>
        </is>
      </c>
      <c r="G2224" t="inlineStr">
        <is>
          <t>1</t>
        </is>
      </c>
      <c r="H2224" t="inlineStr">
        <is>
          <t>No</t>
        </is>
      </c>
      <c r="I2224" t="inlineStr">
        <is>
          <t>No</t>
        </is>
      </c>
      <c r="J2224" t="inlineStr">
        <is>
          <t>0</t>
        </is>
      </c>
      <c r="K2224" t="inlineStr">
        <is>
          <t>Harrer, Heinrich, 1912-2006.</t>
        </is>
      </c>
      <c r="L2224" t="inlineStr">
        <is>
          <t>New York : Dutton, 1954 [c1953]</t>
        </is>
      </c>
      <c r="M2224" t="inlineStr">
        <is>
          <t>1954</t>
        </is>
      </c>
      <c r="N2224" t="inlineStr">
        <is>
          <t>[1st American ed.]</t>
        </is>
      </c>
      <c r="O2224" t="inlineStr">
        <is>
          <t>eng</t>
        </is>
      </c>
      <c r="P2224" t="inlineStr">
        <is>
          <t>nyu</t>
        </is>
      </c>
      <c r="R2224" t="inlineStr">
        <is>
          <t xml:space="preserve">DS </t>
        </is>
      </c>
      <c r="S2224" t="n">
        <v>6</v>
      </c>
      <c r="T2224" t="n">
        <v>6</v>
      </c>
      <c r="U2224" t="inlineStr">
        <is>
          <t>2003-12-15</t>
        </is>
      </c>
      <c r="V2224" t="inlineStr">
        <is>
          <t>2003-12-15</t>
        </is>
      </c>
      <c r="W2224" t="inlineStr">
        <is>
          <t>1992-10-06</t>
        </is>
      </c>
      <c r="X2224" t="inlineStr">
        <is>
          <t>1992-10-06</t>
        </is>
      </c>
      <c r="Y2224" t="n">
        <v>1533</v>
      </c>
      <c r="Z2224" t="n">
        <v>1470</v>
      </c>
      <c r="AA2224" t="n">
        <v>2682</v>
      </c>
      <c r="AB2224" t="n">
        <v>14</v>
      </c>
      <c r="AC2224" t="n">
        <v>20</v>
      </c>
      <c r="AD2224" t="n">
        <v>44</v>
      </c>
      <c r="AE2224" t="n">
        <v>55</v>
      </c>
      <c r="AF2224" t="n">
        <v>16</v>
      </c>
      <c r="AG2224" t="n">
        <v>24</v>
      </c>
      <c r="AH2224" t="n">
        <v>8</v>
      </c>
      <c r="AI2224" t="n">
        <v>10</v>
      </c>
      <c r="AJ2224" t="n">
        <v>20</v>
      </c>
      <c r="AK2224" t="n">
        <v>25</v>
      </c>
      <c r="AL2224" t="n">
        <v>8</v>
      </c>
      <c r="AM2224" t="n">
        <v>8</v>
      </c>
      <c r="AN2224" t="n">
        <v>0</v>
      </c>
      <c r="AO2224" t="n">
        <v>0</v>
      </c>
      <c r="AP2224" t="inlineStr">
        <is>
          <t>No</t>
        </is>
      </c>
      <c r="AQ2224" t="inlineStr">
        <is>
          <t>Yes</t>
        </is>
      </c>
      <c r="AR2224">
        <f>HYPERLINK("http://catalog.hathitrust.org/Record/001872178","HathiTrust Record")</f>
        <v/>
      </c>
      <c r="AS2224">
        <f>HYPERLINK("https://creighton-primo.hosted.exlibrisgroup.com/primo-explore/search?tab=default_tab&amp;search_scope=EVERYTHING&amp;vid=01CRU&amp;lang=en_US&amp;offset=0&amp;query=any,contains,991002137459702656","Catalog Record")</f>
        <v/>
      </c>
      <c r="AT2224">
        <f>HYPERLINK("http://www.worldcat.org/oclc/270329","WorldCat Record")</f>
        <v/>
      </c>
      <c r="AU2224" t="inlineStr">
        <is>
          <t>1151186109:eng</t>
        </is>
      </c>
      <c r="AV2224" t="inlineStr">
        <is>
          <t>270329</t>
        </is>
      </c>
      <c r="AW2224" t="inlineStr">
        <is>
          <t>991002137459702656</t>
        </is>
      </c>
      <c r="AX2224" t="inlineStr">
        <is>
          <t>991002137459702656</t>
        </is>
      </c>
      <c r="AY2224" t="inlineStr">
        <is>
          <t>2263837820002656</t>
        </is>
      </c>
      <c r="AZ2224" t="inlineStr">
        <is>
          <t>BOOK</t>
        </is>
      </c>
      <c r="BC2224" t="inlineStr">
        <is>
          <t>32285001326205</t>
        </is>
      </c>
      <c r="BD2224" t="inlineStr">
        <is>
          <t>893510340</t>
        </is>
      </c>
    </row>
    <row r="2225">
      <c r="A2225" t="inlineStr">
        <is>
          <t>No</t>
        </is>
      </c>
      <c r="B2225" t="inlineStr">
        <is>
          <t>DS785 .H4</t>
        </is>
      </c>
      <c r="C2225" t="inlineStr">
        <is>
          <t>0                      DS 0785000H  4</t>
        </is>
      </c>
      <c r="D2225" t="inlineStr">
        <is>
          <t>A conquest of Tibet.</t>
        </is>
      </c>
      <c r="F2225" t="inlineStr">
        <is>
          <t>No</t>
        </is>
      </c>
      <c r="G2225" t="inlineStr">
        <is>
          <t>1</t>
        </is>
      </c>
      <c r="H2225" t="inlineStr">
        <is>
          <t>No</t>
        </is>
      </c>
      <c r="I2225" t="inlineStr">
        <is>
          <t>No</t>
        </is>
      </c>
      <c r="J2225" t="inlineStr">
        <is>
          <t>0</t>
        </is>
      </c>
      <c r="K2225" t="inlineStr">
        <is>
          <t>Hedin, Sven Anders, 1865-1952.</t>
        </is>
      </c>
      <c r="L2225" t="inlineStr">
        <is>
          <t>[New York, E.P. Dutton, 1934]</t>
        </is>
      </c>
      <c r="M2225" t="inlineStr">
        <is>
          <t>1934</t>
        </is>
      </c>
      <c r="O2225" t="inlineStr">
        <is>
          <t>eng</t>
        </is>
      </c>
      <c r="P2225" t="inlineStr">
        <is>
          <t>nyu</t>
        </is>
      </c>
      <c r="R2225" t="inlineStr">
        <is>
          <t xml:space="preserve">DS </t>
        </is>
      </c>
      <c r="S2225" t="n">
        <v>1</v>
      </c>
      <c r="T2225" t="n">
        <v>1</v>
      </c>
      <c r="U2225" t="inlineStr">
        <is>
          <t>2008-04-28</t>
        </is>
      </c>
      <c r="V2225" t="inlineStr">
        <is>
          <t>2008-04-28</t>
        </is>
      </c>
      <c r="W2225" t="inlineStr">
        <is>
          <t>1997-03-14</t>
        </is>
      </c>
      <c r="X2225" t="inlineStr">
        <is>
          <t>1997-03-14</t>
        </is>
      </c>
      <c r="Y2225" t="n">
        <v>378</v>
      </c>
      <c r="Z2225" t="n">
        <v>350</v>
      </c>
      <c r="AA2225" t="n">
        <v>477</v>
      </c>
      <c r="AB2225" t="n">
        <v>5</v>
      </c>
      <c r="AC2225" t="n">
        <v>7</v>
      </c>
      <c r="AD2225" t="n">
        <v>14</v>
      </c>
      <c r="AE2225" t="n">
        <v>19</v>
      </c>
      <c r="AF2225" t="n">
        <v>2</v>
      </c>
      <c r="AG2225" t="n">
        <v>3</v>
      </c>
      <c r="AH2225" t="n">
        <v>4</v>
      </c>
      <c r="AI2225" t="n">
        <v>5</v>
      </c>
      <c r="AJ2225" t="n">
        <v>6</v>
      </c>
      <c r="AK2225" t="n">
        <v>7</v>
      </c>
      <c r="AL2225" t="n">
        <v>4</v>
      </c>
      <c r="AM2225" t="n">
        <v>6</v>
      </c>
      <c r="AN2225" t="n">
        <v>0</v>
      </c>
      <c r="AO2225" t="n">
        <v>0</v>
      </c>
      <c r="AP2225" t="inlineStr">
        <is>
          <t>No</t>
        </is>
      </c>
      <c r="AQ2225" t="inlineStr">
        <is>
          <t>Yes</t>
        </is>
      </c>
      <c r="AR2225">
        <f>HYPERLINK("http://catalog.hathitrust.org/Record/006105702","HathiTrust Record")</f>
        <v/>
      </c>
      <c r="AS2225">
        <f>HYPERLINK("https://creighton-primo.hosted.exlibrisgroup.com/primo-explore/search?tab=default_tab&amp;search_scope=EVERYTHING&amp;vid=01CRU&amp;lang=en_US&amp;offset=0&amp;query=any,contains,991003302199702656","Catalog Record")</f>
        <v/>
      </c>
      <c r="AT2225">
        <f>HYPERLINK("http://www.worldcat.org/oclc/825239","WorldCat Record")</f>
        <v/>
      </c>
      <c r="AU2225" t="inlineStr">
        <is>
          <t>4159832845:eng</t>
        </is>
      </c>
      <c r="AV2225" t="inlineStr">
        <is>
          <t>825239</t>
        </is>
      </c>
      <c r="AW2225" t="inlineStr">
        <is>
          <t>991003302199702656</t>
        </is>
      </c>
      <c r="AX2225" t="inlineStr">
        <is>
          <t>991003302199702656</t>
        </is>
      </c>
      <c r="AY2225" t="inlineStr">
        <is>
          <t>2267026130002656</t>
        </is>
      </c>
      <c r="AZ2225" t="inlineStr">
        <is>
          <t>BOOK</t>
        </is>
      </c>
      <c r="BC2225" t="inlineStr">
        <is>
          <t>32285002449386</t>
        </is>
      </c>
      <c r="BD2225" t="inlineStr">
        <is>
          <t>893598458</t>
        </is>
      </c>
    </row>
    <row r="2226">
      <c r="A2226" t="inlineStr">
        <is>
          <t>No</t>
        </is>
      </c>
      <c r="B2226" t="inlineStr">
        <is>
          <t>DS785 .H48</t>
        </is>
      </c>
      <c r="C2226" t="inlineStr">
        <is>
          <t>0                      DS 0785000H  48</t>
        </is>
      </c>
      <c r="D2226" t="inlineStr">
        <is>
          <t>Central Asia and Tibet.</t>
        </is>
      </c>
      <c r="E2226" t="inlineStr">
        <is>
          <t>V.1</t>
        </is>
      </c>
      <c r="F2226" t="inlineStr">
        <is>
          <t>Yes</t>
        </is>
      </c>
      <c r="G2226" t="inlineStr">
        <is>
          <t>1</t>
        </is>
      </c>
      <c r="H2226" t="inlineStr">
        <is>
          <t>No</t>
        </is>
      </c>
      <c r="I2226" t="inlineStr">
        <is>
          <t>No</t>
        </is>
      </c>
      <c r="J2226" t="inlineStr">
        <is>
          <t>0</t>
        </is>
      </c>
      <c r="K2226" t="inlineStr">
        <is>
          <t>Hedin, Sven Anders, 1865-1952.</t>
        </is>
      </c>
      <c r="L2226" t="inlineStr">
        <is>
          <t>London, Hurst and Blackett, limited; New York, C. Scribners sons, 1903.</t>
        </is>
      </c>
      <c r="M2226" t="inlineStr">
        <is>
          <t>1903</t>
        </is>
      </c>
      <c r="O2226" t="inlineStr">
        <is>
          <t>eng</t>
        </is>
      </c>
      <c r="P2226" t="inlineStr">
        <is>
          <t>enk</t>
        </is>
      </c>
      <c r="R2226" t="inlineStr">
        <is>
          <t xml:space="preserve">DS </t>
        </is>
      </c>
      <c r="S2226" t="n">
        <v>1</v>
      </c>
      <c r="T2226" t="n">
        <v>2</v>
      </c>
      <c r="U2226" t="inlineStr">
        <is>
          <t>2008-05-06</t>
        </is>
      </c>
      <c r="V2226" t="inlineStr">
        <is>
          <t>2008-05-06</t>
        </is>
      </c>
      <c r="W2226" t="inlineStr">
        <is>
          <t>1997-03-14</t>
        </is>
      </c>
      <c r="X2226" t="inlineStr">
        <is>
          <t>1997-03-14</t>
        </is>
      </c>
      <c r="Y2226" t="n">
        <v>314</v>
      </c>
      <c r="Z2226" t="n">
        <v>232</v>
      </c>
      <c r="AA2226" t="n">
        <v>332</v>
      </c>
      <c r="AB2226" t="n">
        <v>3</v>
      </c>
      <c r="AC2226" t="n">
        <v>3</v>
      </c>
      <c r="AD2226" t="n">
        <v>6</v>
      </c>
      <c r="AE2226" t="n">
        <v>10</v>
      </c>
      <c r="AF2226" t="n">
        <v>1</v>
      </c>
      <c r="AG2226" t="n">
        <v>2</v>
      </c>
      <c r="AH2226" t="n">
        <v>1</v>
      </c>
      <c r="AI2226" t="n">
        <v>2</v>
      </c>
      <c r="AJ2226" t="n">
        <v>2</v>
      </c>
      <c r="AK2226" t="n">
        <v>5</v>
      </c>
      <c r="AL2226" t="n">
        <v>2</v>
      </c>
      <c r="AM2226" t="n">
        <v>2</v>
      </c>
      <c r="AN2226" t="n">
        <v>0</v>
      </c>
      <c r="AO2226" t="n">
        <v>0</v>
      </c>
      <c r="AP2226" t="inlineStr">
        <is>
          <t>Yes</t>
        </is>
      </c>
      <c r="AQ2226" t="inlineStr">
        <is>
          <t>No</t>
        </is>
      </c>
      <c r="AR2226">
        <f>HYPERLINK("http://catalog.hathitrust.org/Record/006105705","HathiTrust Record")</f>
        <v/>
      </c>
      <c r="AS2226">
        <f>HYPERLINK("https://creighton-primo.hosted.exlibrisgroup.com/primo-explore/search?tab=default_tab&amp;search_scope=EVERYTHING&amp;vid=01CRU&amp;lang=en_US&amp;offset=0&amp;query=any,contains,991002718779702656","Catalog Record")</f>
        <v/>
      </c>
      <c r="AT2226">
        <f>HYPERLINK("http://www.worldcat.org/oclc/411970","WorldCat Record")</f>
        <v/>
      </c>
      <c r="AU2226" t="inlineStr">
        <is>
          <t>1862782790:eng</t>
        </is>
      </c>
      <c r="AV2226" t="inlineStr">
        <is>
          <t>411970</t>
        </is>
      </c>
      <c r="AW2226" t="inlineStr">
        <is>
          <t>991002718779702656</t>
        </is>
      </c>
      <c r="AX2226" t="inlineStr">
        <is>
          <t>991002718779702656</t>
        </is>
      </c>
      <c r="AY2226" t="inlineStr">
        <is>
          <t>2264653100002656</t>
        </is>
      </c>
      <c r="AZ2226" t="inlineStr">
        <is>
          <t>BOOK</t>
        </is>
      </c>
      <c r="BC2226" t="inlineStr">
        <is>
          <t>32285002449394</t>
        </is>
      </c>
      <c r="BD2226" t="inlineStr">
        <is>
          <t>893347838</t>
        </is>
      </c>
    </row>
    <row r="2227">
      <c r="A2227" t="inlineStr">
        <is>
          <t>No</t>
        </is>
      </c>
      <c r="B2227" t="inlineStr">
        <is>
          <t>DS785 .H48</t>
        </is>
      </c>
      <c r="C2227" t="inlineStr">
        <is>
          <t>0                      DS 0785000H  48</t>
        </is>
      </c>
      <c r="D2227" t="inlineStr">
        <is>
          <t>Central Asia and Tibet.</t>
        </is>
      </c>
      <c r="E2227" t="inlineStr">
        <is>
          <t>V.2</t>
        </is>
      </c>
      <c r="F2227" t="inlineStr">
        <is>
          <t>Yes</t>
        </is>
      </c>
      <c r="G2227" t="inlineStr">
        <is>
          <t>1</t>
        </is>
      </c>
      <c r="H2227" t="inlineStr">
        <is>
          <t>No</t>
        </is>
      </c>
      <c r="I2227" t="inlineStr">
        <is>
          <t>No</t>
        </is>
      </c>
      <c r="J2227" t="inlineStr">
        <is>
          <t>0</t>
        </is>
      </c>
      <c r="K2227" t="inlineStr">
        <is>
          <t>Hedin, Sven Anders, 1865-1952.</t>
        </is>
      </c>
      <c r="L2227" t="inlineStr">
        <is>
          <t>London, Hurst and Blackett, limited; New York, C. Scribners sons, 1903.</t>
        </is>
      </c>
      <c r="M2227" t="inlineStr">
        <is>
          <t>1903</t>
        </is>
      </c>
      <c r="O2227" t="inlineStr">
        <is>
          <t>eng</t>
        </is>
      </c>
      <c r="P2227" t="inlineStr">
        <is>
          <t>enk</t>
        </is>
      </c>
      <c r="R2227" t="inlineStr">
        <is>
          <t xml:space="preserve">DS </t>
        </is>
      </c>
      <c r="S2227" t="n">
        <v>1</v>
      </c>
      <c r="T2227" t="n">
        <v>2</v>
      </c>
      <c r="U2227" t="inlineStr">
        <is>
          <t>2008-05-06</t>
        </is>
      </c>
      <c r="V2227" t="inlineStr">
        <is>
          <t>2008-05-06</t>
        </is>
      </c>
      <c r="W2227" t="inlineStr">
        <is>
          <t>1997-03-14</t>
        </is>
      </c>
      <c r="X2227" t="inlineStr">
        <is>
          <t>1997-03-14</t>
        </is>
      </c>
      <c r="Y2227" t="n">
        <v>314</v>
      </c>
      <c r="Z2227" t="n">
        <v>232</v>
      </c>
      <c r="AA2227" t="n">
        <v>332</v>
      </c>
      <c r="AB2227" t="n">
        <v>3</v>
      </c>
      <c r="AC2227" t="n">
        <v>3</v>
      </c>
      <c r="AD2227" t="n">
        <v>6</v>
      </c>
      <c r="AE2227" t="n">
        <v>10</v>
      </c>
      <c r="AF2227" t="n">
        <v>1</v>
      </c>
      <c r="AG2227" t="n">
        <v>2</v>
      </c>
      <c r="AH2227" t="n">
        <v>1</v>
      </c>
      <c r="AI2227" t="n">
        <v>2</v>
      </c>
      <c r="AJ2227" t="n">
        <v>2</v>
      </c>
      <c r="AK2227" t="n">
        <v>5</v>
      </c>
      <c r="AL2227" t="n">
        <v>2</v>
      </c>
      <c r="AM2227" t="n">
        <v>2</v>
      </c>
      <c r="AN2227" t="n">
        <v>0</v>
      </c>
      <c r="AO2227" t="n">
        <v>0</v>
      </c>
      <c r="AP2227" t="inlineStr">
        <is>
          <t>Yes</t>
        </is>
      </c>
      <c r="AQ2227" t="inlineStr">
        <is>
          <t>No</t>
        </is>
      </c>
      <c r="AR2227">
        <f>HYPERLINK("http://catalog.hathitrust.org/Record/006105705","HathiTrust Record")</f>
        <v/>
      </c>
      <c r="AS2227">
        <f>HYPERLINK("https://creighton-primo.hosted.exlibrisgroup.com/primo-explore/search?tab=default_tab&amp;search_scope=EVERYTHING&amp;vid=01CRU&amp;lang=en_US&amp;offset=0&amp;query=any,contains,991002718779702656","Catalog Record")</f>
        <v/>
      </c>
      <c r="AT2227">
        <f>HYPERLINK("http://www.worldcat.org/oclc/411970","WorldCat Record")</f>
        <v/>
      </c>
      <c r="AU2227" t="inlineStr">
        <is>
          <t>1862782790:eng</t>
        </is>
      </c>
      <c r="AV2227" t="inlineStr">
        <is>
          <t>411970</t>
        </is>
      </c>
      <c r="AW2227" t="inlineStr">
        <is>
          <t>991002718779702656</t>
        </is>
      </c>
      <c r="AX2227" t="inlineStr">
        <is>
          <t>991002718779702656</t>
        </is>
      </c>
      <c r="AY2227" t="inlineStr">
        <is>
          <t>2264653100002656</t>
        </is>
      </c>
      <c r="AZ2227" t="inlineStr">
        <is>
          <t>BOOK</t>
        </is>
      </c>
      <c r="BC2227" t="inlineStr">
        <is>
          <t>32285002449402</t>
        </is>
      </c>
      <c r="BD2227" t="inlineStr">
        <is>
          <t>893352483</t>
        </is>
      </c>
    </row>
    <row r="2228">
      <c r="A2228" t="inlineStr">
        <is>
          <t>No</t>
        </is>
      </c>
      <c r="B2228" t="inlineStr">
        <is>
          <t>DS785 .M28</t>
        </is>
      </c>
      <c r="C2228" t="inlineStr">
        <is>
          <t>0                      DS 0785000M  28</t>
        </is>
      </c>
      <c r="D2228" t="inlineStr">
        <is>
          <t>The early empires of Central Asia; a study of the Scythians and the Huns and the part they played in world history, with special reference to the Chinese sources, by William Montgomery McGovern ...</t>
        </is>
      </c>
      <c r="F2228" t="inlineStr">
        <is>
          <t>No</t>
        </is>
      </c>
      <c r="G2228" t="inlineStr">
        <is>
          <t>1</t>
        </is>
      </c>
      <c r="H2228" t="inlineStr">
        <is>
          <t>No</t>
        </is>
      </c>
      <c r="I2228" t="inlineStr">
        <is>
          <t>No</t>
        </is>
      </c>
      <c r="J2228" t="inlineStr">
        <is>
          <t>0</t>
        </is>
      </c>
      <c r="K2228" t="inlineStr">
        <is>
          <t>McGovern, William Montgomery, 1897-1964.</t>
        </is>
      </c>
      <c r="L2228" t="inlineStr">
        <is>
          <t>Chapel Hill, The University of North Carolina Press, 1939.</t>
        </is>
      </c>
      <c r="M2228" t="inlineStr">
        <is>
          <t>1939</t>
        </is>
      </c>
      <c r="O2228" t="inlineStr">
        <is>
          <t>eng</t>
        </is>
      </c>
      <c r="P2228" t="inlineStr">
        <is>
          <t>ncu</t>
        </is>
      </c>
      <c r="R2228" t="inlineStr">
        <is>
          <t xml:space="preserve">DS </t>
        </is>
      </c>
      <c r="S2228" t="n">
        <v>1</v>
      </c>
      <c r="T2228" t="n">
        <v>1</v>
      </c>
      <c r="U2228" t="inlineStr">
        <is>
          <t>2008-05-06</t>
        </is>
      </c>
      <c r="V2228" t="inlineStr">
        <is>
          <t>2008-05-06</t>
        </is>
      </c>
      <c r="W2228" t="inlineStr">
        <is>
          <t>1997-03-14</t>
        </is>
      </c>
      <c r="X2228" t="inlineStr">
        <is>
          <t>1997-03-14</t>
        </is>
      </c>
      <c r="Y2228" t="n">
        <v>605</v>
      </c>
      <c r="Z2228" t="n">
        <v>543</v>
      </c>
      <c r="AA2228" t="n">
        <v>562</v>
      </c>
      <c r="AB2228" t="n">
        <v>2</v>
      </c>
      <c r="AC2228" t="n">
        <v>2</v>
      </c>
      <c r="AD2228" t="n">
        <v>21</v>
      </c>
      <c r="AE2228" t="n">
        <v>23</v>
      </c>
      <c r="AF2228" t="n">
        <v>8</v>
      </c>
      <c r="AG2228" t="n">
        <v>10</v>
      </c>
      <c r="AH2228" t="n">
        <v>6</v>
      </c>
      <c r="AI2228" t="n">
        <v>6</v>
      </c>
      <c r="AJ2228" t="n">
        <v>12</v>
      </c>
      <c r="AK2228" t="n">
        <v>12</v>
      </c>
      <c r="AL2228" t="n">
        <v>1</v>
      </c>
      <c r="AM2228" t="n">
        <v>1</v>
      </c>
      <c r="AN2228" t="n">
        <v>0</v>
      </c>
      <c r="AO2228" t="n">
        <v>0</v>
      </c>
      <c r="AP2228" t="inlineStr">
        <is>
          <t>No</t>
        </is>
      </c>
      <c r="AQ2228" t="inlineStr">
        <is>
          <t>Yes</t>
        </is>
      </c>
      <c r="AR2228">
        <f>HYPERLINK("http://catalog.hathitrust.org/Record/001872190","HathiTrust Record")</f>
        <v/>
      </c>
      <c r="AS2228">
        <f>HYPERLINK("https://creighton-primo.hosted.exlibrisgroup.com/primo-explore/search?tab=default_tab&amp;search_scope=EVERYTHING&amp;vid=01CRU&amp;lang=en_US&amp;offset=0&amp;query=any,contains,991002717339702656","Catalog Record")</f>
        <v/>
      </c>
      <c r="AT2228">
        <f>HYPERLINK("http://www.worldcat.org/oclc/411670","WorldCat Record")</f>
        <v/>
      </c>
      <c r="AU2228" t="inlineStr">
        <is>
          <t>1459019:eng</t>
        </is>
      </c>
      <c r="AV2228" t="inlineStr">
        <is>
          <t>411670</t>
        </is>
      </c>
      <c r="AW2228" t="inlineStr">
        <is>
          <t>991002717339702656</t>
        </is>
      </c>
      <c r="AX2228" t="inlineStr">
        <is>
          <t>991002717339702656</t>
        </is>
      </c>
      <c r="AY2228" t="inlineStr">
        <is>
          <t>2264997480002656</t>
        </is>
      </c>
      <c r="AZ2228" t="inlineStr">
        <is>
          <t>BOOK</t>
        </is>
      </c>
      <c r="BC2228" t="inlineStr">
        <is>
          <t>32285002449410</t>
        </is>
      </c>
      <c r="BD2228" t="inlineStr">
        <is>
          <t>893721592</t>
        </is>
      </c>
    </row>
    <row r="2229">
      <c r="A2229" t="inlineStr">
        <is>
          <t>No</t>
        </is>
      </c>
      <c r="B2229" t="inlineStr">
        <is>
          <t>DS785 .S43</t>
        </is>
      </c>
      <c r="C2229" t="inlineStr">
        <is>
          <t>0                      DS 0785000S  43</t>
        </is>
      </c>
      <c r="D2229" t="inlineStr">
        <is>
          <t>Tibet and the Tibetans, by Tsung-lien Shên and Shên-chi Liu. Foreword by George E. Taylor.</t>
        </is>
      </c>
      <c r="F2229" t="inlineStr">
        <is>
          <t>No</t>
        </is>
      </c>
      <c r="G2229" t="inlineStr">
        <is>
          <t>1</t>
        </is>
      </c>
      <c r="H2229" t="inlineStr">
        <is>
          <t>No</t>
        </is>
      </c>
      <c r="I2229" t="inlineStr">
        <is>
          <t>No</t>
        </is>
      </c>
      <c r="J2229" t="inlineStr">
        <is>
          <t>0</t>
        </is>
      </c>
      <c r="K2229" t="inlineStr">
        <is>
          <t>Shen, Zonglian.</t>
        </is>
      </c>
      <c r="L2229" t="inlineStr">
        <is>
          <t>Stanford, Calif., Stanford University Press [1953]</t>
        </is>
      </c>
      <c r="M2229" t="inlineStr">
        <is>
          <t>1953</t>
        </is>
      </c>
      <c r="O2229" t="inlineStr">
        <is>
          <t>eng</t>
        </is>
      </c>
      <c r="P2229" t="inlineStr">
        <is>
          <t>cau</t>
        </is>
      </c>
      <c r="R2229" t="inlineStr">
        <is>
          <t xml:space="preserve">DS </t>
        </is>
      </c>
      <c r="S2229" t="n">
        <v>2</v>
      </c>
      <c r="T2229" t="n">
        <v>2</v>
      </c>
      <c r="U2229" t="inlineStr">
        <is>
          <t>2005-02-15</t>
        </is>
      </c>
      <c r="V2229" t="inlineStr">
        <is>
          <t>2005-02-15</t>
        </is>
      </c>
      <c r="W2229" t="inlineStr">
        <is>
          <t>1997-03-14</t>
        </is>
      </c>
      <c r="X2229" t="inlineStr">
        <is>
          <t>1997-03-14</t>
        </is>
      </c>
      <c r="Y2229" t="n">
        <v>448</v>
      </c>
      <c r="Z2229" t="n">
        <v>378</v>
      </c>
      <c r="AA2229" t="n">
        <v>463</v>
      </c>
      <c r="AB2229" t="n">
        <v>2</v>
      </c>
      <c r="AC2229" t="n">
        <v>3</v>
      </c>
      <c r="AD2229" t="n">
        <v>15</v>
      </c>
      <c r="AE2229" t="n">
        <v>20</v>
      </c>
      <c r="AF2229" t="n">
        <v>6</v>
      </c>
      <c r="AG2229" t="n">
        <v>7</v>
      </c>
      <c r="AH2229" t="n">
        <v>3</v>
      </c>
      <c r="AI2229" t="n">
        <v>5</v>
      </c>
      <c r="AJ2229" t="n">
        <v>9</v>
      </c>
      <c r="AK2229" t="n">
        <v>11</v>
      </c>
      <c r="AL2229" t="n">
        <v>1</v>
      </c>
      <c r="AM2229" t="n">
        <v>2</v>
      </c>
      <c r="AN2229" t="n">
        <v>0</v>
      </c>
      <c r="AO2229" t="n">
        <v>0</v>
      </c>
      <c r="AP2229" t="inlineStr">
        <is>
          <t>No</t>
        </is>
      </c>
      <c r="AQ2229" t="inlineStr">
        <is>
          <t>Yes</t>
        </is>
      </c>
      <c r="AR2229">
        <f>HYPERLINK("http://catalog.hathitrust.org/Record/001872200","HathiTrust Record")</f>
        <v/>
      </c>
      <c r="AS2229">
        <f>HYPERLINK("https://creighton-primo.hosted.exlibrisgroup.com/primo-explore/search?tab=default_tab&amp;search_scope=EVERYTHING&amp;vid=01CRU&amp;lang=en_US&amp;offset=0&amp;query=any,contains,991002717309702656","Catalog Record")</f>
        <v/>
      </c>
      <c r="AT2229">
        <f>HYPERLINK("http://www.worldcat.org/oclc/411664","WorldCat Record")</f>
        <v/>
      </c>
      <c r="AU2229" t="inlineStr">
        <is>
          <t>66815092:eng</t>
        </is>
      </c>
      <c r="AV2229" t="inlineStr">
        <is>
          <t>411664</t>
        </is>
      </c>
      <c r="AW2229" t="inlineStr">
        <is>
          <t>991002717309702656</t>
        </is>
      </c>
      <c r="AX2229" t="inlineStr">
        <is>
          <t>991002717309702656</t>
        </is>
      </c>
      <c r="AY2229" t="inlineStr">
        <is>
          <t>2264995350002656</t>
        </is>
      </c>
      <c r="AZ2229" t="inlineStr">
        <is>
          <t>BOOK</t>
        </is>
      </c>
      <c r="BC2229" t="inlineStr">
        <is>
          <t>32285002449436</t>
        </is>
      </c>
      <c r="BD2229" t="inlineStr">
        <is>
          <t>893347834</t>
        </is>
      </c>
    </row>
    <row r="2230">
      <c r="A2230" t="inlineStr">
        <is>
          <t>No</t>
        </is>
      </c>
      <c r="B2230" t="inlineStr">
        <is>
          <t>DS786 .A94 1984</t>
        </is>
      </c>
      <c r="C2230" t="inlineStr">
        <is>
          <t>0                      DS 0786000A  94          1984</t>
        </is>
      </c>
      <c r="D2230" t="inlineStr">
        <is>
          <t>In exile from the land of snows / by John F. Avedon.</t>
        </is>
      </c>
      <c r="F2230" t="inlineStr">
        <is>
          <t>No</t>
        </is>
      </c>
      <c r="G2230" t="inlineStr">
        <is>
          <t>1</t>
        </is>
      </c>
      <c r="H2230" t="inlineStr">
        <is>
          <t>No</t>
        </is>
      </c>
      <c r="I2230" t="inlineStr">
        <is>
          <t>No</t>
        </is>
      </c>
      <c r="J2230" t="inlineStr">
        <is>
          <t>0</t>
        </is>
      </c>
      <c r="K2230" t="inlineStr">
        <is>
          <t>Avedon, John F.</t>
        </is>
      </c>
      <c r="L2230" t="inlineStr">
        <is>
          <t>New York : Knopf : Distributed by Random House, 1984.</t>
        </is>
      </c>
      <c r="M2230" t="inlineStr">
        <is>
          <t>1984</t>
        </is>
      </c>
      <c r="N2230" t="inlineStr">
        <is>
          <t>1st ed.</t>
        </is>
      </c>
      <c r="O2230" t="inlineStr">
        <is>
          <t>eng</t>
        </is>
      </c>
      <c r="P2230" t="inlineStr">
        <is>
          <t>nyu</t>
        </is>
      </c>
      <c r="R2230" t="inlineStr">
        <is>
          <t xml:space="preserve">DS </t>
        </is>
      </c>
      <c r="S2230" t="n">
        <v>8</v>
      </c>
      <c r="T2230" t="n">
        <v>8</v>
      </c>
      <c r="U2230" t="inlineStr">
        <is>
          <t>2001-12-02</t>
        </is>
      </c>
      <c r="V2230" t="inlineStr">
        <is>
          <t>2001-12-02</t>
        </is>
      </c>
      <c r="W2230" t="inlineStr">
        <is>
          <t>1990-10-23</t>
        </is>
      </c>
      <c r="X2230" t="inlineStr">
        <is>
          <t>1990-10-23</t>
        </is>
      </c>
      <c r="Y2230" t="n">
        <v>952</v>
      </c>
      <c r="Z2230" t="n">
        <v>872</v>
      </c>
      <c r="AA2230" t="n">
        <v>984</v>
      </c>
      <c r="AB2230" t="n">
        <v>4</v>
      </c>
      <c r="AC2230" t="n">
        <v>4</v>
      </c>
      <c r="AD2230" t="n">
        <v>21</v>
      </c>
      <c r="AE2230" t="n">
        <v>23</v>
      </c>
      <c r="AF2230" t="n">
        <v>8</v>
      </c>
      <c r="AG2230" t="n">
        <v>9</v>
      </c>
      <c r="AH2230" t="n">
        <v>6</v>
      </c>
      <c r="AI2230" t="n">
        <v>6</v>
      </c>
      <c r="AJ2230" t="n">
        <v>9</v>
      </c>
      <c r="AK2230" t="n">
        <v>10</v>
      </c>
      <c r="AL2230" t="n">
        <v>3</v>
      </c>
      <c r="AM2230" t="n">
        <v>3</v>
      </c>
      <c r="AN2230" t="n">
        <v>0</v>
      </c>
      <c r="AO2230" t="n">
        <v>0</v>
      </c>
      <c r="AP2230" t="inlineStr">
        <is>
          <t>No</t>
        </is>
      </c>
      <c r="AQ2230" t="inlineStr">
        <is>
          <t>Yes</t>
        </is>
      </c>
      <c r="AR2230">
        <f>HYPERLINK("http://catalog.hathitrust.org/Record/000781714","HathiTrust Record")</f>
        <v/>
      </c>
      <c r="AS2230">
        <f>HYPERLINK("https://creighton-primo.hosted.exlibrisgroup.com/primo-explore/search?tab=default_tab&amp;search_scope=EVERYTHING&amp;vid=01CRU&amp;lang=en_US&amp;offset=0&amp;query=any,contains,991000342519702656","Catalog Record")</f>
        <v/>
      </c>
      <c r="AT2230">
        <f>HYPERLINK("http://www.worldcat.org/oclc/10274917","WorldCat Record")</f>
        <v/>
      </c>
      <c r="AU2230" t="inlineStr">
        <is>
          <t>3305546:eng</t>
        </is>
      </c>
      <c r="AV2230" t="inlineStr">
        <is>
          <t>10274917</t>
        </is>
      </c>
      <c r="AW2230" t="inlineStr">
        <is>
          <t>991000342519702656</t>
        </is>
      </c>
      <c r="AX2230" t="inlineStr">
        <is>
          <t>991000342519702656</t>
        </is>
      </c>
      <c r="AY2230" t="inlineStr">
        <is>
          <t>2270309900002656</t>
        </is>
      </c>
      <c r="AZ2230" t="inlineStr">
        <is>
          <t>BOOK</t>
        </is>
      </c>
      <c r="BB2230" t="inlineStr">
        <is>
          <t>9780394518176</t>
        </is>
      </c>
      <c r="BC2230" t="inlineStr">
        <is>
          <t>32285000339340</t>
        </is>
      </c>
      <c r="BD2230" t="inlineStr">
        <is>
          <t>893896797</t>
        </is>
      </c>
    </row>
    <row r="2231">
      <c r="A2231" t="inlineStr">
        <is>
          <t>No</t>
        </is>
      </c>
      <c r="B2231" t="inlineStr">
        <is>
          <t>DS786 .B255 2004</t>
        </is>
      </c>
      <c r="C2231" t="inlineStr">
        <is>
          <t>0                      DS 0786000B  255         2004</t>
        </is>
      </c>
      <c r="D2231" t="inlineStr">
        <is>
          <t>The heart of the world : a journey to the last secret place / Ian Baker ; introduction by His Holiness the Dalai Lama.</t>
        </is>
      </c>
      <c r="F2231" t="inlineStr">
        <is>
          <t>No</t>
        </is>
      </c>
      <c r="G2231" t="inlineStr">
        <is>
          <t>1</t>
        </is>
      </c>
      <c r="H2231" t="inlineStr">
        <is>
          <t>No</t>
        </is>
      </c>
      <c r="I2231" t="inlineStr">
        <is>
          <t>No</t>
        </is>
      </c>
      <c r="J2231" t="inlineStr">
        <is>
          <t>0</t>
        </is>
      </c>
      <c r="K2231" t="inlineStr">
        <is>
          <t>Baker, Ian, 1957-</t>
        </is>
      </c>
      <c r="L2231" t="inlineStr">
        <is>
          <t>New York : Penguin, 2004.</t>
        </is>
      </c>
      <c r="M2231" t="inlineStr">
        <is>
          <t>2004</t>
        </is>
      </c>
      <c r="O2231" t="inlineStr">
        <is>
          <t>eng</t>
        </is>
      </c>
      <c r="P2231" t="inlineStr">
        <is>
          <t>nyu</t>
        </is>
      </c>
      <c r="R2231" t="inlineStr">
        <is>
          <t xml:space="preserve">DS </t>
        </is>
      </c>
      <c r="S2231" t="n">
        <v>4</v>
      </c>
      <c r="T2231" t="n">
        <v>4</v>
      </c>
      <c r="U2231" t="inlineStr">
        <is>
          <t>2004-11-30</t>
        </is>
      </c>
      <c r="V2231" t="inlineStr">
        <is>
          <t>2004-11-30</t>
        </is>
      </c>
      <c r="W2231" t="inlineStr">
        <is>
          <t>2004-11-30</t>
        </is>
      </c>
      <c r="X2231" t="inlineStr">
        <is>
          <t>2004-11-30</t>
        </is>
      </c>
      <c r="Y2231" t="n">
        <v>620</v>
      </c>
      <c r="Z2231" t="n">
        <v>568</v>
      </c>
      <c r="AA2231" t="n">
        <v>572</v>
      </c>
      <c r="AB2231" t="n">
        <v>3</v>
      </c>
      <c r="AC2231" t="n">
        <v>3</v>
      </c>
      <c r="AD2231" t="n">
        <v>7</v>
      </c>
      <c r="AE2231" t="n">
        <v>7</v>
      </c>
      <c r="AF2231" t="n">
        <v>3</v>
      </c>
      <c r="AG2231" t="n">
        <v>3</v>
      </c>
      <c r="AH2231" t="n">
        <v>2</v>
      </c>
      <c r="AI2231" t="n">
        <v>2</v>
      </c>
      <c r="AJ2231" t="n">
        <v>4</v>
      </c>
      <c r="AK2231" t="n">
        <v>4</v>
      </c>
      <c r="AL2231" t="n">
        <v>0</v>
      </c>
      <c r="AM2231" t="n">
        <v>0</v>
      </c>
      <c r="AN2231" t="n">
        <v>0</v>
      </c>
      <c r="AO2231" t="n">
        <v>0</v>
      </c>
      <c r="AP2231" t="inlineStr">
        <is>
          <t>No</t>
        </is>
      </c>
      <c r="AQ2231" t="inlineStr">
        <is>
          <t>Yes</t>
        </is>
      </c>
      <c r="AR2231">
        <f>HYPERLINK("http://catalog.hathitrust.org/Record/004916575","HathiTrust Record")</f>
        <v/>
      </c>
      <c r="AS2231">
        <f>HYPERLINK("https://creighton-primo.hosted.exlibrisgroup.com/primo-explore/search?tab=default_tab&amp;search_scope=EVERYTHING&amp;vid=01CRU&amp;lang=en_US&amp;offset=0&amp;query=any,contains,991004414389702656","Catalog Record")</f>
        <v/>
      </c>
      <c r="AT2231">
        <f>HYPERLINK("http://www.worldcat.org/oclc/56057920","WorldCat Record")</f>
        <v/>
      </c>
      <c r="AU2231" t="inlineStr">
        <is>
          <t>897682571:eng</t>
        </is>
      </c>
      <c r="AV2231" t="inlineStr">
        <is>
          <t>56057920</t>
        </is>
      </c>
      <c r="AW2231" t="inlineStr">
        <is>
          <t>991004414389702656</t>
        </is>
      </c>
      <c r="AX2231" t="inlineStr">
        <is>
          <t>991004414389702656</t>
        </is>
      </c>
      <c r="AY2231" t="inlineStr">
        <is>
          <t>2255710340002656</t>
        </is>
      </c>
      <c r="AZ2231" t="inlineStr">
        <is>
          <t>BOOK</t>
        </is>
      </c>
      <c r="BB2231" t="inlineStr">
        <is>
          <t>9781594200274</t>
        </is>
      </c>
      <c r="BC2231" t="inlineStr">
        <is>
          <t>32285005013270</t>
        </is>
      </c>
      <c r="BD2231" t="inlineStr">
        <is>
          <t>893411513</t>
        </is>
      </c>
    </row>
    <row r="2232">
      <c r="A2232" t="inlineStr">
        <is>
          <t>No</t>
        </is>
      </c>
      <c r="B2232" t="inlineStr">
        <is>
          <t>DS786 .C33</t>
        </is>
      </c>
      <c r="C2232" t="inlineStr">
        <is>
          <t>0                      DS 0786000C  33</t>
        </is>
      </c>
      <c r="D2232" t="inlineStr">
        <is>
          <t>A Tibetan principality : the political system of Sa sKya / [by] C. W. Cassinelli and Robert B. Ekvall.</t>
        </is>
      </c>
      <c r="F2232" t="inlineStr">
        <is>
          <t>No</t>
        </is>
      </c>
      <c r="G2232" t="inlineStr">
        <is>
          <t>1</t>
        </is>
      </c>
      <c r="H2232" t="inlineStr">
        <is>
          <t>No</t>
        </is>
      </c>
      <c r="I2232" t="inlineStr">
        <is>
          <t>No</t>
        </is>
      </c>
      <c r="J2232" t="inlineStr">
        <is>
          <t>0</t>
        </is>
      </c>
      <c r="K2232" t="inlineStr">
        <is>
          <t>Cassinelli, C. W.</t>
        </is>
      </c>
      <c r="L2232" t="inlineStr">
        <is>
          <t>Ithaca, N.Y. : Cornell University Press, [1969]</t>
        </is>
      </c>
      <c r="M2232" t="inlineStr">
        <is>
          <t>1969</t>
        </is>
      </c>
      <c r="O2232" t="inlineStr">
        <is>
          <t>eng</t>
        </is>
      </c>
      <c r="P2232" t="inlineStr">
        <is>
          <t>nyu</t>
        </is>
      </c>
      <c r="R2232" t="inlineStr">
        <is>
          <t xml:space="preserve">DS </t>
        </is>
      </c>
      <c r="S2232" t="n">
        <v>3</v>
      </c>
      <c r="T2232" t="n">
        <v>3</v>
      </c>
      <c r="U2232" t="inlineStr">
        <is>
          <t>2004-10-05</t>
        </is>
      </c>
      <c r="V2232" t="inlineStr">
        <is>
          <t>2004-10-05</t>
        </is>
      </c>
      <c r="W2232" t="inlineStr">
        <is>
          <t>1992-07-03</t>
        </is>
      </c>
      <c r="X2232" t="inlineStr">
        <is>
          <t>1992-07-03</t>
        </is>
      </c>
      <c r="Y2232" t="n">
        <v>401</v>
      </c>
      <c r="Z2232" t="n">
        <v>327</v>
      </c>
      <c r="AA2232" t="n">
        <v>332</v>
      </c>
      <c r="AB2232" t="n">
        <v>3</v>
      </c>
      <c r="AC2232" t="n">
        <v>3</v>
      </c>
      <c r="AD2232" t="n">
        <v>11</v>
      </c>
      <c r="AE2232" t="n">
        <v>11</v>
      </c>
      <c r="AF2232" t="n">
        <v>1</v>
      </c>
      <c r="AG2232" t="n">
        <v>1</v>
      </c>
      <c r="AH2232" t="n">
        <v>4</v>
      </c>
      <c r="AI2232" t="n">
        <v>4</v>
      </c>
      <c r="AJ2232" t="n">
        <v>5</v>
      </c>
      <c r="AK2232" t="n">
        <v>5</v>
      </c>
      <c r="AL2232" t="n">
        <v>2</v>
      </c>
      <c r="AM2232" t="n">
        <v>2</v>
      </c>
      <c r="AN2232" t="n">
        <v>0</v>
      </c>
      <c r="AO2232" t="n">
        <v>0</v>
      </c>
      <c r="AP2232" t="inlineStr">
        <is>
          <t>No</t>
        </is>
      </c>
      <c r="AQ2232" t="inlineStr">
        <is>
          <t>Yes</t>
        </is>
      </c>
      <c r="AR2232">
        <f>HYPERLINK("http://catalog.hathitrust.org/Record/001872212","HathiTrust Record")</f>
        <v/>
      </c>
      <c r="AS2232">
        <f>HYPERLINK("https://creighton-primo.hosted.exlibrisgroup.com/primo-explore/search?tab=default_tab&amp;search_scope=EVERYTHING&amp;vid=01CRU&amp;lang=en_US&amp;offset=0&amp;query=any,contains,991000050409702656","Catalog Record")</f>
        <v/>
      </c>
      <c r="AT2232">
        <f>HYPERLINK("http://www.worldcat.org/oclc/22756","WorldCat Record")</f>
        <v/>
      </c>
      <c r="AU2232" t="inlineStr">
        <is>
          <t>1144963:eng</t>
        </is>
      </c>
      <c r="AV2232" t="inlineStr">
        <is>
          <t>22756</t>
        </is>
      </c>
      <c r="AW2232" t="inlineStr">
        <is>
          <t>991000050409702656</t>
        </is>
      </c>
      <c r="AX2232" t="inlineStr">
        <is>
          <t>991000050409702656</t>
        </is>
      </c>
      <c r="AY2232" t="inlineStr">
        <is>
          <t>2268295650002656</t>
        </is>
      </c>
      <c r="AZ2232" t="inlineStr">
        <is>
          <t>BOOK</t>
        </is>
      </c>
      <c r="BC2232" t="inlineStr">
        <is>
          <t>32285001148815</t>
        </is>
      </c>
      <c r="BD2232" t="inlineStr">
        <is>
          <t>893595217</t>
        </is>
      </c>
    </row>
    <row r="2233">
      <c r="A2233" t="inlineStr">
        <is>
          <t>No</t>
        </is>
      </c>
      <c r="B2233" t="inlineStr">
        <is>
          <t>DS786 .P24 2000</t>
        </is>
      </c>
      <c r="C2233" t="inlineStr">
        <is>
          <t>0                      DS 0786000P  24          2000</t>
        </is>
      </c>
      <c r="D2233" t="inlineStr">
        <is>
          <t>Sorrow mountain; the journey of a Tibetan warrior nun / Ani Pachen &amp; Adelaide Donnelley.</t>
        </is>
      </c>
      <c r="F2233" t="inlineStr">
        <is>
          <t>No</t>
        </is>
      </c>
      <c r="G2233" t="inlineStr">
        <is>
          <t>1</t>
        </is>
      </c>
      <c r="H2233" t="inlineStr">
        <is>
          <t>No</t>
        </is>
      </c>
      <c r="I2233" t="inlineStr">
        <is>
          <t>No</t>
        </is>
      </c>
      <c r="J2233" t="inlineStr">
        <is>
          <t>0</t>
        </is>
      </c>
      <c r="K2233" t="inlineStr">
        <is>
          <t>Pachen, Ani, 1933-</t>
        </is>
      </c>
      <c r="L2233" t="inlineStr">
        <is>
          <t>New York : Kodansha International, 2000.</t>
        </is>
      </c>
      <c r="M2233" t="inlineStr">
        <is>
          <t>2000</t>
        </is>
      </c>
      <c r="O2233" t="inlineStr">
        <is>
          <t>eng</t>
        </is>
      </c>
      <c r="P2233" t="inlineStr">
        <is>
          <t>nyu</t>
        </is>
      </c>
      <c r="R2233" t="inlineStr">
        <is>
          <t xml:space="preserve">DS </t>
        </is>
      </c>
      <c r="S2233" t="n">
        <v>3</v>
      </c>
      <c r="T2233" t="n">
        <v>3</v>
      </c>
      <c r="U2233" t="inlineStr">
        <is>
          <t>2007-05-15</t>
        </is>
      </c>
      <c r="V2233" t="inlineStr">
        <is>
          <t>2007-05-15</t>
        </is>
      </c>
      <c r="W2233" t="inlineStr">
        <is>
          <t>2007-05-15</t>
        </is>
      </c>
      <c r="X2233" t="inlineStr">
        <is>
          <t>2007-05-15</t>
        </is>
      </c>
      <c r="Y2233" t="n">
        <v>434</v>
      </c>
      <c r="Z2233" t="n">
        <v>400</v>
      </c>
      <c r="AA2233" t="n">
        <v>426</v>
      </c>
      <c r="AB2233" t="n">
        <v>4</v>
      </c>
      <c r="AC2233" t="n">
        <v>4</v>
      </c>
      <c r="AD2233" t="n">
        <v>12</v>
      </c>
      <c r="AE2233" t="n">
        <v>12</v>
      </c>
      <c r="AF2233" t="n">
        <v>1</v>
      </c>
      <c r="AG2233" t="n">
        <v>1</v>
      </c>
      <c r="AH2233" t="n">
        <v>5</v>
      </c>
      <c r="AI2233" t="n">
        <v>5</v>
      </c>
      <c r="AJ2233" t="n">
        <v>6</v>
      </c>
      <c r="AK2233" t="n">
        <v>6</v>
      </c>
      <c r="AL2233" t="n">
        <v>3</v>
      </c>
      <c r="AM2233" t="n">
        <v>3</v>
      </c>
      <c r="AN2233" t="n">
        <v>0</v>
      </c>
      <c r="AO2233" t="n">
        <v>0</v>
      </c>
      <c r="AP2233" t="inlineStr">
        <is>
          <t>No</t>
        </is>
      </c>
      <c r="AQ2233" t="inlineStr">
        <is>
          <t>Yes</t>
        </is>
      </c>
      <c r="AR2233">
        <f>HYPERLINK("http://catalog.hathitrust.org/Record/004098796","HathiTrust Record")</f>
        <v/>
      </c>
      <c r="AS2233">
        <f>HYPERLINK("https://creighton-primo.hosted.exlibrisgroup.com/primo-explore/search?tab=default_tab&amp;search_scope=EVERYTHING&amp;vid=01CRU&amp;lang=en_US&amp;offset=0&amp;query=any,contains,991005079699702656","Catalog Record")</f>
        <v/>
      </c>
      <c r="AT2233">
        <f>HYPERLINK("http://www.worldcat.org/oclc/42397691","WorldCat Record")</f>
        <v/>
      </c>
      <c r="AU2233" t="inlineStr">
        <is>
          <t>837003368:eng</t>
        </is>
      </c>
      <c r="AV2233" t="inlineStr">
        <is>
          <t>42397691</t>
        </is>
      </c>
      <c r="AW2233" t="inlineStr">
        <is>
          <t>991005079699702656</t>
        </is>
      </c>
      <c r="AX2233" t="inlineStr">
        <is>
          <t>991005079699702656</t>
        </is>
      </c>
      <c r="AY2233" t="inlineStr">
        <is>
          <t>2268502480002656</t>
        </is>
      </c>
      <c r="AZ2233" t="inlineStr">
        <is>
          <t>BOOK</t>
        </is>
      </c>
      <c r="BB2233" t="inlineStr">
        <is>
          <t>9781568362946</t>
        </is>
      </c>
      <c r="BC2233" t="inlineStr">
        <is>
          <t>32285005312896</t>
        </is>
      </c>
      <c r="BD2233" t="inlineStr">
        <is>
          <t>893437110</t>
        </is>
      </c>
    </row>
    <row r="2234">
      <c r="A2234" t="inlineStr">
        <is>
          <t>No</t>
        </is>
      </c>
      <c r="B2234" t="inlineStr">
        <is>
          <t>DS786 .S48</t>
        </is>
      </c>
      <c r="C2234" t="inlineStr">
        <is>
          <t>0                      DS 0786000S  48</t>
        </is>
      </c>
      <c r="D2234" t="inlineStr">
        <is>
          <t>Tibet : a political history / by Tsepon W. D. Shakabpa.</t>
        </is>
      </c>
      <c r="F2234" t="inlineStr">
        <is>
          <t>No</t>
        </is>
      </c>
      <c r="G2234" t="inlineStr">
        <is>
          <t>1</t>
        </is>
      </c>
      <c r="H2234" t="inlineStr">
        <is>
          <t>No</t>
        </is>
      </c>
      <c r="I2234" t="inlineStr">
        <is>
          <t>No</t>
        </is>
      </c>
      <c r="J2234" t="inlineStr">
        <is>
          <t>0</t>
        </is>
      </c>
      <c r="K2234" t="inlineStr">
        <is>
          <t>Shakabpa, W. D. (Wangchuk Deden), 1908-1989.</t>
        </is>
      </c>
      <c r="L2234" t="inlineStr">
        <is>
          <t>New Haven : Yale University Press, 1967.</t>
        </is>
      </c>
      <c r="M2234" t="inlineStr">
        <is>
          <t>1967</t>
        </is>
      </c>
      <c r="O2234" t="inlineStr">
        <is>
          <t>eng</t>
        </is>
      </c>
      <c r="P2234" t="inlineStr">
        <is>
          <t>ctu</t>
        </is>
      </c>
      <c r="R2234" t="inlineStr">
        <is>
          <t xml:space="preserve">DS </t>
        </is>
      </c>
      <c r="S2234" t="n">
        <v>9</v>
      </c>
      <c r="T2234" t="n">
        <v>9</v>
      </c>
      <c r="U2234" t="inlineStr">
        <is>
          <t>2008-05-29</t>
        </is>
      </c>
      <c r="V2234" t="inlineStr">
        <is>
          <t>2008-05-29</t>
        </is>
      </c>
      <c r="W2234" t="inlineStr">
        <is>
          <t>1992-07-03</t>
        </is>
      </c>
      <c r="X2234" t="inlineStr">
        <is>
          <t>1992-07-03</t>
        </is>
      </c>
      <c r="Y2234" t="n">
        <v>781</v>
      </c>
      <c r="Z2234" t="n">
        <v>662</v>
      </c>
      <c r="AA2234" t="n">
        <v>692</v>
      </c>
      <c r="AB2234" t="n">
        <v>5</v>
      </c>
      <c r="AC2234" t="n">
        <v>5</v>
      </c>
      <c r="AD2234" t="n">
        <v>30</v>
      </c>
      <c r="AE2234" t="n">
        <v>30</v>
      </c>
      <c r="AF2234" t="n">
        <v>11</v>
      </c>
      <c r="AG2234" t="n">
        <v>11</v>
      </c>
      <c r="AH2234" t="n">
        <v>7</v>
      </c>
      <c r="AI2234" t="n">
        <v>7</v>
      </c>
      <c r="AJ2234" t="n">
        <v>15</v>
      </c>
      <c r="AK2234" t="n">
        <v>15</v>
      </c>
      <c r="AL2234" t="n">
        <v>3</v>
      </c>
      <c r="AM2234" t="n">
        <v>3</v>
      </c>
      <c r="AN2234" t="n">
        <v>0</v>
      </c>
      <c r="AO2234" t="n">
        <v>0</v>
      </c>
      <c r="AP2234" t="inlineStr">
        <is>
          <t>No</t>
        </is>
      </c>
      <c r="AQ2234" t="inlineStr">
        <is>
          <t>No</t>
        </is>
      </c>
      <c r="AS2234">
        <f>HYPERLINK("https://creighton-primo.hosted.exlibrisgroup.com/primo-explore/search?tab=default_tab&amp;search_scope=EVERYTHING&amp;vid=01CRU&amp;lang=en_US&amp;offset=0&amp;query=any,contains,991004943339702656","Catalog Record")</f>
        <v/>
      </c>
      <c r="AT2234">
        <f>HYPERLINK("http://www.worldcat.org/oclc/6195921","WorldCat Record")</f>
        <v/>
      </c>
      <c r="AU2234" t="inlineStr">
        <is>
          <t>197901076:eng</t>
        </is>
      </c>
      <c r="AV2234" t="inlineStr">
        <is>
          <t>6195921</t>
        </is>
      </c>
      <c r="AW2234" t="inlineStr">
        <is>
          <t>991004943339702656</t>
        </is>
      </c>
      <c r="AX2234" t="inlineStr">
        <is>
          <t>991004943339702656</t>
        </is>
      </c>
      <c r="AY2234" t="inlineStr">
        <is>
          <t>2265845170002656</t>
        </is>
      </c>
      <c r="AZ2234" t="inlineStr">
        <is>
          <t>BOOK</t>
        </is>
      </c>
      <c r="BC2234" t="inlineStr">
        <is>
          <t>32285001148807</t>
        </is>
      </c>
      <c r="BD2234" t="inlineStr">
        <is>
          <t>893625264</t>
        </is>
      </c>
    </row>
    <row r="2235">
      <c r="A2235" t="inlineStr">
        <is>
          <t>No</t>
        </is>
      </c>
      <c r="B2235" t="inlineStr">
        <is>
          <t>DS786 .S548 1998</t>
        </is>
      </c>
      <c r="C2235" t="inlineStr">
        <is>
          <t>0                      DS 0786000S  548         1998</t>
        </is>
      </c>
      <c r="D2235" t="inlineStr">
        <is>
          <t>Tibet : through the red box / Peter Sís.</t>
        </is>
      </c>
      <c r="F2235" t="inlineStr">
        <is>
          <t>No</t>
        </is>
      </c>
      <c r="G2235" t="inlineStr">
        <is>
          <t>1</t>
        </is>
      </c>
      <c r="H2235" t="inlineStr">
        <is>
          <t>No</t>
        </is>
      </c>
      <c r="I2235" t="inlineStr">
        <is>
          <t>No</t>
        </is>
      </c>
      <c r="J2235" t="inlineStr">
        <is>
          <t>0</t>
        </is>
      </c>
      <c r="K2235" t="inlineStr">
        <is>
          <t>Sís, Peter, 1949-</t>
        </is>
      </c>
      <c r="L2235" t="inlineStr">
        <is>
          <t>New York : Farrar Straus Giroux, 1998.</t>
        </is>
      </c>
      <c r="M2235" t="inlineStr">
        <is>
          <t>1998</t>
        </is>
      </c>
      <c r="O2235" t="inlineStr">
        <is>
          <t>eng</t>
        </is>
      </c>
      <c r="P2235" t="inlineStr">
        <is>
          <t>nyu</t>
        </is>
      </c>
      <c r="R2235" t="inlineStr">
        <is>
          <t xml:space="preserve">DS </t>
        </is>
      </c>
      <c r="S2235" t="n">
        <v>2</v>
      </c>
      <c r="T2235" t="n">
        <v>2</v>
      </c>
      <c r="U2235" t="inlineStr">
        <is>
          <t>2002-02-18</t>
        </is>
      </c>
      <c r="V2235" t="inlineStr">
        <is>
          <t>2002-02-18</t>
        </is>
      </c>
      <c r="W2235" t="inlineStr">
        <is>
          <t>1999-04-13</t>
        </is>
      </c>
      <c r="X2235" t="inlineStr">
        <is>
          <t>1999-04-13</t>
        </is>
      </c>
      <c r="Y2235" t="n">
        <v>2442</v>
      </c>
      <c r="Z2235" t="n">
        <v>2345</v>
      </c>
      <c r="AA2235" t="n">
        <v>2398</v>
      </c>
      <c r="AB2235" t="n">
        <v>23</v>
      </c>
      <c r="AC2235" t="n">
        <v>26</v>
      </c>
      <c r="AD2235" t="n">
        <v>49</v>
      </c>
      <c r="AE2235" t="n">
        <v>49</v>
      </c>
      <c r="AF2235" t="n">
        <v>19</v>
      </c>
      <c r="AG2235" t="n">
        <v>19</v>
      </c>
      <c r="AH2235" t="n">
        <v>10</v>
      </c>
      <c r="AI2235" t="n">
        <v>10</v>
      </c>
      <c r="AJ2235" t="n">
        <v>20</v>
      </c>
      <c r="AK2235" t="n">
        <v>20</v>
      </c>
      <c r="AL2235" t="n">
        <v>11</v>
      </c>
      <c r="AM2235" t="n">
        <v>11</v>
      </c>
      <c r="AN2235" t="n">
        <v>0</v>
      </c>
      <c r="AO2235" t="n">
        <v>0</v>
      </c>
      <c r="AP2235" t="inlineStr">
        <is>
          <t>No</t>
        </is>
      </c>
      <c r="AQ2235" t="inlineStr">
        <is>
          <t>No</t>
        </is>
      </c>
      <c r="AS2235">
        <f>HYPERLINK("https://creighton-primo.hosted.exlibrisgroup.com/primo-explore/search?tab=default_tab&amp;search_scope=EVERYTHING&amp;vid=01CRU&amp;lang=en_US&amp;offset=0&amp;query=any,contains,991004639289702656","Catalog Record")</f>
        <v/>
      </c>
      <c r="AT2235">
        <f>HYPERLINK("http://www.worldcat.org/oclc/38096949","WorldCat Record")</f>
        <v/>
      </c>
      <c r="AU2235" t="inlineStr">
        <is>
          <t>294117849:eng</t>
        </is>
      </c>
      <c r="AV2235" t="inlineStr">
        <is>
          <t>38096949</t>
        </is>
      </c>
      <c r="AW2235" t="inlineStr">
        <is>
          <t>991004639289702656</t>
        </is>
      </c>
      <c r="AX2235" t="inlineStr">
        <is>
          <t>991004639289702656</t>
        </is>
      </c>
      <c r="AY2235" t="inlineStr">
        <is>
          <t>2258515750002656</t>
        </is>
      </c>
      <c r="AZ2235" t="inlineStr">
        <is>
          <t>BOOK</t>
        </is>
      </c>
      <c r="BB2235" t="inlineStr">
        <is>
          <t>9780374375522</t>
        </is>
      </c>
      <c r="BC2235" t="inlineStr">
        <is>
          <t>32285003551768</t>
        </is>
      </c>
      <c r="BD2235" t="inlineStr">
        <is>
          <t>893492432</t>
        </is>
      </c>
    </row>
    <row r="2236">
      <c r="A2236" t="inlineStr">
        <is>
          <t>No</t>
        </is>
      </c>
      <c r="B2236" t="inlineStr">
        <is>
          <t>DS786 .S6 1968b</t>
        </is>
      </c>
      <c r="C2236" t="inlineStr">
        <is>
          <t>0                      DS 0786000S  6           1968b</t>
        </is>
      </c>
      <c r="D2236" t="inlineStr">
        <is>
          <t>A cultural history of Tibet / [by] David Snellgrove [and] Hugh Richardson.</t>
        </is>
      </c>
      <c r="F2236" t="inlineStr">
        <is>
          <t>No</t>
        </is>
      </c>
      <c r="G2236" t="inlineStr">
        <is>
          <t>1</t>
        </is>
      </c>
      <c r="H2236" t="inlineStr">
        <is>
          <t>No</t>
        </is>
      </c>
      <c r="I2236" t="inlineStr">
        <is>
          <t>No</t>
        </is>
      </c>
      <c r="J2236" t="inlineStr">
        <is>
          <t>0</t>
        </is>
      </c>
      <c r="K2236" t="inlineStr">
        <is>
          <t>Snellgrove, David L.</t>
        </is>
      </c>
      <c r="L2236" t="inlineStr">
        <is>
          <t>New York : F. A. Praeger, [1968]</t>
        </is>
      </c>
      <c r="M2236" t="inlineStr">
        <is>
          <t>1968</t>
        </is>
      </c>
      <c r="O2236" t="inlineStr">
        <is>
          <t>eng</t>
        </is>
      </c>
      <c r="P2236" t="inlineStr">
        <is>
          <t>nyu</t>
        </is>
      </c>
      <c r="R2236" t="inlineStr">
        <is>
          <t xml:space="preserve">DS </t>
        </is>
      </c>
      <c r="S2236" t="n">
        <v>5</v>
      </c>
      <c r="T2236" t="n">
        <v>5</v>
      </c>
      <c r="U2236" t="inlineStr">
        <is>
          <t>2008-04-25</t>
        </is>
      </c>
      <c r="V2236" t="inlineStr">
        <is>
          <t>2008-04-25</t>
        </is>
      </c>
      <c r="W2236" t="inlineStr">
        <is>
          <t>1990-05-08</t>
        </is>
      </c>
      <c r="X2236" t="inlineStr">
        <is>
          <t>1990-05-08</t>
        </is>
      </c>
      <c r="Y2236" t="n">
        <v>807</v>
      </c>
      <c r="Z2236" t="n">
        <v>754</v>
      </c>
      <c r="AA2236" t="n">
        <v>983</v>
      </c>
      <c r="AB2236" t="n">
        <v>5</v>
      </c>
      <c r="AC2236" t="n">
        <v>6</v>
      </c>
      <c r="AD2236" t="n">
        <v>28</v>
      </c>
      <c r="AE2236" t="n">
        <v>34</v>
      </c>
      <c r="AF2236" t="n">
        <v>9</v>
      </c>
      <c r="AG2236" t="n">
        <v>11</v>
      </c>
      <c r="AH2236" t="n">
        <v>7</v>
      </c>
      <c r="AI2236" t="n">
        <v>8</v>
      </c>
      <c r="AJ2236" t="n">
        <v>15</v>
      </c>
      <c r="AK2236" t="n">
        <v>19</v>
      </c>
      <c r="AL2236" t="n">
        <v>4</v>
      </c>
      <c r="AM2236" t="n">
        <v>5</v>
      </c>
      <c r="AN2236" t="n">
        <v>0</v>
      </c>
      <c r="AO2236" t="n">
        <v>0</v>
      </c>
      <c r="AP2236" t="inlineStr">
        <is>
          <t>No</t>
        </is>
      </c>
      <c r="AQ2236" t="inlineStr">
        <is>
          <t>Yes</t>
        </is>
      </c>
      <c r="AR2236">
        <f>HYPERLINK("http://catalog.hathitrust.org/Record/001258877","HathiTrust Record")</f>
        <v/>
      </c>
      <c r="AS2236">
        <f>HYPERLINK("https://creighton-primo.hosted.exlibrisgroup.com/primo-explore/search?tab=default_tab&amp;search_scope=EVERYTHING&amp;vid=01CRU&amp;lang=en_US&amp;offset=0&amp;query=any,contains,991002717369702656","Catalog Record")</f>
        <v/>
      </c>
      <c r="AT2236">
        <f>HYPERLINK("http://www.worldcat.org/oclc/411674","WorldCat Record")</f>
        <v/>
      </c>
      <c r="AU2236" t="inlineStr">
        <is>
          <t>1459041:eng</t>
        </is>
      </c>
      <c r="AV2236" t="inlineStr">
        <is>
          <t>411674</t>
        </is>
      </c>
      <c r="AW2236" t="inlineStr">
        <is>
          <t>991002717369702656</t>
        </is>
      </c>
      <c r="AX2236" t="inlineStr">
        <is>
          <t>991002717369702656</t>
        </is>
      </c>
      <c r="AY2236" t="inlineStr">
        <is>
          <t>2264996920002656</t>
        </is>
      </c>
      <c r="AZ2236" t="inlineStr">
        <is>
          <t>BOOK</t>
        </is>
      </c>
      <c r="BC2236" t="inlineStr">
        <is>
          <t>32285000136985</t>
        </is>
      </c>
      <c r="BD2236" t="inlineStr">
        <is>
          <t>893804933</t>
        </is>
      </c>
    </row>
    <row r="2237">
      <c r="A2237" t="inlineStr">
        <is>
          <t>No</t>
        </is>
      </c>
      <c r="B2237" t="inlineStr">
        <is>
          <t>DS786 .S7713 1972b</t>
        </is>
      </c>
      <c r="C2237" t="inlineStr">
        <is>
          <t>0                      DS 0786000S  7713        1972b</t>
        </is>
      </c>
      <c r="D2237" t="inlineStr">
        <is>
          <t>Tibetan civilization / [by] R. A. Stein. Translated by J. E. Stapleton Driver. With original drawings by Lobsang Tendzin.</t>
        </is>
      </c>
      <c r="F2237" t="inlineStr">
        <is>
          <t>No</t>
        </is>
      </c>
      <c r="G2237" t="inlineStr">
        <is>
          <t>1</t>
        </is>
      </c>
      <c r="H2237" t="inlineStr">
        <is>
          <t>No</t>
        </is>
      </c>
      <c r="I2237" t="inlineStr">
        <is>
          <t>No</t>
        </is>
      </c>
      <c r="J2237" t="inlineStr">
        <is>
          <t>0</t>
        </is>
      </c>
      <c r="K2237" t="inlineStr">
        <is>
          <t>Stein, R. A. (Rolf Alfred), 1911-1999.</t>
        </is>
      </c>
      <c r="L2237" t="inlineStr">
        <is>
          <t>Stanford, Calif. : Stanford University Press, 1972.</t>
        </is>
      </c>
      <c r="M2237" t="inlineStr">
        <is>
          <t>1972</t>
        </is>
      </c>
      <c r="O2237" t="inlineStr">
        <is>
          <t>eng</t>
        </is>
      </c>
      <c r="P2237" t="inlineStr">
        <is>
          <t>cau</t>
        </is>
      </c>
      <c r="R2237" t="inlineStr">
        <is>
          <t xml:space="preserve">DS </t>
        </is>
      </c>
      <c r="S2237" t="n">
        <v>4</v>
      </c>
      <c r="T2237" t="n">
        <v>4</v>
      </c>
      <c r="U2237" t="inlineStr">
        <is>
          <t>2008-04-25</t>
        </is>
      </c>
      <c r="V2237" t="inlineStr">
        <is>
          <t>2008-04-25</t>
        </is>
      </c>
      <c r="W2237" t="inlineStr">
        <is>
          <t>1992-12-18</t>
        </is>
      </c>
      <c r="X2237" t="inlineStr">
        <is>
          <t>1992-12-18</t>
        </is>
      </c>
      <c r="Y2237" t="n">
        <v>711</v>
      </c>
      <c r="Z2237" t="n">
        <v>639</v>
      </c>
      <c r="AA2237" t="n">
        <v>674</v>
      </c>
      <c r="AB2237" t="n">
        <v>3</v>
      </c>
      <c r="AC2237" t="n">
        <v>3</v>
      </c>
      <c r="AD2237" t="n">
        <v>23</v>
      </c>
      <c r="AE2237" t="n">
        <v>23</v>
      </c>
      <c r="AF2237" t="n">
        <v>10</v>
      </c>
      <c r="AG2237" t="n">
        <v>10</v>
      </c>
      <c r="AH2237" t="n">
        <v>5</v>
      </c>
      <c r="AI2237" t="n">
        <v>5</v>
      </c>
      <c r="AJ2237" t="n">
        <v>12</v>
      </c>
      <c r="AK2237" t="n">
        <v>12</v>
      </c>
      <c r="AL2237" t="n">
        <v>2</v>
      </c>
      <c r="AM2237" t="n">
        <v>2</v>
      </c>
      <c r="AN2237" t="n">
        <v>0</v>
      </c>
      <c r="AO2237" t="n">
        <v>0</v>
      </c>
      <c r="AP2237" t="inlineStr">
        <is>
          <t>No</t>
        </is>
      </c>
      <c r="AQ2237" t="inlineStr">
        <is>
          <t>No</t>
        </is>
      </c>
      <c r="AS2237">
        <f>HYPERLINK("https://creighton-primo.hosted.exlibrisgroup.com/primo-explore/search?tab=default_tab&amp;search_scope=EVERYTHING&amp;vid=01CRU&amp;lang=en_US&amp;offset=0&amp;query=any,contains,991002551959702656","Catalog Record")</f>
        <v/>
      </c>
      <c r="AT2237">
        <f>HYPERLINK("http://www.worldcat.org/oclc/370059","WorldCat Record")</f>
        <v/>
      </c>
      <c r="AU2237" t="inlineStr">
        <is>
          <t>4916479157:eng</t>
        </is>
      </c>
      <c r="AV2237" t="inlineStr">
        <is>
          <t>370059</t>
        </is>
      </c>
      <c r="AW2237" t="inlineStr">
        <is>
          <t>991002551959702656</t>
        </is>
      </c>
      <c r="AX2237" t="inlineStr">
        <is>
          <t>991002551959702656</t>
        </is>
      </c>
      <c r="AY2237" t="inlineStr">
        <is>
          <t>2260575810002656</t>
        </is>
      </c>
      <c r="AZ2237" t="inlineStr">
        <is>
          <t>BOOK</t>
        </is>
      </c>
      <c r="BB2237" t="inlineStr">
        <is>
          <t>9780804708067</t>
        </is>
      </c>
      <c r="BC2237" t="inlineStr">
        <is>
          <t>32285001444370</t>
        </is>
      </c>
      <c r="BD2237" t="inlineStr">
        <is>
          <t>893341571</t>
        </is>
      </c>
    </row>
    <row r="2238">
      <c r="A2238" t="inlineStr">
        <is>
          <t>No</t>
        </is>
      </c>
      <c r="B2238" t="inlineStr">
        <is>
          <t>DS786 .T48 1973</t>
        </is>
      </c>
      <c r="C2238" t="inlineStr">
        <is>
          <t>0                      DS 0786000T  48          1973</t>
        </is>
      </c>
      <c r="D2238" t="inlineStr">
        <is>
          <t>The silent war in Tibet / by Lowell Thomas, Jr.</t>
        </is>
      </c>
      <c r="F2238" t="inlineStr">
        <is>
          <t>No</t>
        </is>
      </c>
      <c r="G2238" t="inlineStr">
        <is>
          <t>1</t>
        </is>
      </c>
      <c r="H2238" t="inlineStr">
        <is>
          <t>No</t>
        </is>
      </c>
      <c r="I2238" t="inlineStr">
        <is>
          <t>No</t>
        </is>
      </c>
      <c r="J2238" t="inlineStr">
        <is>
          <t>0</t>
        </is>
      </c>
      <c r="K2238" t="inlineStr">
        <is>
          <t>Thomas, Lowell, 1923-</t>
        </is>
      </c>
      <c r="L2238" t="inlineStr">
        <is>
          <t>Westport, Conn. : Greenwood Press, [1973, c1959]</t>
        </is>
      </c>
      <c r="M2238" t="inlineStr">
        <is>
          <t>1973</t>
        </is>
      </c>
      <c r="O2238" t="inlineStr">
        <is>
          <t>eng</t>
        </is>
      </c>
      <c r="P2238" t="inlineStr">
        <is>
          <t>ctu</t>
        </is>
      </c>
      <c r="R2238" t="inlineStr">
        <is>
          <t xml:space="preserve">DS </t>
        </is>
      </c>
      <c r="S2238" t="n">
        <v>5</v>
      </c>
      <c r="T2238" t="n">
        <v>5</v>
      </c>
      <c r="U2238" t="inlineStr">
        <is>
          <t>2008-04-25</t>
        </is>
      </c>
      <c r="V2238" t="inlineStr">
        <is>
          <t>2008-04-25</t>
        </is>
      </c>
      <c r="W2238" t="inlineStr">
        <is>
          <t>1993-04-21</t>
        </is>
      </c>
      <c r="X2238" t="inlineStr">
        <is>
          <t>1993-04-21</t>
        </is>
      </c>
      <c r="Y2238" t="n">
        <v>83</v>
      </c>
      <c r="Z2238" t="n">
        <v>70</v>
      </c>
      <c r="AA2238" t="n">
        <v>563</v>
      </c>
      <c r="AB2238" t="n">
        <v>1</v>
      </c>
      <c r="AC2238" t="n">
        <v>4</v>
      </c>
      <c r="AD2238" t="n">
        <v>1</v>
      </c>
      <c r="AE2238" t="n">
        <v>19</v>
      </c>
      <c r="AF2238" t="n">
        <v>0</v>
      </c>
      <c r="AG2238" t="n">
        <v>7</v>
      </c>
      <c r="AH2238" t="n">
        <v>1</v>
      </c>
      <c r="AI2238" t="n">
        <v>6</v>
      </c>
      <c r="AJ2238" t="n">
        <v>0</v>
      </c>
      <c r="AK2238" t="n">
        <v>10</v>
      </c>
      <c r="AL2238" t="n">
        <v>0</v>
      </c>
      <c r="AM2238" t="n">
        <v>2</v>
      </c>
      <c r="AN2238" t="n">
        <v>0</v>
      </c>
      <c r="AO2238" t="n">
        <v>0</v>
      </c>
      <c r="AP2238" t="inlineStr">
        <is>
          <t>No</t>
        </is>
      </c>
      <c r="AQ2238" t="inlineStr">
        <is>
          <t>No</t>
        </is>
      </c>
      <c r="AS2238">
        <f>HYPERLINK("https://creighton-primo.hosted.exlibrisgroup.com/primo-explore/search?tab=default_tab&amp;search_scope=EVERYTHING&amp;vid=01CRU&amp;lang=en_US&amp;offset=0&amp;query=any,contains,991003011979702656","Catalog Record")</f>
        <v/>
      </c>
      <c r="AT2238">
        <f>HYPERLINK("http://www.worldcat.org/oclc/578766","WorldCat Record")</f>
        <v/>
      </c>
      <c r="AU2238" t="inlineStr">
        <is>
          <t>1459039:eng</t>
        </is>
      </c>
      <c r="AV2238" t="inlineStr">
        <is>
          <t>578766</t>
        </is>
      </c>
      <c r="AW2238" t="inlineStr">
        <is>
          <t>991003011979702656</t>
        </is>
      </c>
      <c r="AX2238" t="inlineStr">
        <is>
          <t>991003011979702656</t>
        </is>
      </c>
      <c r="AY2238" t="inlineStr">
        <is>
          <t>2258729530002656</t>
        </is>
      </c>
      <c r="AZ2238" t="inlineStr">
        <is>
          <t>BOOK</t>
        </is>
      </c>
      <c r="BB2238" t="inlineStr">
        <is>
          <t>9780837167763</t>
        </is>
      </c>
      <c r="BC2238" t="inlineStr">
        <is>
          <t>32285001622363</t>
        </is>
      </c>
      <c r="BD2238" t="inlineStr">
        <is>
          <t>893893285</t>
        </is>
      </c>
    </row>
    <row r="2239">
      <c r="A2239" t="inlineStr">
        <is>
          <t>No</t>
        </is>
      </c>
      <c r="B2239" t="inlineStr">
        <is>
          <t>DS786 .T49</t>
        </is>
      </c>
      <c r="C2239" t="inlineStr">
        <is>
          <t>0                      DS 0786000T  49</t>
        </is>
      </c>
      <c r="D2239" t="inlineStr">
        <is>
          <t>Tibet, by Thubten Jigme Norbu and Colin M. Turnbull.</t>
        </is>
      </c>
      <c r="F2239" t="inlineStr">
        <is>
          <t>No</t>
        </is>
      </c>
      <c r="G2239" t="inlineStr">
        <is>
          <t>1</t>
        </is>
      </c>
      <c r="H2239" t="inlineStr">
        <is>
          <t>No</t>
        </is>
      </c>
      <c r="I2239" t="inlineStr">
        <is>
          <t>No</t>
        </is>
      </c>
      <c r="J2239" t="inlineStr">
        <is>
          <t>0</t>
        </is>
      </c>
      <c r="K2239" t="inlineStr">
        <is>
          <t>Thubten Jigme Norbu, 1922-2008.</t>
        </is>
      </c>
      <c r="L2239" t="inlineStr">
        <is>
          <t>New York, Simon and Schuster [1968]</t>
        </is>
      </c>
      <c r="M2239" t="inlineStr">
        <is>
          <t>1968</t>
        </is>
      </c>
      <c r="O2239" t="inlineStr">
        <is>
          <t>eng</t>
        </is>
      </c>
      <c r="P2239" t="inlineStr">
        <is>
          <t>nyu</t>
        </is>
      </c>
      <c r="R2239" t="inlineStr">
        <is>
          <t xml:space="preserve">DS </t>
        </is>
      </c>
      <c r="S2239" t="n">
        <v>2</v>
      </c>
      <c r="T2239" t="n">
        <v>2</v>
      </c>
      <c r="U2239" t="inlineStr">
        <is>
          <t>2005-02-15</t>
        </is>
      </c>
      <c r="V2239" t="inlineStr">
        <is>
          <t>2005-02-15</t>
        </is>
      </c>
      <c r="W2239" t="inlineStr">
        <is>
          <t>1997-03-14</t>
        </is>
      </c>
      <c r="X2239" t="inlineStr">
        <is>
          <t>1997-03-14</t>
        </is>
      </c>
      <c r="Y2239" t="n">
        <v>1036</v>
      </c>
      <c r="Z2239" t="n">
        <v>962</v>
      </c>
      <c r="AA2239" t="n">
        <v>997</v>
      </c>
      <c r="AB2239" t="n">
        <v>5</v>
      </c>
      <c r="AC2239" t="n">
        <v>5</v>
      </c>
      <c r="AD2239" t="n">
        <v>28</v>
      </c>
      <c r="AE2239" t="n">
        <v>30</v>
      </c>
      <c r="AF2239" t="n">
        <v>10</v>
      </c>
      <c r="AG2239" t="n">
        <v>10</v>
      </c>
      <c r="AH2239" t="n">
        <v>7</v>
      </c>
      <c r="AI2239" t="n">
        <v>8</v>
      </c>
      <c r="AJ2239" t="n">
        <v>12</v>
      </c>
      <c r="AK2239" t="n">
        <v>14</v>
      </c>
      <c r="AL2239" t="n">
        <v>4</v>
      </c>
      <c r="AM2239" t="n">
        <v>4</v>
      </c>
      <c r="AN2239" t="n">
        <v>0</v>
      </c>
      <c r="AO2239" t="n">
        <v>0</v>
      </c>
      <c r="AP2239" t="inlineStr">
        <is>
          <t>No</t>
        </is>
      </c>
      <c r="AQ2239" t="inlineStr">
        <is>
          <t>Yes</t>
        </is>
      </c>
      <c r="AR2239">
        <f>HYPERLINK("http://catalog.hathitrust.org/Record/007480096","HathiTrust Record")</f>
        <v/>
      </c>
      <c r="AS2239">
        <f>HYPERLINK("https://creighton-primo.hosted.exlibrisgroup.com/primo-explore/search?tab=default_tab&amp;search_scope=EVERYTHING&amp;vid=01CRU&amp;lang=en_US&amp;offset=0&amp;query=any,contains,991005432929702656","Catalog Record")</f>
        <v/>
      </c>
      <c r="AT2239">
        <f>HYPERLINK("http://www.worldcat.org/oclc/1513","WorldCat Record")</f>
        <v/>
      </c>
      <c r="AU2239" t="inlineStr">
        <is>
          <t>4918046911:eng</t>
        </is>
      </c>
      <c r="AV2239" t="inlineStr">
        <is>
          <t>1513</t>
        </is>
      </c>
      <c r="AW2239" t="inlineStr">
        <is>
          <t>991005432929702656</t>
        </is>
      </c>
      <c r="AX2239" t="inlineStr">
        <is>
          <t>991005432929702656</t>
        </is>
      </c>
      <c r="AY2239" t="inlineStr">
        <is>
          <t>2271211770002656</t>
        </is>
      </c>
      <c r="AZ2239" t="inlineStr">
        <is>
          <t>BOOK</t>
        </is>
      </c>
      <c r="BC2239" t="inlineStr">
        <is>
          <t>32285002449493</t>
        </is>
      </c>
      <c r="BD2239" t="inlineStr">
        <is>
          <t>893533859</t>
        </is>
      </c>
    </row>
    <row r="2240">
      <c r="A2240" t="inlineStr">
        <is>
          <t>No</t>
        </is>
      </c>
      <c r="B2240" t="inlineStr">
        <is>
          <t>DS786 .T493</t>
        </is>
      </c>
      <c r="C2240" t="inlineStr">
        <is>
          <t>0                      DS 0786000T  493</t>
        </is>
      </c>
      <c r="D2240" t="inlineStr">
        <is>
          <t>Tibet / authors, Ngapo Ngawang Jigmei ... [et al.] ; design by Massimo Vignelli.</t>
        </is>
      </c>
      <c r="F2240" t="inlineStr">
        <is>
          <t>No</t>
        </is>
      </c>
      <c r="G2240" t="inlineStr">
        <is>
          <t>1</t>
        </is>
      </c>
      <c r="H2240" t="inlineStr">
        <is>
          <t>No</t>
        </is>
      </c>
      <c r="I2240" t="inlineStr">
        <is>
          <t>No</t>
        </is>
      </c>
      <c r="J2240" t="inlineStr">
        <is>
          <t>0</t>
        </is>
      </c>
      <c r="L2240" t="inlineStr">
        <is>
          <t>New York : McGraw-Hill, 1981.</t>
        </is>
      </c>
      <c r="M2240" t="inlineStr">
        <is>
          <t>1981</t>
        </is>
      </c>
      <c r="O2240" t="inlineStr">
        <is>
          <t>eng</t>
        </is>
      </c>
      <c r="P2240" t="inlineStr">
        <is>
          <t>nyu</t>
        </is>
      </c>
      <c r="R2240" t="inlineStr">
        <is>
          <t xml:space="preserve">DS </t>
        </is>
      </c>
      <c r="S2240" t="n">
        <v>7</v>
      </c>
      <c r="T2240" t="n">
        <v>7</v>
      </c>
      <c r="U2240" t="inlineStr">
        <is>
          <t>2006-03-07</t>
        </is>
      </c>
      <c r="V2240" t="inlineStr">
        <is>
          <t>2006-03-07</t>
        </is>
      </c>
      <c r="W2240" t="inlineStr">
        <is>
          <t>1990-10-23</t>
        </is>
      </c>
      <c r="X2240" t="inlineStr">
        <is>
          <t>1990-10-23</t>
        </is>
      </c>
      <c r="Y2240" t="n">
        <v>494</v>
      </c>
      <c r="Z2240" t="n">
        <v>461</v>
      </c>
      <c r="AA2240" t="n">
        <v>608</v>
      </c>
      <c r="AB2240" t="n">
        <v>2</v>
      </c>
      <c r="AC2240" t="n">
        <v>3</v>
      </c>
      <c r="AD2240" t="n">
        <v>2</v>
      </c>
      <c r="AE2240" t="n">
        <v>5</v>
      </c>
      <c r="AF2240" t="n">
        <v>1</v>
      </c>
      <c r="AG2240" t="n">
        <v>3</v>
      </c>
      <c r="AH2240" t="n">
        <v>1</v>
      </c>
      <c r="AI2240" t="n">
        <v>2</v>
      </c>
      <c r="AJ2240" t="n">
        <v>1</v>
      </c>
      <c r="AK2240" t="n">
        <v>3</v>
      </c>
      <c r="AL2240" t="n">
        <v>0</v>
      </c>
      <c r="AM2240" t="n">
        <v>0</v>
      </c>
      <c r="AN2240" t="n">
        <v>0</v>
      </c>
      <c r="AO2240" t="n">
        <v>0</v>
      </c>
      <c r="AP2240" t="inlineStr">
        <is>
          <t>No</t>
        </is>
      </c>
      <c r="AQ2240" t="inlineStr">
        <is>
          <t>No</t>
        </is>
      </c>
      <c r="AS2240">
        <f>HYPERLINK("https://creighton-primo.hosted.exlibrisgroup.com/primo-explore/search?tab=default_tab&amp;search_scope=EVERYTHING&amp;vid=01CRU&amp;lang=en_US&amp;offset=0&amp;query=any,contains,991005128899702656","Catalog Record")</f>
        <v/>
      </c>
      <c r="AT2240">
        <f>HYPERLINK("http://www.worldcat.org/oclc/7555700","WorldCat Record")</f>
        <v/>
      </c>
      <c r="AU2240" t="inlineStr">
        <is>
          <t>375201128:eng</t>
        </is>
      </c>
      <c r="AV2240" t="inlineStr">
        <is>
          <t>7555700</t>
        </is>
      </c>
      <c r="AW2240" t="inlineStr">
        <is>
          <t>991005128899702656</t>
        </is>
      </c>
      <c r="AX2240" t="inlineStr">
        <is>
          <t>991005128899702656</t>
        </is>
      </c>
      <c r="AY2240" t="inlineStr">
        <is>
          <t>2266233190002656</t>
        </is>
      </c>
      <c r="AZ2240" t="inlineStr">
        <is>
          <t>BOOK</t>
        </is>
      </c>
      <c r="BB2240" t="inlineStr">
        <is>
          <t>9780070325388</t>
        </is>
      </c>
      <c r="BC2240" t="inlineStr">
        <is>
          <t>32285000339357</t>
        </is>
      </c>
      <c r="BD2240" t="inlineStr">
        <is>
          <t>893533226</t>
        </is>
      </c>
    </row>
    <row r="2241">
      <c r="A2241" t="inlineStr">
        <is>
          <t>No</t>
        </is>
      </c>
      <c r="B2241" t="inlineStr">
        <is>
          <t>DS786 .T63</t>
        </is>
      </c>
      <c r="C2241" t="inlineStr">
        <is>
          <t>0                      DS 0786000T  63</t>
        </is>
      </c>
      <c r="D2241" t="inlineStr">
        <is>
          <t>The splendors of Tibet / text and photos. by Audrey Topping ; foreword by Seymour Topping.</t>
        </is>
      </c>
      <c r="F2241" t="inlineStr">
        <is>
          <t>No</t>
        </is>
      </c>
      <c r="G2241" t="inlineStr">
        <is>
          <t>1</t>
        </is>
      </c>
      <c r="H2241" t="inlineStr">
        <is>
          <t>No</t>
        </is>
      </c>
      <c r="I2241" t="inlineStr">
        <is>
          <t>No</t>
        </is>
      </c>
      <c r="J2241" t="inlineStr">
        <is>
          <t>0</t>
        </is>
      </c>
      <c r="K2241" t="inlineStr">
        <is>
          <t>Topping, Audrey.</t>
        </is>
      </c>
      <c r="L2241" t="inlineStr">
        <is>
          <t>New York, N.Y. : SINO Pub. Co., c1980.</t>
        </is>
      </c>
      <c r="M2241" t="inlineStr">
        <is>
          <t>1980</t>
        </is>
      </c>
      <c r="N2241" t="inlineStr">
        <is>
          <t>1st ed.</t>
        </is>
      </c>
      <c r="O2241" t="inlineStr">
        <is>
          <t>eng</t>
        </is>
      </c>
      <c r="P2241" t="inlineStr">
        <is>
          <t>nyu</t>
        </is>
      </c>
      <c r="R2241" t="inlineStr">
        <is>
          <t xml:space="preserve">DS </t>
        </is>
      </c>
      <c r="S2241" t="n">
        <v>4</v>
      </c>
      <c r="T2241" t="n">
        <v>4</v>
      </c>
      <c r="U2241" t="inlineStr">
        <is>
          <t>1998-10-09</t>
        </is>
      </c>
      <c r="V2241" t="inlineStr">
        <is>
          <t>1998-10-09</t>
        </is>
      </c>
      <c r="W2241" t="inlineStr">
        <is>
          <t>1990-10-23</t>
        </is>
      </c>
      <c r="X2241" t="inlineStr">
        <is>
          <t>1990-10-23</t>
        </is>
      </c>
      <c r="Y2241" t="n">
        <v>396</v>
      </c>
      <c r="Z2241" t="n">
        <v>360</v>
      </c>
      <c r="AA2241" t="n">
        <v>368</v>
      </c>
      <c r="AB2241" t="n">
        <v>1</v>
      </c>
      <c r="AC2241" t="n">
        <v>1</v>
      </c>
      <c r="AD2241" t="n">
        <v>8</v>
      </c>
      <c r="AE2241" t="n">
        <v>8</v>
      </c>
      <c r="AF2241" t="n">
        <v>2</v>
      </c>
      <c r="AG2241" t="n">
        <v>2</v>
      </c>
      <c r="AH2241" t="n">
        <v>5</v>
      </c>
      <c r="AI2241" t="n">
        <v>5</v>
      </c>
      <c r="AJ2241" t="n">
        <v>3</v>
      </c>
      <c r="AK2241" t="n">
        <v>3</v>
      </c>
      <c r="AL2241" t="n">
        <v>0</v>
      </c>
      <c r="AM2241" t="n">
        <v>0</v>
      </c>
      <c r="AN2241" t="n">
        <v>0</v>
      </c>
      <c r="AO2241" t="n">
        <v>0</v>
      </c>
      <c r="AP2241" t="inlineStr">
        <is>
          <t>No</t>
        </is>
      </c>
      <c r="AQ2241" t="inlineStr">
        <is>
          <t>Yes</t>
        </is>
      </c>
      <c r="AR2241">
        <f>HYPERLINK("http://catalog.hathitrust.org/Record/000725522","HathiTrust Record")</f>
        <v/>
      </c>
      <c r="AS2241">
        <f>HYPERLINK("https://creighton-primo.hosted.exlibrisgroup.com/primo-explore/search?tab=default_tab&amp;search_scope=EVERYTHING&amp;vid=01CRU&amp;lang=en_US&amp;offset=0&amp;query=any,contains,991005033189702656","Catalog Record")</f>
        <v/>
      </c>
      <c r="AT2241">
        <f>HYPERLINK("http://www.worldcat.org/oclc/6735462","WorldCat Record")</f>
        <v/>
      </c>
      <c r="AU2241" t="inlineStr">
        <is>
          <t>24320809:eng</t>
        </is>
      </c>
      <c r="AV2241" t="inlineStr">
        <is>
          <t>6735462</t>
        </is>
      </c>
      <c r="AW2241" t="inlineStr">
        <is>
          <t>991005033189702656</t>
        </is>
      </c>
      <c r="AX2241" t="inlineStr">
        <is>
          <t>991005033189702656</t>
        </is>
      </c>
      <c r="AY2241" t="inlineStr">
        <is>
          <t>2267881880002656</t>
        </is>
      </c>
      <c r="AZ2241" t="inlineStr">
        <is>
          <t>BOOK</t>
        </is>
      </c>
      <c r="BB2241" t="inlineStr">
        <is>
          <t>9780865190030</t>
        </is>
      </c>
      <c r="BC2241" t="inlineStr">
        <is>
          <t>32285000339373</t>
        </is>
      </c>
      <c r="BD2241" t="inlineStr">
        <is>
          <t>893533054</t>
        </is>
      </c>
    </row>
    <row r="2242">
      <c r="A2242" t="inlineStr">
        <is>
          <t>No</t>
        </is>
      </c>
      <c r="B2242" t="inlineStr">
        <is>
          <t>DS786 .W65 1971</t>
        </is>
      </c>
      <c r="C2242" t="inlineStr">
        <is>
          <t>0                      DS 0786000W  65          1971</t>
        </is>
      </c>
      <c r="D2242" t="inlineStr">
        <is>
          <t>Into Tibet; the early British explorers.</t>
        </is>
      </c>
      <c r="F2242" t="inlineStr">
        <is>
          <t>No</t>
        </is>
      </c>
      <c r="G2242" t="inlineStr">
        <is>
          <t>1</t>
        </is>
      </c>
      <c r="H2242" t="inlineStr">
        <is>
          <t>No</t>
        </is>
      </c>
      <c r="I2242" t="inlineStr">
        <is>
          <t>No</t>
        </is>
      </c>
      <c r="J2242" t="inlineStr">
        <is>
          <t>0</t>
        </is>
      </c>
      <c r="K2242" t="inlineStr">
        <is>
          <t>Woodcock, George, 1912-1995.</t>
        </is>
      </c>
      <c r="L2242" t="inlineStr">
        <is>
          <t>New York, Barnes &amp; Noble, 1971.</t>
        </is>
      </c>
      <c r="M2242" t="inlineStr">
        <is>
          <t>1971</t>
        </is>
      </c>
      <c r="O2242" t="inlineStr">
        <is>
          <t>eng</t>
        </is>
      </c>
      <c r="P2242" t="inlineStr">
        <is>
          <t>nyu</t>
        </is>
      </c>
      <c r="Q2242" t="inlineStr">
        <is>
          <t>Great travellers</t>
        </is>
      </c>
      <c r="R2242" t="inlineStr">
        <is>
          <t xml:space="preserve">DS </t>
        </is>
      </c>
      <c r="S2242" t="n">
        <v>2</v>
      </c>
      <c r="T2242" t="n">
        <v>2</v>
      </c>
      <c r="U2242" t="inlineStr">
        <is>
          <t>2008-04-25</t>
        </is>
      </c>
      <c r="V2242" t="inlineStr">
        <is>
          <t>2008-04-25</t>
        </is>
      </c>
      <c r="W2242" t="inlineStr">
        <is>
          <t>1997-03-14</t>
        </is>
      </c>
      <c r="X2242" t="inlineStr">
        <is>
          <t>1997-03-14</t>
        </is>
      </c>
      <c r="Y2242" t="n">
        <v>227</v>
      </c>
      <c r="Z2242" t="n">
        <v>212</v>
      </c>
      <c r="AA2242" t="n">
        <v>283</v>
      </c>
      <c r="AB2242" t="n">
        <v>1</v>
      </c>
      <c r="AC2242" t="n">
        <v>2</v>
      </c>
      <c r="AD2242" t="n">
        <v>5</v>
      </c>
      <c r="AE2242" t="n">
        <v>7</v>
      </c>
      <c r="AF2242" t="n">
        <v>1</v>
      </c>
      <c r="AG2242" t="n">
        <v>1</v>
      </c>
      <c r="AH2242" t="n">
        <v>3</v>
      </c>
      <c r="AI2242" t="n">
        <v>3</v>
      </c>
      <c r="AJ2242" t="n">
        <v>2</v>
      </c>
      <c r="AK2242" t="n">
        <v>3</v>
      </c>
      <c r="AL2242" t="n">
        <v>0</v>
      </c>
      <c r="AM2242" t="n">
        <v>1</v>
      </c>
      <c r="AN2242" t="n">
        <v>0</v>
      </c>
      <c r="AO2242" t="n">
        <v>0</v>
      </c>
      <c r="AP2242" t="inlineStr">
        <is>
          <t>No</t>
        </is>
      </c>
      <c r="AQ2242" t="inlineStr">
        <is>
          <t>No</t>
        </is>
      </c>
      <c r="AS2242">
        <f>HYPERLINK("https://creighton-primo.hosted.exlibrisgroup.com/primo-explore/search?tab=default_tab&amp;search_scope=EVERYTHING&amp;vid=01CRU&amp;lang=en_US&amp;offset=0&amp;query=any,contains,991000933449702656","Catalog Record")</f>
        <v/>
      </c>
      <c r="AT2242">
        <f>HYPERLINK("http://www.worldcat.org/oclc/163990","WorldCat Record")</f>
        <v/>
      </c>
      <c r="AU2242" t="inlineStr">
        <is>
          <t>1275077:eng</t>
        </is>
      </c>
      <c r="AV2242" t="inlineStr">
        <is>
          <t>163990</t>
        </is>
      </c>
      <c r="AW2242" t="inlineStr">
        <is>
          <t>991000933449702656</t>
        </is>
      </c>
      <c r="AX2242" t="inlineStr">
        <is>
          <t>991000933449702656</t>
        </is>
      </c>
      <c r="AY2242" t="inlineStr">
        <is>
          <t>2272230250002656</t>
        </is>
      </c>
      <c r="AZ2242" t="inlineStr">
        <is>
          <t>BOOK</t>
        </is>
      </c>
      <c r="BB2242" t="inlineStr">
        <is>
          <t>9780389041382</t>
        </is>
      </c>
      <c r="BC2242" t="inlineStr">
        <is>
          <t>32285002449519</t>
        </is>
      </c>
      <c r="BD2242" t="inlineStr">
        <is>
          <t>893438716</t>
        </is>
      </c>
    </row>
    <row r="2243">
      <c r="A2243" t="inlineStr">
        <is>
          <t>No</t>
        </is>
      </c>
      <c r="B2243" t="inlineStr">
        <is>
          <t>DS79 .K43 1960</t>
        </is>
      </c>
      <c r="C2243" t="inlineStr">
        <is>
          <t>0                      DS 0079000K  43          1960</t>
        </is>
      </c>
      <c r="D2243" t="inlineStr">
        <is>
          <t>Independent Iraq, 1932-1958; a study in Iraqi politics.</t>
        </is>
      </c>
      <c r="F2243" t="inlineStr">
        <is>
          <t>No</t>
        </is>
      </c>
      <c r="G2243" t="inlineStr">
        <is>
          <t>1</t>
        </is>
      </c>
      <c r="H2243" t="inlineStr">
        <is>
          <t>No</t>
        </is>
      </c>
      <c r="I2243" t="inlineStr">
        <is>
          <t>No</t>
        </is>
      </c>
      <c r="J2243" t="inlineStr">
        <is>
          <t>0</t>
        </is>
      </c>
      <c r="K2243" t="inlineStr">
        <is>
          <t>Khadduri, Majid, 1908-2007.</t>
        </is>
      </c>
      <c r="L2243" t="inlineStr">
        <is>
          <t>London, New York, Oxford University Press, 1960.</t>
        </is>
      </c>
      <c r="M2243" t="inlineStr">
        <is>
          <t>1960</t>
        </is>
      </c>
      <c r="N2243" t="inlineStr">
        <is>
          <t>2d ed.</t>
        </is>
      </c>
      <c r="O2243" t="inlineStr">
        <is>
          <t>eng</t>
        </is>
      </c>
      <c r="P2243" t="inlineStr">
        <is>
          <t>enk</t>
        </is>
      </c>
      <c r="R2243" t="inlineStr">
        <is>
          <t xml:space="preserve">DS </t>
        </is>
      </c>
      <c r="S2243" t="n">
        <v>2</v>
      </c>
      <c r="T2243" t="n">
        <v>2</v>
      </c>
      <c r="U2243" t="inlineStr">
        <is>
          <t>1998-04-13</t>
        </is>
      </c>
      <c r="V2243" t="inlineStr">
        <is>
          <t>1998-04-13</t>
        </is>
      </c>
      <c r="W2243" t="inlineStr">
        <is>
          <t>1997-02-24</t>
        </is>
      </c>
      <c r="X2243" t="inlineStr">
        <is>
          <t>1997-02-24</t>
        </is>
      </c>
      <c r="Y2243" t="n">
        <v>594</v>
      </c>
      <c r="Z2243" t="n">
        <v>494</v>
      </c>
      <c r="AA2243" t="n">
        <v>496</v>
      </c>
      <c r="AB2243" t="n">
        <v>3</v>
      </c>
      <c r="AC2243" t="n">
        <v>3</v>
      </c>
      <c r="AD2243" t="n">
        <v>20</v>
      </c>
      <c r="AE2243" t="n">
        <v>20</v>
      </c>
      <c r="AF2243" t="n">
        <v>9</v>
      </c>
      <c r="AG2243" t="n">
        <v>9</v>
      </c>
      <c r="AH2243" t="n">
        <v>6</v>
      </c>
      <c r="AI2243" t="n">
        <v>6</v>
      </c>
      <c r="AJ2243" t="n">
        <v>11</v>
      </c>
      <c r="AK2243" t="n">
        <v>11</v>
      </c>
      <c r="AL2243" t="n">
        <v>2</v>
      </c>
      <c r="AM2243" t="n">
        <v>2</v>
      </c>
      <c r="AN2243" t="n">
        <v>0</v>
      </c>
      <c r="AO2243" t="n">
        <v>0</v>
      </c>
      <c r="AP2243" t="inlineStr">
        <is>
          <t>No</t>
        </is>
      </c>
      <c r="AQ2243" t="inlineStr">
        <is>
          <t>Yes</t>
        </is>
      </c>
      <c r="AR2243">
        <f>HYPERLINK("http://catalog.hathitrust.org/Record/001246822","HathiTrust Record")</f>
        <v/>
      </c>
      <c r="AS2243">
        <f>HYPERLINK("https://creighton-primo.hosted.exlibrisgroup.com/primo-explore/search?tab=default_tab&amp;search_scope=EVERYTHING&amp;vid=01CRU&amp;lang=en_US&amp;offset=0&amp;query=any,contains,991002683189702656","Catalog Record")</f>
        <v/>
      </c>
      <c r="AT2243">
        <f>HYPERLINK("http://www.worldcat.org/oclc/399043","WorldCat Record")</f>
        <v/>
      </c>
      <c r="AU2243" t="inlineStr">
        <is>
          <t>4535686914:eng</t>
        </is>
      </c>
      <c r="AV2243" t="inlineStr">
        <is>
          <t>399043</t>
        </is>
      </c>
      <c r="AW2243" t="inlineStr">
        <is>
          <t>991002683189702656</t>
        </is>
      </c>
      <c r="AX2243" t="inlineStr">
        <is>
          <t>991002683189702656</t>
        </is>
      </c>
      <c r="AY2243" t="inlineStr">
        <is>
          <t>2257852670002656</t>
        </is>
      </c>
      <c r="AZ2243" t="inlineStr">
        <is>
          <t>BOOK</t>
        </is>
      </c>
      <c r="BC2243" t="inlineStr">
        <is>
          <t>32285002460334</t>
        </is>
      </c>
      <c r="BD2243" t="inlineStr">
        <is>
          <t>893603878</t>
        </is>
      </c>
    </row>
    <row r="2244">
      <c r="A2244" t="inlineStr">
        <is>
          <t>No</t>
        </is>
      </c>
      <c r="B2244" t="inlineStr">
        <is>
          <t>DS79 .T75 2000</t>
        </is>
      </c>
      <c r="C2244" t="inlineStr">
        <is>
          <t>0                      DS 0079000T  75          2000</t>
        </is>
      </c>
      <c r="D2244" t="inlineStr">
        <is>
          <t>A history of Iraq / Charles Tripp.</t>
        </is>
      </c>
      <c r="F2244" t="inlineStr">
        <is>
          <t>No</t>
        </is>
      </c>
      <c r="G2244" t="inlineStr">
        <is>
          <t>1</t>
        </is>
      </c>
      <c r="H2244" t="inlineStr">
        <is>
          <t>No</t>
        </is>
      </c>
      <c r="I2244" t="inlineStr">
        <is>
          <t>Yes</t>
        </is>
      </c>
      <c r="J2244" t="inlineStr">
        <is>
          <t>0</t>
        </is>
      </c>
      <c r="K2244" t="inlineStr">
        <is>
          <t>Tripp, Charles.</t>
        </is>
      </c>
      <c r="L2244" t="inlineStr">
        <is>
          <t>Cambridge : Cambridge University Press, 2000.</t>
        </is>
      </c>
      <c r="M2244" t="inlineStr">
        <is>
          <t>2000</t>
        </is>
      </c>
      <c r="O2244" t="inlineStr">
        <is>
          <t>eng</t>
        </is>
      </c>
      <c r="P2244" t="inlineStr">
        <is>
          <t>enk</t>
        </is>
      </c>
      <c r="R2244" t="inlineStr">
        <is>
          <t xml:space="preserve">DS </t>
        </is>
      </c>
      <c r="S2244" t="n">
        <v>4</v>
      </c>
      <c r="T2244" t="n">
        <v>4</v>
      </c>
      <c r="U2244" t="inlineStr">
        <is>
          <t>2004-10-14</t>
        </is>
      </c>
      <c r="V2244" t="inlineStr">
        <is>
          <t>2004-10-14</t>
        </is>
      </c>
      <c r="W2244" t="inlineStr">
        <is>
          <t>2001-01-04</t>
        </is>
      </c>
      <c r="X2244" t="inlineStr">
        <is>
          <t>2001-01-04</t>
        </is>
      </c>
      <c r="Y2244" t="n">
        <v>787</v>
      </c>
      <c r="Z2244" t="n">
        <v>626</v>
      </c>
      <c r="AA2244" t="n">
        <v>1425</v>
      </c>
      <c r="AB2244" t="n">
        <v>4</v>
      </c>
      <c r="AC2244" t="n">
        <v>10</v>
      </c>
      <c r="AD2244" t="n">
        <v>20</v>
      </c>
      <c r="AE2244" t="n">
        <v>44</v>
      </c>
      <c r="AF2244" t="n">
        <v>8</v>
      </c>
      <c r="AG2244" t="n">
        <v>19</v>
      </c>
      <c r="AH2244" t="n">
        <v>4</v>
      </c>
      <c r="AI2244" t="n">
        <v>7</v>
      </c>
      <c r="AJ2244" t="n">
        <v>12</v>
      </c>
      <c r="AK2244" t="n">
        <v>21</v>
      </c>
      <c r="AL2244" t="n">
        <v>3</v>
      </c>
      <c r="AM2244" t="n">
        <v>7</v>
      </c>
      <c r="AN2244" t="n">
        <v>0</v>
      </c>
      <c r="AO2244" t="n">
        <v>1</v>
      </c>
      <c r="AP2244" t="inlineStr">
        <is>
          <t>No</t>
        </is>
      </c>
      <c r="AQ2244" t="inlineStr">
        <is>
          <t>No</t>
        </is>
      </c>
      <c r="AS2244">
        <f>HYPERLINK("https://creighton-primo.hosted.exlibrisgroup.com/primo-explore/search?tab=default_tab&amp;search_scope=EVERYTHING&amp;vid=01CRU&amp;lang=en_US&amp;offset=0&amp;query=any,contains,991003334229702656","Catalog Record")</f>
        <v/>
      </c>
      <c r="AT2244">
        <f>HYPERLINK("http://www.worldcat.org/oclc/59564060","WorldCat Record")</f>
        <v/>
      </c>
      <c r="AU2244" t="inlineStr">
        <is>
          <t>47033:eng</t>
        </is>
      </c>
      <c r="AV2244" t="inlineStr">
        <is>
          <t>59564060</t>
        </is>
      </c>
      <c r="AW2244" t="inlineStr">
        <is>
          <t>991003334229702656</t>
        </is>
      </c>
      <c r="AX2244" t="inlineStr">
        <is>
          <t>991003334229702656</t>
        </is>
      </c>
      <c r="AY2244" t="inlineStr">
        <is>
          <t>2260352590002656</t>
        </is>
      </c>
      <c r="AZ2244" t="inlineStr">
        <is>
          <t>BOOK</t>
        </is>
      </c>
      <c r="BB2244" t="inlineStr">
        <is>
          <t>9780521554046</t>
        </is>
      </c>
      <c r="BC2244" t="inlineStr">
        <is>
          <t>32285004279740</t>
        </is>
      </c>
      <c r="BD2244" t="inlineStr">
        <is>
          <t>893499202</t>
        </is>
      </c>
    </row>
    <row r="2245">
      <c r="A2245" t="inlineStr">
        <is>
          <t>No</t>
        </is>
      </c>
      <c r="B2245" t="inlineStr">
        <is>
          <t>DS79.5 .B73 2004</t>
        </is>
      </c>
      <c r="C2245" t="inlineStr">
        <is>
          <t>0                      DS 0079500B  73          2004</t>
        </is>
      </c>
      <c r="D2245" t="inlineStr">
        <is>
          <t>The new Iraq : rebuilding the country for its people, the Middle East, and the world / Joseph Braude.</t>
        </is>
      </c>
      <c r="F2245" t="inlineStr">
        <is>
          <t>No</t>
        </is>
      </c>
      <c r="G2245" t="inlineStr">
        <is>
          <t>1</t>
        </is>
      </c>
      <c r="H2245" t="inlineStr">
        <is>
          <t>No</t>
        </is>
      </c>
      <c r="I2245" t="inlineStr">
        <is>
          <t>No</t>
        </is>
      </c>
      <c r="J2245" t="inlineStr">
        <is>
          <t>0</t>
        </is>
      </c>
      <c r="K2245" t="inlineStr">
        <is>
          <t>Braude, Joseph.</t>
        </is>
      </c>
      <c r="L2245" t="inlineStr">
        <is>
          <t>New York : Basic Books, c2004.</t>
        </is>
      </c>
      <c r="M2245" t="inlineStr">
        <is>
          <t>2004</t>
        </is>
      </c>
      <c r="O2245" t="inlineStr">
        <is>
          <t>eng</t>
        </is>
      </c>
      <c r="P2245" t="inlineStr">
        <is>
          <t>nyu</t>
        </is>
      </c>
      <c r="R2245" t="inlineStr">
        <is>
          <t xml:space="preserve">DS </t>
        </is>
      </c>
      <c r="S2245" t="n">
        <v>2</v>
      </c>
      <c r="T2245" t="n">
        <v>2</v>
      </c>
      <c r="U2245" t="inlineStr">
        <is>
          <t>2005-01-31</t>
        </is>
      </c>
      <c r="V2245" t="inlineStr">
        <is>
          <t>2005-01-31</t>
        </is>
      </c>
      <c r="W2245" t="inlineStr">
        <is>
          <t>2005-01-31</t>
        </is>
      </c>
      <c r="X2245" t="inlineStr">
        <is>
          <t>2005-01-31</t>
        </is>
      </c>
      <c r="Y2245" t="n">
        <v>828</v>
      </c>
      <c r="Z2245" t="n">
        <v>743</v>
      </c>
      <c r="AA2245" t="n">
        <v>1354</v>
      </c>
      <c r="AB2245" t="n">
        <v>6</v>
      </c>
      <c r="AC2245" t="n">
        <v>29</v>
      </c>
      <c r="AD2245" t="n">
        <v>22</v>
      </c>
      <c r="AE2245" t="n">
        <v>35</v>
      </c>
      <c r="AF2245" t="n">
        <v>11</v>
      </c>
      <c r="AG2245" t="n">
        <v>13</v>
      </c>
      <c r="AH2245" t="n">
        <v>6</v>
      </c>
      <c r="AI2245" t="n">
        <v>6</v>
      </c>
      <c r="AJ2245" t="n">
        <v>10</v>
      </c>
      <c r="AK2245" t="n">
        <v>11</v>
      </c>
      <c r="AL2245" t="n">
        <v>3</v>
      </c>
      <c r="AM2245" t="n">
        <v>13</v>
      </c>
      <c r="AN2245" t="n">
        <v>0</v>
      </c>
      <c r="AO2245" t="n">
        <v>0</v>
      </c>
      <c r="AP2245" t="inlineStr">
        <is>
          <t>No</t>
        </is>
      </c>
      <c r="AQ2245" t="inlineStr">
        <is>
          <t>Yes</t>
        </is>
      </c>
      <c r="AR2245">
        <f>HYPERLINK("http://catalog.hathitrust.org/Record/004320078","HathiTrust Record")</f>
        <v/>
      </c>
      <c r="AS2245">
        <f>HYPERLINK("https://creighton-primo.hosted.exlibrisgroup.com/primo-explore/search?tab=default_tab&amp;search_scope=EVERYTHING&amp;vid=01CRU&amp;lang=en_US&amp;offset=0&amp;query=any,contains,991004456539702656","Catalog Record")</f>
        <v/>
      </c>
      <c r="AT2245">
        <f>HYPERLINK("http://www.worldcat.org/oclc/51536563","WorldCat Record")</f>
        <v/>
      </c>
      <c r="AU2245" t="inlineStr">
        <is>
          <t>702407:eng</t>
        </is>
      </c>
      <c r="AV2245" t="inlineStr">
        <is>
          <t>51536563</t>
        </is>
      </c>
      <c r="AW2245" t="inlineStr">
        <is>
          <t>991004456539702656</t>
        </is>
      </c>
      <c r="AX2245" t="inlineStr">
        <is>
          <t>991004456539702656</t>
        </is>
      </c>
      <c r="AY2245" t="inlineStr">
        <is>
          <t>2258243850002656</t>
        </is>
      </c>
      <c r="AZ2245" t="inlineStr">
        <is>
          <t>BOOK</t>
        </is>
      </c>
      <c r="BB2245" t="inlineStr">
        <is>
          <t>9780465007899</t>
        </is>
      </c>
      <c r="BC2245" t="inlineStr">
        <is>
          <t>32285005023790</t>
        </is>
      </c>
      <c r="BD2245" t="inlineStr">
        <is>
          <t>893693970</t>
        </is>
      </c>
    </row>
    <row r="2246">
      <c r="A2246" t="inlineStr">
        <is>
          <t>No</t>
        </is>
      </c>
      <c r="B2246" t="inlineStr">
        <is>
          <t>DS79.5 .S575 2007</t>
        </is>
      </c>
      <c r="C2246" t="inlineStr">
        <is>
          <t>0                      DS 0079500S  575         2007</t>
        </is>
      </c>
      <c r="D2246" t="inlineStr">
        <is>
          <t>Britain in Iraq : contriving king and country, 1914-1932 / Peter Sluglett.</t>
        </is>
      </c>
      <c r="F2246" t="inlineStr">
        <is>
          <t>No</t>
        </is>
      </c>
      <c r="G2246" t="inlineStr">
        <is>
          <t>1</t>
        </is>
      </c>
      <c r="H2246" t="inlineStr">
        <is>
          <t>No</t>
        </is>
      </c>
      <c r="I2246" t="inlineStr">
        <is>
          <t>No</t>
        </is>
      </c>
      <c r="J2246" t="inlineStr">
        <is>
          <t>0</t>
        </is>
      </c>
      <c r="K2246" t="inlineStr">
        <is>
          <t>Sluglett, Peter.</t>
        </is>
      </c>
      <c r="L2246" t="inlineStr">
        <is>
          <t>New York : Columbia University Press, c2007.</t>
        </is>
      </c>
      <c r="M2246" t="inlineStr">
        <is>
          <t>2007</t>
        </is>
      </c>
      <c r="O2246" t="inlineStr">
        <is>
          <t>eng</t>
        </is>
      </c>
      <c r="P2246" t="inlineStr">
        <is>
          <t>nyu</t>
        </is>
      </c>
      <c r="R2246" t="inlineStr">
        <is>
          <t xml:space="preserve">DS </t>
        </is>
      </c>
      <c r="S2246" t="n">
        <v>1</v>
      </c>
      <c r="T2246" t="n">
        <v>1</v>
      </c>
      <c r="U2246" t="inlineStr">
        <is>
          <t>2008-01-22</t>
        </is>
      </c>
      <c r="V2246" t="inlineStr">
        <is>
          <t>2008-01-22</t>
        </is>
      </c>
      <c r="W2246" t="inlineStr">
        <is>
          <t>2008-01-22</t>
        </is>
      </c>
      <c r="X2246" t="inlineStr">
        <is>
          <t>2008-01-22</t>
        </is>
      </c>
      <c r="Y2246" t="n">
        <v>354</v>
      </c>
      <c r="Z2246" t="n">
        <v>312</v>
      </c>
      <c r="AA2246" t="n">
        <v>928</v>
      </c>
      <c r="AB2246" t="n">
        <v>3</v>
      </c>
      <c r="AC2246" t="n">
        <v>13</v>
      </c>
      <c r="AD2246" t="n">
        <v>20</v>
      </c>
      <c r="AE2246" t="n">
        <v>40</v>
      </c>
      <c r="AF2246" t="n">
        <v>8</v>
      </c>
      <c r="AG2246" t="n">
        <v>15</v>
      </c>
      <c r="AH2246" t="n">
        <v>6</v>
      </c>
      <c r="AI2246" t="n">
        <v>9</v>
      </c>
      <c r="AJ2246" t="n">
        <v>9</v>
      </c>
      <c r="AK2246" t="n">
        <v>14</v>
      </c>
      <c r="AL2246" t="n">
        <v>2</v>
      </c>
      <c r="AM2246" t="n">
        <v>8</v>
      </c>
      <c r="AN2246" t="n">
        <v>0</v>
      </c>
      <c r="AO2246" t="n">
        <v>0</v>
      </c>
      <c r="AP2246" t="inlineStr">
        <is>
          <t>No</t>
        </is>
      </c>
      <c r="AQ2246" t="inlineStr">
        <is>
          <t>Yes</t>
        </is>
      </c>
      <c r="AR2246">
        <f>HYPERLINK("http://catalog.hathitrust.org/Record/005548333","HathiTrust Record")</f>
        <v/>
      </c>
      <c r="AS2246">
        <f>HYPERLINK("https://creighton-primo.hosted.exlibrisgroup.com/primo-explore/search?tab=default_tab&amp;search_scope=EVERYTHING&amp;vid=01CRU&amp;lang=en_US&amp;offset=0&amp;query=any,contains,991005170519702656","Catalog Record")</f>
        <v/>
      </c>
      <c r="AT2246">
        <f>HYPERLINK("http://www.worldcat.org/oclc/76836251","WorldCat Record")</f>
        <v/>
      </c>
      <c r="AU2246" t="inlineStr">
        <is>
          <t>864080523:eng</t>
        </is>
      </c>
      <c r="AV2246" t="inlineStr">
        <is>
          <t>76836251</t>
        </is>
      </c>
      <c r="AW2246" t="inlineStr">
        <is>
          <t>991005170519702656</t>
        </is>
      </c>
      <c r="AX2246" t="inlineStr">
        <is>
          <t>991005170519702656</t>
        </is>
      </c>
      <c r="AY2246" t="inlineStr">
        <is>
          <t>2266459400002656</t>
        </is>
      </c>
      <c r="AZ2246" t="inlineStr">
        <is>
          <t>BOOK</t>
        </is>
      </c>
      <c r="BB2246" t="inlineStr">
        <is>
          <t>9780231142007</t>
        </is>
      </c>
      <c r="BC2246" t="inlineStr">
        <is>
          <t>32285005379580</t>
        </is>
      </c>
      <c r="BD2246" t="inlineStr">
        <is>
          <t>893895996</t>
        </is>
      </c>
    </row>
    <row r="2247">
      <c r="A2247" t="inlineStr">
        <is>
          <t>No</t>
        </is>
      </c>
      <c r="B2247" t="inlineStr">
        <is>
          <t>DS79.65 .A687  2004</t>
        </is>
      </c>
      <c r="C2247" t="inlineStr">
        <is>
          <t>0                      DS 0079650A  687         2004</t>
        </is>
      </c>
      <c r="D2247" t="inlineStr">
        <is>
          <t>The future of Iraq : dictatorship, democracy, or division? / Liam Anderson and Gareth Stansfield.</t>
        </is>
      </c>
      <c r="F2247" t="inlineStr">
        <is>
          <t>No</t>
        </is>
      </c>
      <c r="G2247" t="inlineStr">
        <is>
          <t>1</t>
        </is>
      </c>
      <c r="H2247" t="inlineStr">
        <is>
          <t>No</t>
        </is>
      </c>
      <c r="I2247" t="inlineStr">
        <is>
          <t>No</t>
        </is>
      </c>
      <c r="J2247" t="inlineStr">
        <is>
          <t>0</t>
        </is>
      </c>
      <c r="K2247" t="inlineStr">
        <is>
          <t>Anderson, Liam D.</t>
        </is>
      </c>
      <c r="L2247" t="inlineStr">
        <is>
          <t>New York, N.Y. : Palgrave Macmillan, 2004.</t>
        </is>
      </c>
      <c r="M2247" t="inlineStr">
        <is>
          <t>2004</t>
        </is>
      </c>
      <c r="N2247" t="inlineStr">
        <is>
          <t>1st ed.</t>
        </is>
      </c>
      <c r="O2247" t="inlineStr">
        <is>
          <t>eng</t>
        </is>
      </c>
      <c r="P2247" t="inlineStr">
        <is>
          <t>nyu</t>
        </is>
      </c>
      <c r="R2247" t="inlineStr">
        <is>
          <t xml:space="preserve">DS </t>
        </is>
      </c>
      <c r="S2247" t="n">
        <v>4</v>
      </c>
      <c r="T2247" t="n">
        <v>4</v>
      </c>
      <c r="U2247" t="inlineStr">
        <is>
          <t>2004-03-29</t>
        </is>
      </c>
      <c r="V2247" t="inlineStr">
        <is>
          <t>2004-03-29</t>
        </is>
      </c>
      <c r="W2247" t="inlineStr">
        <is>
          <t>2004-03-29</t>
        </is>
      </c>
      <c r="X2247" t="inlineStr">
        <is>
          <t>2004-03-29</t>
        </is>
      </c>
      <c r="Y2247" t="n">
        <v>561</v>
      </c>
      <c r="Z2247" t="n">
        <v>458</v>
      </c>
      <c r="AA2247" t="n">
        <v>542</v>
      </c>
      <c r="AB2247" t="n">
        <v>4</v>
      </c>
      <c r="AC2247" t="n">
        <v>4</v>
      </c>
      <c r="AD2247" t="n">
        <v>16</v>
      </c>
      <c r="AE2247" t="n">
        <v>18</v>
      </c>
      <c r="AF2247" t="n">
        <v>3</v>
      </c>
      <c r="AG2247" t="n">
        <v>3</v>
      </c>
      <c r="AH2247" t="n">
        <v>7</v>
      </c>
      <c r="AI2247" t="n">
        <v>7</v>
      </c>
      <c r="AJ2247" t="n">
        <v>6</v>
      </c>
      <c r="AK2247" t="n">
        <v>8</v>
      </c>
      <c r="AL2247" t="n">
        <v>3</v>
      </c>
      <c r="AM2247" t="n">
        <v>3</v>
      </c>
      <c r="AN2247" t="n">
        <v>0</v>
      </c>
      <c r="AO2247" t="n">
        <v>0</v>
      </c>
      <c r="AP2247" t="inlineStr">
        <is>
          <t>No</t>
        </is>
      </c>
      <c r="AQ2247" t="inlineStr">
        <is>
          <t>No</t>
        </is>
      </c>
      <c r="AS2247">
        <f>HYPERLINK("https://creighton-primo.hosted.exlibrisgroup.com/primo-explore/search?tab=default_tab&amp;search_scope=EVERYTHING&amp;vid=01CRU&amp;lang=en_US&amp;offset=0&amp;query=any,contains,991004252189702656","Catalog Record")</f>
        <v/>
      </c>
      <c r="AT2247">
        <f>HYPERLINK("http://www.worldcat.org/oclc/52638800","WorldCat Record")</f>
        <v/>
      </c>
      <c r="AU2247" t="inlineStr">
        <is>
          <t>52293214:eng</t>
        </is>
      </c>
      <c r="AV2247" t="inlineStr">
        <is>
          <t>52638800</t>
        </is>
      </c>
      <c r="AW2247" t="inlineStr">
        <is>
          <t>991004252189702656</t>
        </is>
      </c>
      <c r="AX2247" t="inlineStr">
        <is>
          <t>991004252189702656</t>
        </is>
      </c>
      <c r="AY2247" t="inlineStr">
        <is>
          <t>2267551360002656</t>
        </is>
      </c>
      <c r="AZ2247" t="inlineStr">
        <is>
          <t>BOOK</t>
        </is>
      </c>
      <c r="BB2247" t="inlineStr">
        <is>
          <t>9781403963543</t>
        </is>
      </c>
      <c r="BC2247" t="inlineStr">
        <is>
          <t>32285004897541</t>
        </is>
      </c>
      <c r="BD2247" t="inlineStr">
        <is>
          <t>893599611</t>
        </is>
      </c>
    </row>
    <row r="2248">
      <c r="A2248" t="inlineStr">
        <is>
          <t>No</t>
        </is>
      </c>
      <c r="B2248" t="inlineStr">
        <is>
          <t>DS79.65 .A94 1988</t>
        </is>
      </c>
      <c r="C2248" t="inlineStr">
        <is>
          <t>0                      DS 0079650A  94          1988</t>
        </is>
      </c>
      <c r="D2248" t="inlineStr">
        <is>
          <t>A new Iraq? : the Gulf War and implications for U.S. policy / Frederick W. Axelgard.</t>
        </is>
      </c>
      <c r="F2248" t="inlineStr">
        <is>
          <t>No</t>
        </is>
      </c>
      <c r="G2248" t="inlineStr">
        <is>
          <t>1</t>
        </is>
      </c>
      <c r="H2248" t="inlineStr">
        <is>
          <t>No</t>
        </is>
      </c>
      <c r="I2248" t="inlineStr">
        <is>
          <t>No</t>
        </is>
      </c>
      <c r="J2248" t="inlineStr">
        <is>
          <t>0</t>
        </is>
      </c>
      <c r="K2248" t="inlineStr">
        <is>
          <t>Axelgard, Frederick W.</t>
        </is>
      </c>
      <c r="L2248" t="inlineStr">
        <is>
          <t>New York : Praeger, 1988.</t>
        </is>
      </c>
      <c r="M2248" t="inlineStr">
        <is>
          <t>1988</t>
        </is>
      </c>
      <c r="O2248" t="inlineStr">
        <is>
          <t>eng</t>
        </is>
      </c>
      <c r="P2248" t="inlineStr">
        <is>
          <t>nyu</t>
        </is>
      </c>
      <c r="Q2248" t="inlineStr">
        <is>
          <t>The Washington papers, 0278-937X ; 133</t>
        </is>
      </c>
      <c r="R2248" t="inlineStr">
        <is>
          <t xml:space="preserve">DS </t>
        </is>
      </c>
      <c r="S2248" t="n">
        <v>15</v>
      </c>
      <c r="T2248" t="n">
        <v>15</v>
      </c>
      <c r="U2248" t="inlineStr">
        <is>
          <t>2003-04-22</t>
        </is>
      </c>
      <c r="V2248" t="inlineStr">
        <is>
          <t>2003-04-22</t>
        </is>
      </c>
      <c r="W2248" t="inlineStr">
        <is>
          <t>1991-01-31</t>
        </is>
      </c>
      <c r="X2248" t="inlineStr">
        <is>
          <t>1991-01-31</t>
        </is>
      </c>
      <c r="Y2248" t="n">
        <v>432</v>
      </c>
      <c r="Z2248" t="n">
        <v>359</v>
      </c>
      <c r="AA2248" t="n">
        <v>366</v>
      </c>
      <c r="AB2248" t="n">
        <v>2</v>
      </c>
      <c r="AC2248" t="n">
        <v>2</v>
      </c>
      <c r="AD2248" t="n">
        <v>15</v>
      </c>
      <c r="AE2248" t="n">
        <v>15</v>
      </c>
      <c r="AF2248" t="n">
        <v>6</v>
      </c>
      <c r="AG2248" t="n">
        <v>6</v>
      </c>
      <c r="AH2248" t="n">
        <v>5</v>
      </c>
      <c r="AI2248" t="n">
        <v>5</v>
      </c>
      <c r="AJ2248" t="n">
        <v>10</v>
      </c>
      <c r="AK2248" t="n">
        <v>10</v>
      </c>
      <c r="AL2248" t="n">
        <v>1</v>
      </c>
      <c r="AM2248" t="n">
        <v>1</v>
      </c>
      <c r="AN2248" t="n">
        <v>0</v>
      </c>
      <c r="AO2248" t="n">
        <v>0</v>
      </c>
      <c r="AP2248" t="inlineStr">
        <is>
          <t>No</t>
        </is>
      </c>
      <c r="AQ2248" t="inlineStr">
        <is>
          <t>Yes</t>
        </is>
      </c>
      <c r="AR2248">
        <f>HYPERLINK("http://catalog.hathitrust.org/Record/000920862","HathiTrust Record")</f>
        <v/>
      </c>
      <c r="AS2248">
        <f>HYPERLINK("https://creighton-primo.hosted.exlibrisgroup.com/primo-explore/search?tab=default_tab&amp;search_scope=EVERYTHING&amp;vid=01CRU&amp;lang=en_US&amp;offset=0&amp;query=any,contains,991001218899702656","Catalog Record")</f>
        <v/>
      </c>
      <c r="AT2248">
        <f>HYPERLINK("http://www.worldcat.org/oclc/17441335","WorldCat Record")</f>
        <v/>
      </c>
      <c r="AU2248" t="inlineStr">
        <is>
          <t>3855802660:eng</t>
        </is>
      </c>
      <c r="AV2248" t="inlineStr">
        <is>
          <t>17441335</t>
        </is>
      </c>
      <c r="AW2248" t="inlineStr">
        <is>
          <t>991001218899702656</t>
        </is>
      </c>
      <c r="AX2248" t="inlineStr">
        <is>
          <t>991001218899702656</t>
        </is>
      </c>
      <c r="AY2248" t="inlineStr">
        <is>
          <t>2260569600002656</t>
        </is>
      </c>
      <c r="AZ2248" t="inlineStr">
        <is>
          <t>BOOK</t>
        </is>
      </c>
      <c r="BB2248" t="inlineStr">
        <is>
          <t>9780275930141</t>
        </is>
      </c>
      <c r="BC2248" t="inlineStr">
        <is>
          <t>32285000462811</t>
        </is>
      </c>
      <c r="BD2248" t="inlineStr">
        <is>
          <t>893590120</t>
        </is>
      </c>
    </row>
    <row r="2249">
      <c r="A2249" t="inlineStr">
        <is>
          <t>No</t>
        </is>
      </c>
      <c r="B2249" t="inlineStr">
        <is>
          <t>DS79.65 .B36 1991</t>
        </is>
      </c>
      <c r="C2249" t="inlineStr">
        <is>
          <t>0                      DS 0079650B  36          1991</t>
        </is>
      </c>
      <c r="D2249" t="inlineStr">
        <is>
          <t>Culture, history, and ideology in the formation of Baʻthist Iraq, 1968-89 / Amatzia Baram.</t>
        </is>
      </c>
      <c r="F2249" t="inlineStr">
        <is>
          <t>No</t>
        </is>
      </c>
      <c r="G2249" t="inlineStr">
        <is>
          <t>1</t>
        </is>
      </c>
      <c r="H2249" t="inlineStr">
        <is>
          <t>No</t>
        </is>
      </c>
      <c r="I2249" t="inlineStr">
        <is>
          <t>No</t>
        </is>
      </c>
      <c r="J2249" t="inlineStr">
        <is>
          <t>0</t>
        </is>
      </c>
      <c r="K2249" t="inlineStr">
        <is>
          <t>Baram, Amatzia, 1938-</t>
        </is>
      </c>
      <c r="L2249" t="inlineStr">
        <is>
          <t>New York : St. Martin's Press, 1991.</t>
        </is>
      </c>
      <c r="M2249" t="inlineStr">
        <is>
          <t>1991</t>
        </is>
      </c>
      <c r="O2249" t="inlineStr">
        <is>
          <t>eng</t>
        </is>
      </c>
      <c r="P2249" t="inlineStr">
        <is>
          <t>nyu</t>
        </is>
      </c>
      <c r="R2249" t="inlineStr">
        <is>
          <t xml:space="preserve">DS </t>
        </is>
      </c>
      <c r="S2249" t="n">
        <v>10</v>
      </c>
      <c r="T2249" t="n">
        <v>10</v>
      </c>
      <c r="U2249" t="inlineStr">
        <is>
          <t>2006-03-24</t>
        </is>
      </c>
      <c r="V2249" t="inlineStr">
        <is>
          <t>2006-03-24</t>
        </is>
      </c>
      <c r="W2249" t="inlineStr">
        <is>
          <t>1992-05-08</t>
        </is>
      </c>
      <c r="X2249" t="inlineStr">
        <is>
          <t>1992-05-08</t>
        </is>
      </c>
      <c r="Y2249" t="n">
        <v>412</v>
      </c>
      <c r="Z2249" t="n">
        <v>335</v>
      </c>
      <c r="AA2249" t="n">
        <v>364</v>
      </c>
      <c r="AB2249" t="n">
        <v>2</v>
      </c>
      <c r="AC2249" t="n">
        <v>2</v>
      </c>
      <c r="AD2249" t="n">
        <v>17</v>
      </c>
      <c r="AE2249" t="n">
        <v>18</v>
      </c>
      <c r="AF2249" t="n">
        <v>7</v>
      </c>
      <c r="AG2249" t="n">
        <v>7</v>
      </c>
      <c r="AH2249" t="n">
        <v>5</v>
      </c>
      <c r="AI2249" t="n">
        <v>5</v>
      </c>
      <c r="AJ2249" t="n">
        <v>11</v>
      </c>
      <c r="AK2249" t="n">
        <v>12</v>
      </c>
      <c r="AL2249" t="n">
        <v>1</v>
      </c>
      <c r="AM2249" t="n">
        <v>1</v>
      </c>
      <c r="AN2249" t="n">
        <v>0</v>
      </c>
      <c r="AO2249" t="n">
        <v>0</v>
      </c>
      <c r="AP2249" t="inlineStr">
        <is>
          <t>No</t>
        </is>
      </c>
      <c r="AQ2249" t="inlineStr">
        <is>
          <t>No</t>
        </is>
      </c>
      <c r="AS2249">
        <f>HYPERLINK("https://creighton-primo.hosted.exlibrisgroup.com/primo-explore/search?tab=default_tab&amp;search_scope=EVERYTHING&amp;vid=01CRU&amp;lang=en_US&amp;offset=0&amp;query=any,contains,991001751749702656","Catalog Record")</f>
        <v/>
      </c>
      <c r="AT2249">
        <f>HYPERLINK("http://www.worldcat.org/oclc/22183338","WorldCat Record")</f>
        <v/>
      </c>
      <c r="AU2249" t="inlineStr">
        <is>
          <t>23630790:eng</t>
        </is>
      </c>
      <c r="AV2249" t="inlineStr">
        <is>
          <t>22183338</t>
        </is>
      </c>
      <c r="AW2249" t="inlineStr">
        <is>
          <t>991001751749702656</t>
        </is>
      </c>
      <c r="AX2249" t="inlineStr">
        <is>
          <t>991001751749702656</t>
        </is>
      </c>
      <c r="AY2249" t="inlineStr">
        <is>
          <t>2258860840002656</t>
        </is>
      </c>
      <c r="AZ2249" t="inlineStr">
        <is>
          <t>BOOK</t>
        </is>
      </c>
      <c r="BB2249" t="inlineStr">
        <is>
          <t>9780312048051</t>
        </is>
      </c>
      <c r="BC2249" t="inlineStr">
        <is>
          <t>32285001038768</t>
        </is>
      </c>
      <c r="BD2249" t="inlineStr">
        <is>
          <t>893534664</t>
        </is>
      </c>
    </row>
    <row r="2250">
      <c r="A2250" t="inlineStr">
        <is>
          <t>No</t>
        </is>
      </c>
      <c r="B2250" t="inlineStr">
        <is>
          <t>DS79.65 .H45 1984</t>
        </is>
      </c>
      <c r="C2250" t="inlineStr">
        <is>
          <t>0                      DS 0079650H  45          1984</t>
        </is>
      </c>
      <c r="D2250" t="inlineStr">
        <is>
          <t>Iraq, eastern flank of the Arab world / Christine Moss Helms.</t>
        </is>
      </c>
      <c r="F2250" t="inlineStr">
        <is>
          <t>No</t>
        </is>
      </c>
      <c r="G2250" t="inlineStr">
        <is>
          <t>1</t>
        </is>
      </c>
      <c r="H2250" t="inlineStr">
        <is>
          <t>No</t>
        </is>
      </c>
      <c r="I2250" t="inlineStr">
        <is>
          <t>No</t>
        </is>
      </c>
      <c r="J2250" t="inlineStr">
        <is>
          <t>0</t>
        </is>
      </c>
      <c r="K2250" t="inlineStr">
        <is>
          <t>Helms, Christine Moss.</t>
        </is>
      </c>
      <c r="L2250" t="inlineStr">
        <is>
          <t>Washington, D.C. : Brookings Institution, c1984.</t>
        </is>
      </c>
      <c r="M2250" t="inlineStr">
        <is>
          <t>1984</t>
        </is>
      </c>
      <c r="O2250" t="inlineStr">
        <is>
          <t>eng</t>
        </is>
      </c>
      <c r="P2250" t="inlineStr">
        <is>
          <t>dcu</t>
        </is>
      </c>
      <c r="R2250" t="inlineStr">
        <is>
          <t xml:space="preserve">DS </t>
        </is>
      </c>
      <c r="S2250" t="n">
        <v>7</v>
      </c>
      <c r="T2250" t="n">
        <v>7</v>
      </c>
      <c r="U2250" t="inlineStr">
        <is>
          <t>2004-04-07</t>
        </is>
      </c>
      <c r="V2250" t="inlineStr">
        <is>
          <t>2004-04-07</t>
        </is>
      </c>
      <c r="W2250" t="inlineStr">
        <is>
          <t>1990-09-18</t>
        </is>
      </c>
      <c r="X2250" t="inlineStr">
        <is>
          <t>1990-09-18</t>
        </is>
      </c>
      <c r="Y2250" t="n">
        <v>984</v>
      </c>
      <c r="Z2250" t="n">
        <v>855</v>
      </c>
      <c r="AA2250" t="n">
        <v>862</v>
      </c>
      <c r="AB2250" t="n">
        <v>6</v>
      </c>
      <c r="AC2250" t="n">
        <v>6</v>
      </c>
      <c r="AD2250" t="n">
        <v>37</v>
      </c>
      <c r="AE2250" t="n">
        <v>37</v>
      </c>
      <c r="AF2250" t="n">
        <v>15</v>
      </c>
      <c r="AG2250" t="n">
        <v>15</v>
      </c>
      <c r="AH2250" t="n">
        <v>8</v>
      </c>
      <c r="AI2250" t="n">
        <v>8</v>
      </c>
      <c r="AJ2250" t="n">
        <v>21</v>
      </c>
      <c r="AK2250" t="n">
        <v>21</v>
      </c>
      <c r="AL2250" t="n">
        <v>5</v>
      </c>
      <c r="AM2250" t="n">
        <v>5</v>
      </c>
      <c r="AN2250" t="n">
        <v>1</v>
      </c>
      <c r="AO2250" t="n">
        <v>1</v>
      </c>
      <c r="AP2250" t="inlineStr">
        <is>
          <t>No</t>
        </is>
      </c>
      <c r="AQ2250" t="inlineStr">
        <is>
          <t>Yes</t>
        </is>
      </c>
      <c r="AR2250">
        <f>HYPERLINK("http://catalog.hathitrust.org/Record/000166308","HathiTrust Record")</f>
        <v/>
      </c>
      <c r="AS2250">
        <f>HYPERLINK("https://creighton-primo.hosted.exlibrisgroup.com/primo-explore/search?tab=default_tab&amp;search_scope=EVERYTHING&amp;vid=01CRU&amp;lang=en_US&amp;offset=0&amp;query=any,contains,991000464089702656","Catalog Record")</f>
        <v/>
      </c>
      <c r="AT2250">
        <f>HYPERLINK("http://www.worldcat.org/oclc/10949554","WorldCat Record")</f>
        <v/>
      </c>
      <c r="AU2250" t="inlineStr">
        <is>
          <t>810739492:eng</t>
        </is>
      </c>
      <c r="AV2250" t="inlineStr">
        <is>
          <t>10949554</t>
        </is>
      </c>
      <c r="AW2250" t="inlineStr">
        <is>
          <t>991000464089702656</t>
        </is>
      </c>
      <c r="AX2250" t="inlineStr">
        <is>
          <t>991000464089702656</t>
        </is>
      </c>
      <c r="AY2250" t="inlineStr">
        <is>
          <t>2271597270002656</t>
        </is>
      </c>
      <c r="AZ2250" t="inlineStr">
        <is>
          <t>BOOK</t>
        </is>
      </c>
      <c r="BB2250" t="inlineStr">
        <is>
          <t>9780815735557</t>
        </is>
      </c>
      <c r="BC2250" t="inlineStr">
        <is>
          <t>32285000292135</t>
        </is>
      </c>
      <c r="BD2250" t="inlineStr">
        <is>
          <t>893528068</t>
        </is>
      </c>
    </row>
    <row r="2251">
      <c r="A2251" t="inlineStr">
        <is>
          <t>No</t>
        </is>
      </c>
      <c r="B2251" t="inlineStr">
        <is>
          <t>DS79.65 .K49</t>
        </is>
      </c>
      <c r="C2251" t="inlineStr">
        <is>
          <t>0                      DS 0079650K  49</t>
        </is>
      </c>
      <c r="D2251" t="inlineStr">
        <is>
          <t>Socialist Iraq : a study in Iraqi politics since 1968 / Majid Khadduri.</t>
        </is>
      </c>
      <c r="F2251" t="inlineStr">
        <is>
          <t>No</t>
        </is>
      </c>
      <c r="G2251" t="inlineStr">
        <is>
          <t>1</t>
        </is>
      </c>
      <c r="H2251" t="inlineStr">
        <is>
          <t>No</t>
        </is>
      </c>
      <c r="I2251" t="inlineStr">
        <is>
          <t>No</t>
        </is>
      </c>
      <c r="J2251" t="inlineStr">
        <is>
          <t>0</t>
        </is>
      </c>
      <c r="K2251" t="inlineStr">
        <is>
          <t>Khadduri, Majid, 1908-2007.</t>
        </is>
      </c>
      <c r="L2251" t="inlineStr">
        <is>
          <t>Washington : Middle East Institute, 1978.</t>
        </is>
      </c>
      <c r="M2251" t="inlineStr">
        <is>
          <t>1978</t>
        </is>
      </c>
      <c r="O2251" t="inlineStr">
        <is>
          <t>eng</t>
        </is>
      </c>
      <c r="P2251" t="inlineStr">
        <is>
          <t>dcu</t>
        </is>
      </c>
      <c r="R2251" t="inlineStr">
        <is>
          <t xml:space="preserve">DS </t>
        </is>
      </c>
      <c r="S2251" t="n">
        <v>4</v>
      </c>
      <c r="T2251" t="n">
        <v>4</v>
      </c>
      <c r="U2251" t="inlineStr">
        <is>
          <t>2006-03-24</t>
        </is>
      </c>
      <c r="V2251" t="inlineStr">
        <is>
          <t>2006-03-24</t>
        </is>
      </c>
      <c r="W2251" t="inlineStr">
        <is>
          <t>1990-09-18</t>
        </is>
      </c>
      <c r="X2251" t="inlineStr">
        <is>
          <t>1990-09-18</t>
        </is>
      </c>
      <c r="Y2251" t="n">
        <v>487</v>
      </c>
      <c r="Z2251" t="n">
        <v>381</v>
      </c>
      <c r="AA2251" t="n">
        <v>387</v>
      </c>
      <c r="AB2251" t="n">
        <v>4</v>
      </c>
      <c r="AC2251" t="n">
        <v>4</v>
      </c>
      <c r="AD2251" t="n">
        <v>19</v>
      </c>
      <c r="AE2251" t="n">
        <v>19</v>
      </c>
      <c r="AF2251" t="n">
        <v>4</v>
      </c>
      <c r="AG2251" t="n">
        <v>4</v>
      </c>
      <c r="AH2251" t="n">
        <v>8</v>
      </c>
      <c r="AI2251" t="n">
        <v>8</v>
      </c>
      <c r="AJ2251" t="n">
        <v>9</v>
      </c>
      <c r="AK2251" t="n">
        <v>9</v>
      </c>
      <c r="AL2251" t="n">
        <v>3</v>
      </c>
      <c r="AM2251" t="n">
        <v>3</v>
      </c>
      <c r="AN2251" t="n">
        <v>0</v>
      </c>
      <c r="AO2251" t="n">
        <v>0</v>
      </c>
      <c r="AP2251" t="inlineStr">
        <is>
          <t>No</t>
        </is>
      </c>
      <c r="AQ2251" t="inlineStr">
        <is>
          <t>Yes</t>
        </is>
      </c>
      <c r="AR2251">
        <f>HYPERLINK("http://catalog.hathitrust.org/Record/000173860","HathiTrust Record")</f>
        <v/>
      </c>
      <c r="AS2251">
        <f>HYPERLINK("https://creighton-primo.hosted.exlibrisgroup.com/primo-explore/search?tab=default_tab&amp;search_scope=EVERYTHING&amp;vid=01CRU&amp;lang=en_US&amp;offset=0&amp;query=any,contains,991004543229702656","Catalog Record")</f>
        <v/>
      </c>
      <c r="AT2251">
        <f>HYPERLINK("http://www.worldcat.org/oclc/3906344","WorldCat Record")</f>
        <v/>
      </c>
      <c r="AU2251" t="inlineStr">
        <is>
          <t>13019797:eng</t>
        </is>
      </c>
      <c r="AV2251" t="inlineStr">
        <is>
          <t>3906344</t>
        </is>
      </c>
      <c r="AW2251" t="inlineStr">
        <is>
          <t>991004543229702656</t>
        </is>
      </c>
      <c r="AX2251" t="inlineStr">
        <is>
          <t>991004543229702656</t>
        </is>
      </c>
      <c r="AY2251" t="inlineStr">
        <is>
          <t>2254723510002656</t>
        </is>
      </c>
      <c r="AZ2251" t="inlineStr">
        <is>
          <t>BOOK</t>
        </is>
      </c>
      <c r="BB2251" t="inlineStr">
        <is>
          <t>9780916808167</t>
        </is>
      </c>
      <c r="BC2251" t="inlineStr">
        <is>
          <t>32285000292143</t>
        </is>
      </c>
      <c r="BD2251" t="inlineStr">
        <is>
          <t>893882582</t>
        </is>
      </c>
    </row>
    <row r="2252">
      <c r="A2252" t="inlineStr">
        <is>
          <t>No</t>
        </is>
      </c>
      <c r="B2252" t="inlineStr">
        <is>
          <t>DS79.65 .M24 2002</t>
        </is>
      </c>
      <c r="C2252" t="inlineStr">
        <is>
          <t>0                      DS 0079650M  24          2002</t>
        </is>
      </c>
      <c r="D2252" t="inlineStr">
        <is>
          <t>The reckoning : Iraq and the legacy of Saddam Hussein / Sandra Mackey.</t>
        </is>
      </c>
      <c r="F2252" t="inlineStr">
        <is>
          <t>No</t>
        </is>
      </c>
      <c r="G2252" t="inlineStr">
        <is>
          <t>1</t>
        </is>
      </c>
      <c r="H2252" t="inlineStr">
        <is>
          <t>No</t>
        </is>
      </c>
      <c r="I2252" t="inlineStr">
        <is>
          <t>No</t>
        </is>
      </c>
      <c r="J2252" t="inlineStr">
        <is>
          <t>0</t>
        </is>
      </c>
      <c r="K2252" t="inlineStr">
        <is>
          <t>Mackey, Sandra, 1937-</t>
        </is>
      </c>
      <c r="L2252" t="inlineStr">
        <is>
          <t>New York : Norton, c2002.</t>
        </is>
      </c>
      <c r="M2252" t="inlineStr">
        <is>
          <t>2002</t>
        </is>
      </c>
      <c r="N2252" t="inlineStr">
        <is>
          <t>1st ed.</t>
        </is>
      </c>
      <c r="O2252" t="inlineStr">
        <is>
          <t>eng</t>
        </is>
      </c>
      <c r="P2252" t="inlineStr">
        <is>
          <t>nyu</t>
        </is>
      </c>
      <c r="R2252" t="inlineStr">
        <is>
          <t xml:space="preserve">DS </t>
        </is>
      </c>
      <c r="S2252" t="n">
        <v>8</v>
      </c>
      <c r="T2252" t="n">
        <v>8</v>
      </c>
      <c r="U2252" t="inlineStr">
        <is>
          <t>2006-02-09</t>
        </is>
      </c>
      <c r="V2252" t="inlineStr">
        <is>
          <t>2006-02-09</t>
        </is>
      </c>
      <c r="W2252" t="inlineStr">
        <is>
          <t>2002-07-09</t>
        </is>
      </c>
      <c r="X2252" t="inlineStr">
        <is>
          <t>2002-07-09</t>
        </is>
      </c>
      <c r="Y2252" t="n">
        <v>1434</v>
      </c>
      <c r="Z2252" t="n">
        <v>1296</v>
      </c>
      <c r="AA2252" t="n">
        <v>1420</v>
      </c>
      <c r="AB2252" t="n">
        <v>6</v>
      </c>
      <c r="AC2252" t="n">
        <v>8</v>
      </c>
      <c r="AD2252" t="n">
        <v>28</v>
      </c>
      <c r="AE2252" t="n">
        <v>34</v>
      </c>
      <c r="AF2252" t="n">
        <v>15</v>
      </c>
      <c r="AG2252" t="n">
        <v>18</v>
      </c>
      <c r="AH2252" t="n">
        <v>6</v>
      </c>
      <c r="AI2252" t="n">
        <v>6</v>
      </c>
      <c r="AJ2252" t="n">
        <v>11</v>
      </c>
      <c r="AK2252" t="n">
        <v>14</v>
      </c>
      <c r="AL2252" t="n">
        <v>4</v>
      </c>
      <c r="AM2252" t="n">
        <v>5</v>
      </c>
      <c r="AN2252" t="n">
        <v>0</v>
      </c>
      <c r="AO2252" t="n">
        <v>0</v>
      </c>
      <c r="AP2252" t="inlineStr">
        <is>
          <t>No</t>
        </is>
      </c>
      <c r="AQ2252" t="inlineStr">
        <is>
          <t>No</t>
        </is>
      </c>
      <c r="AS2252">
        <f>HYPERLINK("https://creighton-primo.hosted.exlibrisgroup.com/primo-explore/search?tab=default_tab&amp;search_scope=EVERYTHING&amp;vid=01CRU&amp;lang=en_US&amp;offset=0&amp;query=any,contains,991003819509702656","Catalog Record")</f>
        <v/>
      </c>
      <c r="AT2252">
        <f>HYPERLINK("http://www.worldcat.org/oclc/48810593","WorldCat Record")</f>
        <v/>
      </c>
      <c r="AU2252" t="inlineStr">
        <is>
          <t>690487:eng</t>
        </is>
      </c>
      <c r="AV2252" t="inlineStr">
        <is>
          <t>48810593</t>
        </is>
      </c>
      <c r="AW2252" t="inlineStr">
        <is>
          <t>991003819509702656</t>
        </is>
      </c>
      <c r="AX2252" t="inlineStr">
        <is>
          <t>991003819509702656</t>
        </is>
      </c>
      <c r="AY2252" t="inlineStr">
        <is>
          <t>2267997210002656</t>
        </is>
      </c>
      <c r="AZ2252" t="inlineStr">
        <is>
          <t>BOOK</t>
        </is>
      </c>
      <c r="BB2252" t="inlineStr">
        <is>
          <t>9780393051414</t>
        </is>
      </c>
      <c r="BC2252" t="inlineStr">
        <is>
          <t>32285004496799</t>
        </is>
      </c>
      <c r="BD2252" t="inlineStr">
        <is>
          <t>893605237</t>
        </is>
      </c>
    </row>
    <row r="2253">
      <c r="A2253" t="inlineStr">
        <is>
          <t>No</t>
        </is>
      </c>
      <c r="B2253" t="inlineStr">
        <is>
          <t>DS79.65 .S23 1989</t>
        </is>
      </c>
      <c r="C2253" t="inlineStr">
        <is>
          <t>0                      DS 0079650S  23          1989</t>
        </is>
      </c>
      <c r="D2253" t="inlineStr">
        <is>
          <t>Saddam's Iraq : revolution or reaction? / Committee Against Repression and for Democratic Rights in Iraq, CARDRI.</t>
        </is>
      </c>
      <c r="F2253" t="inlineStr">
        <is>
          <t>No</t>
        </is>
      </c>
      <c r="G2253" t="inlineStr">
        <is>
          <t>1</t>
        </is>
      </c>
      <c r="H2253" t="inlineStr">
        <is>
          <t>No</t>
        </is>
      </c>
      <c r="I2253" t="inlineStr">
        <is>
          <t>No</t>
        </is>
      </c>
      <c r="J2253" t="inlineStr">
        <is>
          <t>0</t>
        </is>
      </c>
      <c r="L2253" t="inlineStr">
        <is>
          <t>London ; Atlantic Highlands, N.J. : Zed Books, 1989.</t>
        </is>
      </c>
      <c r="M2253" t="inlineStr">
        <is>
          <t>1989</t>
        </is>
      </c>
      <c r="N2253" t="inlineStr">
        <is>
          <t>New ed., rev. and updated.</t>
        </is>
      </c>
      <c r="O2253" t="inlineStr">
        <is>
          <t>eng</t>
        </is>
      </c>
      <c r="P2253" t="inlineStr">
        <is>
          <t>enk</t>
        </is>
      </c>
      <c r="R2253" t="inlineStr">
        <is>
          <t xml:space="preserve">DS </t>
        </is>
      </c>
      <c r="S2253" t="n">
        <v>12</v>
      </c>
      <c r="T2253" t="n">
        <v>12</v>
      </c>
      <c r="U2253" t="inlineStr">
        <is>
          <t>2009-10-09</t>
        </is>
      </c>
      <c r="V2253" t="inlineStr">
        <is>
          <t>2009-10-09</t>
        </is>
      </c>
      <c r="W2253" t="inlineStr">
        <is>
          <t>1990-09-10</t>
        </is>
      </c>
      <c r="X2253" t="inlineStr">
        <is>
          <t>1990-09-10</t>
        </is>
      </c>
      <c r="Y2253" t="n">
        <v>404</v>
      </c>
      <c r="Z2253" t="n">
        <v>334</v>
      </c>
      <c r="AA2253" t="n">
        <v>449</v>
      </c>
      <c r="AB2253" t="n">
        <v>2</v>
      </c>
      <c r="AC2253" t="n">
        <v>3</v>
      </c>
      <c r="AD2253" t="n">
        <v>8</v>
      </c>
      <c r="AE2253" t="n">
        <v>10</v>
      </c>
      <c r="AF2253" t="n">
        <v>2</v>
      </c>
      <c r="AG2253" t="n">
        <v>2</v>
      </c>
      <c r="AH2253" t="n">
        <v>3</v>
      </c>
      <c r="AI2253" t="n">
        <v>3</v>
      </c>
      <c r="AJ2253" t="n">
        <v>5</v>
      </c>
      <c r="AK2253" t="n">
        <v>6</v>
      </c>
      <c r="AL2253" t="n">
        <v>1</v>
      </c>
      <c r="AM2253" t="n">
        <v>2</v>
      </c>
      <c r="AN2253" t="n">
        <v>0</v>
      </c>
      <c r="AO2253" t="n">
        <v>0</v>
      </c>
      <c r="AP2253" t="inlineStr">
        <is>
          <t>No</t>
        </is>
      </c>
      <c r="AQ2253" t="inlineStr">
        <is>
          <t>No</t>
        </is>
      </c>
      <c r="AS2253">
        <f>HYPERLINK("https://creighton-primo.hosted.exlibrisgroup.com/primo-explore/search?tab=default_tab&amp;search_scope=EVERYTHING&amp;vid=01CRU&amp;lang=en_US&amp;offset=0&amp;query=any,contains,991001319819702656","Catalog Record")</f>
        <v/>
      </c>
      <c r="AT2253">
        <f>HYPERLINK("http://www.worldcat.org/oclc/18221715","WorldCat Record")</f>
        <v/>
      </c>
      <c r="AU2253" t="inlineStr">
        <is>
          <t>502702243:eng</t>
        </is>
      </c>
      <c r="AV2253" t="inlineStr">
        <is>
          <t>18221715</t>
        </is>
      </c>
      <c r="AW2253" t="inlineStr">
        <is>
          <t>991001319819702656</t>
        </is>
      </c>
      <c r="AX2253" t="inlineStr">
        <is>
          <t>991001319819702656</t>
        </is>
      </c>
      <c r="AY2253" t="inlineStr">
        <is>
          <t>2260190110002656</t>
        </is>
      </c>
      <c r="AZ2253" t="inlineStr">
        <is>
          <t>BOOK</t>
        </is>
      </c>
      <c r="BB2253" t="inlineStr">
        <is>
          <t>9780862328214</t>
        </is>
      </c>
      <c r="BC2253" t="inlineStr">
        <is>
          <t>32285000277011</t>
        </is>
      </c>
      <c r="BD2253" t="inlineStr">
        <is>
          <t>893420252</t>
        </is>
      </c>
    </row>
    <row r="2254">
      <c r="A2254" t="inlineStr">
        <is>
          <t>No</t>
        </is>
      </c>
      <c r="B2254" t="inlineStr">
        <is>
          <t>DS79.66.A53 S377 2003</t>
        </is>
      </c>
      <c r="C2254" t="inlineStr">
        <is>
          <t>0                      DS 0079660A  53                 S  377         2003</t>
        </is>
      </c>
      <c r="D2254" t="inlineStr">
        <is>
          <t>Mayada, daughter of Iraq : one woman's survival in Saddam Hussein's torture jail / Jean Sasson.</t>
        </is>
      </c>
      <c r="F2254" t="inlineStr">
        <is>
          <t>No</t>
        </is>
      </c>
      <c r="G2254" t="inlineStr">
        <is>
          <t>1</t>
        </is>
      </c>
      <c r="H2254" t="inlineStr">
        <is>
          <t>No</t>
        </is>
      </c>
      <c r="I2254" t="inlineStr">
        <is>
          <t>No</t>
        </is>
      </c>
      <c r="J2254" t="inlineStr">
        <is>
          <t>0</t>
        </is>
      </c>
      <c r="K2254" t="inlineStr">
        <is>
          <t>Sasson, Jean P.</t>
        </is>
      </c>
      <c r="L2254" t="inlineStr">
        <is>
          <t>London : Doubleday, 2003.</t>
        </is>
      </c>
      <c r="M2254" t="inlineStr">
        <is>
          <t>2003</t>
        </is>
      </c>
      <c r="O2254" t="inlineStr">
        <is>
          <t>eng</t>
        </is>
      </c>
      <c r="P2254" t="inlineStr">
        <is>
          <t>enk</t>
        </is>
      </c>
      <c r="R2254" t="inlineStr">
        <is>
          <t xml:space="preserve">DS </t>
        </is>
      </c>
      <c r="S2254" t="n">
        <v>4</v>
      </c>
      <c r="T2254" t="n">
        <v>4</v>
      </c>
      <c r="U2254" t="inlineStr">
        <is>
          <t>2007-03-20</t>
        </is>
      </c>
      <c r="V2254" t="inlineStr">
        <is>
          <t>2007-03-20</t>
        </is>
      </c>
      <c r="W2254" t="inlineStr">
        <is>
          <t>2003-11-17</t>
        </is>
      </c>
      <c r="X2254" t="inlineStr">
        <is>
          <t>2003-11-17</t>
        </is>
      </c>
      <c r="Y2254" t="n">
        <v>38</v>
      </c>
      <c r="Z2254" t="n">
        <v>16</v>
      </c>
      <c r="AA2254" t="n">
        <v>1038</v>
      </c>
      <c r="AB2254" t="n">
        <v>1</v>
      </c>
      <c r="AC2254" t="n">
        <v>13</v>
      </c>
      <c r="AD2254" t="n">
        <v>0</v>
      </c>
      <c r="AE2254" t="n">
        <v>17</v>
      </c>
      <c r="AF2254" t="n">
        <v>0</v>
      </c>
      <c r="AG2254" t="n">
        <v>5</v>
      </c>
      <c r="AH2254" t="n">
        <v>0</v>
      </c>
      <c r="AI2254" t="n">
        <v>1</v>
      </c>
      <c r="AJ2254" t="n">
        <v>0</v>
      </c>
      <c r="AK2254" t="n">
        <v>12</v>
      </c>
      <c r="AL2254" t="n">
        <v>0</v>
      </c>
      <c r="AM2254" t="n">
        <v>2</v>
      </c>
      <c r="AN2254" t="n">
        <v>0</v>
      </c>
      <c r="AO2254" t="n">
        <v>0</v>
      </c>
      <c r="AP2254" t="inlineStr">
        <is>
          <t>No</t>
        </is>
      </c>
      <c r="AQ2254" t="inlineStr">
        <is>
          <t>No</t>
        </is>
      </c>
      <c r="AS2254">
        <f>HYPERLINK("https://creighton-primo.hosted.exlibrisgroup.com/primo-explore/search?tab=default_tab&amp;search_scope=EVERYTHING&amp;vid=01CRU&amp;lang=en_US&amp;offset=0&amp;query=any,contains,991004154639702656","Catalog Record")</f>
        <v/>
      </c>
      <c r="AT2254">
        <f>HYPERLINK("http://www.worldcat.org/oclc/52738470","WorldCat Record")</f>
        <v/>
      </c>
      <c r="AU2254" t="inlineStr">
        <is>
          <t>1152805412:eng</t>
        </is>
      </c>
      <c r="AV2254" t="inlineStr">
        <is>
          <t>52738470</t>
        </is>
      </c>
      <c r="AW2254" t="inlineStr">
        <is>
          <t>991004154639702656</t>
        </is>
      </c>
      <c r="AX2254" t="inlineStr">
        <is>
          <t>991004154639702656</t>
        </is>
      </c>
      <c r="AY2254" t="inlineStr">
        <is>
          <t>2271129590002656</t>
        </is>
      </c>
      <c r="AZ2254" t="inlineStr">
        <is>
          <t>BOOK</t>
        </is>
      </c>
      <c r="BB2254" t="inlineStr">
        <is>
          <t>9780385607261</t>
        </is>
      </c>
      <c r="BC2254" t="inlineStr">
        <is>
          <t>32285004798566</t>
        </is>
      </c>
      <c r="BD2254" t="inlineStr">
        <is>
          <t>893435953</t>
        </is>
      </c>
    </row>
    <row r="2255">
      <c r="A2255" t="inlineStr">
        <is>
          <t>No</t>
        </is>
      </c>
      <c r="B2255" t="inlineStr">
        <is>
          <t>DS79.66.H87 B35 2006</t>
        </is>
      </c>
      <c r="C2255" t="inlineStr">
        <is>
          <t>0                      DS 0079660H  87                 B  35          2006</t>
        </is>
      </c>
      <c r="D2255" t="inlineStr">
        <is>
          <t>Saddam Hussein : a biography / Shiva Balaghi.</t>
        </is>
      </c>
      <c r="F2255" t="inlineStr">
        <is>
          <t>No</t>
        </is>
      </c>
      <c r="G2255" t="inlineStr">
        <is>
          <t>1</t>
        </is>
      </c>
      <c r="H2255" t="inlineStr">
        <is>
          <t>No</t>
        </is>
      </c>
      <c r="I2255" t="inlineStr">
        <is>
          <t>No</t>
        </is>
      </c>
      <c r="J2255" t="inlineStr">
        <is>
          <t>0</t>
        </is>
      </c>
      <c r="K2255" t="inlineStr">
        <is>
          <t>Balaghi, Shiva.</t>
        </is>
      </c>
      <c r="L2255" t="inlineStr">
        <is>
          <t>Westport, Conn. : Greenwood Press, 2006.</t>
        </is>
      </c>
      <c r="M2255" t="inlineStr">
        <is>
          <t>2006</t>
        </is>
      </c>
      <c r="O2255" t="inlineStr">
        <is>
          <t>eng</t>
        </is>
      </c>
      <c r="P2255" t="inlineStr">
        <is>
          <t>ctu</t>
        </is>
      </c>
      <c r="Q2255" t="inlineStr">
        <is>
          <t>Greenwood biographies</t>
        </is>
      </c>
      <c r="R2255" t="inlineStr">
        <is>
          <t xml:space="preserve">DS </t>
        </is>
      </c>
      <c r="S2255" t="n">
        <v>6</v>
      </c>
      <c r="T2255" t="n">
        <v>6</v>
      </c>
      <c r="U2255" t="inlineStr">
        <is>
          <t>2010-04-18</t>
        </is>
      </c>
      <c r="V2255" t="inlineStr">
        <is>
          <t>2010-04-18</t>
        </is>
      </c>
      <c r="W2255" t="inlineStr">
        <is>
          <t>2006-04-25</t>
        </is>
      </c>
      <c r="X2255" t="inlineStr">
        <is>
          <t>2006-04-25</t>
        </is>
      </c>
      <c r="Y2255" t="n">
        <v>405</v>
      </c>
      <c r="Z2255" t="n">
        <v>356</v>
      </c>
      <c r="AA2255" t="n">
        <v>375</v>
      </c>
      <c r="AB2255" t="n">
        <v>4</v>
      </c>
      <c r="AC2255" t="n">
        <v>4</v>
      </c>
      <c r="AD2255" t="n">
        <v>10</v>
      </c>
      <c r="AE2255" t="n">
        <v>11</v>
      </c>
      <c r="AF2255" t="n">
        <v>1</v>
      </c>
      <c r="AG2255" t="n">
        <v>1</v>
      </c>
      <c r="AH2255" t="n">
        <v>4</v>
      </c>
      <c r="AI2255" t="n">
        <v>4</v>
      </c>
      <c r="AJ2255" t="n">
        <v>4</v>
      </c>
      <c r="AK2255" t="n">
        <v>5</v>
      </c>
      <c r="AL2255" t="n">
        <v>3</v>
      </c>
      <c r="AM2255" t="n">
        <v>3</v>
      </c>
      <c r="AN2255" t="n">
        <v>0</v>
      </c>
      <c r="AO2255" t="n">
        <v>0</v>
      </c>
      <c r="AP2255" t="inlineStr">
        <is>
          <t>No</t>
        </is>
      </c>
      <c r="AQ2255" t="inlineStr">
        <is>
          <t>Yes</t>
        </is>
      </c>
      <c r="AR2255">
        <f>HYPERLINK("http://catalog.hathitrust.org/Record/007146118","HathiTrust Record")</f>
        <v/>
      </c>
      <c r="AS2255">
        <f>HYPERLINK("https://creighton-primo.hosted.exlibrisgroup.com/primo-explore/search?tab=default_tab&amp;search_scope=EVERYTHING&amp;vid=01CRU&amp;lang=en_US&amp;offset=0&amp;query=any,contains,991004800879702656","Catalog Record")</f>
        <v/>
      </c>
      <c r="AT2255">
        <f>HYPERLINK("http://www.worldcat.org/oclc/60971999","WorldCat Record")</f>
        <v/>
      </c>
      <c r="AU2255" t="inlineStr">
        <is>
          <t>187596:eng</t>
        </is>
      </c>
      <c r="AV2255" t="inlineStr">
        <is>
          <t>60971999</t>
        </is>
      </c>
      <c r="AW2255" t="inlineStr">
        <is>
          <t>991004800879702656</t>
        </is>
      </c>
      <c r="AX2255" t="inlineStr">
        <is>
          <t>991004800879702656</t>
        </is>
      </c>
      <c r="AY2255" t="inlineStr">
        <is>
          <t>2270902060002656</t>
        </is>
      </c>
      <c r="AZ2255" t="inlineStr">
        <is>
          <t>BOOK</t>
        </is>
      </c>
      <c r="BB2255" t="inlineStr">
        <is>
          <t>9780313330773</t>
        </is>
      </c>
      <c r="BC2255" t="inlineStr">
        <is>
          <t>32285005183065</t>
        </is>
      </c>
      <c r="BD2255" t="inlineStr">
        <is>
          <t>893688169</t>
        </is>
      </c>
    </row>
    <row r="2256">
      <c r="A2256" t="inlineStr">
        <is>
          <t>No</t>
        </is>
      </c>
      <c r="B2256" t="inlineStr">
        <is>
          <t>DS79.66.H87 H46 1991</t>
        </is>
      </c>
      <c r="C2256" t="inlineStr">
        <is>
          <t>0                      DS 0079660H  87                 H  46          1991</t>
        </is>
      </c>
      <c r="D2256" t="inlineStr">
        <is>
          <t>Instant empire : Saddam Hussein's ambition for Iraq / by Simon Henderson.</t>
        </is>
      </c>
      <c r="F2256" t="inlineStr">
        <is>
          <t>No</t>
        </is>
      </c>
      <c r="G2256" t="inlineStr">
        <is>
          <t>1</t>
        </is>
      </c>
      <c r="H2256" t="inlineStr">
        <is>
          <t>No</t>
        </is>
      </c>
      <c r="I2256" t="inlineStr">
        <is>
          <t>No</t>
        </is>
      </c>
      <c r="J2256" t="inlineStr">
        <is>
          <t>0</t>
        </is>
      </c>
      <c r="K2256" t="inlineStr">
        <is>
          <t>Henderson, Simon, 1950-</t>
        </is>
      </c>
      <c r="L2256" t="inlineStr">
        <is>
          <t>San Francisco : Mercury House, 1991.</t>
        </is>
      </c>
      <c r="M2256" t="inlineStr">
        <is>
          <t>1991</t>
        </is>
      </c>
      <c r="O2256" t="inlineStr">
        <is>
          <t>eng</t>
        </is>
      </c>
      <c r="P2256" t="inlineStr">
        <is>
          <t>cau</t>
        </is>
      </c>
      <c r="R2256" t="inlineStr">
        <is>
          <t xml:space="preserve">DS </t>
        </is>
      </c>
      <c r="S2256" t="n">
        <v>12</v>
      </c>
      <c r="T2256" t="n">
        <v>12</v>
      </c>
      <c r="U2256" t="inlineStr">
        <is>
          <t>2010-04-18</t>
        </is>
      </c>
      <c r="V2256" t="inlineStr">
        <is>
          <t>2010-04-18</t>
        </is>
      </c>
      <c r="W2256" t="inlineStr">
        <is>
          <t>1991-06-05</t>
        </is>
      </c>
      <c r="X2256" t="inlineStr">
        <is>
          <t>1991-06-05</t>
        </is>
      </c>
      <c r="Y2256" t="n">
        <v>621</v>
      </c>
      <c r="Z2256" t="n">
        <v>526</v>
      </c>
      <c r="AA2256" t="n">
        <v>533</v>
      </c>
      <c r="AB2256" t="n">
        <v>6</v>
      </c>
      <c r="AC2256" t="n">
        <v>6</v>
      </c>
      <c r="AD2256" t="n">
        <v>13</v>
      </c>
      <c r="AE2256" t="n">
        <v>13</v>
      </c>
      <c r="AF2256" t="n">
        <v>6</v>
      </c>
      <c r="AG2256" t="n">
        <v>6</v>
      </c>
      <c r="AH2256" t="n">
        <v>2</v>
      </c>
      <c r="AI2256" t="n">
        <v>2</v>
      </c>
      <c r="AJ2256" t="n">
        <v>5</v>
      </c>
      <c r="AK2256" t="n">
        <v>5</v>
      </c>
      <c r="AL2256" t="n">
        <v>2</v>
      </c>
      <c r="AM2256" t="n">
        <v>2</v>
      </c>
      <c r="AN2256" t="n">
        <v>0</v>
      </c>
      <c r="AO2256" t="n">
        <v>0</v>
      </c>
      <c r="AP2256" t="inlineStr">
        <is>
          <t>No</t>
        </is>
      </c>
      <c r="AQ2256" t="inlineStr">
        <is>
          <t>Yes</t>
        </is>
      </c>
      <c r="AR2256">
        <f>HYPERLINK("http://catalog.hathitrust.org/Record/004579269","HathiTrust Record")</f>
        <v/>
      </c>
      <c r="AS2256">
        <f>HYPERLINK("https://creighton-primo.hosted.exlibrisgroup.com/primo-explore/search?tab=default_tab&amp;search_scope=EVERYTHING&amp;vid=01CRU&amp;lang=en_US&amp;offset=0&amp;query=any,contains,991001810169702656","Catalog Record")</f>
        <v/>
      </c>
      <c r="AT2256">
        <f>HYPERLINK("http://www.worldcat.org/oclc/22733452","WorldCat Record")</f>
        <v/>
      </c>
      <c r="AU2256" t="inlineStr">
        <is>
          <t>24505359:eng</t>
        </is>
      </c>
      <c r="AV2256" t="inlineStr">
        <is>
          <t>22733452</t>
        </is>
      </c>
      <c r="AW2256" t="inlineStr">
        <is>
          <t>991001810169702656</t>
        </is>
      </c>
      <c r="AX2256" t="inlineStr">
        <is>
          <t>991001810169702656</t>
        </is>
      </c>
      <c r="AY2256" t="inlineStr">
        <is>
          <t>2267391600002656</t>
        </is>
      </c>
      <c r="AZ2256" t="inlineStr">
        <is>
          <t>BOOK</t>
        </is>
      </c>
      <c r="BB2256" t="inlineStr">
        <is>
          <t>9781562790073</t>
        </is>
      </c>
      <c r="BC2256" t="inlineStr">
        <is>
          <t>32285000592989</t>
        </is>
      </c>
      <c r="BD2256" t="inlineStr">
        <is>
          <t>893433157</t>
        </is>
      </c>
    </row>
    <row r="2257">
      <c r="A2257" t="inlineStr">
        <is>
          <t>No</t>
        </is>
      </c>
      <c r="B2257" t="inlineStr">
        <is>
          <t>DS79.66.S225 C63 2008</t>
        </is>
      </c>
      <c r="C2257" t="inlineStr">
        <is>
          <t>0                      DS 0079660S  225                C  63          2008</t>
        </is>
      </c>
      <c r="D2257" t="inlineStr">
        <is>
          <t>Muqtada al-Sadr and the battle for the future of Iraq / Patrick Cockburn.</t>
        </is>
      </c>
      <c r="F2257" t="inlineStr">
        <is>
          <t>No</t>
        </is>
      </c>
      <c r="G2257" t="inlineStr">
        <is>
          <t>1</t>
        </is>
      </c>
      <c r="H2257" t="inlineStr">
        <is>
          <t>No</t>
        </is>
      </c>
      <c r="I2257" t="inlineStr">
        <is>
          <t>No</t>
        </is>
      </c>
      <c r="J2257" t="inlineStr">
        <is>
          <t>0</t>
        </is>
      </c>
      <c r="K2257" t="inlineStr">
        <is>
          <t>Cockburn, Patrick, 1950-</t>
        </is>
      </c>
      <c r="L2257" t="inlineStr">
        <is>
          <t>New York : Scribner, 2008.</t>
        </is>
      </c>
      <c r="M2257" t="inlineStr">
        <is>
          <t>2008</t>
        </is>
      </c>
      <c r="N2257" t="inlineStr">
        <is>
          <t>1st Scribner trade pbk. ed., expanded ed.</t>
        </is>
      </c>
      <c r="O2257" t="inlineStr">
        <is>
          <t>eng</t>
        </is>
      </c>
      <c r="P2257" t="inlineStr">
        <is>
          <t>nyu</t>
        </is>
      </c>
      <c r="R2257" t="inlineStr">
        <is>
          <t xml:space="preserve">DS </t>
        </is>
      </c>
      <c r="S2257" t="n">
        <v>3</v>
      </c>
      <c r="T2257" t="n">
        <v>3</v>
      </c>
      <c r="U2257" t="inlineStr">
        <is>
          <t>2010-06-10</t>
        </is>
      </c>
      <c r="V2257" t="inlineStr">
        <is>
          <t>2010-06-10</t>
        </is>
      </c>
      <c r="W2257" t="inlineStr">
        <is>
          <t>2010-06-07</t>
        </is>
      </c>
      <c r="X2257" t="inlineStr">
        <is>
          <t>2010-06-07</t>
        </is>
      </c>
      <c r="Y2257" t="n">
        <v>72</v>
      </c>
      <c r="Z2257" t="n">
        <v>58</v>
      </c>
      <c r="AA2257" t="n">
        <v>80</v>
      </c>
      <c r="AB2257" t="n">
        <v>2</v>
      </c>
      <c r="AC2257" t="n">
        <v>2</v>
      </c>
      <c r="AD2257" t="n">
        <v>5</v>
      </c>
      <c r="AE2257" t="n">
        <v>5</v>
      </c>
      <c r="AF2257" t="n">
        <v>1</v>
      </c>
      <c r="AG2257" t="n">
        <v>1</v>
      </c>
      <c r="AH2257" t="n">
        <v>3</v>
      </c>
      <c r="AI2257" t="n">
        <v>3</v>
      </c>
      <c r="AJ2257" t="n">
        <v>1</v>
      </c>
      <c r="AK2257" t="n">
        <v>1</v>
      </c>
      <c r="AL2257" t="n">
        <v>1</v>
      </c>
      <c r="AM2257" t="n">
        <v>1</v>
      </c>
      <c r="AN2257" t="n">
        <v>0</v>
      </c>
      <c r="AO2257" t="n">
        <v>0</v>
      </c>
      <c r="AP2257" t="inlineStr">
        <is>
          <t>No</t>
        </is>
      </c>
      <c r="AQ2257" t="inlineStr">
        <is>
          <t>No</t>
        </is>
      </c>
      <c r="AS2257">
        <f>HYPERLINK("https://creighton-primo.hosted.exlibrisgroup.com/primo-explore/search?tab=default_tab&amp;search_scope=EVERYTHING&amp;vid=01CRU&amp;lang=en_US&amp;offset=0&amp;query=any,contains,991005391339702656","Catalog Record")</f>
        <v/>
      </c>
      <c r="AT2257">
        <f>HYPERLINK("http://www.worldcat.org/oclc/234435530","WorldCat Record")</f>
        <v/>
      </c>
      <c r="AU2257" t="inlineStr">
        <is>
          <t>180607358:eng</t>
        </is>
      </c>
      <c r="AV2257" t="inlineStr">
        <is>
          <t>234435530</t>
        </is>
      </c>
      <c r="AW2257" t="inlineStr">
        <is>
          <t>991005391339702656</t>
        </is>
      </c>
      <c r="AX2257" t="inlineStr">
        <is>
          <t>991005391339702656</t>
        </is>
      </c>
      <c r="AY2257" t="inlineStr">
        <is>
          <t>2269945210002656</t>
        </is>
      </c>
      <c r="AZ2257" t="inlineStr">
        <is>
          <t>BOOK</t>
        </is>
      </c>
      <c r="BB2257" t="inlineStr">
        <is>
          <t>9781416551485</t>
        </is>
      </c>
      <c r="BC2257" t="inlineStr">
        <is>
          <t>32285005587216</t>
        </is>
      </c>
      <c r="BD2257" t="inlineStr">
        <is>
          <t>893789952</t>
        </is>
      </c>
    </row>
    <row r="2258">
      <c r="A2258" t="inlineStr">
        <is>
          <t>No</t>
        </is>
      </c>
      <c r="B2258" t="inlineStr">
        <is>
          <t>DS79.66.S54 A3 2005</t>
        </is>
      </c>
      <c r="C2258" t="inlineStr">
        <is>
          <t>0                      DS 0079660S  54                 A  3           2005</t>
        </is>
      </c>
      <c r="D2258" t="inlineStr">
        <is>
          <t>Ahmad's war, Ahmad's peace : surviving under Saddam, dying in the new Iraq / Michael Goldfarb.</t>
        </is>
      </c>
      <c r="F2258" t="inlineStr">
        <is>
          <t>No</t>
        </is>
      </c>
      <c r="G2258" t="inlineStr">
        <is>
          <t>1</t>
        </is>
      </c>
      <c r="H2258" t="inlineStr">
        <is>
          <t>No</t>
        </is>
      </c>
      <c r="I2258" t="inlineStr">
        <is>
          <t>No</t>
        </is>
      </c>
      <c r="J2258" t="inlineStr">
        <is>
          <t>0</t>
        </is>
      </c>
      <c r="K2258" t="inlineStr">
        <is>
          <t>Goldfarb, Michael.</t>
        </is>
      </c>
      <c r="L2258" t="inlineStr">
        <is>
          <t>New York : Carroll &amp; Graf ; [Berkeley, CA] : Distributed by Publishers Group West, c2005.</t>
        </is>
      </c>
      <c r="M2258" t="inlineStr">
        <is>
          <t>2005</t>
        </is>
      </c>
      <c r="N2258" t="inlineStr">
        <is>
          <t>1st Carroll &amp; Graf ed.</t>
        </is>
      </c>
      <c r="O2258" t="inlineStr">
        <is>
          <t>eng</t>
        </is>
      </c>
      <c r="P2258" t="inlineStr">
        <is>
          <t>nyu</t>
        </is>
      </c>
      <c r="R2258" t="inlineStr">
        <is>
          <t xml:space="preserve">DS </t>
        </is>
      </c>
      <c r="S2258" t="n">
        <v>2</v>
      </c>
      <c r="T2258" t="n">
        <v>2</v>
      </c>
      <c r="U2258" t="inlineStr">
        <is>
          <t>2005-12-16</t>
        </is>
      </c>
      <c r="V2258" t="inlineStr">
        <is>
          <t>2005-12-16</t>
        </is>
      </c>
      <c r="W2258" t="inlineStr">
        <is>
          <t>2005-11-29</t>
        </is>
      </c>
      <c r="X2258" t="inlineStr">
        <is>
          <t>2005-11-29</t>
        </is>
      </c>
      <c r="Y2258" t="n">
        <v>649</v>
      </c>
      <c r="Z2258" t="n">
        <v>612</v>
      </c>
      <c r="AA2258" t="n">
        <v>635</v>
      </c>
      <c r="AB2258" t="n">
        <v>5</v>
      </c>
      <c r="AC2258" t="n">
        <v>5</v>
      </c>
      <c r="AD2258" t="n">
        <v>19</v>
      </c>
      <c r="AE2258" t="n">
        <v>19</v>
      </c>
      <c r="AF2258" t="n">
        <v>6</v>
      </c>
      <c r="AG2258" t="n">
        <v>6</v>
      </c>
      <c r="AH2258" t="n">
        <v>4</v>
      </c>
      <c r="AI2258" t="n">
        <v>4</v>
      </c>
      <c r="AJ2258" t="n">
        <v>10</v>
      </c>
      <c r="AK2258" t="n">
        <v>10</v>
      </c>
      <c r="AL2258" t="n">
        <v>3</v>
      </c>
      <c r="AM2258" t="n">
        <v>3</v>
      </c>
      <c r="AN2258" t="n">
        <v>0</v>
      </c>
      <c r="AO2258" t="n">
        <v>0</v>
      </c>
      <c r="AP2258" t="inlineStr">
        <is>
          <t>No</t>
        </is>
      </c>
      <c r="AQ2258" t="inlineStr">
        <is>
          <t>No</t>
        </is>
      </c>
      <c r="AS2258">
        <f>HYPERLINK("https://creighton-primo.hosted.exlibrisgroup.com/primo-explore/search?tab=default_tab&amp;search_scope=EVERYTHING&amp;vid=01CRU&amp;lang=en_US&amp;offset=0&amp;query=any,contains,991004688169702656","Catalog Record")</f>
        <v/>
      </c>
      <c r="AT2258">
        <f>HYPERLINK("http://www.worldcat.org/oclc/61203344","WorldCat Record")</f>
        <v/>
      </c>
      <c r="AU2258" t="inlineStr">
        <is>
          <t>2287742905:eng</t>
        </is>
      </c>
      <c r="AV2258" t="inlineStr">
        <is>
          <t>61203344</t>
        </is>
      </c>
      <c r="AW2258" t="inlineStr">
        <is>
          <t>991004688169702656</t>
        </is>
      </c>
      <c r="AX2258" t="inlineStr">
        <is>
          <t>991004688169702656</t>
        </is>
      </c>
      <c r="AY2258" t="inlineStr">
        <is>
          <t>2257793350002656</t>
        </is>
      </c>
      <c r="AZ2258" t="inlineStr">
        <is>
          <t>BOOK</t>
        </is>
      </c>
      <c r="BB2258" t="inlineStr">
        <is>
          <t>9780786715152</t>
        </is>
      </c>
      <c r="BC2258" t="inlineStr">
        <is>
          <t>32285005149173</t>
        </is>
      </c>
      <c r="BD2258" t="inlineStr">
        <is>
          <t>893353497</t>
        </is>
      </c>
    </row>
    <row r="2259">
      <c r="A2259" t="inlineStr">
        <is>
          <t>No</t>
        </is>
      </c>
      <c r="B2259" t="inlineStr">
        <is>
          <t>DS79.7 .B4613 2002</t>
        </is>
      </c>
      <c r="C2259" t="inlineStr">
        <is>
          <t>0                      DS 0079700B  4613        2002</t>
        </is>
      </c>
      <c r="D2259" t="inlineStr">
        <is>
          <t>Saddam's word : political discourse in Iraq / Ofra Bengio.</t>
        </is>
      </c>
      <c r="F2259" t="inlineStr">
        <is>
          <t>No</t>
        </is>
      </c>
      <c r="G2259" t="inlineStr">
        <is>
          <t>1</t>
        </is>
      </c>
      <c r="H2259" t="inlineStr">
        <is>
          <t>No</t>
        </is>
      </c>
      <c r="I2259" t="inlineStr">
        <is>
          <t>No</t>
        </is>
      </c>
      <c r="J2259" t="inlineStr">
        <is>
          <t>0</t>
        </is>
      </c>
      <c r="K2259" t="inlineStr">
        <is>
          <t>Bengio, Ofra.</t>
        </is>
      </c>
      <c r="L2259" t="inlineStr">
        <is>
          <t>Oxford ; New York : Oxford University Press, 2002.</t>
        </is>
      </c>
      <c r="M2259" t="inlineStr">
        <is>
          <t>2002</t>
        </is>
      </c>
      <c r="O2259" t="inlineStr">
        <is>
          <t>eng</t>
        </is>
      </c>
      <c r="P2259" t="inlineStr">
        <is>
          <t>enk</t>
        </is>
      </c>
      <c r="R2259" t="inlineStr">
        <is>
          <t xml:space="preserve">DS </t>
        </is>
      </c>
      <c r="S2259" t="n">
        <v>7</v>
      </c>
      <c r="T2259" t="n">
        <v>7</v>
      </c>
      <c r="U2259" t="inlineStr">
        <is>
          <t>2006-02-09</t>
        </is>
      </c>
      <c r="V2259" t="inlineStr">
        <is>
          <t>2006-02-09</t>
        </is>
      </c>
      <c r="W2259" t="inlineStr">
        <is>
          <t>2002-11-12</t>
        </is>
      </c>
      <c r="X2259" t="inlineStr">
        <is>
          <t>2002-11-12</t>
        </is>
      </c>
      <c r="Y2259" t="n">
        <v>45</v>
      </c>
      <c r="Z2259" t="n">
        <v>28</v>
      </c>
      <c r="AA2259" t="n">
        <v>748</v>
      </c>
      <c r="AB2259" t="n">
        <v>2</v>
      </c>
      <c r="AC2259" t="n">
        <v>30</v>
      </c>
      <c r="AD2259" t="n">
        <v>1</v>
      </c>
      <c r="AE2259" t="n">
        <v>30</v>
      </c>
      <c r="AF2259" t="n">
        <v>0</v>
      </c>
      <c r="AG2259" t="n">
        <v>8</v>
      </c>
      <c r="AH2259" t="n">
        <v>0</v>
      </c>
      <c r="AI2259" t="n">
        <v>7</v>
      </c>
      <c r="AJ2259" t="n">
        <v>0</v>
      </c>
      <c r="AK2259" t="n">
        <v>11</v>
      </c>
      <c r="AL2259" t="n">
        <v>1</v>
      </c>
      <c r="AM2259" t="n">
        <v>11</v>
      </c>
      <c r="AN2259" t="n">
        <v>0</v>
      </c>
      <c r="AO2259" t="n">
        <v>0</v>
      </c>
      <c r="AP2259" t="inlineStr">
        <is>
          <t>No</t>
        </is>
      </c>
      <c r="AQ2259" t="inlineStr">
        <is>
          <t>No</t>
        </is>
      </c>
      <c r="AS2259">
        <f>HYPERLINK("https://creighton-primo.hosted.exlibrisgroup.com/primo-explore/search?tab=default_tab&amp;search_scope=EVERYTHING&amp;vid=01CRU&amp;lang=en_US&amp;offset=0&amp;query=any,contains,991003909849702656","Catalog Record")</f>
        <v/>
      </c>
      <c r="AT2259">
        <f>HYPERLINK("http://www.worldcat.org/oclc/48416900","WorldCat Record")</f>
        <v/>
      </c>
      <c r="AU2259" t="inlineStr">
        <is>
          <t>4918844619:eng</t>
        </is>
      </c>
      <c r="AV2259" t="inlineStr">
        <is>
          <t>48416900</t>
        </is>
      </c>
      <c r="AW2259" t="inlineStr">
        <is>
          <t>991003909849702656</t>
        </is>
      </c>
      <c r="AX2259" t="inlineStr">
        <is>
          <t>991003909849702656</t>
        </is>
      </c>
      <c r="AY2259" t="inlineStr">
        <is>
          <t>2270806530002656</t>
        </is>
      </c>
      <c r="AZ2259" t="inlineStr">
        <is>
          <t>BOOK</t>
        </is>
      </c>
      <c r="BB2259" t="inlineStr">
        <is>
          <t>9780195151855</t>
        </is>
      </c>
      <c r="BC2259" t="inlineStr">
        <is>
          <t>32285004663083</t>
        </is>
      </c>
      <c r="BD2259" t="inlineStr">
        <is>
          <t>893240778</t>
        </is>
      </c>
    </row>
    <row r="2260">
      <c r="A2260" t="inlineStr">
        <is>
          <t>No</t>
        </is>
      </c>
      <c r="B2260" t="inlineStr">
        <is>
          <t>DS79.7 .H57 2002</t>
        </is>
      </c>
      <c r="C2260" t="inlineStr">
        <is>
          <t>0                      DS 0079700H  57          2002</t>
        </is>
      </c>
      <c r="D2260" t="inlineStr">
        <is>
          <t>Iraq : in the eye of the storm / Dilip Hiro.</t>
        </is>
      </c>
      <c r="F2260" t="inlineStr">
        <is>
          <t>No</t>
        </is>
      </c>
      <c r="G2260" t="inlineStr">
        <is>
          <t>1</t>
        </is>
      </c>
      <c r="H2260" t="inlineStr">
        <is>
          <t>No</t>
        </is>
      </c>
      <c r="I2260" t="inlineStr">
        <is>
          <t>No</t>
        </is>
      </c>
      <c r="J2260" t="inlineStr">
        <is>
          <t>0</t>
        </is>
      </c>
      <c r="K2260" t="inlineStr">
        <is>
          <t>Hiro, Dilip.</t>
        </is>
      </c>
      <c r="L2260" t="inlineStr">
        <is>
          <t>New York : Thunder's Mouth Press/Nation Books, c2002.</t>
        </is>
      </c>
      <c r="M2260" t="inlineStr">
        <is>
          <t>2002</t>
        </is>
      </c>
      <c r="O2260" t="inlineStr">
        <is>
          <t>eng</t>
        </is>
      </c>
      <c r="P2260" t="inlineStr">
        <is>
          <t>nyu</t>
        </is>
      </c>
      <c r="R2260" t="inlineStr">
        <is>
          <t xml:space="preserve">DS </t>
        </is>
      </c>
      <c r="S2260" t="n">
        <v>2</v>
      </c>
      <c r="T2260" t="n">
        <v>2</v>
      </c>
      <c r="U2260" t="inlineStr">
        <is>
          <t>2003-11-11</t>
        </is>
      </c>
      <c r="V2260" t="inlineStr">
        <is>
          <t>2003-11-11</t>
        </is>
      </c>
      <c r="W2260" t="inlineStr">
        <is>
          <t>2003-03-05</t>
        </is>
      </c>
      <c r="X2260" t="inlineStr">
        <is>
          <t>2003-03-05</t>
        </is>
      </c>
      <c r="Y2260" t="n">
        <v>881</v>
      </c>
      <c r="Z2260" t="n">
        <v>808</v>
      </c>
      <c r="AA2260" t="n">
        <v>861</v>
      </c>
      <c r="AB2260" t="n">
        <v>6</v>
      </c>
      <c r="AC2260" t="n">
        <v>6</v>
      </c>
      <c r="AD2260" t="n">
        <v>21</v>
      </c>
      <c r="AE2260" t="n">
        <v>22</v>
      </c>
      <c r="AF2260" t="n">
        <v>6</v>
      </c>
      <c r="AG2260" t="n">
        <v>6</v>
      </c>
      <c r="AH2260" t="n">
        <v>4</v>
      </c>
      <c r="AI2260" t="n">
        <v>5</v>
      </c>
      <c r="AJ2260" t="n">
        <v>9</v>
      </c>
      <c r="AK2260" t="n">
        <v>10</v>
      </c>
      <c r="AL2260" t="n">
        <v>3</v>
      </c>
      <c r="AM2260" t="n">
        <v>3</v>
      </c>
      <c r="AN2260" t="n">
        <v>0</v>
      </c>
      <c r="AO2260" t="n">
        <v>0</v>
      </c>
      <c r="AP2260" t="inlineStr">
        <is>
          <t>No</t>
        </is>
      </c>
      <c r="AQ2260" t="inlineStr">
        <is>
          <t>No</t>
        </is>
      </c>
      <c r="AS2260">
        <f>HYPERLINK("https://creighton-primo.hosted.exlibrisgroup.com/primo-explore/search?tab=default_tab&amp;search_scope=EVERYTHING&amp;vid=01CRU&amp;lang=en_US&amp;offset=0&amp;query=any,contains,991004006199702656","Catalog Record")</f>
        <v/>
      </c>
      <c r="AT2260">
        <f>HYPERLINK("http://www.worldcat.org/oclc/51101428","WorldCat Record")</f>
        <v/>
      </c>
      <c r="AU2260" t="inlineStr">
        <is>
          <t>795447850:eng</t>
        </is>
      </c>
      <c r="AV2260" t="inlineStr">
        <is>
          <t>51101428</t>
        </is>
      </c>
      <c r="AW2260" t="inlineStr">
        <is>
          <t>991004006199702656</t>
        </is>
      </c>
      <c r="AX2260" t="inlineStr">
        <is>
          <t>991004006199702656</t>
        </is>
      </c>
      <c r="AY2260" t="inlineStr">
        <is>
          <t>2265968140002656</t>
        </is>
      </c>
      <c r="AZ2260" t="inlineStr">
        <is>
          <t>BOOK</t>
        </is>
      </c>
      <c r="BB2260" t="inlineStr">
        <is>
          <t>9781560254775</t>
        </is>
      </c>
      <c r="BC2260" t="inlineStr">
        <is>
          <t>32285004682638</t>
        </is>
      </c>
      <c r="BD2260" t="inlineStr">
        <is>
          <t>893318685</t>
        </is>
      </c>
    </row>
    <row r="2261">
      <c r="A2261" t="inlineStr">
        <is>
          <t>No</t>
        </is>
      </c>
      <c r="B2261" t="inlineStr">
        <is>
          <t>DS79.7 .R49 1992</t>
        </is>
      </c>
      <c r="C2261" t="inlineStr">
        <is>
          <t>0                      DS 0079700R  49          1992</t>
        </is>
      </c>
      <c r="D2261" t="inlineStr">
        <is>
          <t>Saddam Hussein's Gulf wars : ambivalent stakes in the Middle East / Miron Rezun.</t>
        </is>
      </c>
      <c r="F2261" t="inlineStr">
        <is>
          <t>No</t>
        </is>
      </c>
      <c r="G2261" t="inlineStr">
        <is>
          <t>1</t>
        </is>
      </c>
      <c r="H2261" t="inlineStr">
        <is>
          <t>No</t>
        </is>
      </c>
      <c r="I2261" t="inlineStr">
        <is>
          <t>No</t>
        </is>
      </c>
      <c r="J2261" t="inlineStr">
        <is>
          <t>0</t>
        </is>
      </c>
      <c r="K2261" t="inlineStr">
        <is>
          <t>Rezun, Miron.</t>
        </is>
      </c>
      <c r="L2261" t="inlineStr">
        <is>
          <t>Westport, Conn. : Praeger, c1992.</t>
        </is>
      </c>
      <c r="M2261" t="inlineStr">
        <is>
          <t>1992</t>
        </is>
      </c>
      <c r="O2261" t="inlineStr">
        <is>
          <t>eng</t>
        </is>
      </c>
      <c r="P2261" t="inlineStr">
        <is>
          <t>ctu</t>
        </is>
      </c>
      <c r="R2261" t="inlineStr">
        <is>
          <t xml:space="preserve">DS </t>
        </is>
      </c>
      <c r="S2261" t="n">
        <v>8</v>
      </c>
      <c r="T2261" t="n">
        <v>8</v>
      </c>
      <c r="U2261" t="inlineStr">
        <is>
          <t>2000-11-13</t>
        </is>
      </c>
      <c r="V2261" t="inlineStr">
        <is>
          <t>2000-11-13</t>
        </is>
      </c>
      <c r="W2261" t="inlineStr">
        <is>
          <t>1993-11-22</t>
        </is>
      </c>
      <c r="X2261" t="inlineStr">
        <is>
          <t>1993-11-22</t>
        </is>
      </c>
      <c r="Y2261" t="n">
        <v>372</v>
      </c>
      <c r="Z2261" t="n">
        <v>310</v>
      </c>
      <c r="AA2261" t="n">
        <v>320</v>
      </c>
      <c r="AB2261" t="n">
        <v>3</v>
      </c>
      <c r="AC2261" t="n">
        <v>3</v>
      </c>
      <c r="AD2261" t="n">
        <v>13</v>
      </c>
      <c r="AE2261" t="n">
        <v>13</v>
      </c>
      <c r="AF2261" t="n">
        <v>3</v>
      </c>
      <c r="AG2261" t="n">
        <v>3</v>
      </c>
      <c r="AH2261" t="n">
        <v>6</v>
      </c>
      <c r="AI2261" t="n">
        <v>6</v>
      </c>
      <c r="AJ2261" t="n">
        <v>7</v>
      </c>
      <c r="AK2261" t="n">
        <v>7</v>
      </c>
      <c r="AL2261" t="n">
        <v>2</v>
      </c>
      <c r="AM2261" t="n">
        <v>2</v>
      </c>
      <c r="AN2261" t="n">
        <v>0</v>
      </c>
      <c r="AO2261" t="n">
        <v>0</v>
      </c>
      <c r="AP2261" t="inlineStr">
        <is>
          <t>No</t>
        </is>
      </c>
      <c r="AQ2261" t="inlineStr">
        <is>
          <t>Yes</t>
        </is>
      </c>
      <c r="AR2261">
        <f>HYPERLINK("http://catalog.hathitrust.org/Record/002589851","HathiTrust Record")</f>
        <v/>
      </c>
      <c r="AS2261">
        <f>HYPERLINK("https://creighton-primo.hosted.exlibrisgroup.com/primo-explore/search?tab=default_tab&amp;search_scope=EVERYTHING&amp;vid=01CRU&amp;lang=en_US&amp;offset=0&amp;query=any,contains,991001990719702656","Catalog Record")</f>
        <v/>
      </c>
      <c r="AT2261">
        <f>HYPERLINK("http://www.worldcat.org/oclc/25282767","WorldCat Record")</f>
        <v/>
      </c>
      <c r="AU2261" t="inlineStr">
        <is>
          <t>866892633:eng</t>
        </is>
      </c>
      <c r="AV2261" t="inlineStr">
        <is>
          <t>25282767</t>
        </is>
      </c>
      <c r="AW2261" t="inlineStr">
        <is>
          <t>991001990719702656</t>
        </is>
      </c>
      <c r="AX2261" t="inlineStr">
        <is>
          <t>991001990719702656</t>
        </is>
      </c>
      <c r="AY2261" t="inlineStr">
        <is>
          <t>2271352260002656</t>
        </is>
      </c>
      <c r="AZ2261" t="inlineStr">
        <is>
          <t>BOOK</t>
        </is>
      </c>
      <c r="BB2261" t="inlineStr">
        <is>
          <t>9780275943240</t>
        </is>
      </c>
      <c r="BC2261" t="inlineStr">
        <is>
          <t>32285001811917</t>
        </is>
      </c>
      <c r="BD2261" t="inlineStr">
        <is>
          <t>893408564</t>
        </is>
      </c>
    </row>
    <row r="2262">
      <c r="A2262" t="inlineStr">
        <is>
          <t>No</t>
        </is>
      </c>
      <c r="B2262" t="inlineStr">
        <is>
          <t>DS79.7 .S198 2003</t>
        </is>
      </c>
      <c r="C2262" t="inlineStr">
        <is>
          <t>0                      DS 0079700S  198         2003</t>
        </is>
      </c>
      <c r="D2262" t="inlineStr">
        <is>
          <t>Saddam's Iraq : face-off in the Gulf / [journalists of] Reuters.</t>
        </is>
      </c>
      <c r="F2262" t="inlineStr">
        <is>
          <t>No</t>
        </is>
      </c>
      <c r="G2262" t="inlineStr">
        <is>
          <t>1</t>
        </is>
      </c>
      <c r="H2262" t="inlineStr">
        <is>
          <t>No</t>
        </is>
      </c>
      <c r="I2262" t="inlineStr">
        <is>
          <t>No</t>
        </is>
      </c>
      <c r="J2262" t="inlineStr">
        <is>
          <t>0</t>
        </is>
      </c>
      <c r="L2262" t="inlineStr">
        <is>
          <t>Upper Saddle River, NJ : Reuters Prentice Hall, c2003.</t>
        </is>
      </c>
      <c r="M2262" t="inlineStr">
        <is>
          <t>2003</t>
        </is>
      </c>
      <c r="O2262" t="inlineStr">
        <is>
          <t>eng</t>
        </is>
      </c>
      <c r="P2262" t="inlineStr">
        <is>
          <t>nju</t>
        </is>
      </c>
      <c r="R2262" t="inlineStr">
        <is>
          <t xml:space="preserve">DS </t>
        </is>
      </c>
      <c r="S2262" t="n">
        <v>6</v>
      </c>
      <c r="T2262" t="n">
        <v>6</v>
      </c>
      <c r="U2262" t="inlineStr">
        <is>
          <t>2006-02-15</t>
        </is>
      </c>
      <c r="V2262" t="inlineStr">
        <is>
          <t>2006-02-15</t>
        </is>
      </c>
      <c r="W2262" t="inlineStr">
        <is>
          <t>2003-03-06</t>
        </is>
      </c>
      <c r="X2262" t="inlineStr">
        <is>
          <t>2003-03-06</t>
        </is>
      </c>
      <c r="Y2262" t="n">
        <v>280</v>
      </c>
      <c r="Z2262" t="n">
        <v>218</v>
      </c>
      <c r="AA2262" t="n">
        <v>225</v>
      </c>
      <c r="AB2262" t="n">
        <v>3</v>
      </c>
      <c r="AC2262" t="n">
        <v>3</v>
      </c>
      <c r="AD2262" t="n">
        <v>7</v>
      </c>
      <c r="AE2262" t="n">
        <v>7</v>
      </c>
      <c r="AF2262" t="n">
        <v>1</v>
      </c>
      <c r="AG2262" t="n">
        <v>1</v>
      </c>
      <c r="AH2262" t="n">
        <v>2</v>
      </c>
      <c r="AI2262" t="n">
        <v>2</v>
      </c>
      <c r="AJ2262" t="n">
        <v>4</v>
      </c>
      <c r="AK2262" t="n">
        <v>4</v>
      </c>
      <c r="AL2262" t="n">
        <v>2</v>
      </c>
      <c r="AM2262" t="n">
        <v>2</v>
      </c>
      <c r="AN2262" t="n">
        <v>0</v>
      </c>
      <c r="AO2262" t="n">
        <v>0</v>
      </c>
      <c r="AP2262" t="inlineStr">
        <is>
          <t>No</t>
        </is>
      </c>
      <c r="AQ2262" t="inlineStr">
        <is>
          <t>Yes</t>
        </is>
      </c>
      <c r="AR2262">
        <f>HYPERLINK("http://catalog.hathitrust.org/Record/004314683","HathiTrust Record")</f>
        <v/>
      </c>
      <c r="AS2262">
        <f>HYPERLINK("https://creighton-primo.hosted.exlibrisgroup.com/primo-explore/search?tab=default_tab&amp;search_scope=EVERYTHING&amp;vid=01CRU&amp;lang=en_US&amp;offset=0&amp;query=any,contains,991004004109702656","Catalog Record")</f>
        <v/>
      </c>
      <c r="AT2262">
        <f>HYPERLINK("http://www.worldcat.org/oclc/51251869","WorldCat Record")</f>
        <v/>
      </c>
      <c r="AU2262" t="inlineStr">
        <is>
          <t>798936502:eng</t>
        </is>
      </c>
      <c r="AV2262" t="inlineStr">
        <is>
          <t>51251869</t>
        </is>
      </c>
      <c r="AW2262" t="inlineStr">
        <is>
          <t>991004004109702656</t>
        </is>
      </c>
      <c r="AX2262" t="inlineStr">
        <is>
          <t>991004004109702656</t>
        </is>
      </c>
      <c r="AY2262" t="inlineStr">
        <is>
          <t>2262689240002656</t>
        </is>
      </c>
      <c r="AZ2262" t="inlineStr">
        <is>
          <t>BOOK</t>
        </is>
      </c>
      <c r="BB2262" t="inlineStr">
        <is>
          <t>9780131411531</t>
        </is>
      </c>
      <c r="BC2262" t="inlineStr">
        <is>
          <t>32285004683362</t>
        </is>
      </c>
      <c r="BD2262" t="inlineStr">
        <is>
          <t>893611800</t>
        </is>
      </c>
    </row>
    <row r="2263">
      <c r="A2263" t="inlineStr">
        <is>
          <t>No</t>
        </is>
      </c>
      <c r="B2263" t="inlineStr">
        <is>
          <t>DS79.7 .S25 1991</t>
        </is>
      </c>
      <c r="C2263" t="inlineStr">
        <is>
          <t>0                      DS 0079700S  25          1991</t>
        </is>
      </c>
      <c r="D2263" t="inlineStr">
        <is>
          <t>The outlaw state : Saddam Hussein's quest for power and the Gulf crisis / Elaine Sciolino.</t>
        </is>
      </c>
      <c r="F2263" t="inlineStr">
        <is>
          <t>No</t>
        </is>
      </c>
      <c r="G2263" t="inlineStr">
        <is>
          <t>1</t>
        </is>
      </c>
      <c r="H2263" t="inlineStr">
        <is>
          <t>No</t>
        </is>
      </c>
      <c r="I2263" t="inlineStr">
        <is>
          <t>No</t>
        </is>
      </c>
      <c r="J2263" t="inlineStr">
        <is>
          <t>0</t>
        </is>
      </c>
      <c r="K2263" t="inlineStr">
        <is>
          <t>Sciolino, Elaine.</t>
        </is>
      </c>
      <c r="L2263" t="inlineStr">
        <is>
          <t>New York : Wiley, c1991.</t>
        </is>
      </c>
      <c r="M2263" t="inlineStr">
        <is>
          <t>1991</t>
        </is>
      </c>
      <c r="O2263" t="inlineStr">
        <is>
          <t>eng</t>
        </is>
      </c>
      <c r="P2263" t="inlineStr">
        <is>
          <t>nyu</t>
        </is>
      </c>
      <c r="R2263" t="inlineStr">
        <is>
          <t xml:space="preserve">DS </t>
        </is>
      </c>
      <c r="S2263" t="n">
        <v>13</v>
      </c>
      <c r="T2263" t="n">
        <v>13</v>
      </c>
      <c r="U2263" t="inlineStr">
        <is>
          <t>2006-02-15</t>
        </is>
      </c>
      <c r="V2263" t="inlineStr">
        <is>
          <t>2006-02-15</t>
        </is>
      </c>
      <c r="W2263" t="inlineStr">
        <is>
          <t>1991-07-30</t>
        </is>
      </c>
      <c r="X2263" t="inlineStr">
        <is>
          <t>1991-07-30</t>
        </is>
      </c>
      <c r="Y2263" t="n">
        <v>1117</v>
      </c>
      <c r="Z2263" t="n">
        <v>1007</v>
      </c>
      <c r="AA2263" t="n">
        <v>1016</v>
      </c>
      <c r="AB2263" t="n">
        <v>13</v>
      </c>
      <c r="AC2263" t="n">
        <v>13</v>
      </c>
      <c r="AD2263" t="n">
        <v>35</v>
      </c>
      <c r="AE2263" t="n">
        <v>35</v>
      </c>
      <c r="AF2263" t="n">
        <v>12</v>
      </c>
      <c r="AG2263" t="n">
        <v>12</v>
      </c>
      <c r="AH2263" t="n">
        <v>8</v>
      </c>
      <c r="AI2263" t="n">
        <v>8</v>
      </c>
      <c r="AJ2263" t="n">
        <v>14</v>
      </c>
      <c r="AK2263" t="n">
        <v>14</v>
      </c>
      <c r="AL2263" t="n">
        <v>8</v>
      </c>
      <c r="AM2263" t="n">
        <v>8</v>
      </c>
      <c r="AN2263" t="n">
        <v>1</v>
      </c>
      <c r="AO2263" t="n">
        <v>1</v>
      </c>
      <c r="AP2263" t="inlineStr">
        <is>
          <t>No</t>
        </is>
      </c>
      <c r="AQ2263" t="inlineStr">
        <is>
          <t>Yes</t>
        </is>
      </c>
      <c r="AR2263">
        <f>HYPERLINK("http://catalog.hathitrust.org/Record/002468212","HathiTrust Record")</f>
        <v/>
      </c>
      <c r="AS2263">
        <f>HYPERLINK("https://creighton-primo.hosted.exlibrisgroup.com/primo-explore/search?tab=default_tab&amp;search_scope=EVERYTHING&amp;vid=01CRU&amp;lang=en_US&amp;offset=0&amp;query=any,contains,991001869809702656","Catalog Record")</f>
        <v/>
      </c>
      <c r="AT2263">
        <f>HYPERLINK("http://www.worldcat.org/oclc/23584115","WorldCat Record")</f>
        <v/>
      </c>
      <c r="AU2263" t="inlineStr">
        <is>
          <t>20664905:eng</t>
        </is>
      </c>
      <c r="AV2263" t="inlineStr">
        <is>
          <t>23584115</t>
        </is>
      </c>
      <c r="AW2263" t="inlineStr">
        <is>
          <t>991001869809702656</t>
        </is>
      </c>
      <c r="AX2263" t="inlineStr">
        <is>
          <t>991001869809702656</t>
        </is>
      </c>
      <c r="AY2263" t="inlineStr">
        <is>
          <t>2255448270002656</t>
        </is>
      </c>
      <c r="AZ2263" t="inlineStr">
        <is>
          <t>BOOK</t>
        </is>
      </c>
      <c r="BB2263" t="inlineStr">
        <is>
          <t>9780471542995</t>
        </is>
      </c>
      <c r="BC2263" t="inlineStr">
        <is>
          <t>32285000663095</t>
        </is>
      </c>
      <c r="BD2263" t="inlineStr">
        <is>
          <t>893898123</t>
        </is>
      </c>
    </row>
    <row r="2264">
      <c r="A2264" t="inlineStr">
        <is>
          <t>No</t>
        </is>
      </c>
      <c r="B2264" t="inlineStr">
        <is>
          <t>DS79.719 .W67 1994</t>
        </is>
      </c>
      <c r="C2264" t="inlineStr">
        <is>
          <t>0                      DS 0079719W  67          1994</t>
        </is>
      </c>
      <c r="D2264" t="inlineStr">
        <is>
          <t>The social origins of the Iran-Iraq War / W. Thom Workman.</t>
        </is>
      </c>
      <c r="F2264" t="inlineStr">
        <is>
          <t>No</t>
        </is>
      </c>
      <c r="G2264" t="inlineStr">
        <is>
          <t>1</t>
        </is>
      </c>
      <c r="H2264" t="inlineStr">
        <is>
          <t>No</t>
        </is>
      </c>
      <c r="I2264" t="inlineStr">
        <is>
          <t>No</t>
        </is>
      </c>
      <c r="J2264" t="inlineStr">
        <is>
          <t>0</t>
        </is>
      </c>
      <c r="K2264" t="inlineStr">
        <is>
          <t>Workman, W. Thom.</t>
        </is>
      </c>
      <c r="L2264" t="inlineStr">
        <is>
          <t>Boulder : Lynne Rienner Publishers, 1994.</t>
        </is>
      </c>
      <c r="M2264" t="inlineStr">
        <is>
          <t>1994</t>
        </is>
      </c>
      <c r="O2264" t="inlineStr">
        <is>
          <t>eng</t>
        </is>
      </c>
      <c r="P2264" t="inlineStr">
        <is>
          <t>cou</t>
        </is>
      </c>
      <c r="R2264" t="inlineStr">
        <is>
          <t xml:space="preserve">DS </t>
        </is>
      </c>
      <c r="S2264" t="n">
        <v>7</v>
      </c>
      <c r="T2264" t="n">
        <v>7</v>
      </c>
      <c r="U2264" t="inlineStr">
        <is>
          <t>2010-12-07</t>
        </is>
      </c>
      <c r="V2264" t="inlineStr">
        <is>
          <t>2010-12-07</t>
        </is>
      </c>
      <c r="W2264" t="inlineStr">
        <is>
          <t>1995-02-16</t>
        </is>
      </c>
      <c r="X2264" t="inlineStr">
        <is>
          <t>1995-02-16</t>
        </is>
      </c>
      <c r="Y2264" t="n">
        <v>331</v>
      </c>
      <c r="Z2264" t="n">
        <v>263</v>
      </c>
      <c r="AA2264" t="n">
        <v>268</v>
      </c>
      <c r="AB2264" t="n">
        <v>3</v>
      </c>
      <c r="AC2264" t="n">
        <v>3</v>
      </c>
      <c r="AD2264" t="n">
        <v>14</v>
      </c>
      <c r="AE2264" t="n">
        <v>14</v>
      </c>
      <c r="AF2264" t="n">
        <v>2</v>
      </c>
      <c r="AG2264" t="n">
        <v>2</v>
      </c>
      <c r="AH2264" t="n">
        <v>7</v>
      </c>
      <c r="AI2264" t="n">
        <v>7</v>
      </c>
      <c r="AJ2264" t="n">
        <v>7</v>
      </c>
      <c r="AK2264" t="n">
        <v>7</v>
      </c>
      <c r="AL2264" t="n">
        <v>2</v>
      </c>
      <c r="AM2264" t="n">
        <v>2</v>
      </c>
      <c r="AN2264" t="n">
        <v>0</v>
      </c>
      <c r="AO2264" t="n">
        <v>0</v>
      </c>
      <c r="AP2264" t="inlineStr">
        <is>
          <t>No</t>
        </is>
      </c>
      <c r="AQ2264" t="inlineStr">
        <is>
          <t>No</t>
        </is>
      </c>
      <c r="AS2264">
        <f>HYPERLINK("https://creighton-primo.hosted.exlibrisgroup.com/primo-explore/search?tab=default_tab&amp;search_scope=EVERYTHING&amp;vid=01CRU&amp;lang=en_US&amp;offset=0&amp;query=any,contains,991002246759702656","Catalog Record")</f>
        <v/>
      </c>
      <c r="AT2264">
        <f>HYPERLINK("http://www.worldcat.org/oclc/28966030","WorldCat Record")</f>
        <v/>
      </c>
      <c r="AU2264" t="inlineStr">
        <is>
          <t>20771950:eng</t>
        </is>
      </c>
      <c r="AV2264" t="inlineStr">
        <is>
          <t>28966030</t>
        </is>
      </c>
      <c r="AW2264" t="inlineStr">
        <is>
          <t>991002246759702656</t>
        </is>
      </c>
      <c r="AX2264" t="inlineStr">
        <is>
          <t>991002246759702656</t>
        </is>
      </c>
      <c r="AY2264" t="inlineStr">
        <is>
          <t>2257540200002656</t>
        </is>
      </c>
      <c r="AZ2264" t="inlineStr">
        <is>
          <t>BOOK</t>
        </is>
      </c>
      <c r="BB2264" t="inlineStr">
        <is>
          <t>9781555874605</t>
        </is>
      </c>
      <c r="BC2264" t="inlineStr">
        <is>
          <t>32285001999415</t>
        </is>
      </c>
      <c r="BD2264" t="inlineStr">
        <is>
          <t>893433666</t>
        </is>
      </c>
    </row>
    <row r="2265">
      <c r="A2265" t="inlineStr">
        <is>
          <t>No</t>
        </is>
      </c>
      <c r="B2265" t="inlineStr">
        <is>
          <t>DS79.72 .D47 1991</t>
        </is>
      </c>
      <c r="C2265" t="inlineStr">
        <is>
          <t>0                      DS 0079720D  47          1991</t>
        </is>
      </c>
      <c r="D2265" t="inlineStr">
        <is>
          <t>Desert Storm : the war in the Persian Gulf / by the editors of Time magazine ; edited by Otto Friedrich.</t>
        </is>
      </c>
      <c r="F2265" t="inlineStr">
        <is>
          <t>No</t>
        </is>
      </c>
      <c r="G2265" t="inlineStr">
        <is>
          <t>1</t>
        </is>
      </c>
      <c r="H2265" t="inlineStr">
        <is>
          <t>No</t>
        </is>
      </c>
      <c r="I2265" t="inlineStr">
        <is>
          <t>No</t>
        </is>
      </c>
      <c r="J2265" t="inlineStr">
        <is>
          <t>0</t>
        </is>
      </c>
      <c r="L2265" t="inlineStr">
        <is>
          <t>Boston : Little, Brown, 1991.</t>
        </is>
      </c>
      <c r="M2265" t="inlineStr">
        <is>
          <t>1991</t>
        </is>
      </c>
      <c r="N2265" t="inlineStr">
        <is>
          <t>1st ed.</t>
        </is>
      </c>
      <c r="O2265" t="inlineStr">
        <is>
          <t>eng</t>
        </is>
      </c>
      <c r="P2265" t="inlineStr">
        <is>
          <t>mau</t>
        </is>
      </c>
      <c r="R2265" t="inlineStr">
        <is>
          <t xml:space="preserve">DS </t>
        </is>
      </c>
      <c r="S2265" t="n">
        <v>22</v>
      </c>
      <c r="T2265" t="n">
        <v>22</v>
      </c>
      <c r="U2265" t="inlineStr">
        <is>
          <t>2002-09-29</t>
        </is>
      </c>
      <c r="V2265" t="inlineStr">
        <is>
          <t>2002-09-29</t>
        </is>
      </c>
      <c r="W2265" t="inlineStr">
        <is>
          <t>1991-07-25</t>
        </is>
      </c>
      <c r="X2265" t="inlineStr">
        <is>
          <t>1991-07-25</t>
        </is>
      </c>
      <c r="Y2265" t="n">
        <v>604</v>
      </c>
      <c r="Z2265" t="n">
        <v>555</v>
      </c>
      <c r="AA2265" t="n">
        <v>563</v>
      </c>
      <c r="AB2265" t="n">
        <v>5</v>
      </c>
      <c r="AC2265" t="n">
        <v>5</v>
      </c>
      <c r="AD2265" t="n">
        <v>2</v>
      </c>
      <c r="AE2265" t="n">
        <v>2</v>
      </c>
      <c r="AF2265" t="n">
        <v>0</v>
      </c>
      <c r="AG2265" t="n">
        <v>0</v>
      </c>
      <c r="AH2265" t="n">
        <v>0</v>
      </c>
      <c r="AI2265" t="n">
        <v>0</v>
      </c>
      <c r="AJ2265" t="n">
        <v>2</v>
      </c>
      <c r="AK2265" t="n">
        <v>2</v>
      </c>
      <c r="AL2265" t="n">
        <v>0</v>
      </c>
      <c r="AM2265" t="n">
        <v>0</v>
      </c>
      <c r="AN2265" t="n">
        <v>0</v>
      </c>
      <c r="AO2265" t="n">
        <v>0</v>
      </c>
      <c r="AP2265" t="inlineStr">
        <is>
          <t>No</t>
        </is>
      </c>
      <c r="AQ2265" t="inlineStr">
        <is>
          <t>No</t>
        </is>
      </c>
      <c r="AS2265">
        <f>HYPERLINK("https://creighton-primo.hosted.exlibrisgroup.com/primo-explore/search?tab=default_tab&amp;search_scope=EVERYTHING&amp;vid=01CRU&amp;lang=en_US&amp;offset=0&amp;query=any,contains,991001881569702656","Catalog Record")</f>
        <v/>
      </c>
      <c r="AT2265">
        <f>HYPERLINK("http://www.worldcat.org/oclc/23732332","WorldCat Record")</f>
        <v/>
      </c>
      <c r="AU2265" t="inlineStr">
        <is>
          <t>918609140:eng</t>
        </is>
      </c>
      <c r="AV2265" t="inlineStr">
        <is>
          <t>23732332</t>
        </is>
      </c>
      <c r="AW2265" t="inlineStr">
        <is>
          <t>991001881569702656</t>
        </is>
      </c>
      <c r="AX2265" t="inlineStr">
        <is>
          <t>991001881569702656</t>
        </is>
      </c>
      <c r="AY2265" t="inlineStr">
        <is>
          <t>2265339480002656</t>
        </is>
      </c>
      <c r="AZ2265" t="inlineStr">
        <is>
          <t>BOOK</t>
        </is>
      </c>
      <c r="BB2265" t="inlineStr">
        <is>
          <t>9780316851008</t>
        </is>
      </c>
      <c r="BC2265" t="inlineStr">
        <is>
          <t>32285000662626</t>
        </is>
      </c>
      <c r="BD2265" t="inlineStr">
        <is>
          <t>893891904</t>
        </is>
      </c>
    </row>
    <row r="2266">
      <c r="A2266" t="inlineStr">
        <is>
          <t>No</t>
        </is>
      </c>
      <c r="B2266" t="inlineStr">
        <is>
          <t>DS79.72 .F74 1993</t>
        </is>
      </c>
      <c r="C2266" t="inlineStr">
        <is>
          <t>0                      DS 0079720F  74          1993</t>
        </is>
      </c>
      <c r="D2266" t="inlineStr">
        <is>
          <t>The Gulf conflict, 1990-1991 : diplomacy and war in the new world order / Lawrence Freedman and Efraim Karsh.</t>
        </is>
      </c>
      <c r="F2266" t="inlineStr">
        <is>
          <t>No</t>
        </is>
      </c>
      <c r="G2266" t="inlineStr">
        <is>
          <t>1</t>
        </is>
      </c>
      <c r="H2266" t="inlineStr">
        <is>
          <t>No</t>
        </is>
      </c>
      <c r="I2266" t="inlineStr">
        <is>
          <t>No</t>
        </is>
      </c>
      <c r="J2266" t="inlineStr">
        <is>
          <t>0</t>
        </is>
      </c>
      <c r="K2266" t="inlineStr">
        <is>
          <t>Freedman, Lawrence.</t>
        </is>
      </c>
      <c r="L2266" t="inlineStr">
        <is>
          <t>Princeton, N.J. : Princeton University Press, c1993.</t>
        </is>
      </c>
      <c r="M2266" t="inlineStr">
        <is>
          <t>1993</t>
        </is>
      </c>
      <c r="O2266" t="inlineStr">
        <is>
          <t>eng</t>
        </is>
      </c>
      <c r="P2266" t="inlineStr">
        <is>
          <t>nju</t>
        </is>
      </c>
      <c r="R2266" t="inlineStr">
        <is>
          <t xml:space="preserve">DS </t>
        </is>
      </c>
      <c r="S2266" t="n">
        <v>6</v>
      </c>
      <c r="T2266" t="n">
        <v>6</v>
      </c>
      <c r="U2266" t="inlineStr">
        <is>
          <t>2000-03-02</t>
        </is>
      </c>
      <c r="V2266" t="inlineStr">
        <is>
          <t>2000-03-02</t>
        </is>
      </c>
      <c r="W2266" t="inlineStr">
        <is>
          <t>1993-12-10</t>
        </is>
      </c>
      <c r="X2266" t="inlineStr">
        <is>
          <t>1993-12-10</t>
        </is>
      </c>
      <c r="Y2266" t="n">
        <v>1148</v>
      </c>
      <c r="Z2266" t="n">
        <v>1029</v>
      </c>
      <c r="AA2266" t="n">
        <v>1118</v>
      </c>
      <c r="AB2266" t="n">
        <v>8</v>
      </c>
      <c r="AC2266" t="n">
        <v>9</v>
      </c>
      <c r="AD2266" t="n">
        <v>33</v>
      </c>
      <c r="AE2266" t="n">
        <v>36</v>
      </c>
      <c r="AF2266" t="n">
        <v>9</v>
      </c>
      <c r="AG2266" t="n">
        <v>10</v>
      </c>
      <c r="AH2266" t="n">
        <v>8</v>
      </c>
      <c r="AI2266" t="n">
        <v>9</v>
      </c>
      <c r="AJ2266" t="n">
        <v>17</v>
      </c>
      <c r="AK2266" t="n">
        <v>17</v>
      </c>
      <c r="AL2266" t="n">
        <v>6</v>
      </c>
      <c r="AM2266" t="n">
        <v>7</v>
      </c>
      <c r="AN2266" t="n">
        <v>3</v>
      </c>
      <c r="AO2266" t="n">
        <v>3</v>
      </c>
      <c r="AP2266" t="inlineStr">
        <is>
          <t>No</t>
        </is>
      </c>
      <c r="AQ2266" t="inlineStr">
        <is>
          <t>No</t>
        </is>
      </c>
      <c r="AS2266">
        <f>HYPERLINK("https://creighton-primo.hosted.exlibrisgroup.com/primo-explore/search?tab=default_tab&amp;search_scope=EVERYTHING&amp;vid=01CRU&amp;lang=en_US&amp;offset=0&amp;query=any,contains,991002093859702656","Catalog Record")</f>
        <v/>
      </c>
      <c r="AT2266">
        <f>HYPERLINK("http://www.worldcat.org/oclc/26854210","WorldCat Record")</f>
        <v/>
      </c>
      <c r="AU2266" t="inlineStr">
        <is>
          <t>792358704:eng</t>
        </is>
      </c>
      <c r="AV2266" t="inlineStr">
        <is>
          <t>26854210</t>
        </is>
      </c>
      <c r="AW2266" t="inlineStr">
        <is>
          <t>991002093859702656</t>
        </is>
      </c>
      <c r="AX2266" t="inlineStr">
        <is>
          <t>991002093859702656</t>
        </is>
      </c>
      <c r="AY2266" t="inlineStr">
        <is>
          <t>2268082010002656</t>
        </is>
      </c>
      <c r="AZ2266" t="inlineStr">
        <is>
          <t>BOOK</t>
        </is>
      </c>
      <c r="BB2266" t="inlineStr">
        <is>
          <t>9780691086279</t>
        </is>
      </c>
      <c r="BC2266" t="inlineStr">
        <is>
          <t>32285001815355</t>
        </is>
      </c>
      <c r="BD2266" t="inlineStr">
        <is>
          <t>893691206</t>
        </is>
      </c>
    </row>
    <row r="2267">
      <c r="A2267" t="inlineStr">
        <is>
          <t>No</t>
        </is>
      </c>
      <c r="B2267" t="inlineStr">
        <is>
          <t>DS79.72 .H56 1992</t>
        </is>
      </c>
      <c r="C2267" t="inlineStr">
        <is>
          <t>0                      DS 0079720H  56          1992</t>
        </is>
      </c>
      <c r="D2267" t="inlineStr">
        <is>
          <t>George Bush vs. Saddam Hussein : military success! political failure? / Roger Hilsman.</t>
        </is>
      </c>
      <c r="F2267" t="inlineStr">
        <is>
          <t>No</t>
        </is>
      </c>
      <c r="G2267" t="inlineStr">
        <is>
          <t>1</t>
        </is>
      </c>
      <c r="H2267" t="inlineStr">
        <is>
          <t>No</t>
        </is>
      </c>
      <c r="I2267" t="inlineStr">
        <is>
          <t>No</t>
        </is>
      </c>
      <c r="J2267" t="inlineStr">
        <is>
          <t>0</t>
        </is>
      </c>
      <c r="K2267" t="inlineStr">
        <is>
          <t>Hilsman, Roger.</t>
        </is>
      </c>
      <c r="L2267" t="inlineStr">
        <is>
          <t>Novato, CA : Presidio, c1992.</t>
        </is>
      </c>
      <c r="M2267" t="inlineStr">
        <is>
          <t>1992</t>
        </is>
      </c>
      <c r="O2267" t="inlineStr">
        <is>
          <t>eng</t>
        </is>
      </c>
      <c r="P2267" t="inlineStr">
        <is>
          <t>cau</t>
        </is>
      </c>
      <c r="R2267" t="inlineStr">
        <is>
          <t xml:space="preserve">DS </t>
        </is>
      </c>
      <c r="S2267" t="n">
        <v>12</v>
      </c>
      <c r="T2267" t="n">
        <v>12</v>
      </c>
      <c r="U2267" t="inlineStr">
        <is>
          <t>2006-02-15</t>
        </is>
      </c>
      <c r="V2267" t="inlineStr">
        <is>
          <t>2006-02-15</t>
        </is>
      </c>
      <c r="W2267" t="inlineStr">
        <is>
          <t>1992-11-20</t>
        </is>
      </c>
      <c r="X2267" t="inlineStr">
        <is>
          <t>1992-11-20</t>
        </is>
      </c>
      <c r="Y2267" t="n">
        <v>338</v>
      </c>
      <c r="Z2267" t="n">
        <v>309</v>
      </c>
      <c r="AA2267" t="n">
        <v>331</v>
      </c>
      <c r="AB2267" t="n">
        <v>2</v>
      </c>
      <c r="AC2267" t="n">
        <v>2</v>
      </c>
      <c r="AD2267" t="n">
        <v>13</v>
      </c>
      <c r="AE2267" t="n">
        <v>13</v>
      </c>
      <c r="AF2267" t="n">
        <v>4</v>
      </c>
      <c r="AG2267" t="n">
        <v>4</v>
      </c>
      <c r="AH2267" t="n">
        <v>4</v>
      </c>
      <c r="AI2267" t="n">
        <v>4</v>
      </c>
      <c r="AJ2267" t="n">
        <v>9</v>
      </c>
      <c r="AK2267" t="n">
        <v>9</v>
      </c>
      <c r="AL2267" t="n">
        <v>1</v>
      </c>
      <c r="AM2267" t="n">
        <v>1</v>
      </c>
      <c r="AN2267" t="n">
        <v>0</v>
      </c>
      <c r="AO2267" t="n">
        <v>0</v>
      </c>
      <c r="AP2267" t="inlineStr">
        <is>
          <t>No</t>
        </is>
      </c>
      <c r="AQ2267" t="inlineStr">
        <is>
          <t>Yes</t>
        </is>
      </c>
      <c r="AR2267">
        <f>HYPERLINK("http://catalog.hathitrust.org/Record/002652178","HathiTrust Record")</f>
        <v/>
      </c>
      <c r="AS2267">
        <f>HYPERLINK("https://creighton-primo.hosted.exlibrisgroup.com/primo-explore/search?tab=default_tab&amp;search_scope=EVERYTHING&amp;vid=01CRU&amp;lang=en_US&amp;offset=0&amp;query=any,contains,991002009459702656","Catalog Record")</f>
        <v/>
      </c>
      <c r="AT2267">
        <f>HYPERLINK("http://www.worldcat.org/oclc/25547747","WorldCat Record")</f>
        <v/>
      </c>
      <c r="AU2267" t="inlineStr">
        <is>
          <t>25993394:eng</t>
        </is>
      </c>
      <c r="AV2267" t="inlineStr">
        <is>
          <t>25547747</t>
        </is>
      </c>
      <c r="AW2267" t="inlineStr">
        <is>
          <t>991002009459702656</t>
        </is>
      </c>
      <c r="AX2267" t="inlineStr">
        <is>
          <t>991002009459702656</t>
        </is>
      </c>
      <c r="AY2267" t="inlineStr">
        <is>
          <t>2261659700002656</t>
        </is>
      </c>
      <c r="AZ2267" t="inlineStr">
        <is>
          <t>BOOK</t>
        </is>
      </c>
      <c r="BB2267" t="inlineStr">
        <is>
          <t>9780891414704</t>
        </is>
      </c>
      <c r="BC2267" t="inlineStr">
        <is>
          <t>32285001364495</t>
        </is>
      </c>
      <c r="BD2267" t="inlineStr">
        <is>
          <t>893334828</t>
        </is>
      </c>
    </row>
    <row r="2268">
      <c r="A2268" t="inlineStr">
        <is>
          <t>No</t>
        </is>
      </c>
      <c r="B2268" t="inlineStr">
        <is>
          <t>DS79.72 .I73 1993</t>
        </is>
      </c>
      <c r="C2268" t="inlineStr">
        <is>
          <t>0                      DS 0079720I  73          1993</t>
        </is>
      </c>
      <c r="D2268" t="inlineStr">
        <is>
          <t>The Iraqi invasion of Kuwait : American reflections / edited by Richard P. Stevens.</t>
        </is>
      </c>
      <c r="F2268" t="inlineStr">
        <is>
          <t>No</t>
        </is>
      </c>
      <c r="G2268" t="inlineStr">
        <is>
          <t>1</t>
        </is>
      </c>
      <c r="H2268" t="inlineStr">
        <is>
          <t>No</t>
        </is>
      </c>
      <c r="I2268" t="inlineStr">
        <is>
          <t>No</t>
        </is>
      </c>
      <c r="J2268" t="inlineStr">
        <is>
          <t>0</t>
        </is>
      </c>
      <c r="L2268" t="inlineStr">
        <is>
          <t>Washington, DC : International Education and Communications Group, [1993]</t>
        </is>
      </c>
      <c r="M2268" t="inlineStr">
        <is>
          <t>1993</t>
        </is>
      </c>
      <c r="O2268" t="inlineStr">
        <is>
          <t>eng</t>
        </is>
      </c>
      <c r="P2268" t="inlineStr">
        <is>
          <t>dcu</t>
        </is>
      </c>
      <c r="R2268" t="inlineStr">
        <is>
          <t xml:space="preserve">DS </t>
        </is>
      </c>
      <c r="S2268" t="n">
        <v>9</v>
      </c>
      <c r="T2268" t="n">
        <v>9</v>
      </c>
      <c r="U2268" t="inlineStr">
        <is>
          <t>2006-04-22</t>
        </is>
      </c>
      <c r="V2268" t="inlineStr">
        <is>
          <t>2006-04-22</t>
        </is>
      </c>
      <c r="W2268" t="inlineStr">
        <is>
          <t>1994-01-13</t>
        </is>
      </c>
      <c r="X2268" t="inlineStr">
        <is>
          <t>1994-01-13</t>
        </is>
      </c>
      <c r="Y2268" t="n">
        <v>522</v>
      </c>
      <c r="Z2268" t="n">
        <v>505</v>
      </c>
      <c r="AA2268" t="n">
        <v>627</v>
      </c>
      <c r="AB2268" t="n">
        <v>4</v>
      </c>
      <c r="AC2268" t="n">
        <v>4</v>
      </c>
      <c r="AD2268" t="n">
        <v>17</v>
      </c>
      <c r="AE2268" t="n">
        <v>26</v>
      </c>
      <c r="AF2268" t="n">
        <v>7</v>
      </c>
      <c r="AG2268" t="n">
        <v>8</v>
      </c>
      <c r="AH2268" t="n">
        <v>4</v>
      </c>
      <c r="AI2268" t="n">
        <v>6</v>
      </c>
      <c r="AJ2268" t="n">
        <v>9</v>
      </c>
      <c r="AK2268" t="n">
        <v>16</v>
      </c>
      <c r="AL2268" t="n">
        <v>3</v>
      </c>
      <c r="AM2268" t="n">
        <v>3</v>
      </c>
      <c r="AN2268" t="n">
        <v>0</v>
      </c>
      <c r="AO2268" t="n">
        <v>1</v>
      </c>
      <c r="AP2268" t="inlineStr">
        <is>
          <t>No</t>
        </is>
      </c>
      <c r="AQ2268" t="inlineStr">
        <is>
          <t>Yes</t>
        </is>
      </c>
      <c r="AR2268">
        <f>HYPERLINK("http://catalog.hathitrust.org/Record/002856205","HathiTrust Record")</f>
        <v/>
      </c>
      <c r="AS2268">
        <f>HYPERLINK("https://creighton-primo.hosted.exlibrisgroup.com/primo-explore/search?tab=default_tab&amp;search_scope=EVERYTHING&amp;vid=01CRU&amp;lang=en_US&amp;offset=0&amp;query=any,contains,991002261989702656","Catalog Record")</f>
        <v/>
      </c>
      <c r="AT2268">
        <f>HYPERLINK("http://www.worldcat.org/oclc/29348508","WorldCat Record")</f>
        <v/>
      </c>
      <c r="AU2268" t="inlineStr">
        <is>
          <t>864906490:eng</t>
        </is>
      </c>
      <c r="AV2268" t="inlineStr">
        <is>
          <t>29348508</t>
        </is>
      </c>
      <c r="AW2268" t="inlineStr">
        <is>
          <t>991002261989702656</t>
        </is>
      </c>
      <c r="AX2268" t="inlineStr">
        <is>
          <t>991002261989702656</t>
        </is>
      </c>
      <c r="AY2268" t="inlineStr">
        <is>
          <t>2261764540002656</t>
        </is>
      </c>
      <c r="AZ2268" t="inlineStr">
        <is>
          <t>BOOK</t>
        </is>
      </c>
      <c r="BC2268" t="inlineStr">
        <is>
          <t>32285001804300</t>
        </is>
      </c>
      <c r="BD2268" t="inlineStr">
        <is>
          <t>893716242</t>
        </is>
      </c>
    </row>
    <row r="2269">
      <c r="A2269" t="inlineStr">
        <is>
          <t>No</t>
        </is>
      </c>
      <c r="B2269" t="inlineStr">
        <is>
          <t>DS79.72 .S544 2009</t>
        </is>
      </c>
      <c r="C2269" t="inlineStr">
        <is>
          <t>0                      DS 0079720S  544         2009</t>
        </is>
      </c>
      <c r="D2269" t="inlineStr">
        <is>
          <t>The Gulf wars and the United States : shaping the twenty-first century / Orrin Schwab.</t>
        </is>
      </c>
      <c r="F2269" t="inlineStr">
        <is>
          <t>No</t>
        </is>
      </c>
      <c r="G2269" t="inlineStr">
        <is>
          <t>1</t>
        </is>
      </c>
      <c r="H2269" t="inlineStr">
        <is>
          <t>No</t>
        </is>
      </c>
      <c r="I2269" t="inlineStr">
        <is>
          <t>No</t>
        </is>
      </c>
      <c r="J2269" t="inlineStr">
        <is>
          <t>0</t>
        </is>
      </c>
      <c r="K2269" t="inlineStr">
        <is>
          <t>Schwab, Orrin, 1956-</t>
        </is>
      </c>
      <c r="L2269" t="inlineStr">
        <is>
          <t>Westport, Conn. : Praeger Security International, 2009.</t>
        </is>
      </c>
      <c r="M2269" t="inlineStr">
        <is>
          <t>2009</t>
        </is>
      </c>
      <c r="O2269" t="inlineStr">
        <is>
          <t>eng</t>
        </is>
      </c>
      <c r="P2269" t="inlineStr">
        <is>
          <t>ctu</t>
        </is>
      </c>
      <c r="Q2269" t="inlineStr">
        <is>
          <t>PSI reports</t>
        </is>
      </c>
      <c r="R2269" t="inlineStr">
        <is>
          <t xml:space="preserve">DS </t>
        </is>
      </c>
      <c r="S2269" t="n">
        <v>2</v>
      </c>
      <c r="T2269" t="n">
        <v>2</v>
      </c>
      <c r="U2269" t="inlineStr">
        <is>
          <t>2010-10-14</t>
        </is>
      </c>
      <c r="V2269" t="inlineStr">
        <is>
          <t>2010-10-14</t>
        </is>
      </c>
      <c r="W2269" t="inlineStr">
        <is>
          <t>2010-02-23</t>
        </is>
      </c>
      <c r="X2269" t="inlineStr">
        <is>
          <t>2010-02-23</t>
        </is>
      </c>
      <c r="Y2269" t="n">
        <v>319</v>
      </c>
      <c r="Z2269" t="n">
        <v>276</v>
      </c>
      <c r="AA2269" t="n">
        <v>671</v>
      </c>
      <c r="AB2269" t="n">
        <v>2</v>
      </c>
      <c r="AC2269" t="n">
        <v>4</v>
      </c>
      <c r="AD2269" t="n">
        <v>15</v>
      </c>
      <c r="AE2269" t="n">
        <v>19</v>
      </c>
      <c r="AF2269" t="n">
        <v>9</v>
      </c>
      <c r="AG2269" t="n">
        <v>11</v>
      </c>
      <c r="AH2269" t="n">
        <v>4</v>
      </c>
      <c r="AI2269" t="n">
        <v>4</v>
      </c>
      <c r="AJ2269" t="n">
        <v>8</v>
      </c>
      <c r="AK2269" t="n">
        <v>8</v>
      </c>
      <c r="AL2269" t="n">
        <v>1</v>
      </c>
      <c r="AM2269" t="n">
        <v>3</v>
      </c>
      <c r="AN2269" t="n">
        <v>0</v>
      </c>
      <c r="AO2269" t="n">
        <v>0</v>
      </c>
      <c r="AP2269" t="inlineStr">
        <is>
          <t>No</t>
        </is>
      </c>
      <c r="AQ2269" t="inlineStr">
        <is>
          <t>Yes</t>
        </is>
      </c>
      <c r="AR2269">
        <f>HYPERLINK("http://catalog.hathitrust.org/Record/005927660","HathiTrust Record")</f>
        <v/>
      </c>
      <c r="AS2269">
        <f>HYPERLINK("https://creighton-primo.hosted.exlibrisgroup.com/primo-explore/search?tab=default_tab&amp;search_scope=EVERYTHING&amp;vid=01CRU&amp;lang=en_US&amp;offset=0&amp;query=any,contains,991005364869702656","Catalog Record")</f>
        <v/>
      </c>
      <c r="AT2269">
        <f>HYPERLINK("http://www.worldcat.org/oclc/233543989","WorldCat Record")</f>
        <v/>
      </c>
      <c r="AU2269" t="inlineStr">
        <is>
          <t>801527123:eng</t>
        </is>
      </c>
      <c r="AV2269" t="inlineStr">
        <is>
          <t>233543989</t>
        </is>
      </c>
      <c r="AW2269" t="inlineStr">
        <is>
          <t>991005364869702656</t>
        </is>
      </c>
      <c r="AX2269" t="inlineStr">
        <is>
          <t>991005364869702656</t>
        </is>
      </c>
      <c r="AY2269" t="inlineStr">
        <is>
          <t>2259495090002656</t>
        </is>
      </c>
      <c r="AZ2269" t="inlineStr">
        <is>
          <t>BOOK</t>
        </is>
      </c>
      <c r="BB2269" t="inlineStr">
        <is>
          <t>9780275997540</t>
        </is>
      </c>
      <c r="BC2269" t="inlineStr">
        <is>
          <t>32285005575138</t>
        </is>
      </c>
      <c r="BD2269" t="inlineStr">
        <is>
          <t>893594914</t>
        </is>
      </c>
    </row>
    <row r="2270">
      <c r="A2270" t="inlineStr">
        <is>
          <t>No</t>
        </is>
      </c>
      <c r="B2270" t="inlineStr">
        <is>
          <t>DS79.72 .S65 1992</t>
        </is>
      </c>
      <c r="C2270" t="inlineStr">
        <is>
          <t>0                      DS 0079720S  65          1992</t>
        </is>
      </c>
      <c r="D2270" t="inlineStr">
        <is>
          <t>George Bush's war / Jean Edward Smith.</t>
        </is>
      </c>
      <c r="F2270" t="inlineStr">
        <is>
          <t>No</t>
        </is>
      </c>
      <c r="G2270" t="inlineStr">
        <is>
          <t>1</t>
        </is>
      </c>
      <c r="H2270" t="inlineStr">
        <is>
          <t>No</t>
        </is>
      </c>
      <c r="I2270" t="inlineStr">
        <is>
          <t>No</t>
        </is>
      </c>
      <c r="J2270" t="inlineStr">
        <is>
          <t>0</t>
        </is>
      </c>
      <c r="K2270" t="inlineStr">
        <is>
          <t>Smith, Jean Edward.</t>
        </is>
      </c>
      <c r="L2270" t="inlineStr">
        <is>
          <t>New York : H. Holt, 1992.</t>
        </is>
      </c>
      <c r="M2270" t="inlineStr">
        <is>
          <t>1992</t>
        </is>
      </c>
      <c r="N2270" t="inlineStr">
        <is>
          <t>1st ed.</t>
        </is>
      </c>
      <c r="O2270" t="inlineStr">
        <is>
          <t>eng</t>
        </is>
      </c>
      <c r="P2270" t="inlineStr">
        <is>
          <t>nyu</t>
        </is>
      </c>
      <c r="R2270" t="inlineStr">
        <is>
          <t xml:space="preserve">DS </t>
        </is>
      </c>
      <c r="S2270" t="n">
        <v>7</v>
      </c>
      <c r="T2270" t="n">
        <v>7</v>
      </c>
      <c r="U2270" t="inlineStr">
        <is>
          <t>2000-10-16</t>
        </is>
      </c>
      <c r="V2270" t="inlineStr">
        <is>
          <t>2000-10-16</t>
        </is>
      </c>
      <c r="W2270" t="inlineStr">
        <is>
          <t>1992-06-10</t>
        </is>
      </c>
      <c r="X2270" t="inlineStr">
        <is>
          <t>1992-06-10</t>
        </is>
      </c>
      <c r="Y2270" t="n">
        <v>1035</v>
      </c>
      <c r="Z2270" t="n">
        <v>945</v>
      </c>
      <c r="AA2270" t="n">
        <v>954</v>
      </c>
      <c r="AB2270" t="n">
        <v>4</v>
      </c>
      <c r="AC2270" t="n">
        <v>4</v>
      </c>
      <c r="AD2270" t="n">
        <v>21</v>
      </c>
      <c r="AE2270" t="n">
        <v>21</v>
      </c>
      <c r="AF2270" t="n">
        <v>7</v>
      </c>
      <c r="AG2270" t="n">
        <v>7</v>
      </c>
      <c r="AH2270" t="n">
        <v>6</v>
      </c>
      <c r="AI2270" t="n">
        <v>6</v>
      </c>
      <c r="AJ2270" t="n">
        <v>11</v>
      </c>
      <c r="AK2270" t="n">
        <v>11</v>
      </c>
      <c r="AL2270" t="n">
        <v>3</v>
      </c>
      <c r="AM2270" t="n">
        <v>3</v>
      </c>
      <c r="AN2270" t="n">
        <v>0</v>
      </c>
      <c r="AO2270" t="n">
        <v>0</v>
      </c>
      <c r="AP2270" t="inlineStr">
        <is>
          <t>No</t>
        </is>
      </c>
      <c r="AQ2270" t="inlineStr">
        <is>
          <t>No</t>
        </is>
      </c>
      <c r="AS2270">
        <f>HYPERLINK("https://creighton-primo.hosted.exlibrisgroup.com/primo-explore/search?tab=default_tab&amp;search_scope=EVERYTHING&amp;vid=01CRU&amp;lang=en_US&amp;offset=0&amp;query=any,contains,991001940209702656","Catalog Record")</f>
        <v/>
      </c>
      <c r="AT2270">
        <f>HYPERLINK("http://www.worldcat.org/oclc/24504095","WorldCat Record")</f>
        <v/>
      </c>
      <c r="AU2270" t="inlineStr">
        <is>
          <t>26082278:eng</t>
        </is>
      </c>
      <c r="AV2270" t="inlineStr">
        <is>
          <t>24504095</t>
        </is>
      </c>
      <c r="AW2270" t="inlineStr">
        <is>
          <t>991001940209702656</t>
        </is>
      </c>
      <c r="AX2270" t="inlineStr">
        <is>
          <t>991001940209702656</t>
        </is>
      </c>
      <c r="AY2270" t="inlineStr">
        <is>
          <t>2261170500002656</t>
        </is>
      </c>
      <c r="AZ2270" t="inlineStr">
        <is>
          <t>BOOK</t>
        </is>
      </c>
      <c r="BB2270" t="inlineStr">
        <is>
          <t>9780805013887</t>
        </is>
      </c>
      <c r="BC2270" t="inlineStr">
        <is>
          <t>32285001126787</t>
        </is>
      </c>
      <c r="BD2270" t="inlineStr">
        <is>
          <t>893797972</t>
        </is>
      </c>
    </row>
    <row r="2271">
      <c r="A2271" t="inlineStr">
        <is>
          <t>No</t>
        </is>
      </c>
      <c r="B2271" t="inlineStr">
        <is>
          <t>DS79.72 .T39 1992</t>
        </is>
      </c>
      <c r="C2271" t="inlineStr">
        <is>
          <t>0                      DS 0079720T  39          1992</t>
        </is>
      </c>
      <c r="D2271" t="inlineStr">
        <is>
          <t>War and the media : propaganda and persuasion in the Gulf War / Philip M. Taylor.</t>
        </is>
      </c>
      <c r="F2271" t="inlineStr">
        <is>
          <t>No</t>
        </is>
      </c>
      <c r="G2271" t="inlineStr">
        <is>
          <t>1</t>
        </is>
      </c>
      <c r="H2271" t="inlineStr">
        <is>
          <t>No</t>
        </is>
      </c>
      <c r="I2271" t="inlineStr">
        <is>
          <t>No</t>
        </is>
      </c>
      <c r="J2271" t="inlineStr">
        <is>
          <t>0</t>
        </is>
      </c>
      <c r="K2271" t="inlineStr">
        <is>
          <t>Taylor, Philip M.</t>
        </is>
      </c>
      <c r="L2271" t="inlineStr">
        <is>
          <t>Manchester ; New York : Manchester University Press ; New York : Distributed exclusively in the USA and Canada by St. Martin's Press, c1992.</t>
        </is>
      </c>
      <c r="M2271" t="inlineStr">
        <is>
          <t>1992</t>
        </is>
      </c>
      <c r="O2271" t="inlineStr">
        <is>
          <t>eng</t>
        </is>
      </c>
      <c r="P2271" t="inlineStr">
        <is>
          <t>enk</t>
        </is>
      </c>
      <c r="R2271" t="inlineStr">
        <is>
          <t xml:space="preserve">DS </t>
        </is>
      </c>
      <c r="S2271" t="n">
        <v>28</v>
      </c>
      <c r="T2271" t="n">
        <v>28</v>
      </c>
      <c r="U2271" t="inlineStr">
        <is>
          <t>2002-04-21</t>
        </is>
      </c>
      <c r="V2271" t="inlineStr">
        <is>
          <t>2002-04-21</t>
        </is>
      </c>
      <c r="W2271" t="inlineStr">
        <is>
          <t>1992-10-13</t>
        </is>
      </c>
      <c r="X2271" t="inlineStr">
        <is>
          <t>1992-10-13</t>
        </is>
      </c>
      <c r="Y2271" t="n">
        <v>646</v>
      </c>
      <c r="Z2271" t="n">
        <v>447</v>
      </c>
      <c r="AA2271" t="n">
        <v>534</v>
      </c>
      <c r="AB2271" t="n">
        <v>4</v>
      </c>
      <c r="AC2271" t="n">
        <v>4</v>
      </c>
      <c r="AD2271" t="n">
        <v>22</v>
      </c>
      <c r="AE2271" t="n">
        <v>27</v>
      </c>
      <c r="AF2271" t="n">
        <v>6</v>
      </c>
      <c r="AG2271" t="n">
        <v>9</v>
      </c>
      <c r="AH2271" t="n">
        <v>7</v>
      </c>
      <c r="AI2271" t="n">
        <v>8</v>
      </c>
      <c r="AJ2271" t="n">
        <v>14</v>
      </c>
      <c r="AK2271" t="n">
        <v>15</v>
      </c>
      <c r="AL2271" t="n">
        <v>3</v>
      </c>
      <c r="AM2271" t="n">
        <v>3</v>
      </c>
      <c r="AN2271" t="n">
        <v>0</v>
      </c>
      <c r="AO2271" t="n">
        <v>0</v>
      </c>
      <c r="AP2271" t="inlineStr">
        <is>
          <t>No</t>
        </is>
      </c>
      <c r="AQ2271" t="inlineStr">
        <is>
          <t>Yes</t>
        </is>
      </c>
      <c r="AR2271">
        <f>HYPERLINK("http://catalog.hathitrust.org/Record/002545402","HathiTrust Record")</f>
        <v/>
      </c>
      <c r="AS2271">
        <f>HYPERLINK("https://creighton-primo.hosted.exlibrisgroup.com/primo-explore/search?tab=default_tab&amp;search_scope=EVERYTHING&amp;vid=01CRU&amp;lang=en_US&amp;offset=0&amp;query=any,contains,991001970799702656","Catalog Record")</f>
        <v/>
      </c>
      <c r="AT2271">
        <f>HYPERLINK("http://www.worldcat.org/oclc/25008753","WorldCat Record")</f>
        <v/>
      </c>
      <c r="AU2271" t="inlineStr">
        <is>
          <t>836849097:eng</t>
        </is>
      </c>
      <c r="AV2271" t="inlineStr">
        <is>
          <t>25008753</t>
        </is>
      </c>
      <c r="AW2271" t="inlineStr">
        <is>
          <t>991001970799702656</t>
        </is>
      </c>
      <c r="AX2271" t="inlineStr">
        <is>
          <t>991001970799702656</t>
        </is>
      </c>
      <c r="AY2271" t="inlineStr">
        <is>
          <t>2269101940002656</t>
        </is>
      </c>
      <c r="AZ2271" t="inlineStr">
        <is>
          <t>BOOK</t>
        </is>
      </c>
      <c r="BB2271" t="inlineStr">
        <is>
          <t>9780719037535</t>
        </is>
      </c>
      <c r="BC2271" t="inlineStr">
        <is>
          <t>32285001317113</t>
        </is>
      </c>
      <c r="BD2271" t="inlineStr">
        <is>
          <t>893879355</t>
        </is>
      </c>
    </row>
    <row r="2272">
      <c r="A2272" t="inlineStr">
        <is>
          <t>No</t>
        </is>
      </c>
      <c r="B2272" t="inlineStr">
        <is>
          <t>DS79.724.S33 R37 1992</t>
        </is>
      </c>
      <c r="C2272" t="inlineStr">
        <is>
          <t>0                      DS 0079724S  33                 R  37          1992</t>
        </is>
      </c>
      <c r="D2272" t="inlineStr">
        <is>
          <t>Saudi Arabia and the Gulf War / Nasser Ibrahim Rashid, Esber Ibrahim Shaheen.</t>
        </is>
      </c>
      <c r="F2272" t="inlineStr">
        <is>
          <t>No</t>
        </is>
      </c>
      <c r="G2272" t="inlineStr">
        <is>
          <t>1</t>
        </is>
      </c>
      <c r="H2272" t="inlineStr">
        <is>
          <t>No</t>
        </is>
      </c>
      <c r="I2272" t="inlineStr">
        <is>
          <t>No</t>
        </is>
      </c>
      <c r="J2272" t="inlineStr">
        <is>
          <t>0</t>
        </is>
      </c>
      <c r="K2272" t="inlineStr">
        <is>
          <t>Rashid, Nasser Ibrahim.</t>
        </is>
      </c>
      <c r="L2272" t="inlineStr">
        <is>
          <t>Joplin, Mo., U.S.A. : International Institute of Technology, c1992.</t>
        </is>
      </c>
      <c r="M2272" t="inlineStr">
        <is>
          <t>1992</t>
        </is>
      </c>
      <c r="O2272" t="inlineStr">
        <is>
          <t>eng</t>
        </is>
      </c>
      <c r="P2272" t="inlineStr">
        <is>
          <t>mou</t>
        </is>
      </c>
      <c r="R2272" t="inlineStr">
        <is>
          <t xml:space="preserve">DS </t>
        </is>
      </c>
      <c r="S2272" t="n">
        <v>5</v>
      </c>
      <c r="T2272" t="n">
        <v>5</v>
      </c>
      <c r="U2272" t="inlineStr">
        <is>
          <t>2002-04-02</t>
        </is>
      </c>
      <c r="V2272" t="inlineStr">
        <is>
          <t>2002-04-02</t>
        </is>
      </c>
      <c r="W2272" t="inlineStr">
        <is>
          <t>1993-01-05</t>
        </is>
      </c>
      <c r="X2272" t="inlineStr">
        <is>
          <t>1993-01-05</t>
        </is>
      </c>
      <c r="Y2272" t="n">
        <v>463</v>
      </c>
      <c r="Z2272" t="n">
        <v>416</v>
      </c>
      <c r="AA2272" t="n">
        <v>423</v>
      </c>
      <c r="AB2272" t="n">
        <v>4</v>
      </c>
      <c r="AC2272" t="n">
        <v>4</v>
      </c>
      <c r="AD2272" t="n">
        <v>27</v>
      </c>
      <c r="AE2272" t="n">
        <v>27</v>
      </c>
      <c r="AF2272" t="n">
        <v>12</v>
      </c>
      <c r="AG2272" t="n">
        <v>12</v>
      </c>
      <c r="AH2272" t="n">
        <v>7</v>
      </c>
      <c r="AI2272" t="n">
        <v>7</v>
      </c>
      <c r="AJ2272" t="n">
        <v>15</v>
      </c>
      <c r="AK2272" t="n">
        <v>15</v>
      </c>
      <c r="AL2272" t="n">
        <v>3</v>
      </c>
      <c r="AM2272" t="n">
        <v>3</v>
      </c>
      <c r="AN2272" t="n">
        <v>0</v>
      </c>
      <c r="AO2272" t="n">
        <v>0</v>
      </c>
      <c r="AP2272" t="inlineStr">
        <is>
          <t>No</t>
        </is>
      </c>
      <c r="AQ2272" t="inlineStr">
        <is>
          <t>Yes</t>
        </is>
      </c>
      <c r="AR2272">
        <f>HYPERLINK("http://catalog.hathitrust.org/Record/002609962","HathiTrust Record")</f>
        <v/>
      </c>
      <c r="AS2272">
        <f>HYPERLINK("https://creighton-primo.hosted.exlibrisgroup.com/primo-explore/search?tab=default_tab&amp;search_scope=EVERYTHING&amp;vid=01CRU&amp;lang=en_US&amp;offset=0&amp;query=any,contains,991002010539702656","Catalog Record")</f>
        <v/>
      </c>
      <c r="AT2272">
        <f>HYPERLINK("http://www.worldcat.org/oclc/25551728","WorldCat Record")</f>
        <v/>
      </c>
      <c r="AU2272" t="inlineStr">
        <is>
          <t>27612652:eng</t>
        </is>
      </c>
      <c r="AV2272" t="inlineStr">
        <is>
          <t>25551728</t>
        </is>
      </c>
      <c r="AW2272" t="inlineStr">
        <is>
          <t>991002010539702656</t>
        </is>
      </c>
      <c r="AX2272" t="inlineStr">
        <is>
          <t>991002010539702656</t>
        </is>
      </c>
      <c r="AY2272" t="inlineStr">
        <is>
          <t>2266123800002656</t>
        </is>
      </c>
      <c r="AZ2272" t="inlineStr">
        <is>
          <t>BOOK</t>
        </is>
      </c>
      <c r="BB2272" t="inlineStr">
        <is>
          <t>9780940485013</t>
        </is>
      </c>
      <c r="BC2272" t="inlineStr">
        <is>
          <t>32285001467918</t>
        </is>
      </c>
      <c r="BD2272" t="inlineStr">
        <is>
          <t>893798054</t>
        </is>
      </c>
    </row>
    <row r="2273">
      <c r="A2273" t="inlineStr">
        <is>
          <t>No</t>
        </is>
      </c>
      <c r="B2273" t="inlineStr">
        <is>
          <t>DS79.724.S38 N93 1995</t>
        </is>
      </c>
      <c r="C2273" t="inlineStr">
        <is>
          <t>0                      DS 0079724S  38                 N  93          1995</t>
        </is>
      </c>
      <c r="D2273" t="inlineStr">
        <is>
          <t>A line in the sand : Saudi Arabia's role in the Gulf War / Sulayman Nyang &amp; Evan Hendricks ; cover by Carlos Arrien.</t>
        </is>
      </c>
      <c r="F2273" t="inlineStr">
        <is>
          <t>No</t>
        </is>
      </c>
      <c r="G2273" t="inlineStr">
        <is>
          <t>1</t>
        </is>
      </c>
      <c r="H2273" t="inlineStr">
        <is>
          <t>No</t>
        </is>
      </c>
      <c r="I2273" t="inlineStr">
        <is>
          <t>No</t>
        </is>
      </c>
      <c r="J2273" t="inlineStr">
        <is>
          <t>0</t>
        </is>
      </c>
      <c r="K2273" t="inlineStr">
        <is>
          <t>Nyang, Sulayman S. (Sulayman Sheih)</t>
        </is>
      </c>
      <c r="M2273" t="inlineStr">
        <is>
          <t>1995</t>
        </is>
      </c>
      <c r="N2273" t="inlineStr">
        <is>
          <t>1st ed.</t>
        </is>
      </c>
      <c r="O2273" t="inlineStr">
        <is>
          <t>eng</t>
        </is>
      </c>
      <c r="P2273" t="inlineStr">
        <is>
          <t xml:space="preserve">xx </t>
        </is>
      </c>
      <c r="R2273" t="inlineStr">
        <is>
          <t xml:space="preserve">DS </t>
        </is>
      </c>
      <c r="S2273" t="n">
        <v>5</v>
      </c>
      <c r="T2273" t="n">
        <v>5</v>
      </c>
      <c r="U2273" t="inlineStr">
        <is>
          <t>2004-02-20</t>
        </is>
      </c>
      <c r="V2273" t="inlineStr">
        <is>
          <t>2004-02-20</t>
        </is>
      </c>
      <c r="W2273" t="inlineStr">
        <is>
          <t>1995-09-06</t>
        </is>
      </c>
      <c r="X2273" t="inlineStr">
        <is>
          <t>1995-09-06</t>
        </is>
      </c>
      <c r="Y2273" t="n">
        <v>1028</v>
      </c>
      <c r="Z2273" t="n">
        <v>1027</v>
      </c>
      <c r="AA2273" t="n">
        <v>1037</v>
      </c>
      <c r="AB2273" t="n">
        <v>12</v>
      </c>
      <c r="AC2273" t="n">
        <v>12</v>
      </c>
      <c r="AD2273" t="n">
        <v>43</v>
      </c>
      <c r="AE2273" t="n">
        <v>43</v>
      </c>
      <c r="AF2273" t="n">
        <v>17</v>
      </c>
      <c r="AG2273" t="n">
        <v>17</v>
      </c>
      <c r="AH2273" t="n">
        <v>5</v>
      </c>
      <c r="AI2273" t="n">
        <v>5</v>
      </c>
      <c r="AJ2273" t="n">
        <v>15</v>
      </c>
      <c r="AK2273" t="n">
        <v>15</v>
      </c>
      <c r="AL2273" t="n">
        <v>11</v>
      </c>
      <c r="AM2273" t="n">
        <v>11</v>
      </c>
      <c r="AN2273" t="n">
        <v>0</v>
      </c>
      <c r="AO2273" t="n">
        <v>0</v>
      </c>
      <c r="AP2273" t="inlineStr">
        <is>
          <t>No</t>
        </is>
      </c>
      <c r="AQ2273" t="inlineStr">
        <is>
          <t>Yes</t>
        </is>
      </c>
      <c r="AR2273">
        <f>HYPERLINK("http://catalog.hathitrust.org/Record/003006278","HathiTrust Record")</f>
        <v/>
      </c>
      <c r="AS2273">
        <f>HYPERLINK("https://creighton-primo.hosted.exlibrisgroup.com/primo-explore/search?tab=default_tab&amp;search_scope=EVERYTHING&amp;vid=01CRU&amp;lang=en_US&amp;offset=0&amp;query=any,contains,991002522339702656","Catalog Record")</f>
        <v/>
      </c>
      <c r="AT2273">
        <f>HYPERLINK("http://www.worldcat.org/oclc/32805896","WorldCat Record")</f>
        <v/>
      </c>
      <c r="AU2273" t="inlineStr">
        <is>
          <t>473888655:eng</t>
        </is>
      </c>
      <c r="AV2273" t="inlineStr">
        <is>
          <t>32805896</t>
        </is>
      </c>
      <c r="AW2273" t="inlineStr">
        <is>
          <t>991002522339702656</t>
        </is>
      </c>
      <c r="AX2273" t="inlineStr">
        <is>
          <t>991002522339702656</t>
        </is>
      </c>
      <c r="AY2273" t="inlineStr">
        <is>
          <t>2272124750002656</t>
        </is>
      </c>
      <c r="AZ2273" t="inlineStr">
        <is>
          <t>BOOK</t>
        </is>
      </c>
      <c r="BB2273" t="inlineStr">
        <is>
          <t>9780964548602</t>
        </is>
      </c>
      <c r="BC2273" t="inlineStr">
        <is>
          <t>32285002058955</t>
        </is>
      </c>
      <c r="BD2273" t="inlineStr">
        <is>
          <t>893323035</t>
        </is>
      </c>
    </row>
    <row r="2274">
      <c r="A2274" t="inlineStr">
        <is>
          <t>No</t>
        </is>
      </c>
      <c r="B2274" t="inlineStr">
        <is>
          <t>DS79.724.U6 W56 1994</t>
        </is>
      </c>
      <c r="C2274" t="inlineStr">
        <is>
          <t>0                      DS 0079724U  6                  W  56          1994</t>
        </is>
      </c>
      <c r="D2274" t="inlineStr">
        <is>
          <t>A league of airmen : U.S. air power in the Gulf War / James A. Winnefeld, Preston Niblack, Dana J. Johnson.</t>
        </is>
      </c>
      <c r="F2274" t="inlineStr">
        <is>
          <t>No</t>
        </is>
      </c>
      <c r="G2274" t="inlineStr">
        <is>
          <t>1</t>
        </is>
      </c>
      <c r="H2274" t="inlineStr">
        <is>
          <t>No</t>
        </is>
      </c>
      <c r="I2274" t="inlineStr">
        <is>
          <t>No</t>
        </is>
      </c>
      <c r="J2274" t="inlineStr">
        <is>
          <t>0</t>
        </is>
      </c>
      <c r="K2274" t="inlineStr">
        <is>
          <t>Winnefeld, James A., 1929-2015.</t>
        </is>
      </c>
      <c r="L2274" t="inlineStr">
        <is>
          <t>Santa Monica, CA : Rand, c1994.</t>
        </is>
      </c>
      <c r="M2274" t="inlineStr">
        <is>
          <t>1994</t>
        </is>
      </c>
      <c r="O2274" t="inlineStr">
        <is>
          <t>eng</t>
        </is>
      </c>
      <c r="P2274" t="inlineStr">
        <is>
          <t>cau</t>
        </is>
      </c>
      <c r="Q2274" t="inlineStr">
        <is>
          <t>Project Air Force.</t>
        </is>
      </c>
      <c r="R2274" t="inlineStr">
        <is>
          <t xml:space="preserve">DS </t>
        </is>
      </c>
      <c r="S2274" t="n">
        <v>7</v>
      </c>
      <c r="T2274" t="n">
        <v>7</v>
      </c>
      <c r="U2274" t="inlineStr">
        <is>
          <t>1995-03-16</t>
        </is>
      </c>
      <c r="V2274" t="inlineStr">
        <is>
          <t>1995-03-16</t>
        </is>
      </c>
      <c r="W2274" t="inlineStr">
        <is>
          <t>1995-02-16</t>
        </is>
      </c>
      <c r="X2274" t="inlineStr">
        <is>
          <t>1995-02-16</t>
        </is>
      </c>
      <c r="Y2274" t="n">
        <v>252</v>
      </c>
      <c r="Z2274" t="n">
        <v>223</v>
      </c>
      <c r="AA2274" t="n">
        <v>226</v>
      </c>
      <c r="AB2274" t="n">
        <v>2</v>
      </c>
      <c r="AC2274" t="n">
        <v>2</v>
      </c>
      <c r="AD2274" t="n">
        <v>7</v>
      </c>
      <c r="AE2274" t="n">
        <v>7</v>
      </c>
      <c r="AF2274" t="n">
        <v>1</v>
      </c>
      <c r="AG2274" t="n">
        <v>1</v>
      </c>
      <c r="AH2274" t="n">
        <v>4</v>
      </c>
      <c r="AI2274" t="n">
        <v>4</v>
      </c>
      <c r="AJ2274" t="n">
        <v>3</v>
      </c>
      <c r="AK2274" t="n">
        <v>3</v>
      </c>
      <c r="AL2274" t="n">
        <v>1</v>
      </c>
      <c r="AM2274" t="n">
        <v>1</v>
      </c>
      <c r="AN2274" t="n">
        <v>1</v>
      </c>
      <c r="AO2274" t="n">
        <v>1</v>
      </c>
      <c r="AP2274" t="inlineStr">
        <is>
          <t>No</t>
        </is>
      </c>
      <c r="AQ2274" t="inlineStr">
        <is>
          <t>No</t>
        </is>
      </c>
      <c r="AS2274">
        <f>HYPERLINK("https://creighton-primo.hosted.exlibrisgroup.com/primo-explore/search?tab=default_tab&amp;search_scope=EVERYTHING&amp;vid=01CRU&amp;lang=en_US&amp;offset=0&amp;query=any,contains,991002282909702656","Catalog Record")</f>
        <v/>
      </c>
      <c r="AT2274">
        <f>HYPERLINK("http://www.worldcat.org/oclc/29597148","WorldCat Record")</f>
        <v/>
      </c>
      <c r="AU2274" t="inlineStr">
        <is>
          <t>986635543:eng</t>
        </is>
      </c>
      <c r="AV2274" t="inlineStr">
        <is>
          <t>29597148</t>
        </is>
      </c>
      <c r="AW2274" t="inlineStr">
        <is>
          <t>991002282909702656</t>
        </is>
      </c>
      <c r="AX2274" t="inlineStr">
        <is>
          <t>991002282909702656</t>
        </is>
      </c>
      <c r="AY2274" t="inlineStr">
        <is>
          <t>2261336460002656</t>
        </is>
      </c>
      <c r="AZ2274" t="inlineStr">
        <is>
          <t>BOOK</t>
        </is>
      </c>
      <c r="BB2274" t="inlineStr">
        <is>
          <t>9780833015037</t>
        </is>
      </c>
      <c r="BC2274" t="inlineStr">
        <is>
          <t>32285001999050</t>
        </is>
      </c>
      <c r="BD2274" t="inlineStr">
        <is>
          <t>893439986</t>
        </is>
      </c>
    </row>
    <row r="2275">
      <c r="A2275" t="inlineStr">
        <is>
          <t>No</t>
        </is>
      </c>
      <c r="B2275" t="inlineStr">
        <is>
          <t>DS79.739 .B377 1998</t>
        </is>
      </c>
      <c r="C2275" t="inlineStr">
        <is>
          <t>0                      DS 0079739B  377         1998</t>
        </is>
      </c>
      <c r="D2275" t="inlineStr">
        <is>
          <t>Media access and the military : the case of the Gulf War / Judith Raine Baroody.</t>
        </is>
      </c>
      <c r="F2275" t="inlineStr">
        <is>
          <t>No</t>
        </is>
      </c>
      <c r="G2275" t="inlineStr">
        <is>
          <t>1</t>
        </is>
      </c>
      <c r="H2275" t="inlineStr">
        <is>
          <t>No</t>
        </is>
      </c>
      <c r="I2275" t="inlineStr">
        <is>
          <t>No</t>
        </is>
      </c>
      <c r="J2275" t="inlineStr">
        <is>
          <t>0</t>
        </is>
      </c>
      <c r="K2275" t="inlineStr">
        <is>
          <t>Baroody, Judith Raine.</t>
        </is>
      </c>
      <c r="L2275" t="inlineStr">
        <is>
          <t>Lanham, Md. : University Press of America, c1998.</t>
        </is>
      </c>
      <c r="M2275" t="inlineStr">
        <is>
          <t>1998</t>
        </is>
      </c>
      <c r="O2275" t="inlineStr">
        <is>
          <t>eng</t>
        </is>
      </c>
      <c r="P2275" t="inlineStr">
        <is>
          <t>mdu</t>
        </is>
      </c>
      <c r="R2275" t="inlineStr">
        <is>
          <t xml:space="preserve">DS </t>
        </is>
      </c>
      <c r="S2275" t="n">
        <v>3</v>
      </c>
      <c r="T2275" t="n">
        <v>3</v>
      </c>
      <c r="U2275" t="inlineStr">
        <is>
          <t>2003-12-02</t>
        </is>
      </c>
      <c r="V2275" t="inlineStr">
        <is>
          <t>2003-12-02</t>
        </is>
      </c>
      <c r="W2275" t="inlineStr">
        <is>
          <t>2000-10-23</t>
        </is>
      </c>
      <c r="X2275" t="inlineStr">
        <is>
          <t>2000-10-23</t>
        </is>
      </c>
      <c r="Y2275" t="n">
        <v>284</v>
      </c>
      <c r="Z2275" t="n">
        <v>241</v>
      </c>
      <c r="AA2275" t="n">
        <v>244</v>
      </c>
      <c r="AB2275" t="n">
        <v>3</v>
      </c>
      <c r="AC2275" t="n">
        <v>3</v>
      </c>
      <c r="AD2275" t="n">
        <v>20</v>
      </c>
      <c r="AE2275" t="n">
        <v>20</v>
      </c>
      <c r="AF2275" t="n">
        <v>10</v>
      </c>
      <c r="AG2275" t="n">
        <v>10</v>
      </c>
      <c r="AH2275" t="n">
        <v>4</v>
      </c>
      <c r="AI2275" t="n">
        <v>4</v>
      </c>
      <c r="AJ2275" t="n">
        <v>10</v>
      </c>
      <c r="AK2275" t="n">
        <v>10</v>
      </c>
      <c r="AL2275" t="n">
        <v>2</v>
      </c>
      <c r="AM2275" t="n">
        <v>2</v>
      </c>
      <c r="AN2275" t="n">
        <v>0</v>
      </c>
      <c r="AO2275" t="n">
        <v>0</v>
      </c>
      <c r="AP2275" t="inlineStr">
        <is>
          <t>No</t>
        </is>
      </c>
      <c r="AQ2275" t="inlineStr">
        <is>
          <t>Yes</t>
        </is>
      </c>
      <c r="AR2275">
        <f>HYPERLINK("http://catalog.hathitrust.org/Record/003977246","HathiTrust Record")</f>
        <v/>
      </c>
      <c r="AS2275">
        <f>HYPERLINK("https://creighton-primo.hosted.exlibrisgroup.com/primo-explore/search?tab=default_tab&amp;search_scope=EVERYTHING&amp;vid=01CRU&amp;lang=en_US&amp;offset=0&amp;query=any,contains,991003239359702656","Catalog Record")</f>
        <v/>
      </c>
      <c r="AT2275">
        <f>HYPERLINK("http://www.worldcat.org/oclc/38061659","WorldCat Record")</f>
        <v/>
      </c>
      <c r="AU2275" t="inlineStr">
        <is>
          <t>344600393:eng</t>
        </is>
      </c>
      <c r="AV2275" t="inlineStr">
        <is>
          <t>38061659</t>
        </is>
      </c>
      <c r="AW2275" t="inlineStr">
        <is>
          <t>991003239359702656</t>
        </is>
      </c>
      <c r="AX2275" t="inlineStr">
        <is>
          <t>991003239359702656</t>
        </is>
      </c>
      <c r="AY2275" t="inlineStr">
        <is>
          <t>2268366580002656</t>
        </is>
      </c>
      <c r="AZ2275" t="inlineStr">
        <is>
          <t>BOOK</t>
        </is>
      </c>
      <c r="BB2275" t="inlineStr">
        <is>
          <t>9780761810254</t>
        </is>
      </c>
      <c r="BC2275" t="inlineStr">
        <is>
          <t>32285003769592</t>
        </is>
      </c>
      <c r="BD2275" t="inlineStr">
        <is>
          <t>893774543</t>
        </is>
      </c>
    </row>
    <row r="2276">
      <c r="A2276" t="inlineStr">
        <is>
          <t>No</t>
        </is>
      </c>
      <c r="B2276" t="inlineStr">
        <is>
          <t>DS79.739 .D47 1993</t>
        </is>
      </c>
      <c r="C2276" t="inlineStr">
        <is>
          <t>0                      DS 0079739D  47          1993</t>
        </is>
      </c>
      <c r="D2276" t="inlineStr">
        <is>
          <t>Desert Storm and the mass media / editors, Bradley S. Greenberg, Walter Gantz.</t>
        </is>
      </c>
      <c r="F2276" t="inlineStr">
        <is>
          <t>No</t>
        </is>
      </c>
      <c r="G2276" t="inlineStr">
        <is>
          <t>1</t>
        </is>
      </c>
      <c r="H2276" t="inlineStr">
        <is>
          <t>No</t>
        </is>
      </c>
      <c r="I2276" t="inlineStr">
        <is>
          <t>No</t>
        </is>
      </c>
      <c r="J2276" t="inlineStr">
        <is>
          <t>0</t>
        </is>
      </c>
      <c r="L2276" t="inlineStr">
        <is>
          <t>Cresskill, N.J. : Hampton Press, c1993.</t>
        </is>
      </c>
      <c r="M2276" t="inlineStr">
        <is>
          <t>1993</t>
        </is>
      </c>
      <c r="O2276" t="inlineStr">
        <is>
          <t>eng</t>
        </is>
      </c>
      <c r="P2276" t="inlineStr">
        <is>
          <t>nju</t>
        </is>
      </c>
      <c r="Q2276" t="inlineStr">
        <is>
          <t>The Hampton Press communication series</t>
        </is>
      </c>
      <c r="R2276" t="inlineStr">
        <is>
          <t xml:space="preserve">DS </t>
        </is>
      </c>
      <c r="S2276" t="n">
        <v>26</v>
      </c>
      <c r="T2276" t="n">
        <v>26</v>
      </c>
      <c r="U2276" t="inlineStr">
        <is>
          <t>2006-10-29</t>
        </is>
      </c>
      <c r="V2276" t="inlineStr">
        <is>
          <t>2006-10-29</t>
        </is>
      </c>
      <c r="W2276" t="inlineStr">
        <is>
          <t>1994-01-24</t>
        </is>
      </c>
      <c r="X2276" t="inlineStr">
        <is>
          <t>1994-01-24</t>
        </is>
      </c>
      <c r="Y2276" t="n">
        <v>338</v>
      </c>
      <c r="Z2276" t="n">
        <v>267</v>
      </c>
      <c r="AA2276" t="n">
        <v>274</v>
      </c>
      <c r="AB2276" t="n">
        <v>2</v>
      </c>
      <c r="AC2276" t="n">
        <v>2</v>
      </c>
      <c r="AD2276" t="n">
        <v>17</v>
      </c>
      <c r="AE2276" t="n">
        <v>17</v>
      </c>
      <c r="AF2276" t="n">
        <v>7</v>
      </c>
      <c r="AG2276" t="n">
        <v>7</v>
      </c>
      <c r="AH2276" t="n">
        <v>4</v>
      </c>
      <c r="AI2276" t="n">
        <v>4</v>
      </c>
      <c r="AJ2276" t="n">
        <v>8</v>
      </c>
      <c r="AK2276" t="n">
        <v>8</v>
      </c>
      <c r="AL2276" t="n">
        <v>1</v>
      </c>
      <c r="AM2276" t="n">
        <v>1</v>
      </c>
      <c r="AN2276" t="n">
        <v>0</v>
      </c>
      <c r="AO2276" t="n">
        <v>0</v>
      </c>
      <c r="AP2276" t="inlineStr">
        <is>
          <t>No</t>
        </is>
      </c>
      <c r="AQ2276" t="inlineStr">
        <is>
          <t>Yes</t>
        </is>
      </c>
      <c r="AR2276">
        <f>HYPERLINK("http://catalog.hathitrust.org/Record/002654906","HathiTrust Record")</f>
        <v/>
      </c>
      <c r="AS2276">
        <f>HYPERLINK("https://creighton-primo.hosted.exlibrisgroup.com/primo-explore/search?tab=default_tab&amp;search_scope=EVERYTHING&amp;vid=01CRU&amp;lang=en_US&amp;offset=0&amp;query=any,contains,991002110219702656","Catalog Record")</f>
        <v/>
      </c>
      <c r="AT2276">
        <f>HYPERLINK("http://www.worldcat.org/oclc/27036200","WorldCat Record")</f>
        <v/>
      </c>
      <c r="AU2276" t="inlineStr">
        <is>
          <t>355345130:eng</t>
        </is>
      </c>
      <c r="AV2276" t="inlineStr">
        <is>
          <t>27036200</t>
        </is>
      </c>
      <c r="AW2276" t="inlineStr">
        <is>
          <t>991002110219702656</t>
        </is>
      </c>
      <c r="AX2276" t="inlineStr">
        <is>
          <t>991002110219702656</t>
        </is>
      </c>
      <c r="AY2276" t="inlineStr">
        <is>
          <t>2272420240002656</t>
        </is>
      </c>
      <c r="AZ2276" t="inlineStr">
        <is>
          <t>BOOK</t>
        </is>
      </c>
      <c r="BB2276" t="inlineStr">
        <is>
          <t>9781881303343</t>
        </is>
      </c>
      <c r="BC2276" t="inlineStr">
        <is>
          <t>32285001833218</t>
        </is>
      </c>
      <c r="BD2276" t="inlineStr">
        <is>
          <t>893609477</t>
        </is>
      </c>
    </row>
    <row r="2277">
      <c r="A2277" t="inlineStr">
        <is>
          <t>No</t>
        </is>
      </c>
      <c r="B2277" t="inlineStr">
        <is>
          <t>DS79.739 .M33 1992</t>
        </is>
      </c>
      <c r="C2277" t="inlineStr">
        <is>
          <t>0                      DS 0079739M  33          1992</t>
        </is>
      </c>
      <c r="D2277" t="inlineStr">
        <is>
          <t>Second front : censorship and propaganda in the Gulf war / John R. MacArthur.</t>
        </is>
      </c>
      <c r="F2277" t="inlineStr">
        <is>
          <t>No</t>
        </is>
      </c>
      <c r="G2277" t="inlineStr">
        <is>
          <t>1</t>
        </is>
      </c>
      <c r="H2277" t="inlineStr">
        <is>
          <t>No</t>
        </is>
      </c>
      <c r="I2277" t="inlineStr">
        <is>
          <t>No</t>
        </is>
      </c>
      <c r="J2277" t="inlineStr">
        <is>
          <t>0</t>
        </is>
      </c>
      <c r="K2277" t="inlineStr">
        <is>
          <t>MacArthur, John R.</t>
        </is>
      </c>
      <c r="L2277" t="inlineStr">
        <is>
          <t>New York : Hill and Wang, 1992.</t>
        </is>
      </c>
      <c r="M2277" t="inlineStr">
        <is>
          <t>1992</t>
        </is>
      </c>
      <c r="N2277" t="inlineStr">
        <is>
          <t>1st ed.</t>
        </is>
      </c>
      <c r="O2277" t="inlineStr">
        <is>
          <t>eng</t>
        </is>
      </c>
      <c r="P2277" t="inlineStr">
        <is>
          <t>nyu</t>
        </is>
      </c>
      <c r="R2277" t="inlineStr">
        <is>
          <t xml:space="preserve">DS </t>
        </is>
      </c>
      <c r="S2277" t="n">
        <v>37</v>
      </c>
      <c r="T2277" t="n">
        <v>37</v>
      </c>
      <c r="U2277" t="inlineStr">
        <is>
          <t>2004-11-16</t>
        </is>
      </c>
      <c r="V2277" t="inlineStr">
        <is>
          <t>2004-11-16</t>
        </is>
      </c>
      <c r="W2277" t="inlineStr">
        <is>
          <t>1992-08-12</t>
        </is>
      </c>
      <c r="X2277" t="inlineStr">
        <is>
          <t>1992-08-12</t>
        </is>
      </c>
      <c r="Y2277" t="n">
        <v>1052</v>
      </c>
      <c r="Z2277" t="n">
        <v>938</v>
      </c>
      <c r="AA2277" t="n">
        <v>1075</v>
      </c>
      <c r="AB2277" t="n">
        <v>6</v>
      </c>
      <c r="AC2277" t="n">
        <v>9</v>
      </c>
      <c r="AD2277" t="n">
        <v>34</v>
      </c>
      <c r="AE2277" t="n">
        <v>40</v>
      </c>
      <c r="AF2277" t="n">
        <v>11</v>
      </c>
      <c r="AG2277" t="n">
        <v>13</v>
      </c>
      <c r="AH2277" t="n">
        <v>7</v>
      </c>
      <c r="AI2277" t="n">
        <v>8</v>
      </c>
      <c r="AJ2277" t="n">
        <v>19</v>
      </c>
      <c r="AK2277" t="n">
        <v>20</v>
      </c>
      <c r="AL2277" t="n">
        <v>3</v>
      </c>
      <c r="AM2277" t="n">
        <v>6</v>
      </c>
      <c r="AN2277" t="n">
        <v>3</v>
      </c>
      <c r="AO2277" t="n">
        <v>3</v>
      </c>
      <c r="AP2277" t="inlineStr">
        <is>
          <t>No</t>
        </is>
      </c>
      <c r="AQ2277" t="inlineStr">
        <is>
          <t>No</t>
        </is>
      </c>
      <c r="AS2277">
        <f>HYPERLINK("https://creighton-primo.hosted.exlibrisgroup.com/primo-explore/search?tab=default_tab&amp;search_scope=EVERYTHING&amp;vid=01CRU&amp;lang=en_US&amp;offset=0&amp;query=any,contains,991001963699702656","Catalog Record")</f>
        <v/>
      </c>
      <c r="AT2277">
        <f>HYPERLINK("http://www.worldcat.org/oclc/24872182","WorldCat Record")</f>
        <v/>
      </c>
      <c r="AU2277" t="inlineStr">
        <is>
          <t>17959902:eng</t>
        </is>
      </c>
      <c r="AV2277" t="inlineStr">
        <is>
          <t>24872182</t>
        </is>
      </c>
      <c r="AW2277" t="inlineStr">
        <is>
          <t>991001963699702656</t>
        </is>
      </c>
      <c r="AX2277" t="inlineStr">
        <is>
          <t>991001963699702656</t>
        </is>
      </c>
      <c r="AY2277" t="inlineStr">
        <is>
          <t>2265667230002656</t>
        </is>
      </c>
      <c r="AZ2277" t="inlineStr">
        <is>
          <t>BOOK</t>
        </is>
      </c>
      <c r="BB2277" t="inlineStr">
        <is>
          <t>9780809085170</t>
        </is>
      </c>
      <c r="BC2277" t="inlineStr">
        <is>
          <t>32285001197481</t>
        </is>
      </c>
      <c r="BD2277" t="inlineStr">
        <is>
          <t>893420804</t>
        </is>
      </c>
    </row>
    <row r="2278">
      <c r="A2278" t="inlineStr">
        <is>
          <t>No</t>
        </is>
      </c>
      <c r="B2278" t="inlineStr">
        <is>
          <t>DS79.739 .M43 1992</t>
        </is>
      </c>
      <c r="C2278" t="inlineStr">
        <is>
          <t>0                      DS 0079739M  43          1992</t>
        </is>
      </c>
      <c r="D2278" t="inlineStr">
        <is>
          <t>The Media and the Gulf War / edited by Hedrick Smith.</t>
        </is>
      </c>
      <c r="F2278" t="inlineStr">
        <is>
          <t>No</t>
        </is>
      </c>
      <c r="G2278" t="inlineStr">
        <is>
          <t>1</t>
        </is>
      </c>
      <c r="H2278" t="inlineStr">
        <is>
          <t>No</t>
        </is>
      </c>
      <c r="I2278" t="inlineStr">
        <is>
          <t>No</t>
        </is>
      </c>
      <c r="J2278" t="inlineStr">
        <is>
          <t>0</t>
        </is>
      </c>
      <c r="L2278" t="inlineStr">
        <is>
          <t>Washington, DC : Seven Locks Press, c1992.</t>
        </is>
      </c>
      <c r="M2278" t="inlineStr">
        <is>
          <t>1992</t>
        </is>
      </c>
      <c r="O2278" t="inlineStr">
        <is>
          <t>eng</t>
        </is>
      </c>
      <c r="P2278" t="inlineStr">
        <is>
          <t>dcu</t>
        </is>
      </c>
      <c r="R2278" t="inlineStr">
        <is>
          <t xml:space="preserve">DS </t>
        </is>
      </c>
      <c r="S2278" t="n">
        <v>34</v>
      </c>
      <c r="T2278" t="n">
        <v>34</v>
      </c>
      <c r="U2278" t="inlineStr">
        <is>
          <t>2003-12-09</t>
        </is>
      </c>
      <c r="V2278" t="inlineStr">
        <is>
          <t>2003-12-09</t>
        </is>
      </c>
      <c r="W2278" t="inlineStr">
        <is>
          <t>1993-01-19</t>
        </is>
      </c>
      <c r="X2278" t="inlineStr">
        <is>
          <t>1993-01-19</t>
        </is>
      </c>
      <c r="Y2278" t="n">
        <v>553</v>
      </c>
      <c r="Z2278" t="n">
        <v>469</v>
      </c>
      <c r="AA2278" t="n">
        <v>476</v>
      </c>
      <c r="AB2278" t="n">
        <v>4</v>
      </c>
      <c r="AC2278" t="n">
        <v>4</v>
      </c>
      <c r="AD2278" t="n">
        <v>25</v>
      </c>
      <c r="AE2278" t="n">
        <v>25</v>
      </c>
      <c r="AF2278" t="n">
        <v>11</v>
      </c>
      <c r="AG2278" t="n">
        <v>11</v>
      </c>
      <c r="AH2278" t="n">
        <v>6</v>
      </c>
      <c r="AI2278" t="n">
        <v>6</v>
      </c>
      <c r="AJ2278" t="n">
        <v>12</v>
      </c>
      <c r="AK2278" t="n">
        <v>12</v>
      </c>
      <c r="AL2278" t="n">
        <v>3</v>
      </c>
      <c r="AM2278" t="n">
        <v>3</v>
      </c>
      <c r="AN2278" t="n">
        <v>0</v>
      </c>
      <c r="AO2278" t="n">
        <v>0</v>
      </c>
      <c r="AP2278" t="inlineStr">
        <is>
          <t>No</t>
        </is>
      </c>
      <c r="AQ2278" t="inlineStr">
        <is>
          <t>Yes</t>
        </is>
      </c>
      <c r="AR2278">
        <f>HYPERLINK("http://catalog.hathitrust.org/Record/002600693","HathiTrust Record")</f>
        <v/>
      </c>
      <c r="AS2278">
        <f>HYPERLINK("https://creighton-primo.hosted.exlibrisgroup.com/primo-explore/search?tab=default_tab&amp;search_scope=EVERYTHING&amp;vid=01CRU&amp;lang=en_US&amp;offset=0&amp;query=any,contains,991002035149702656","Catalog Record")</f>
        <v/>
      </c>
      <c r="AT2278">
        <f>HYPERLINK("http://www.worldcat.org/oclc/25915748","WorldCat Record")</f>
        <v/>
      </c>
      <c r="AU2278" t="inlineStr">
        <is>
          <t>55587439:eng</t>
        </is>
      </c>
      <c r="AV2278" t="inlineStr">
        <is>
          <t>25915748</t>
        </is>
      </c>
      <c r="AW2278" t="inlineStr">
        <is>
          <t>991002035149702656</t>
        </is>
      </c>
      <c r="AX2278" t="inlineStr">
        <is>
          <t>991002035149702656</t>
        </is>
      </c>
      <c r="AY2278" t="inlineStr">
        <is>
          <t>2269955370002656</t>
        </is>
      </c>
      <c r="AZ2278" t="inlineStr">
        <is>
          <t>BOOK</t>
        </is>
      </c>
      <c r="BB2278" t="inlineStr">
        <is>
          <t>9780932020994</t>
        </is>
      </c>
      <c r="BC2278" t="inlineStr">
        <is>
          <t>32285001446599</t>
        </is>
      </c>
      <c r="BD2278" t="inlineStr">
        <is>
          <t>893352127</t>
        </is>
      </c>
    </row>
    <row r="2279">
      <c r="A2279" t="inlineStr">
        <is>
          <t>No</t>
        </is>
      </c>
      <c r="B2279" t="inlineStr">
        <is>
          <t>DS79.739 .M44 1993</t>
        </is>
      </c>
      <c r="C2279" t="inlineStr">
        <is>
          <t>0                      DS 0079739M  44          1993</t>
        </is>
      </c>
      <c r="D2279" t="inlineStr">
        <is>
          <t>The Media and the Persian Gulf War / edited by Robert E. Denton, Jr.</t>
        </is>
      </c>
      <c r="F2279" t="inlineStr">
        <is>
          <t>No</t>
        </is>
      </c>
      <c r="G2279" t="inlineStr">
        <is>
          <t>1</t>
        </is>
      </c>
      <c r="H2279" t="inlineStr">
        <is>
          <t>No</t>
        </is>
      </c>
      <c r="I2279" t="inlineStr">
        <is>
          <t>No</t>
        </is>
      </c>
      <c r="J2279" t="inlineStr">
        <is>
          <t>0</t>
        </is>
      </c>
      <c r="L2279" t="inlineStr">
        <is>
          <t>Westport, Conn. : Praeger, c1993.</t>
        </is>
      </c>
      <c r="M2279" t="inlineStr">
        <is>
          <t>1993</t>
        </is>
      </c>
      <c r="O2279" t="inlineStr">
        <is>
          <t>eng</t>
        </is>
      </c>
      <c r="P2279" t="inlineStr">
        <is>
          <t>ctu</t>
        </is>
      </c>
      <c r="Q2279" t="inlineStr">
        <is>
          <t>Praeger series in political communication, 1062-5623</t>
        </is>
      </c>
      <c r="R2279" t="inlineStr">
        <is>
          <t xml:space="preserve">DS </t>
        </is>
      </c>
      <c r="S2279" t="n">
        <v>31</v>
      </c>
      <c r="T2279" t="n">
        <v>31</v>
      </c>
      <c r="U2279" t="inlineStr">
        <is>
          <t>2002-04-21</t>
        </is>
      </c>
      <c r="V2279" t="inlineStr">
        <is>
          <t>2002-04-21</t>
        </is>
      </c>
      <c r="W2279" t="inlineStr">
        <is>
          <t>1993-11-01</t>
        </is>
      </c>
      <c r="X2279" t="inlineStr">
        <is>
          <t>1993-11-01</t>
        </is>
      </c>
      <c r="Y2279" t="n">
        <v>566</v>
      </c>
      <c r="Z2279" t="n">
        <v>468</v>
      </c>
      <c r="AA2279" t="n">
        <v>473</v>
      </c>
      <c r="AB2279" t="n">
        <v>6</v>
      </c>
      <c r="AC2279" t="n">
        <v>6</v>
      </c>
      <c r="AD2279" t="n">
        <v>29</v>
      </c>
      <c r="AE2279" t="n">
        <v>29</v>
      </c>
      <c r="AF2279" t="n">
        <v>11</v>
      </c>
      <c r="AG2279" t="n">
        <v>11</v>
      </c>
      <c r="AH2279" t="n">
        <v>7</v>
      </c>
      <c r="AI2279" t="n">
        <v>7</v>
      </c>
      <c r="AJ2279" t="n">
        <v>11</v>
      </c>
      <c r="AK2279" t="n">
        <v>11</v>
      </c>
      <c r="AL2279" t="n">
        <v>5</v>
      </c>
      <c r="AM2279" t="n">
        <v>5</v>
      </c>
      <c r="AN2279" t="n">
        <v>0</v>
      </c>
      <c r="AO2279" t="n">
        <v>0</v>
      </c>
      <c r="AP2279" t="inlineStr">
        <is>
          <t>No</t>
        </is>
      </c>
      <c r="AQ2279" t="inlineStr">
        <is>
          <t>Yes</t>
        </is>
      </c>
      <c r="AR2279">
        <f>HYPERLINK("http://catalog.hathitrust.org/Record/002640740","HathiTrust Record")</f>
        <v/>
      </c>
      <c r="AS2279">
        <f>HYPERLINK("https://creighton-primo.hosted.exlibrisgroup.com/primo-explore/search?tab=default_tab&amp;search_scope=EVERYTHING&amp;vid=01CRU&amp;lang=en_US&amp;offset=0&amp;query=any,contains,991002090449702656","Catalog Record")</f>
        <v/>
      </c>
      <c r="AT2279">
        <f>HYPERLINK("http://www.worldcat.org/oclc/26810173","WorldCat Record")</f>
        <v/>
      </c>
      <c r="AU2279" t="inlineStr">
        <is>
          <t>55637938:eng</t>
        </is>
      </c>
      <c r="AV2279" t="inlineStr">
        <is>
          <t>26810173</t>
        </is>
      </c>
      <c r="AW2279" t="inlineStr">
        <is>
          <t>991002090449702656</t>
        </is>
      </c>
      <c r="AX2279" t="inlineStr">
        <is>
          <t>991002090449702656</t>
        </is>
      </c>
      <c r="AY2279" t="inlineStr">
        <is>
          <t>2266714440002656</t>
        </is>
      </c>
      <c r="AZ2279" t="inlineStr">
        <is>
          <t>BOOK</t>
        </is>
      </c>
      <c r="BB2279" t="inlineStr">
        <is>
          <t>9780275942328</t>
        </is>
      </c>
      <c r="BC2279" t="inlineStr">
        <is>
          <t>32285001789329</t>
        </is>
      </c>
      <c r="BD2279" t="inlineStr">
        <is>
          <t>893347097</t>
        </is>
      </c>
    </row>
    <row r="2280">
      <c r="A2280" t="inlineStr">
        <is>
          <t>No</t>
        </is>
      </c>
      <c r="B2280" t="inlineStr">
        <is>
          <t>DS79.739 .S44 1994</t>
        </is>
      </c>
      <c r="C2280" t="inlineStr">
        <is>
          <t>0                      DS 0079739S  44          1994</t>
        </is>
      </c>
      <c r="D2280" t="inlineStr">
        <is>
          <t>Seeing through the media : the Persian Gulf War / edited by Susan Jeffords and Lauren Rabinovitz.</t>
        </is>
      </c>
      <c r="F2280" t="inlineStr">
        <is>
          <t>No</t>
        </is>
      </c>
      <c r="G2280" t="inlineStr">
        <is>
          <t>1</t>
        </is>
      </c>
      <c r="H2280" t="inlineStr">
        <is>
          <t>No</t>
        </is>
      </c>
      <c r="I2280" t="inlineStr">
        <is>
          <t>No</t>
        </is>
      </c>
      <c r="J2280" t="inlineStr">
        <is>
          <t>0</t>
        </is>
      </c>
      <c r="L2280" t="inlineStr">
        <is>
          <t>New Brunwick, N.J. : Rutgers University Press, c1994.</t>
        </is>
      </c>
      <c r="M2280" t="inlineStr">
        <is>
          <t>1994</t>
        </is>
      </c>
      <c r="O2280" t="inlineStr">
        <is>
          <t>eng</t>
        </is>
      </c>
      <c r="P2280" t="inlineStr">
        <is>
          <t>nju</t>
        </is>
      </c>
      <c r="Q2280" t="inlineStr">
        <is>
          <t>Rutgers series in communications, media, and culture</t>
        </is>
      </c>
      <c r="R2280" t="inlineStr">
        <is>
          <t xml:space="preserve">DS </t>
        </is>
      </c>
      <c r="S2280" t="n">
        <v>30</v>
      </c>
      <c r="T2280" t="n">
        <v>30</v>
      </c>
      <c r="U2280" t="inlineStr">
        <is>
          <t>2006-12-04</t>
        </is>
      </c>
      <c r="V2280" t="inlineStr">
        <is>
          <t>2006-12-04</t>
        </is>
      </c>
      <c r="W2280" t="inlineStr">
        <is>
          <t>1995-02-22</t>
        </is>
      </c>
      <c r="X2280" t="inlineStr">
        <is>
          <t>1995-02-22</t>
        </is>
      </c>
      <c r="Y2280" t="n">
        <v>631</v>
      </c>
      <c r="Z2280" t="n">
        <v>530</v>
      </c>
      <c r="AA2280" t="n">
        <v>530</v>
      </c>
      <c r="AB2280" t="n">
        <v>3</v>
      </c>
      <c r="AC2280" t="n">
        <v>3</v>
      </c>
      <c r="AD2280" t="n">
        <v>33</v>
      </c>
      <c r="AE2280" t="n">
        <v>33</v>
      </c>
      <c r="AF2280" t="n">
        <v>16</v>
      </c>
      <c r="AG2280" t="n">
        <v>16</v>
      </c>
      <c r="AH2280" t="n">
        <v>8</v>
      </c>
      <c r="AI2280" t="n">
        <v>8</v>
      </c>
      <c r="AJ2280" t="n">
        <v>16</v>
      </c>
      <c r="AK2280" t="n">
        <v>16</v>
      </c>
      <c r="AL2280" t="n">
        <v>2</v>
      </c>
      <c r="AM2280" t="n">
        <v>2</v>
      </c>
      <c r="AN2280" t="n">
        <v>0</v>
      </c>
      <c r="AO2280" t="n">
        <v>0</v>
      </c>
      <c r="AP2280" t="inlineStr">
        <is>
          <t>No</t>
        </is>
      </c>
      <c r="AQ2280" t="inlineStr">
        <is>
          <t>No</t>
        </is>
      </c>
      <c r="AS2280">
        <f>HYPERLINK("https://creighton-primo.hosted.exlibrisgroup.com/primo-explore/search?tab=default_tab&amp;search_scope=EVERYTHING&amp;vid=01CRU&amp;lang=en_US&amp;offset=0&amp;query=any,contains,991002213719702656","Catalog Record")</f>
        <v/>
      </c>
      <c r="AT2280">
        <f>HYPERLINK("http://www.worldcat.org/oclc/28504504","WorldCat Record")</f>
        <v/>
      </c>
      <c r="AU2280" t="inlineStr">
        <is>
          <t>30362454:eng</t>
        </is>
      </c>
      <c r="AV2280" t="inlineStr">
        <is>
          <t>28504504</t>
        </is>
      </c>
      <c r="AW2280" t="inlineStr">
        <is>
          <t>991002213719702656</t>
        </is>
      </c>
      <c r="AX2280" t="inlineStr">
        <is>
          <t>991002213719702656</t>
        </is>
      </c>
      <c r="AY2280" t="inlineStr">
        <is>
          <t>2267461340002656</t>
        </is>
      </c>
      <c r="AZ2280" t="inlineStr">
        <is>
          <t>BOOK</t>
        </is>
      </c>
      <c r="BB2280" t="inlineStr">
        <is>
          <t>9780813520414</t>
        </is>
      </c>
      <c r="BC2280" t="inlineStr">
        <is>
          <t>32285002000064</t>
        </is>
      </c>
      <c r="BD2280" t="inlineStr">
        <is>
          <t>893804358</t>
        </is>
      </c>
    </row>
    <row r="2281">
      <c r="A2281" t="inlineStr">
        <is>
          <t>No</t>
        </is>
      </c>
      <c r="B2281" t="inlineStr">
        <is>
          <t>DS79.739 .T35 1994</t>
        </is>
      </c>
      <c r="C2281" t="inlineStr">
        <is>
          <t>0                      DS 0079739T  35          1994</t>
        </is>
      </c>
      <c r="D2281" t="inlineStr">
        <is>
          <t>Taken by storm : the media, public opinion, and U.S. foreign policy in the Gulf War / edited by W. Lance Bennett and David L. Paletz.</t>
        </is>
      </c>
      <c r="F2281" t="inlineStr">
        <is>
          <t>No</t>
        </is>
      </c>
      <c r="G2281" t="inlineStr">
        <is>
          <t>1</t>
        </is>
      </c>
      <c r="H2281" t="inlineStr">
        <is>
          <t>No</t>
        </is>
      </c>
      <c r="I2281" t="inlineStr">
        <is>
          <t>No</t>
        </is>
      </c>
      <c r="J2281" t="inlineStr">
        <is>
          <t>0</t>
        </is>
      </c>
      <c r="L2281" t="inlineStr">
        <is>
          <t>Chicago : University of Chicago Press, c1994.</t>
        </is>
      </c>
      <c r="M2281" t="inlineStr">
        <is>
          <t>1994</t>
        </is>
      </c>
      <c r="O2281" t="inlineStr">
        <is>
          <t>eng</t>
        </is>
      </c>
      <c r="P2281" t="inlineStr">
        <is>
          <t>ilu</t>
        </is>
      </c>
      <c r="Q2281" t="inlineStr">
        <is>
          <t>American politics and political economy series</t>
        </is>
      </c>
      <c r="R2281" t="inlineStr">
        <is>
          <t xml:space="preserve">DS </t>
        </is>
      </c>
      <c r="S2281" t="n">
        <v>19</v>
      </c>
      <c r="T2281" t="n">
        <v>19</v>
      </c>
      <c r="U2281" t="inlineStr">
        <is>
          <t>2006-10-29</t>
        </is>
      </c>
      <c r="V2281" t="inlineStr">
        <is>
          <t>2006-10-29</t>
        </is>
      </c>
      <c r="W2281" t="inlineStr">
        <is>
          <t>1995-03-22</t>
        </is>
      </c>
      <c r="X2281" t="inlineStr">
        <is>
          <t>1995-03-22</t>
        </is>
      </c>
      <c r="Y2281" t="n">
        <v>807</v>
      </c>
      <c r="Z2281" t="n">
        <v>643</v>
      </c>
      <c r="AA2281" t="n">
        <v>643</v>
      </c>
      <c r="AB2281" t="n">
        <v>6</v>
      </c>
      <c r="AC2281" t="n">
        <v>6</v>
      </c>
      <c r="AD2281" t="n">
        <v>34</v>
      </c>
      <c r="AE2281" t="n">
        <v>34</v>
      </c>
      <c r="AF2281" t="n">
        <v>14</v>
      </c>
      <c r="AG2281" t="n">
        <v>14</v>
      </c>
      <c r="AH2281" t="n">
        <v>8</v>
      </c>
      <c r="AI2281" t="n">
        <v>8</v>
      </c>
      <c r="AJ2281" t="n">
        <v>16</v>
      </c>
      <c r="AK2281" t="n">
        <v>16</v>
      </c>
      <c r="AL2281" t="n">
        <v>5</v>
      </c>
      <c r="AM2281" t="n">
        <v>5</v>
      </c>
      <c r="AN2281" t="n">
        <v>0</v>
      </c>
      <c r="AO2281" t="n">
        <v>0</v>
      </c>
      <c r="AP2281" t="inlineStr">
        <is>
          <t>No</t>
        </is>
      </c>
      <c r="AQ2281" t="inlineStr">
        <is>
          <t>No</t>
        </is>
      </c>
      <c r="AS2281">
        <f>HYPERLINK("https://creighton-primo.hosted.exlibrisgroup.com/primo-explore/search?tab=default_tab&amp;search_scope=EVERYTHING&amp;vid=01CRU&amp;lang=en_US&amp;offset=0&amp;query=any,contains,991002275219702656","Catalog Record")</f>
        <v/>
      </c>
      <c r="AT2281">
        <f>HYPERLINK("http://www.worldcat.org/oclc/29520424","WorldCat Record")</f>
        <v/>
      </c>
      <c r="AU2281" t="inlineStr">
        <is>
          <t>807782069:eng</t>
        </is>
      </c>
      <c r="AV2281" t="inlineStr">
        <is>
          <t>29520424</t>
        </is>
      </c>
      <c r="AW2281" t="inlineStr">
        <is>
          <t>991002275219702656</t>
        </is>
      </c>
      <c r="AX2281" t="inlineStr">
        <is>
          <t>991002275219702656</t>
        </is>
      </c>
      <c r="AY2281" t="inlineStr">
        <is>
          <t>2265433150002656</t>
        </is>
      </c>
      <c r="AZ2281" t="inlineStr">
        <is>
          <t>BOOK</t>
        </is>
      </c>
      <c r="BB2281" t="inlineStr">
        <is>
          <t>9780226042589</t>
        </is>
      </c>
      <c r="BC2281" t="inlineStr">
        <is>
          <t>32285002004447</t>
        </is>
      </c>
      <c r="BD2281" t="inlineStr">
        <is>
          <t>893427423</t>
        </is>
      </c>
    </row>
    <row r="2282">
      <c r="A2282" t="inlineStr">
        <is>
          <t>No</t>
        </is>
      </c>
      <c r="B2282" t="inlineStr">
        <is>
          <t>DS79.74 .C67 1992</t>
        </is>
      </c>
      <c r="C2282" t="inlineStr">
        <is>
          <t>0                      DS 0079740C  67          1992</t>
        </is>
      </c>
      <c r="D2282" t="inlineStr">
        <is>
          <t>She went to war : the Rhonda Cornum story / Rhonda Cornum as told to Peter Copeland.</t>
        </is>
      </c>
      <c r="F2282" t="inlineStr">
        <is>
          <t>No</t>
        </is>
      </c>
      <c r="G2282" t="inlineStr">
        <is>
          <t>1</t>
        </is>
      </c>
      <c r="H2282" t="inlineStr">
        <is>
          <t>No</t>
        </is>
      </c>
      <c r="I2282" t="inlineStr">
        <is>
          <t>No</t>
        </is>
      </c>
      <c r="J2282" t="inlineStr">
        <is>
          <t>0</t>
        </is>
      </c>
      <c r="K2282" t="inlineStr">
        <is>
          <t>Cornum, Rhonda.</t>
        </is>
      </c>
      <c r="L2282" t="inlineStr">
        <is>
          <t>Novato, CA : Presidio, c1992.</t>
        </is>
      </c>
      <c r="M2282" t="inlineStr">
        <is>
          <t>1992</t>
        </is>
      </c>
      <c r="O2282" t="inlineStr">
        <is>
          <t>eng</t>
        </is>
      </c>
      <c r="P2282" t="inlineStr">
        <is>
          <t>cau</t>
        </is>
      </c>
      <c r="R2282" t="inlineStr">
        <is>
          <t xml:space="preserve">DS </t>
        </is>
      </c>
      <c r="S2282" t="n">
        <v>16</v>
      </c>
      <c r="T2282" t="n">
        <v>16</v>
      </c>
      <c r="U2282" t="inlineStr">
        <is>
          <t>1998-11-17</t>
        </is>
      </c>
      <c r="V2282" t="inlineStr">
        <is>
          <t>1998-11-17</t>
        </is>
      </c>
      <c r="W2282" t="inlineStr">
        <is>
          <t>1992-10-27</t>
        </is>
      </c>
      <c r="X2282" t="inlineStr">
        <is>
          <t>1992-10-27</t>
        </is>
      </c>
      <c r="Y2282" t="n">
        <v>979</v>
      </c>
      <c r="Z2282" t="n">
        <v>933</v>
      </c>
      <c r="AA2282" t="n">
        <v>1056</v>
      </c>
      <c r="AB2282" t="n">
        <v>4</v>
      </c>
      <c r="AC2282" t="n">
        <v>6</v>
      </c>
      <c r="AD2282" t="n">
        <v>7</v>
      </c>
      <c r="AE2282" t="n">
        <v>8</v>
      </c>
      <c r="AF2282" t="n">
        <v>0</v>
      </c>
      <c r="AG2282" t="n">
        <v>0</v>
      </c>
      <c r="AH2282" t="n">
        <v>3</v>
      </c>
      <c r="AI2282" t="n">
        <v>3</v>
      </c>
      <c r="AJ2282" t="n">
        <v>7</v>
      </c>
      <c r="AK2282" t="n">
        <v>7</v>
      </c>
      <c r="AL2282" t="n">
        <v>0</v>
      </c>
      <c r="AM2282" t="n">
        <v>1</v>
      </c>
      <c r="AN2282" t="n">
        <v>0</v>
      </c>
      <c r="AO2282" t="n">
        <v>0</v>
      </c>
      <c r="AP2282" t="inlineStr">
        <is>
          <t>No</t>
        </is>
      </c>
      <c r="AQ2282" t="inlineStr">
        <is>
          <t>Yes</t>
        </is>
      </c>
      <c r="AR2282">
        <f>HYPERLINK("http://catalog.hathitrust.org/Record/007530456","HathiTrust Record")</f>
        <v/>
      </c>
      <c r="AS2282">
        <f>HYPERLINK("https://creighton-primo.hosted.exlibrisgroup.com/primo-explore/search?tab=default_tab&amp;search_scope=EVERYTHING&amp;vid=01CRU&amp;lang=en_US&amp;offset=0&amp;query=any,contains,991002000199702656","Catalog Record")</f>
        <v/>
      </c>
      <c r="AT2282">
        <f>HYPERLINK("http://www.worldcat.org/oclc/25410980","WorldCat Record")</f>
        <v/>
      </c>
      <c r="AU2282" t="inlineStr">
        <is>
          <t>908059072:eng</t>
        </is>
      </c>
      <c r="AV2282" t="inlineStr">
        <is>
          <t>25410980</t>
        </is>
      </c>
      <c r="AW2282" t="inlineStr">
        <is>
          <t>991002000199702656</t>
        </is>
      </c>
      <c r="AX2282" t="inlineStr">
        <is>
          <t>991002000199702656</t>
        </is>
      </c>
      <c r="AY2282" t="inlineStr">
        <is>
          <t>2254711540002656</t>
        </is>
      </c>
      <c r="AZ2282" t="inlineStr">
        <is>
          <t>BOOK</t>
        </is>
      </c>
      <c r="BB2282" t="inlineStr">
        <is>
          <t>9780891414636</t>
        </is>
      </c>
      <c r="BC2282" t="inlineStr">
        <is>
          <t>32285001319283</t>
        </is>
      </c>
      <c r="BD2282" t="inlineStr">
        <is>
          <t>893408577</t>
        </is>
      </c>
    </row>
    <row r="2283">
      <c r="A2283" t="inlineStr">
        <is>
          <t>No</t>
        </is>
      </c>
      <c r="B2283" t="inlineStr">
        <is>
          <t>DS79.74 .M66 1993</t>
        </is>
      </c>
      <c r="C2283" t="inlineStr">
        <is>
          <t>0                      DS 0079740M  66          1993</t>
        </is>
      </c>
      <c r="D2283" t="inlineStr">
        <is>
          <t>A woman at war : storming Kuwait with the U.S. Marines / Molly Moore.</t>
        </is>
      </c>
      <c r="F2283" t="inlineStr">
        <is>
          <t>No</t>
        </is>
      </c>
      <c r="G2283" t="inlineStr">
        <is>
          <t>1</t>
        </is>
      </c>
      <c r="H2283" t="inlineStr">
        <is>
          <t>No</t>
        </is>
      </c>
      <c r="I2283" t="inlineStr">
        <is>
          <t>No</t>
        </is>
      </c>
      <c r="J2283" t="inlineStr">
        <is>
          <t>0</t>
        </is>
      </c>
      <c r="K2283" t="inlineStr">
        <is>
          <t>Moore, Molly.</t>
        </is>
      </c>
      <c r="L2283" t="inlineStr">
        <is>
          <t>New York : Scribner's ; Toronto : Maxwell Macmillan Canada ; New York : Maxwell Macmillan, c1993.</t>
        </is>
      </c>
      <c r="M2283" t="inlineStr">
        <is>
          <t>1993</t>
        </is>
      </c>
      <c r="O2283" t="inlineStr">
        <is>
          <t>eng</t>
        </is>
      </c>
      <c r="P2283" t="inlineStr">
        <is>
          <t>nyu</t>
        </is>
      </c>
      <c r="R2283" t="inlineStr">
        <is>
          <t xml:space="preserve">DS </t>
        </is>
      </c>
      <c r="S2283" t="n">
        <v>7</v>
      </c>
      <c r="T2283" t="n">
        <v>7</v>
      </c>
      <c r="U2283" t="inlineStr">
        <is>
          <t>1998-01-27</t>
        </is>
      </c>
      <c r="V2283" t="inlineStr">
        <is>
          <t>1998-01-27</t>
        </is>
      </c>
      <c r="W2283" t="inlineStr">
        <is>
          <t>1993-07-14</t>
        </is>
      </c>
      <c r="X2283" t="inlineStr">
        <is>
          <t>1993-07-14</t>
        </is>
      </c>
      <c r="Y2283" t="n">
        <v>724</v>
      </c>
      <c r="Z2283" t="n">
        <v>690</v>
      </c>
      <c r="AA2283" t="n">
        <v>714</v>
      </c>
      <c r="AB2283" t="n">
        <v>7</v>
      </c>
      <c r="AC2283" t="n">
        <v>7</v>
      </c>
      <c r="AD2283" t="n">
        <v>15</v>
      </c>
      <c r="AE2283" t="n">
        <v>15</v>
      </c>
      <c r="AF2283" t="n">
        <v>3</v>
      </c>
      <c r="AG2283" t="n">
        <v>3</v>
      </c>
      <c r="AH2283" t="n">
        <v>4</v>
      </c>
      <c r="AI2283" t="n">
        <v>4</v>
      </c>
      <c r="AJ2283" t="n">
        <v>9</v>
      </c>
      <c r="AK2283" t="n">
        <v>9</v>
      </c>
      <c r="AL2283" t="n">
        <v>3</v>
      </c>
      <c r="AM2283" t="n">
        <v>3</v>
      </c>
      <c r="AN2283" t="n">
        <v>0</v>
      </c>
      <c r="AO2283" t="n">
        <v>0</v>
      </c>
      <c r="AP2283" t="inlineStr">
        <is>
          <t>No</t>
        </is>
      </c>
      <c r="AQ2283" t="inlineStr">
        <is>
          <t>Yes</t>
        </is>
      </c>
      <c r="AR2283">
        <f>HYPERLINK("http://catalog.hathitrust.org/Record/002645391","HathiTrust Record")</f>
        <v/>
      </c>
      <c r="AS2283">
        <f>HYPERLINK("https://creighton-primo.hosted.exlibrisgroup.com/primo-explore/search?tab=default_tab&amp;search_scope=EVERYTHING&amp;vid=01CRU&amp;lang=en_US&amp;offset=0&amp;query=any,contains,991002086199702656","Catalog Record")</f>
        <v/>
      </c>
      <c r="AT2283">
        <f>HYPERLINK("http://www.worldcat.org/oclc/26766105","WorldCat Record")</f>
        <v/>
      </c>
      <c r="AU2283" t="inlineStr">
        <is>
          <t>3901473286:eng</t>
        </is>
      </c>
      <c r="AV2283" t="inlineStr">
        <is>
          <t>26766105</t>
        </is>
      </c>
      <c r="AW2283" t="inlineStr">
        <is>
          <t>991002086199702656</t>
        </is>
      </c>
      <c r="AX2283" t="inlineStr">
        <is>
          <t>991002086199702656</t>
        </is>
      </c>
      <c r="AY2283" t="inlineStr">
        <is>
          <t>2269468840002656</t>
        </is>
      </c>
      <c r="AZ2283" t="inlineStr">
        <is>
          <t>BOOK</t>
        </is>
      </c>
      <c r="BB2283" t="inlineStr">
        <is>
          <t>9780684194189</t>
        </is>
      </c>
      <c r="BC2283" t="inlineStr">
        <is>
          <t>32285001702678</t>
        </is>
      </c>
      <c r="BD2283" t="inlineStr">
        <is>
          <t>893504008</t>
        </is>
      </c>
    </row>
    <row r="2284">
      <c r="A2284" t="inlineStr">
        <is>
          <t>No</t>
        </is>
      </c>
      <c r="B2284" t="inlineStr">
        <is>
          <t>DS79.74 .S96 2003</t>
        </is>
      </c>
      <c r="C2284" t="inlineStr">
        <is>
          <t>0                      DS 0079740S  96          2003</t>
        </is>
      </c>
      <c r="D2284" t="inlineStr">
        <is>
          <t>Jarhead : a Marine's chronicle of the Gulf War and other battles / Anthony Swofford.</t>
        </is>
      </c>
      <c r="F2284" t="inlineStr">
        <is>
          <t>No</t>
        </is>
      </c>
      <c r="G2284" t="inlineStr">
        <is>
          <t>1</t>
        </is>
      </c>
      <c r="H2284" t="inlineStr">
        <is>
          <t>No</t>
        </is>
      </c>
      <c r="I2284" t="inlineStr">
        <is>
          <t>No</t>
        </is>
      </c>
      <c r="J2284" t="inlineStr">
        <is>
          <t>0</t>
        </is>
      </c>
      <c r="K2284" t="inlineStr">
        <is>
          <t>Swofford, Anthony.</t>
        </is>
      </c>
      <c r="L2284" t="inlineStr">
        <is>
          <t>New York : Scribner, 2003.</t>
        </is>
      </c>
      <c r="M2284" t="inlineStr">
        <is>
          <t>2003</t>
        </is>
      </c>
      <c r="O2284" t="inlineStr">
        <is>
          <t>eng</t>
        </is>
      </c>
      <c r="P2284" t="inlineStr">
        <is>
          <t>nyu</t>
        </is>
      </c>
      <c r="R2284" t="inlineStr">
        <is>
          <t xml:space="preserve">DS </t>
        </is>
      </c>
      <c r="S2284" t="n">
        <v>5</v>
      </c>
      <c r="T2284" t="n">
        <v>5</v>
      </c>
      <c r="U2284" t="inlineStr">
        <is>
          <t>2010-11-29</t>
        </is>
      </c>
      <c r="V2284" t="inlineStr">
        <is>
          <t>2010-11-29</t>
        </is>
      </c>
      <c r="W2284" t="inlineStr">
        <is>
          <t>2003-06-10</t>
        </is>
      </c>
      <c r="X2284" t="inlineStr">
        <is>
          <t>2003-06-10</t>
        </is>
      </c>
      <c r="Y2284" t="n">
        <v>2390</v>
      </c>
      <c r="Z2284" t="n">
        <v>2256</v>
      </c>
      <c r="AA2284" t="n">
        <v>2541</v>
      </c>
      <c r="AB2284" t="n">
        <v>33</v>
      </c>
      <c r="AC2284" t="n">
        <v>38</v>
      </c>
      <c r="AD2284" t="n">
        <v>35</v>
      </c>
      <c r="AE2284" t="n">
        <v>39</v>
      </c>
      <c r="AF2284" t="n">
        <v>13</v>
      </c>
      <c r="AG2284" t="n">
        <v>14</v>
      </c>
      <c r="AH2284" t="n">
        <v>5</v>
      </c>
      <c r="AI2284" t="n">
        <v>5</v>
      </c>
      <c r="AJ2284" t="n">
        <v>14</v>
      </c>
      <c r="AK2284" t="n">
        <v>14</v>
      </c>
      <c r="AL2284" t="n">
        <v>7</v>
      </c>
      <c r="AM2284" t="n">
        <v>10</v>
      </c>
      <c r="AN2284" t="n">
        <v>1</v>
      </c>
      <c r="AO2284" t="n">
        <v>1</v>
      </c>
      <c r="AP2284" t="inlineStr">
        <is>
          <t>No</t>
        </is>
      </c>
      <c r="AQ2284" t="inlineStr">
        <is>
          <t>No</t>
        </is>
      </c>
      <c r="AS2284">
        <f>HYPERLINK("https://creighton-primo.hosted.exlibrisgroup.com/primo-explore/search?tab=default_tab&amp;search_scope=EVERYTHING&amp;vid=01CRU&amp;lang=en_US&amp;offset=0&amp;query=any,contains,991004058589702656","Catalog Record")</f>
        <v/>
      </c>
      <c r="AT2284">
        <f>HYPERLINK("http://www.worldcat.org/oclc/50598121","WorldCat Record")</f>
        <v/>
      </c>
      <c r="AU2284" t="inlineStr">
        <is>
          <t>62609779:eng</t>
        </is>
      </c>
      <c r="AV2284" t="inlineStr">
        <is>
          <t>50598121</t>
        </is>
      </c>
      <c r="AW2284" t="inlineStr">
        <is>
          <t>991004058589702656</t>
        </is>
      </c>
      <c r="AX2284" t="inlineStr">
        <is>
          <t>991004058589702656</t>
        </is>
      </c>
      <c r="AY2284" t="inlineStr">
        <is>
          <t>2265951880002656</t>
        </is>
      </c>
      <c r="AZ2284" t="inlineStr">
        <is>
          <t>BOOK</t>
        </is>
      </c>
      <c r="BB2284" t="inlineStr">
        <is>
          <t>9780743235358</t>
        </is>
      </c>
      <c r="BC2284" t="inlineStr">
        <is>
          <t>32285004751615</t>
        </is>
      </c>
      <c r="BD2284" t="inlineStr">
        <is>
          <t>893318752</t>
        </is>
      </c>
    </row>
    <row r="2285">
      <c r="A2285" t="inlineStr">
        <is>
          <t>No</t>
        </is>
      </c>
      <c r="B2285" t="inlineStr">
        <is>
          <t>DS79.744.E58 H38 1992</t>
        </is>
      </c>
      <c r="C2285" t="inlineStr">
        <is>
          <t>0                      DS 0079744E  58                 H  38          1992</t>
        </is>
      </c>
      <c r="D2285" t="inlineStr">
        <is>
          <t>Against the fires of hell : the environmental disaster of the Gulf War / T.M. Hawley.</t>
        </is>
      </c>
      <c r="F2285" t="inlineStr">
        <is>
          <t>No</t>
        </is>
      </c>
      <c r="G2285" t="inlineStr">
        <is>
          <t>1</t>
        </is>
      </c>
      <c r="H2285" t="inlineStr">
        <is>
          <t>No</t>
        </is>
      </c>
      <c r="I2285" t="inlineStr">
        <is>
          <t>No</t>
        </is>
      </c>
      <c r="J2285" t="inlineStr">
        <is>
          <t>0</t>
        </is>
      </c>
      <c r="K2285" t="inlineStr">
        <is>
          <t>Hawley, T. M.</t>
        </is>
      </c>
      <c r="L2285" t="inlineStr">
        <is>
          <t>New York : Harcourt Brace Jovanovich Publishers, c1992.</t>
        </is>
      </c>
      <c r="M2285" t="inlineStr">
        <is>
          <t>1992</t>
        </is>
      </c>
      <c r="N2285" t="inlineStr">
        <is>
          <t>1st ed.</t>
        </is>
      </c>
      <c r="O2285" t="inlineStr">
        <is>
          <t>eng</t>
        </is>
      </c>
      <c r="P2285" t="inlineStr">
        <is>
          <t>cau</t>
        </is>
      </c>
      <c r="R2285" t="inlineStr">
        <is>
          <t xml:space="preserve">DS </t>
        </is>
      </c>
      <c r="S2285" t="n">
        <v>10</v>
      </c>
      <c r="T2285" t="n">
        <v>10</v>
      </c>
      <c r="U2285" t="inlineStr">
        <is>
          <t>2006-04-22</t>
        </is>
      </c>
      <c r="V2285" t="inlineStr">
        <is>
          <t>2006-04-22</t>
        </is>
      </c>
      <c r="W2285" t="inlineStr">
        <is>
          <t>1992-10-15</t>
        </is>
      </c>
      <c r="X2285" t="inlineStr">
        <is>
          <t>1992-10-15</t>
        </is>
      </c>
      <c r="Y2285" t="n">
        <v>824</v>
      </c>
      <c r="Z2285" t="n">
        <v>747</v>
      </c>
      <c r="AA2285" t="n">
        <v>762</v>
      </c>
      <c r="AB2285" t="n">
        <v>4</v>
      </c>
      <c r="AC2285" t="n">
        <v>4</v>
      </c>
      <c r="AD2285" t="n">
        <v>19</v>
      </c>
      <c r="AE2285" t="n">
        <v>20</v>
      </c>
      <c r="AF2285" t="n">
        <v>3</v>
      </c>
      <c r="AG2285" t="n">
        <v>4</v>
      </c>
      <c r="AH2285" t="n">
        <v>5</v>
      </c>
      <c r="AI2285" t="n">
        <v>5</v>
      </c>
      <c r="AJ2285" t="n">
        <v>13</v>
      </c>
      <c r="AK2285" t="n">
        <v>13</v>
      </c>
      <c r="AL2285" t="n">
        <v>3</v>
      </c>
      <c r="AM2285" t="n">
        <v>3</v>
      </c>
      <c r="AN2285" t="n">
        <v>0</v>
      </c>
      <c r="AO2285" t="n">
        <v>0</v>
      </c>
      <c r="AP2285" t="inlineStr">
        <is>
          <t>No</t>
        </is>
      </c>
      <c r="AQ2285" t="inlineStr">
        <is>
          <t>Yes</t>
        </is>
      </c>
      <c r="AR2285">
        <f>HYPERLINK("http://catalog.hathitrust.org/Record/002595514","HathiTrust Record")</f>
        <v/>
      </c>
      <c r="AS2285">
        <f>HYPERLINK("https://creighton-primo.hosted.exlibrisgroup.com/primo-explore/search?tab=default_tab&amp;search_scope=EVERYTHING&amp;vid=01CRU&amp;lang=en_US&amp;offset=0&amp;query=any,contains,991002044109702656","Catalog Record")</f>
        <v/>
      </c>
      <c r="AT2285">
        <f>HYPERLINK("http://www.worldcat.org/oclc/26094931","WorldCat Record")</f>
        <v/>
      </c>
      <c r="AU2285" t="inlineStr">
        <is>
          <t>375727357:eng</t>
        </is>
      </c>
      <c r="AV2285" t="inlineStr">
        <is>
          <t>26094931</t>
        </is>
      </c>
      <c r="AW2285" t="inlineStr">
        <is>
          <t>991002044109702656</t>
        </is>
      </c>
      <c r="AX2285" t="inlineStr">
        <is>
          <t>991002044109702656</t>
        </is>
      </c>
      <c r="AY2285" t="inlineStr">
        <is>
          <t>2269286830002656</t>
        </is>
      </c>
      <c r="AZ2285" t="inlineStr">
        <is>
          <t>BOOK</t>
        </is>
      </c>
      <c r="BB2285" t="inlineStr">
        <is>
          <t>9780151039692</t>
        </is>
      </c>
      <c r="BC2285" t="inlineStr">
        <is>
          <t>32285001318202</t>
        </is>
      </c>
      <c r="BD2285" t="inlineStr">
        <is>
          <t>893596971</t>
        </is>
      </c>
    </row>
    <row r="2286">
      <c r="A2286" t="inlineStr">
        <is>
          <t>No</t>
        </is>
      </c>
      <c r="B2286" t="inlineStr">
        <is>
          <t>DS79.75 .C63 1999</t>
        </is>
      </c>
      <c r="C2286" t="inlineStr">
        <is>
          <t>0                      DS 0079750C  63          1999</t>
        </is>
      </c>
      <c r="D2286" t="inlineStr">
        <is>
          <t>Out of the ashes : the resurrection of Saddam Hussein / Andrew Cockburn and Patrick Cockburn.</t>
        </is>
      </c>
      <c r="F2286" t="inlineStr">
        <is>
          <t>No</t>
        </is>
      </c>
      <c r="G2286" t="inlineStr">
        <is>
          <t>1</t>
        </is>
      </c>
      <c r="H2286" t="inlineStr">
        <is>
          <t>No</t>
        </is>
      </c>
      <c r="I2286" t="inlineStr">
        <is>
          <t>No</t>
        </is>
      </c>
      <c r="J2286" t="inlineStr">
        <is>
          <t>0</t>
        </is>
      </c>
      <c r="K2286" t="inlineStr">
        <is>
          <t>Cockburn, Andrew.</t>
        </is>
      </c>
      <c r="L2286" t="inlineStr">
        <is>
          <t>New York : HarperCollins Publishers, c1999.</t>
        </is>
      </c>
      <c r="M2286" t="inlineStr">
        <is>
          <t>1999</t>
        </is>
      </c>
      <c r="N2286" t="inlineStr">
        <is>
          <t>1st ed.</t>
        </is>
      </c>
      <c r="O2286" t="inlineStr">
        <is>
          <t>eng</t>
        </is>
      </c>
      <c r="P2286" t="inlineStr">
        <is>
          <t>nyu</t>
        </is>
      </c>
      <c r="R2286" t="inlineStr">
        <is>
          <t xml:space="preserve">DS </t>
        </is>
      </c>
      <c r="S2286" t="n">
        <v>4</v>
      </c>
      <c r="T2286" t="n">
        <v>4</v>
      </c>
      <c r="U2286" t="inlineStr">
        <is>
          <t>2003-04-13</t>
        </is>
      </c>
      <c r="V2286" t="inlineStr">
        <is>
          <t>2003-04-13</t>
        </is>
      </c>
      <c r="W2286" t="inlineStr">
        <is>
          <t>1999-03-16</t>
        </is>
      </c>
      <c r="X2286" t="inlineStr">
        <is>
          <t>1999-03-16</t>
        </is>
      </c>
      <c r="Y2286" t="n">
        <v>1073</v>
      </c>
      <c r="Z2286" t="n">
        <v>978</v>
      </c>
      <c r="AA2286" t="n">
        <v>1125</v>
      </c>
      <c r="AB2286" t="n">
        <v>5</v>
      </c>
      <c r="AC2286" t="n">
        <v>7</v>
      </c>
      <c r="AD2286" t="n">
        <v>27</v>
      </c>
      <c r="AE2286" t="n">
        <v>30</v>
      </c>
      <c r="AF2286" t="n">
        <v>8</v>
      </c>
      <c r="AG2286" t="n">
        <v>8</v>
      </c>
      <c r="AH2286" t="n">
        <v>8</v>
      </c>
      <c r="AI2286" t="n">
        <v>9</v>
      </c>
      <c r="AJ2286" t="n">
        <v>16</v>
      </c>
      <c r="AK2286" t="n">
        <v>17</v>
      </c>
      <c r="AL2286" t="n">
        <v>4</v>
      </c>
      <c r="AM2286" t="n">
        <v>5</v>
      </c>
      <c r="AN2286" t="n">
        <v>0</v>
      </c>
      <c r="AO2286" t="n">
        <v>0</v>
      </c>
      <c r="AP2286" t="inlineStr">
        <is>
          <t>No</t>
        </is>
      </c>
      <c r="AQ2286" t="inlineStr">
        <is>
          <t>No</t>
        </is>
      </c>
      <c r="AS2286">
        <f>HYPERLINK("https://creighton-primo.hosted.exlibrisgroup.com/primo-explore/search?tab=default_tab&amp;search_scope=EVERYTHING&amp;vid=01CRU&amp;lang=en_US&amp;offset=0&amp;query=any,contains,991002995949702656","Catalog Record")</f>
        <v/>
      </c>
      <c r="AT2286">
        <f>HYPERLINK("http://www.worldcat.org/oclc/40510501","WorldCat Record")</f>
        <v/>
      </c>
      <c r="AU2286" t="inlineStr">
        <is>
          <t>888447:eng</t>
        </is>
      </c>
      <c r="AV2286" t="inlineStr">
        <is>
          <t>40510501</t>
        </is>
      </c>
      <c r="AW2286" t="inlineStr">
        <is>
          <t>991002995949702656</t>
        </is>
      </c>
      <c r="AX2286" t="inlineStr">
        <is>
          <t>991002995949702656</t>
        </is>
      </c>
      <c r="AY2286" t="inlineStr">
        <is>
          <t>2272573860002656</t>
        </is>
      </c>
      <c r="AZ2286" t="inlineStr">
        <is>
          <t>BOOK</t>
        </is>
      </c>
      <c r="BB2286" t="inlineStr">
        <is>
          <t>9780060192662</t>
        </is>
      </c>
      <c r="BC2286" t="inlineStr">
        <is>
          <t>32285003532982</t>
        </is>
      </c>
      <c r="BD2286" t="inlineStr">
        <is>
          <t>893692264</t>
        </is>
      </c>
    </row>
    <row r="2287">
      <c r="A2287" t="inlineStr">
        <is>
          <t>No</t>
        </is>
      </c>
      <c r="B2287" t="inlineStr">
        <is>
          <t>DS79.75 .G734 1999</t>
        </is>
      </c>
      <c r="C2287" t="inlineStr">
        <is>
          <t>0                      DS 0079750G  734         1999</t>
        </is>
      </c>
      <c r="D2287" t="inlineStr">
        <is>
          <t>Sanctioning Saddam : the politics of intervention in Iraq / Sarah Graham-Brown.</t>
        </is>
      </c>
      <c r="F2287" t="inlineStr">
        <is>
          <t>No</t>
        </is>
      </c>
      <c r="G2287" t="inlineStr">
        <is>
          <t>1</t>
        </is>
      </c>
      <c r="H2287" t="inlineStr">
        <is>
          <t>No</t>
        </is>
      </c>
      <c r="I2287" t="inlineStr">
        <is>
          <t>No</t>
        </is>
      </c>
      <c r="J2287" t="inlineStr">
        <is>
          <t>0</t>
        </is>
      </c>
      <c r="K2287" t="inlineStr">
        <is>
          <t>Graham-Brown, Sarah.</t>
        </is>
      </c>
      <c r="L2287" t="inlineStr">
        <is>
          <t>London ; New York : I.B. Tauris in association with MERIP ; New York: Distributed in the United States and Canada by St. Martin's Press, 1999.</t>
        </is>
      </c>
      <c r="M2287" t="inlineStr">
        <is>
          <t>1999</t>
        </is>
      </c>
      <c r="O2287" t="inlineStr">
        <is>
          <t>eng</t>
        </is>
      </c>
      <c r="P2287" t="inlineStr">
        <is>
          <t>enk</t>
        </is>
      </c>
      <c r="R2287" t="inlineStr">
        <is>
          <t xml:space="preserve">DS </t>
        </is>
      </c>
      <c r="S2287" t="n">
        <v>3</v>
      </c>
      <c r="T2287" t="n">
        <v>3</v>
      </c>
      <c r="U2287" t="inlineStr">
        <is>
          <t>2001-09-01</t>
        </is>
      </c>
      <c r="V2287" t="inlineStr">
        <is>
          <t>2001-09-01</t>
        </is>
      </c>
      <c r="W2287" t="inlineStr">
        <is>
          <t>2001-08-27</t>
        </is>
      </c>
      <c r="X2287" t="inlineStr">
        <is>
          <t>2001-08-27</t>
        </is>
      </c>
      <c r="Y2287" t="n">
        <v>508</v>
      </c>
      <c r="Z2287" t="n">
        <v>398</v>
      </c>
      <c r="AA2287" t="n">
        <v>400</v>
      </c>
      <c r="AB2287" t="n">
        <v>2</v>
      </c>
      <c r="AC2287" t="n">
        <v>2</v>
      </c>
      <c r="AD2287" t="n">
        <v>24</v>
      </c>
      <c r="AE2287" t="n">
        <v>24</v>
      </c>
      <c r="AF2287" t="n">
        <v>9</v>
      </c>
      <c r="AG2287" t="n">
        <v>9</v>
      </c>
      <c r="AH2287" t="n">
        <v>7</v>
      </c>
      <c r="AI2287" t="n">
        <v>7</v>
      </c>
      <c r="AJ2287" t="n">
        <v>12</v>
      </c>
      <c r="AK2287" t="n">
        <v>12</v>
      </c>
      <c r="AL2287" t="n">
        <v>1</v>
      </c>
      <c r="AM2287" t="n">
        <v>1</v>
      </c>
      <c r="AN2287" t="n">
        <v>1</v>
      </c>
      <c r="AO2287" t="n">
        <v>1</v>
      </c>
      <c r="AP2287" t="inlineStr">
        <is>
          <t>No</t>
        </is>
      </c>
      <c r="AQ2287" t="inlineStr">
        <is>
          <t>No</t>
        </is>
      </c>
      <c r="AS2287">
        <f>HYPERLINK("https://creighton-primo.hosted.exlibrisgroup.com/primo-explore/search?tab=default_tab&amp;search_scope=EVERYTHING&amp;vid=01CRU&amp;lang=en_US&amp;offset=0&amp;query=any,contains,991003572249702656","Catalog Record")</f>
        <v/>
      </c>
      <c r="AT2287">
        <f>HYPERLINK("http://www.worldcat.org/oclc/42458531","WorldCat Record")</f>
        <v/>
      </c>
      <c r="AU2287" t="inlineStr">
        <is>
          <t>796527542:eng</t>
        </is>
      </c>
      <c r="AV2287" t="inlineStr">
        <is>
          <t>42458531</t>
        </is>
      </c>
      <c r="AW2287" t="inlineStr">
        <is>
          <t>991003572249702656</t>
        </is>
      </c>
      <c r="AX2287" t="inlineStr">
        <is>
          <t>991003572249702656</t>
        </is>
      </c>
      <c r="AY2287" t="inlineStr">
        <is>
          <t>2268242020002656</t>
        </is>
      </c>
      <c r="AZ2287" t="inlineStr">
        <is>
          <t>BOOK</t>
        </is>
      </c>
      <c r="BB2287" t="inlineStr">
        <is>
          <t>9781860644733</t>
        </is>
      </c>
      <c r="BC2287" t="inlineStr">
        <is>
          <t>32285004381082</t>
        </is>
      </c>
      <c r="BD2287" t="inlineStr">
        <is>
          <t>893228172</t>
        </is>
      </c>
    </row>
    <row r="2288">
      <c r="A2288" t="inlineStr">
        <is>
          <t>No</t>
        </is>
      </c>
      <c r="B2288" t="inlineStr">
        <is>
          <t>DS79.75 .I737 2003</t>
        </is>
      </c>
      <c r="C2288" t="inlineStr">
        <is>
          <t>0                      DS 0079750I  737         2003</t>
        </is>
      </c>
      <c r="D2288" t="inlineStr">
        <is>
          <t>Iraq revisited / Ryan J. Doppler, editor.</t>
        </is>
      </c>
      <c r="F2288" t="inlineStr">
        <is>
          <t>No</t>
        </is>
      </c>
      <c r="G2288" t="inlineStr">
        <is>
          <t>1</t>
        </is>
      </c>
      <c r="H2288" t="inlineStr">
        <is>
          <t>No</t>
        </is>
      </c>
      <c r="I2288" t="inlineStr">
        <is>
          <t>No</t>
        </is>
      </c>
      <c r="J2288" t="inlineStr">
        <is>
          <t>0</t>
        </is>
      </c>
      <c r="L2288" t="inlineStr">
        <is>
          <t>New York : Nova Science Publishers, c2003.</t>
        </is>
      </c>
      <c r="M2288" t="inlineStr">
        <is>
          <t>2003</t>
        </is>
      </c>
      <c r="O2288" t="inlineStr">
        <is>
          <t>eng</t>
        </is>
      </c>
      <c r="P2288" t="inlineStr">
        <is>
          <t>nyu</t>
        </is>
      </c>
      <c r="R2288" t="inlineStr">
        <is>
          <t xml:space="preserve">DS </t>
        </is>
      </c>
      <c r="S2288" t="n">
        <v>2</v>
      </c>
      <c r="T2288" t="n">
        <v>2</v>
      </c>
      <c r="U2288" t="inlineStr">
        <is>
          <t>2005-04-15</t>
        </is>
      </c>
      <c r="V2288" t="inlineStr">
        <is>
          <t>2005-04-15</t>
        </is>
      </c>
      <c r="W2288" t="inlineStr">
        <is>
          <t>2003-10-02</t>
        </is>
      </c>
      <c r="X2288" t="inlineStr">
        <is>
          <t>2003-10-02</t>
        </is>
      </c>
      <c r="Y2288" t="n">
        <v>88</v>
      </c>
      <c r="Z2288" t="n">
        <v>67</v>
      </c>
      <c r="AA2288" t="n">
        <v>67</v>
      </c>
      <c r="AB2288" t="n">
        <v>1</v>
      </c>
      <c r="AC2288" t="n">
        <v>1</v>
      </c>
      <c r="AD2288" t="n">
        <v>5</v>
      </c>
      <c r="AE2288" t="n">
        <v>5</v>
      </c>
      <c r="AF2288" t="n">
        <v>0</v>
      </c>
      <c r="AG2288" t="n">
        <v>0</v>
      </c>
      <c r="AH2288" t="n">
        <v>3</v>
      </c>
      <c r="AI2288" t="n">
        <v>3</v>
      </c>
      <c r="AJ2288" t="n">
        <v>4</v>
      </c>
      <c r="AK2288" t="n">
        <v>4</v>
      </c>
      <c r="AL2288" t="n">
        <v>0</v>
      </c>
      <c r="AM2288" t="n">
        <v>0</v>
      </c>
      <c r="AN2288" t="n">
        <v>0</v>
      </c>
      <c r="AO2288" t="n">
        <v>0</v>
      </c>
      <c r="AP2288" t="inlineStr">
        <is>
          <t>No</t>
        </is>
      </c>
      <c r="AQ2288" t="inlineStr">
        <is>
          <t>No</t>
        </is>
      </c>
      <c r="AS2288">
        <f>HYPERLINK("https://creighton-primo.hosted.exlibrisgroup.com/primo-explore/search?tab=default_tab&amp;search_scope=EVERYTHING&amp;vid=01CRU&amp;lang=en_US&amp;offset=0&amp;query=any,contains,991004149859702656","Catalog Record")</f>
        <v/>
      </c>
      <c r="AT2288">
        <f>HYPERLINK("http://www.worldcat.org/oclc/52989988","WorldCat Record")</f>
        <v/>
      </c>
      <c r="AU2288" t="inlineStr">
        <is>
          <t>800185:eng</t>
        </is>
      </c>
      <c r="AV2288" t="inlineStr">
        <is>
          <t>52989988</t>
        </is>
      </c>
      <c r="AW2288" t="inlineStr">
        <is>
          <t>991004149859702656</t>
        </is>
      </c>
      <c r="AX2288" t="inlineStr">
        <is>
          <t>991004149859702656</t>
        </is>
      </c>
      <c r="AY2288" t="inlineStr">
        <is>
          <t>2270483930002656</t>
        </is>
      </c>
      <c r="AZ2288" t="inlineStr">
        <is>
          <t>BOOK</t>
        </is>
      </c>
      <c r="BB2288" t="inlineStr">
        <is>
          <t>9781590337400</t>
        </is>
      </c>
      <c r="BC2288" t="inlineStr">
        <is>
          <t>32285004789250</t>
        </is>
      </c>
      <c r="BD2288" t="inlineStr">
        <is>
          <t>893353247</t>
        </is>
      </c>
    </row>
    <row r="2289">
      <c r="A2289" t="inlineStr">
        <is>
          <t>No</t>
        </is>
      </c>
      <c r="B2289" t="inlineStr">
        <is>
          <t>DS79.75 .P65 2002</t>
        </is>
      </c>
      <c r="C2289" t="inlineStr">
        <is>
          <t>0                      DS 0079750P  65          2002</t>
        </is>
      </c>
      <c r="D2289" t="inlineStr">
        <is>
          <t>The threatening storm : the case for invading Iraq / Kenneth M. Pollack.</t>
        </is>
      </c>
      <c r="F2289" t="inlineStr">
        <is>
          <t>No</t>
        </is>
      </c>
      <c r="G2289" t="inlineStr">
        <is>
          <t>1</t>
        </is>
      </c>
      <c r="H2289" t="inlineStr">
        <is>
          <t>No</t>
        </is>
      </c>
      <c r="I2289" t="inlineStr">
        <is>
          <t>No</t>
        </is>
      </c>
      <c r="J2289" t="inlineStr">
        <is>
          <t>0</t>
        </is>
      </c>
      <c r="K2289" t="inlineStr">
        <is>
          <t>Pollack, Kenneth M. (Kenneth Michael), 1966-</t>
        </is>
      </c>
      <c r="L2289" t="inlineStr">
        <is>
          <t>New York : Random House, c2002.</t>
        </is>
      </c>
      <c r="M2289" t="inlineStr">
        <is>
          <t>2002</t>
        </is>
      </c>
      <c r="N2289" t="inlineStr">
        <is>
          <t>1st ed.</t>
        </is>
      </c>
      <c r="O2289" t="inlineStr">
        <is>
          <t>eng</t>
        </is>
      </c>
      <c r="P2289" t="inlineStr">
        <is>
          <t>nyu</t>
        </is>
      </c>
      <c r="R2289" t="inlineStr">
        <is>
          <t xml:space="preserve">DS </t>
        </is>
      </c>
      <c r="S2289" t="n">
        <v>13</v>
      </c>
      <c r="T2289" t="n">
        <v>13</v>
      </c>
      <c r="U2289" t="inlineStr">
        <is>
          <t>2010-03-05</t>
        </is>
      </c>
      <c r="V2289" t="inlineStr">
        <is>
          <t>2010-03-05</t>
        </is>
      </c>
      <c r="W2289" t="inlineStr">
        <is>
          <t>2002-12-03</t>
        </is>
      </c>
      <c r="X2289" t="inlineStr">
        <is>
          <t>2002-12-03</t>
        </is>
      </c>
      <c r="Y2289" t="n">
        <v>1571</v>
      </c>
      <c r="Z2289" t="n">
        <v>1417</v>
      </c>
      <c r="AA2289" t="n">
        <v>1438</v>
      </c>
      <c r="AB2289" t="n">
        <v>10</v>
      </c>
      <c r="AC2289" t="n">
        <v>10</v>
      </c>
      <c r="AD2289" t="n">
        <v>42</v>
      </c>
      <c r="AE2289" t="n">
        <v>42</v>
      </c>
      <c r="AF2289" t="n">
        <v>19</v>
      </c>
      <c r="AG2289" t="n">
        <v>19</v>
      </c>
      <c r="AH2289" t="n">
        <v>8</v>
      </c>
      <c r="AI2289" t="n">
        <v>8</v>
      </c>
      <c r="AJ2289" t="n">
        <v>17</v>
      </c>
      <c r="AK2289" t="n">
        <v>17</v>
      </c>
      <c r="AL2289" t="n">
        <v>6</v>
      </c>
      <c r="AM2289" t="n">
        <v>6</v>
      </c>
      <c r="AN2289" t="n">
        <v>2</v>
      </c>
      <c r="AO2289" t="n">
        <v>2</v>
      </c>
      <c r="AP2289" t="inlineStr">
        <is>
          <t>No</t>
        </is>
      </c>
      <c r="AQ2289" t="inlineStr">
        <is>
          <t>Yes</t>
        </is>
      </c>
      <c r="AR2289">
        <f>HYPERLINK("http://catalog.hathitrust.org/Record/004280913","HathiTrust Record")</f>
        <v/>
      </c>
      <c r="AS2289">
        <f>HYPERLINK("https://creighton-primo.hosted.exlibrisgroup.com/primo-explore/search?tab=default_tab&amp;search_scope=EVERYTHING&amp;vid=01CRU&amp;lang=en_US&amp;offset=0&amp;query=any,contains,991003943839702656","Catalog Record")</f>
        <v/>
      </c>
      <c r="AT2289">
        <f>HYPERLINK("http://www.worldcat.org/oclc/50315130","WorldCat Record")</f>
        <v/>
      </c>
      <c r="AU2289" t="inlineStr">
        <is>
          <t>1008567:eng</t>
        </is>
      </c>
      <c r="AV2289" t="inlineStr">
        <is>
          <t>50315130</t>
        </is>
      </c>
      <c r="AW2289" t="inlineStr">
        <is>
          <t>991003943839702656</t>
        </is>
      </c>
      <c r="AX2289" t="inlineStr">
        <is>
          <t>991003943839702656</t>
        </is>
      </c>
      <c r="AY2289" t="inlineStr">
        <is>
          <t>2270609450002656</t>
        </is>
      </c>
      <c r="AZ2289" t="inlineStr">
        <is>
          <t>BOOK</t>
        </is>
      </c>
      <c r="BB2289" t="inlineStr">
        <is>
          <t>9780375509285</t>
        </is>
      </c>
      <c r="BC2289" t="inlineStr">
        <is>
          <t>32285004667092</t>
        </is>
      </c>
      <c r="BD2289" t="inlineStr">
        <is>
          <t>893687159</t>
        </is>
      </c>
    </row>
    <row r="2290">
      <c r="A2290" t="inlineStr">
        <is>
          <t>No</t>
        </is>
      </c>
      <c r="B2290" t="inlineStr">
        <is>
          <t>DS79.755 .B88 2001</t>
        </is>
      </c>
      <c r="C2290" t="inlineStr">
        <is>
          <t>0                      DS 0079755B  88          2001</t>
        </is>
      </c>
      <c r="D2290" t="inlineStr">
        <is>
          <t>The greatest threat : Iraq, weapons of mass destruction, and the crisis of global security / Richard Butler.</t>
        </is>
      </c>
      <c r="F2290" t="inlineStr">
        <is>
          <t>No</t>
        </is>
      </c>
      <c r="G2290" t="inlineStr">
        <is>
          <t>1</t>
        </is>
      </c>
      <c r="H2290" t="inlineStr">
        <is>
          <t>No</t>
        </is>
      </c>
      <c r="I2290" t="inlineStr">
        <is>
          <t>No</t>
        </is>
      </c>
      <c r="J2290" t="inlineStr">
        <is>
          <t>0</t>
        </is>
      </c>
      <c r="K2290" t="inlineStr">
        <is>
          <t>Butler, Richard, 1942-</t>
        </is>
      </c>
      <c r="L2290" t="inlineStr">
        <is>
          <t>New York : PublicAffairs , c2001.</t>
        </is>
      </c>
      <c r="M2290" t="inlineStr">
        <is>
          <t>2001</t>
        </is>
      </c>
      <c r="O2290" t="inlineStr">
        <is>
          <t>eng</t>
        </is>
      </c>
      <c r="P2290" t="inlineStr">
        <is>
          <t>nyu</t>
        </is>
      </c>
      <c r="R2290" t="inlineStr">
        <is>
          <t xml:space="preserve">DS </t>
        </is>
      </c>
      <c r="S2290" t="n">
        <v>7</v>
      </c>
      <c r="T2290" t="n">
        <v>7</v>
      </c>
      <c r="U2290" t="inlineStr">
        <is>
          <t>2006-04-13</t>
        </is>
      </c>
      <c r="V2290" t="inlineStr">
        <is>
          <t>2006-04-13</t>
        </is>
      </c>
      <c r="W2290" t="inlineStr">
        <is>
          <t>2002-02-14</t>
        </is>
      </c>
      <c r="X2290" t="inlineStr">
        <is>
          <t>2002-02-14</t>
        </is>
      </c>
      <c r="Y2290" t="n">
        <v>295</v>
      </c>
      <c r="Z2290" t="n">
        <v>264</v>
      </c>
      <c r="AA2290" t="n">
        <v>1091</v>
      </c>
      <c r="AB2290" t="n">
        <v>2</v>
      </c>
      <c r="AC2290" t="n">
        <v>9</v>
      </c>
      <c r="AD2290" t="n">
        <v>11</v>
      </c>
      <c r="AE2290" t="n">
        <v>39</v>
      </c>
      <c r="AF2290" t="n">
        <v>7</v>
      </c>
      <c r="AG2290" t="n">
        <v>16</v>
      </c>
      <c r="AH2290" t="n">
        <v>3</v>
      </c>
      <c r="AI2290" t="n">
        <v>9</v>
      </c>
      <c r="AJ2290" t="n">
        <v>4</v>
      </c>
      <c r="AK2290" t="n">
        <v>13</v>
      </c>
      <c r="AL2290" t="n">
        <v>1</v>
      </c>
      <c r="AM2290" t="n">
        <v>7</v>
      </c>
      <c r="AN2290" t="n">
        <v>0</v>
      </c>
      <c r="AO2290" t="n">
        <v>3</v>
      </c>
      <c r="AP2290" t="inlineStr">
        <is>
          <t>No</t>
        </is>
      </c>
      <c r="AQ2290" t="inlineStr">
        <is>
          <t>No</t>
        </is>
      </c>
      <c r="AS2290">
        <f>HYPERLINK("https://creighton-primo.hosted.exlibrisgroup.com/primo-explore/search?tab=default_tab&amp;search_scope=EVERYTHING&amp;vid=01CRU&amp;lang=en_US&amp;offset=0&amp;query=any,contains,991003718109702656","Catalog Record")</f>
        <v/>
      </c>
      <c r="AT2290">
        <f>HYPERLINK("http://www.worldcat.org/oclc/47764411","WorldCat Record")</f>
        <v/>
      </c>
      <c r="AU2290" t="inlineStr">
        <is>
          <t>20657466:eng</t>
        </is>
      </c>
      <c r="AV2290" t="inlineStr">
        <is>
          <t>47764411</t>
        </is>
      </c>
      <c r="AW2290" t="inlineStr">
        <is>
          <t>991003718109702656</t>
        </is>
      </c>
      <c r="AX2290" t="inlineStr">
        <is>
          <t>991003718109702656</t>
        </is>
      </c>
      <c r="AY2290" t="inlineStr">
        <is>
          <t>2263864660002656</t>
        </is>
      </c>
      <c r="AZ2290" t="inlineStr">
        <is>
          <t>BOOK</t>
        </is>
      </c>
      <c r="BB2290" t="inlineStr">
        <is>
          <t>9781586480394</t>
        </is>
      </c>
      <c r="BC2290" t="inlineStr">
        <is>
          <t>32285004454509</t>
        </is>
      </c>
      <c r="BD2290" t="inlineStr">
        <is>
          <t>893240519</t>
        </is>
      </c>
    </row>
    <row r="2291">
      <c r="A2291" t="inlineStr">
        <is>
          <t>No</t>
        </is>
      </c>
      <c r="B2291" t="inlineStr">
        <is>
          <t>DS79.76 .A276 2004</t>
        </is>
      </c>
      <c r="C2291" t="inlineStr">
        <is>
          <t>0                      DS 0079760A  276         2004</t>
        </is>
      </c>
      <c r="D2291" t="inlineStr">
        <is>
          <t>The Abu Ghraib investigations : the official reports of the independent panel and Pentagon on the shocking prisoner abuse in Iraq / edited by Steven Strasser with an introduction by Craig R. Whitney.</t>
        </is>
      </c>
      <c r="F2291" t="inlineStr">
        <is>
          <t>No</t>
        </is>
      </c>
      <c r="G2291" t="inlineStr">
        <is>
          <t>1</t>
        </is>
      </c>
      <c r="H2291" t="inlineStr">
        <is>
          <t>No</t>
        </is>
      </c>
      <c r="I2291" t="inlineStr">
        <is>
          <t>No</t>
        </is>
      </c>
      <c r="J2291" t="inlineStr">
        <is>
          <t>0</t>
        </is>
      </c>
      <c r="L2291" t="inlineStr">
        <is>
          <t>New York : Public Affairs, 2004.</t>
        </is>
      </c>
      <c r="M2291" t="inlineStr">
        <is>
          <t>2004</t>
        </is>
      </c>
      <c r="N2291" t="inlineStr">
        <is>
          <t>1st ed.</t>
        </is>
      </c>
      <c r="O2291" t="inlineStr">
        <is>
          <t>eng</t>
        </is>
      </c>
      <c r="P2291" t="inlineStr">
        <is>
          <t>nyu</t>
        </is>
      </c>
      <c r="R2291" t="inlineStr">
        <is>
          <t xml:space="preserve">DS </t>
        </is>
      </c>
      <c r="S2291" t="n">
        <v>6</v>
      </c>
      <c r="T2291" t="n">
        <v>6</v>
      </c>
      <c r="U2291" t="inlineStr">
        <is>
          <t>2005-12-06</t>
        </is>
      </c>
      <c r="V2291" t="inlineStr">
        <is>
          <t>2005-12-06</t>
        </is>
      </c>
      <c r="W2291" t="inlineStr">
        <is>
          <t>2005-02-28</t>
        </is>
      </c>
      <c r="X2291" t="inlineStr">
        <is>
          <t>2005-02-28</t>
        </is>
      </c>
      <c r="Y2291" t="n">
        <v>683</v>
      </c>
      <c r="Z2291" t="n">
        <v>607</v>
      </c>
      <c r="AA2291" t="n">
        <v>615</v>
      </c>
      <c r="AB2291" t="n">
        <v>7</v>
      </c>
      <c r="AC2291" t="n">
        <v>7</v>
      </c>
      <c r="AD2291" t="n">
        <v>22</v>
      </c>
      <c r="AE2291" t="n">
        <v>22</v>
      </c>
      <c r="AF2291" t="n">
        <v>8</v>
      </c>
      <c r="AG2291" t="n">
        <v>8</v>
      </c>
      <c r="AH2291" t="n">
        <v>4</v>
      </c>
      <c r="AI2291" t="n">
        <v>4</v>
      </c>
      <c r="AJ2291" t="n">
        <v>9</v>
      </c>
      <c r="AK2291" t="n">
        <v>9</v>
      </c>
      <c r="AL2291" t="n">
        <v>4</v>
      </c>
      <c r="AM2291" t="n">
        <v>4</v>
      </c>
      <c r="AN2291" t="n">
        <v>1</v>
      </c>
      <c r="AO2291" t="n">
        <v>1</v>
      </c>
      <c r="AP2291" t="inlineStr">
        <is>
          <t>No</t>
        </is>
      </c>
      <c r="AQ2291" t="inlineStr">
        <is>
          <t>Yes</t>
        </is>
      </c>
      <c r="AR2291">
        <f>HYPERLINK("http://catalog.hathitrust.org/Record/004768861","HathiTrust Record")</f>
        <v/>
      </c>
      <c r="AS2291">
        <f>HYPERLINK("https://creighton-primo.hosted.exlibrisgroup.com/primo-explore/search?tab=default_tab&amp;search_scope=EVERYTHING&amp;vid=01CRU&amp;lang=en_US&amp;offset=0&amp;query=any,contains,991004467939702656","Catalog Record")</f>
        <v/>
      </c>
      <c r="AT2291">
        <f>HYPERLINK("http://www.worldcat.org/oclc/56674875","WorldCat Record")</f>
        <v/>
      </c>
      <c r="AU2291" t="inlineStr">
        <is>
          <t>57101914:eng</t>
        </is>
      </c>
      <c r="AV2291" t="inlineStr">
        <is>
          <t>56674875</t>
        </is>
      </c>
      <c r="AW2291" t="inlineStr">
        <is>
          <t>991004467939702656</t>
        </is>
      </c>
      <c r="AX2291" t="inlineStr">
        <is>
          <t>991004467939702656</t>
        </is>
      </c>
      <c r="AY2291" t="inlineStr">
        <is>
          <t>2256819170002656</t>
        </is>
      </c>
      <c r="AZ2291" t="inlineStr">
        <is>
          <t>BOOK</t>
        </is>
      </c>
      <c r="BB2291" t="inlineStr">
        <is>
          <t>9781586483197</t>
        </is>
      </c>
      <c r="BC2291" t="inlineStr">
        <is>
          <t>32285005027643</t>
        </is>
      </c>
      <c r="BD2291" t="inlineStr">
        <is>
          <t>893423840</t>
        </is>
      </c>
    </row>
    <row r="2292">
      <c r="A2292" t="inlineStr">
        <is>
          <t>No</t>
        </is>
      </c>
      <c r="B2292" t="inlineStr">
        <is>
          <t>DS79.76 .A36 2003</t>
        </is>
      </c>
      <c r="C2292" t="inlineStr">
        <is>
          <t>0                      DS 0079760A  36          2003</t>
        </is>
      </c>
      <c r="D2292" t="inlineStr">
        <is>
          <t>After the war in Iraq : defining the new strategic balance / edited by Shai Feldman.</t>
        </is>
      </c>
      <c r="F2292" t="inlineStr">
        <is>
          <t>No</t>
        </is>
      </c>
      <c r="G2292" t="inlineStr">
        <is>
          <t>1</t>
        </is>
      </c>
      <c r="H2292" t="inlineStr">
        <is>
          <t>No</t>
        </is>
      </c>
      <c r="I2292" t="inlineStr">
        <is>
          <t>No</t>
        </is>
      </c>
      <c r="J2292" t="inlineStr">
        <is>
          <t>0</t>
        </is>
      </c>
      <c r="L2292" t="inlineStr">
        <is>
          <t>Brighton ; Portland, Or. : Sussex Academic Press/Jaffee Center for Strategic Studies, 2003.</t>
        </is>
      </c>
      <c r="M2292" t="inlineStr">
        <is>
          <t>2003</t>
        </is>
      </c>
      <c r="O2292" t="inlineStr">
        <is>
          <t>eng</t>
        </is>
      </c>
      <c r="P2292" t="inlineStr">
        <is>
          <t>enk</t>
        </is>
      </c>
      <c r="R2292" t="inlineStr">
        <is>
          <t xml:space="preserve">DS </t>
        </is>
      </c>
      <c r="S2292" t="n">
        <v>8</v>
      </c>
      <c r="T2292" t="n">
        <v>8</v>
      </c>
      <c r="U2292" t="inlineStr">
        <is>
          <t>2007-12-12</t>
        </is>
      </c>
      <c r="V2292" t="inlineStr">
        <is>
          <t>2007-12-12</t>
        </is>
      </c>
      <c r="W2292" t="inlineStr">
        <is>
          <t>2004-09-01</t>
        </is>
      </c>
      <c r="X2292" t="inlineStr">
        <is>
          <t>2004-09-01</t>
        </is>
      </c>
      <c r="Y2292" t="n">
        <v>306</v>
      </c>
      <c r="Z2292" t="n">
        <v>246</v>
      </c>
      <c r="AA2292" t="n">
        <v>253</v>
      </c>
      <c r="AB2292" t="n">
        <v>2</v>
      </c>
      <c r="AC2292" t="n">
        <v>2</v>
      </c>
      <c r="AD2292" t="n">
        <v>19</v>
      </c>
      <c r="AE2292" t="n">
        <v>19</v>
      </c>
      <c r="AF2292" t="n">
        <v>9</v>
      </c>
      <c r="AG2292" t="n">
        <v>9</v>
      </c>
      <c r="AH2292" t="n">
        <v>6</v>
      </c>
      <c r="AI2292" t="n">
        <v>6</v>
      </c>
      <c r="AJ2292" t="n">
        <v>8</v>
      </c>
      <c r="AK2292" t="n">
        <v>8</v>
      </c>
      <c r="AL2292" t="n">
        <v>1</v>
      </c>
      <c r="AM2292" t="n">
        <v>1</v>
      </c>
      <c r="AN2292" t="n">
        <v>0</v>
      </c>
      <c r="AO2292" t="n">
        <v>0</v>
      </c>
      <c r="AP2292" t="inlineStr">
        <is>
          <t>No</t>
        </is>
      </c>
      <c r="AQ2292" t="inlineStr">
        <is>
          <t>Yes</t>
        </is>
      </c>
      <c r="AR2292">
        <f>HYPERLINK("http://catalog.hathitrust.org/Record/004354085","HathiTrust Record")</f>
        <v/>
      </c>
      <c r="AS2292">
        <f>HYPERLINK("https://creighton-primo.hosted.exlibrisgroup.com/primo-explore/search?tab=default_tab&amp;search_scope=EVERYTHING&amp;vid=01CRU&amp;lang=en_US&amp;offset=0&amp;query=any,contains,991004337969702656","Catalog Record")</f>
        <v/>
      </c>
      <c r="AT2292">
        <f>HYPERLINK("http://www.worldcat.org/oclc/52728786","WorldCat Record")</f>
        <v/>
      </c>
      <c r="AU2292" t="inlineStr">
        <is>
          <t>1492:eng</t>
        </is>
      </c>
      <c r="AV2292" t="inlineStr">
        <is>
          <t>52728786</t>
        </is>
      </c>
      <c r="AW2292" t="inlineStr">
        <is>
          <t>991004337969702656</t>
        </is>
      </c>
      <c r="AX2292" t="inlineStr">
        <is>
          <t>991004337969702656</t>
        </is>
      </c>
      <c r="AY2292" t="inlineStr">
        <is>
          <t>2255499420002656</t>
        </is>
      </c>
      <c r="AZ2292" t="inlineStr">
        <is>
          <t>BOOK</t>
        </is>
      </c>
      <c r="BB2292" t="inlineStr">
        <is>
          <t>9781903900741</t>
        </is>
      </c>
      <c r="BC2292" t="inlineStr">
        <is>
          <t>32285004984992</t>
        </is>
      </c>
      <c r="BD2292" t="inlineStr">
        <is>
          <t>893325241</t>
        </is>
      </c>
    </row>
    <row r="2293">
      <c r="A2293" t="inlineStr">
        <is>
          <t>No</t>
        </is>
      </c>
      <c r="B2293" t="inlineStr">
        <is>
          <t>DS79.76 .A53 2004</t>
        </is>
      </c>
      <c r="C2293" t="inlineStr">
        <is>
          <t>0                      DS 0079760A  53          2004</t>
        </is>
      </c>
      <c r="D2293" t="inlineStr">
        <is>
          <t>The fall of Baghdad / Jon Lee Anderson.</t>
        </is>
      </c>
      <c r="F2293" t="inlineStr">
        <is>
          <t>No</t>
        </is>
      </c>
      <c r="G2293" t="inlineStr">
        <is>
          <t>1</t>
        </is>
      </c>
      <c r="H2293" t="inlineStr">
        <is>
          <t>No</t>
        </is>
      </c>
      <c r="I2293" t="inlineStr">
        <is>
          <t>No</t>
        </is>
      </c>
      <c r="J2293" t="inlineStr">
        <is>
          <t>0</t>
        </is>
      </c>
      <c r="K2293" t="inlineStr">
        <is>
          <t>Anderson, Jon Lee.</t>
        </is>
      </c>
      <c r="L2293" t="inlineStr">
        <is>
          <t>New York : Penguin Press, 2004.</t>
        </is>
      </c>
      <c r="M2293" t="inlineStr">
        <is>
          <t>2004</t>
        </is>
      </c>
      <c r="O2293" t="inlineStr">
        <is>
          <t>eng</t>
        </is>
      </c>
      <c r="P2293" t="inlineStr">
        <is>
          <t>nyu</t>
        </is>
      </c>
      <c r="R2293" t="inlineStr">
        <is>
          <t xml:space="preserve">DS </t>
        </is>
      </c>
      <c r="S2293" t="n">
        <v>5</v>
      </c>
      <c r="T2293" t="n">
        <v>5</v>
      </c>
      <c r="U2293" t="inlineStr">
        <is>
          <t>2005-09-14</t>
        </is>
      </c>
      <c r="V2293" t="inlineStr">
        <is>
          <t>2005-09-14</t>
        </is>
      </c>
      <c r="W2293" t="inlineStr">
        <is>
          <t>2004-10-12</t>
        </is>
      </c>
      <c r="X2293" t="inlineStr">
        <is>
          <t>2004-10-12</t>
        </is>
      </c>
      <c r="Y2293" t="n">
        <v>1594</v>
      </c>
      <c r="Z2293" t="n">
        <v>1493</v>
      </c>
      <c r="AA2293" t="n">
        <v>1928</v>
      </c>
      <c r="AB2293" t="n">
        <v>10</v>
      </c>
      <c r="AC2293" t="n">
        <v>32</v>
      </c>
      <c r="AD2293" t="n">
        <v>40</v>
      </c>
      <c r="AE2293" t="n">
        <v>50</v>
      </c>
      <c r="AF2293" t="n">
        <v>19</v>
      </c>
      <c r="AG2293" t="n">
        <v>21</v>
      </c>
      <c r="AH2293" t="n">
        <v>8</v>
      </c>
      <c r="AI2293" t="n">
        <v>8</v>
      </c>
      <c r="AJ2293" t="n">
        <v>18</v>
      </c>
      <c r="AK2293" t="n">
        <v>20</v>
      </c>
      <c r="AL2293" t="n">
        <v>5</v>
      </c>
      <c r="AM2293" t="n">
        <v>11</v>
      </c>
      <c r="AN2293" t="n">
        <v>0</v>
      </c>
      <c r="AO2293" t="n">
        <v>0</v>
      </c>
      <c r="AP2293" t="inlineStr">
        <is>
          <t>No</t>
        </is>
      </c>
      <c r="AQ2293" t="inlineStr">
        <is>
          <t>No</t>
        </is>
      </c>
      <c r="AS2293">
        <f>HYPERLINK("https://creighton-primo.hosted.exlibrisgroup.com/primo-explore/search?tab=default_tab&amp;search_scope=EVERYTHING&amp;vid=01CRU&amp;lang=en_US&amp;offset=0&amp;query=any,contains,991004344419702656","Catalog Record")</f>
        <v/>
      </c>
      <c r="AT2293">
        <f>HYPERLINK("http://www.worldcat.org/oclc/55624270","WorldCat Record")</f>
        <v/>
      </c>
      <c r="AU2293" t="inlineStr">
        <is>
          <t>321007:eng</t>
        </is>
      </c>
      <c r="AV2293" t="inlineStr">
        <is>
          <t>55624270</t>
        </is>
      </c>
      <c r="AW2293" t="inlineStr">
        <is>
          <t>991004344419702656</t>
        </is>
      </c>
      <c r="AX2293" t="inlineStr">
        <is>
          <t>991004344419702656</t>
        </is>
      </c>
      <c r="AY2293" t="inlineStr">
        <is>
          <t>2263106390002656</t>
        </is>
      </c>
      <c r="AZ2293" t="inlineStr">
        <is>
          <t>BOOK</t>
        </is>
      </c>
      <c r="BB2293" t="inlineStr">
        <is>
          <t>9781594200342</t>
        </is>
      </c>
      <c r="BC2293" t="inlineStr">
        <is>
          <t>32285005002836</t>
        </is>
      </c>
      <c r="BD2293" t="inlineStr">
        <is>
          <t>893875985</t>
        </is>
      </c>
    </row>
    <row r="2294">
      <c r="A2294" t="inlineStr">
        <is>
          <t>No</t>
        </is>
      </c>
      <c r="B2294" t="inlineStr">
        <is>
          <t>DS79.76 .B69 2007</t>
        </is>
      </c>
      <c r="C2294" t="inlineStr">
        <is>
          <t>0                      DS 0079760B  69          2007</t>
        </is>
      </c>
      <c r="D2294" t="inlineStr">
        <is>
          <t>Undoing Saddam : from occupation to sovereignty in northern Iraq / Wayne H. Bowen.</t>
        </is>
      </c>
      <c r="F2294" t="inlineStr">
        <is>
          <t>No</t>
        </is>
      </c>
      <c r="G2294" t="inlineStr">
        <is>
          <t>1</t>
        </is>
      </c>
      <c r="H2294" t="inlineStr">
        <is>
          <t>No</t>
        </is>
      </c>
      <c r="I2294" t="inlineStr">
        <is>
          <t>No</t>
        </is>
      </c>
      <c r="J2294" t="inlineStr">
        <is>
          <t>0</t>
        </is>
      </c>
      <c r="K2294" t="inlineStr">
        <is>
          <t>Bowen, Wayne H., 1968-</t>
        </is>
      </c>
      <c r="L2294" t="inlineStr">
        <is>
          <t>Washington, D.C. : Potomac Books, c2007.</t>
        </is>
      </c>
      <c r="M2294" t="inlineStr">
        <is>
          <t>2007</t>
        </is>
      </c>
      <c r="N2294" t="inlineStr">
        <is>
          <t>1st ed.</t>
        </is>
      </c>
      <c r="O2294" t="inlineStr">
        <is>
          <t>eng</t>
        </is>
      </c>
      <c r="P2294" t="inlineStr">
        <is>
          <t>dcu</t>
        </is>
      </c>
      <c r="Q2294" t="inlineStr">
        <is>
          <t>An AUSA book</t>
        </is>
      </c>
      <c r="R2294" t="inlineStr">
        <is>
          <t xml:space="preserve">DS </t>
        </is>
      </c>
      <c r="S2294" t="n">
        <v>2</v>
      </c>
      <c r="T2294" t="n">
        <v>2</v>
      </c>
      <c r="U2294" t="inlineStr">
        <is>
          <t>2007-10-03</t>
        </is>
      </c>
      <c r="V2294" t="inlineStr">
        <is>
          <t>2007-10-03</t>
        </is>
      </c>
      <c r="W2294" t="inlineStr">
        <is>
          <t>2007-09-20</t>
        </is>
      </c>
      <c r="X2294" t="inlineStr">
        <is>
          <t>2007-09-20</t>
        </is>
      </c>
      <c r="Y2294" t="n">
        <v>235</v>
      </c>
      <c r="Z2294" t="n">
        <v>194</v>
      </c>
      <c r="AA2294" t="n">
        <v>204</v>
      </c>
      <c r="AB2294" t="n">
        <v>2</v>
      </c>
      <c r="AC2294" t="n">
        <v>2</v>
      </c>
      <c r="AD2294" t="n">
        <v>8</v>
      </c>
      <c r="AE2294" t="n">
        <v>9</v>
      </c>
      <c r="AF2294" t="n">
        <v>3</v>
      </c>
      <c r="AG2294" t="n">
        <v>4</v>
      </c>
      <c r="AH2294" t="n">
        <v>3</v>
      </c>
      <c r="AI2294" t="n">
        <v>3</v>
      </c>
      <c r="AJ2294" t="n">
        <v>5</v>
      </c>
      <c r="AK2294" t="n">
        <v>5</v>
      </c>
      <c r="AL2294" t="n">
        <v>1</v>
      </c>
      <c r="AM2294" t="n">
        <v>1</v>
      </c>
      <c r="AN2294" t="n">
        <v>0</v>
      </c>
      <c r="AO2294" t="n">
        <v>0</v>
      </c>
      <c r="AP2294" t="inlineStr">
        <is>
          <t>No</t>
        </is>
      </c>
      <c r="AQ2294" t="inlineStr">
        <is>
          <t>Yes</t>
        </is>
      </c>
      <c r="AR2294">
        <f>HYPERLINK("http://catalog.hathitrust.org/Record/005430861","HathiTrust Record")</f>
        <v/>
      </c>
      <c r="AS2294">
        <f>HYPERLINK("https://creighton-primo.hosted.exlibrisgroup.com/primo-explore/search?tab=default_tab&amp;search_scope=EVERYTHING&amp;vid=01CRU&amp;lang=en_US&amp;offset=0&amp;query=any,contains,991005115879702656","Catalog Record")</f>
        <v/>
      </c>
      <c r="AT2294">
        <f>HYPERLINK("http://www.worldcat.org/oclc/64585855","WorldCat Record")</f>
        <v/>
      </c>
      <c r="AU2294" t="inlineStr">
        <is>
          <t>49040378:eng</t>
        </is>
      </c>
      <c r="AV2294" t="inlineStr">
        <is>
          <t>64585855</t>
        </is>
      </c>
      <c r="AW2294" t="inlineStr">
        <is>
          <t>991005115879702656</t>
        </is>
      </c>
      <c r="AX2294" t="inlineStr">
        <is>
          <t>991005115879702656</t>
        </is>
      </c>
      <c r="AY2294" t="inlineStr">
        <is>
          <t>2269400610002656</t>
        </is>
      </c>
      <c r="AZ2294" t="inlineStr">
        <is>
          <t>BOOK</t>
        </is>
      </c>
      <c r="BB2294" t="inlineStr">
        <is>
          <t>9781597970242</t>
        </is>
      </c>
      <c r="BC2294" t="inlineStr">
        <is>
          <t>32285005326516</t>
        </is>
      </c>
      <c r="BD2294" t="inlineStr">
        <is>
          <t>893801751</t>
        </is>
      </c>
    </row>
    <row r="2295">
      <c r="A2295" t="inlineStr">
        <is>
          <t>No</t>
        </is>
      </c>
      <c r="B2295" t="inlineStr">
        <is>
          <t>DS79.76 .B73 2003</t>
        </is>
      </c>
      <c r="C2295" t="inlineStr">
        <is>
          <t>0                      DS 0079760B  73          2003</t>
        </is>
      </c>
      <c r="D2295" t="inlineStr">
        <is>
          <t>I am a soldier, too : the Jessica Lynch story / Rick Bragg.</t>
        </is>
      </c>
      <c r="F2295" t="inlineStr">
        <is>
          <t>No</t>
        </is>
      </c>
      <c r="G2295" t="inlineStr">
        <is>
          <t>1</t>
        </is>
      </c>
      <c r="H2295" t="inlineStr">
        <is>
          <t>No</t>
        </is>
      </c>
      <c r="I2295" t="inlineStr">
        <is>
          <t>No</t>
        </is>
      </c>
      <c r="J2295" t="inlineStr">
        <is>
          <t>0</t>
        </is>
      </c>
      <c r="K2295" t="inlineStr">
        <is>
          <t>Bragg, Rick.</t>
        </is>
      </c>
      <c r="L2295" t="inlineStr">
        <is>
          <t>New York : Alfred A. Knopf, 2003.</t>
        </is>
      </c>
      <c r="M2295" t="inlineStr">
        <is>
          <t>2003</t>
        </is>
      </c>
      <c r="N2295" t="inlineStr">
        <is>
          <t>1st ed.</t>
        </is>
      </c>
      <c r="O2295" t="inlineStr">
        <is>
          <t>eng</t>
        </is>
      </c>
      <c r="P2295" t="inlineStr">
        <is>
          <t>nyu</t>
        </is>
      </c>
      <c r="R2295" t="inlineStr">
        <is>
          <t xml:space="preserve">DS </t>
        </is>
      </c>
      <c r="S2295" t="n">
        <v>1</v>
      </c>
      <c r="T2295" t="n">
        <v>1</v>
      </c>
      <c r="U2295" t="inlineStr">
        <is>
          <t>2004-01-05</t>
        </is>
      </c>
      <c r="V2295" t="inlineStr">
        <is>
          <t>2004-01-05</t>
        </is>
      </c>
      <c r="W2295" t="inlineStr">
        <is>
          <t>2004-01-05</t>
        </is>
      </c>
      <c r="X2295" t="inlineStr">
        <is>
          <t>2004-01-05</t>
        </is>
      </c>
      <c r="Y2295" t="n">
        <v>1981</v>
      </c>
      <c r="Z2295" t="n">
        <v>1921</v>
      </c>
      <c r="AA2295" t="n">
        <v>2112</v>
      </c>
      <c r="AB2295" t="n">
        <v>25</v>
      </c>
      <c r="AC2295" t="n">
        <v>26</v>
      </c>
      <c r="AD2295" t="n">
        <v>19</v>
      </c>
      <c r="AE2295" t="n">
        <v>21</v>
      </c>
      <c r="AF2295" t="n">
        <v>8</v>
      </c>
      <c r="AG2295" t="n">
        <v>9</v>
      </c>
      <c r="AH2295" t="n">
        <v>4</v>
      </c>
      <c r="AI2295" t="n">
        <v>4</v>
      </c>
      <c r="AJ2295" t="n">
        <v>10</v>
      </c>
      <c r="AK2295" t="n">
        <v>10</v>
      </c>
      <c r="AL2295" t="n">
        <v>2</v>
      </c>
      <c r="AM2295" t="n">
        <v>3</v>
      </c>
      <c r="AN2295" t="n">
        <v>0</v>
      </c>
      <c r="AO2295" t="n">
        <v>0</v>
      </c>
      <c r="AP2295" t="inlineStr">
        <is>
          <t>No</t>
        </is>
      </c>
      <c r="AQ2295" t="inlineStr">
        <is>
          <t>Yes</t>
        </is>
      </c>
      <c r="AR2295">
        <f>HYPERLINK("http://catalog.hathitrust.org/Record/004353135","HathiTrust Record")</f>
        <v/>
      </c>
      <c r="AS2295">
        <f>HYPERLINK("https://creighton-primo.hosted.exlibrisgroup.com/primo-explore/search?tab=default_tab&amp;search_scope=EVERYTHING&amp;vid=01CRU&amp;lang=en_US&amp;offset=0&amp;query=any,contains,991004210849702656","Catalog Record")</f>
        <v/>
      </c>
      <c r="AT2295">
        <f>HYPERLINK("http://www.worldcat.org/oclc/53344743","WorldCat Record")</f>
        <v/>
      </c>
      <c r="AU2295" t="inlineStr">
        <is>
          <t>2472445:eng</t>
        </is>
      </c>
      <c r="AV2295" t="inlineStr">
        <is>
          <t>53344743</t>
        </is>
      </c>
      <c r="AW2295" t="inlineStr">
        <is>
          <t>991004210849702656</t>
        </is>
      </c>
      <c r="AX2295" t="inlineStr">
        <is>
          <t>991004210849702656</t>
        </is>
      </c>
      <c r="AY2295" t="inlineStr">
        <is>
          <t>2259284210002656</t>
        </is>
      </c>
      <c r="AZ2295" t="inlineStr">
        <is>
          <t>BOOK</t>
        </is>
      </c>
      <c r="BB2295" t="inlineStr">
        <is>
          <t>9781400042579</t>
        </is>
      </c>
      <c r="BC2295" t="inlineStr">
        <is>
          <t>32285004848817</t>
        </is>
      </c>
      <c r="BD2295" t="inlineStr">
        <is>
          <t>893618389</t>
        </is>
      </c>
    </row>
    <row r="2296">
      <c r="A2296" t="inlineStr">
        <is>
          <t>No</t>
        </is>
      </c>
      <c r="B2296" t="inlineStr">
        <is>
          <t>DS79.76 .B83 2005</t>
        </is>
      </c>
      <c r="C2296" t="inlineStr">
        <is>
          <t>0                      DS 0079760B  83          2005</t>
        </is>
      </c>
      <c r="D2296" t="inlineStr">
        <is>
          <t>Shane comes home / Rinker Buck.</t>
        </is>
      </c>
      <c r="F2296" t="inlineStr">
        <is>
          <t>No</t>
        </is>
      </c>
      <c r="G2296" t="inlineStr">
        <is>
          <t>1</t>
        </is>
      </c>
      <c r="H2296" t="inlineStr">
        <is>
          <t>No</t>
        </is>
      </c>
      <c r="I2296" t="inlineStr">
        <is>
          <t>No</t>
        </is>
      </c>
      <c r="J2296" t="inlineStr">
        <is>
          <t>0</t>
        </is>
      </c>
      <c r="K2296" t="inlineStr">
        <is>
          <t>Buck, Rinker, 1950-</t>
        </is>
      </c>
      <c r="L2296" t="inlineStr">
        <is>
          <t>New York, NY : William Morrow, c2005.</t>
        </is>
      </c>
      <c r="M2296" t="inlineStr">
        <is>
          <t>2005</t>
        </is>
      </c>
      <c r="N2296" t="inlineStr">
        <is>
          <t>1st ed.</t>
        </is>
      </c>
      <c r="O2296" t="inlineStr">
        <is>
          <t>eng</t>
        </is>
      </c>
      <c r="P2296" t="inlineStr">
        <is>
          <t>nyu</t>
        </is>
      </c>
      <c r="R2296" t="inlineStr">
        <is>
          <t xml:space="preserve">DS </t>
        </is>
      </c>
      <c r="S2296" t="n">
        <v>2</v>
      </c>
      <c r="T2296" t="n">
        <v>2</v>
      </c>
      <c r="U2296" t="inlineStr">
        <is>
          <t>2010-02-22</t>
        </is>
      </c>
      <c r="V2296" t="inlineStr">
        <is>
          <t>2010-02-22</t>
        </is>
      </c>
      <c r="W2296" t="inlineStr">
        <is>
          <t>2005-05-03</t>
        </is>
      </c>
      <c r="X2296" t="inlineStr">
        <is>
          <t>2005-05-03</t>
        </is>
      </c>
      <c r="Y2296" t="n">
        <v>442</v>
      </c>
      <c r="Z2296" t="n">
        <v>438</v>
      </c>
      <c r="AA2296" t="n">
        <v>488</v>
      </c>
      <c r="AB2296" t="n">
        <v>4</v>
      </c>
      <c r="AC2296" t="n">
        <v>4</v>
      </c>
      <c r="AD2296" t="n">
        <v>5</v>
      </c>
      <c r="AE2296" t="n">
        <v>5</v>
      </c>
      <c r="AF2296" t="n">
        <v>0</v>
      </c>
      <c r="AG2296" t="n">
        <v>0</v>
      </c>
      <c r="AH2296" t="n">
        <v>3</v>
      </c>
      <c r="AI2296" t="n">
        <v>3</v>
      </c>
      <c r="AJ2296" t="n">
        <v>2</v>
      </c>
      <c r="AK2296" t="n">
        <v>2</v>
      </c>
      <c r="AL2296" t="n">
        <v>1</v>
      </c>
      <c r="AM2296" t="n">
        <v>1</v>
      </c>
      <c r="AN2296" t="n">
        <v>0</v>
      </c>
      <c r="AO2296" t="n">
        <v>0</v>
      </c>
      <c r="AP2296" t="inlineStr">
        <is>
          <t>No</t>
        </is>
      </c>
      <c r="AQ2296" t="inlineStr">
        <is>
          <t>No</t>
        </is>
      </c>
      <c r="AS2296">
        <f>HYPERLINK("https://creighton-primo.hosted.exlibrisgroup.com/primo-explore/search?tab=default_tab&amp;search_scope=EVERYTHING&amp;vid=01CRU&amp;lang=en_US&amp;offset=0&amp;query=any,contains,991004532469702656","Catalog Record")</f>
        <v/>
      </c>
      <c r="AT2296">
        <f>HYPERLINK("http://www.worldcat.org/oclc/58596416","WorldCat Record")</f>
        <v/>
      </c>
      <c r="AU2296" t="inlineStr">
        <is>
          <t>1217131:eng</t>
        </is>
      </c>
      <c r="AV2296" t="inlineStr">
        <is>
          <t>58596416</t>
        </is>
      </c>
      <c r="AW2296" t="inlineStr">
        <is>
          <t>991004532469702656</t>
        </is>
      </c>
      <c r="AX2296" t="inlineStr">
        <is>
          <t>991004532469702656</t>
        </is>
      </c>
      <c r="AY2296" t="inlineStr">
        <is>
          <t>2267361210002656</t>
        </is>
      </c>
      <c r="AZ2296" t="inlineStr">
        <is>
          <t>BOOK</t>
        </is>
      </c>
      <c r="BB2296" t="inlineStr">
        <is>
          <t>9780060593254</t>
        </is>
      </c>
      <c r="BC2296" t="inlineStr">
        <is>
          <t>32285005034474</t>
        </is>
      </c>
      <c r="BD2296" t="inlineStr">
        <is>
          <t>893436387</t>
        </is>
      </c>
    </row>
    <row r="2297">
      <c r="A2297" t="inlineStr">
        <is>
          <t>No</t>
        </is>
      </c>
      <c r="B2297" t="inlineStr">
        <is>
          <t>DS79.76 .D36 2004</t>
        </is>
      </c>
      <c r="C2297" t="inlineStr">
        <is>
          <t>0                      DS 0079760D  36          2004</t>
        </is>
      </c>
      <c r="D2297" t="inlineStr">
        <is>
          <t>Torture and truth : America, Abu Ghraib, and the war on terror / Mark Danner.</t>
        </is>
      </c>
      <c r="F2297" t="inlineStr">
        <is>
          <t>No</t>
        </is>
      </c>
      <c r="G2297" t="inlineStr">
        <is>
          <t>1</t>
        </is>
      </c>
      <c r="H2297" t="inlineStr">
        <is>
          <t>No</t>
        </is>
      </c>
      <c r="I2297" t="inlineStr">
        <is>
          <t>No</t>
        </is>
      </c>
      <c r="J2297" t="inlineStr">
        <is>
          <t>0</t>
        </is>
      </c>
      <c r="K2297" t="inlineStr">
        <is>
          <t>Danner, Mark, 1958-</t>
        </is>
      </c>
      <c r="L2297" t="inlineStr">
        <is>
          <t>New York : New York Review Books, 2004.</t>
        </is>
      </c>
      <c r="M2297" t="inlineStr">
        <is>
          <t>2004</t>
        </is>
      </c>
      <c r="O2297" t="inlineStr">
        <is>
          <t>eng</t>
        </is>
      </c>
      <c r="P2297" t="inlineStr">
        <is>
          <t>nyu</t>
        </is>
      </c>
      <c r="R2297" t="inlineStr">
        <is>
          <t xml:space="preserve">DS </t>
        </is>
      </c>
      <c r="S2297" t="n">
        <v>3</v>
      </c>
      <c r="T2297" t="n">
        <v>3</v>
      </c>
      <c r="U2297" t="inlineStr">
        <is>
          <t>2005-12-06</t>
        </is>
      </c>
      <c r="V2297" t="inlineStr">
        <is>
          <t>2005-12-06</t>
        </is>
      </c>
      <c r="W2297" t="inlineStr">
        <is>
          <t>2005-03-07</t>
        </is>
      </c>
      <c r="X2297" t="inlineStr">
        <is>
          <t>2005-03-07</t>
        </is>
      </c>
      <c r="Y2297" t="n">
        <v>1164</v>
      </c>
      <c r="Z2297" t="n">
        <v>1065</v>
      </c>
      <c r="AA2297" t="n">
        <v>1073</v>
      </c>
      <c r="AB2297" t="n">
        <v>8</v>
      </c>
      <c r="AC2297" t="n">
        <v>8</v>
      </c>
      <c r="AD2297" t="n">
        <v>45</v>
      </c>
      <c r="AE2297" t="n">
        <v>45</v>
      </c>
      <c r="AF2297" t="n">
        <v>16</v>
      </c>
      <c r="AG2297" t="n">
        <v>16</v>
      </c>
      <c r="AH2297" t="n">
        <v>10</v>
      </c>
      <c r="AI2297" t="n">
        <v>10</v>
      </c>
      <c r="AJ2297" t="n">
        <v>20</v>
      </c>
      <c r="AK2297" t="n">
        <v>20</v>
      </c>
      <c r="AL2297" t="n">
        <v>3</v>
      </c>
      <c r="AM2297" t="n">
        <v>3</v>
      </c>
      <c r="AN2297" t="n">
        <v>8</v>
      </c>
      <c r="AO2297" t="n">
        <v>8</v>
      </c>
      <c r="AP2297" t="inlineStr">
        <is>
          <t>No</t>
        </is>
      </c>
      <c r="AQ2297" t="inlineStr">
        <is>
          <t>Yes</t>
        </is>
      </c>
      <c r="AR2297">
        <f>HYPERLINK("http://catalog.hathitrust.org/Record/004920742","HathiTrust Record")</f>
        <v/>
      </c>
      <c r="AS2297">
        <f>HYPERLINK("https://creighton-primo.hosted.exlibrisgroup.com/primo-explore/search?tab=default_tab&amp;search_scope=EVERYTHING&amp;vid=01CRU&amp;lang=en_US&amp;offset=0&amp;query=any,contains,991004467959702656","Catalog Record")</f>
        <v/>
      </c>
      <c r="AT2297">
        <f>HYPERLINK("http://www.worldcat.org/oclc/56590643","WorldCat Record")</f>
        <v/>
      </c>
      <c r="AU2297" t="inlineStr">
        <is>
          <t>939535:eng</t>
        </is>
      </c>
      <c r="AV2297" t="inlineStr">
        <is>
          <t>56590643</t>
        </is>
      </c>
      <c r="AW2297" t="inlineStr">
        <is>
          <t>991004467959702656</t>
        </is>
      </c>
      <c r="AX2297" t="inlineStr">
        <is>
          <t>991004467959702656</t>
        </is>
      </c>
      <c r="AY2297" t="inlineStr">
        <is>
          <t>2266690520002656</t>
        </is>
      </c>
      <c r="AZ2297" t="inlineStr">
        <is>
          <t>BOOK</t>
        </is>
      </c>
      <c r="BB2297" t="inlineStr">
        <is>
          <t>9781590171523</t>
        </is>
      </c>
      <c r="BC2297" t="inlineStr">
        <is>
          <t>32285005040406</t>
        </is>
      </c>
      <c r="BD2297" t="inlineStr">
        <is>
          <t>893776041</t>
        </is>
      </c>
    </row>
    <row r="2298">
      <c r="A2298" t="inlineStr">
        <is>
          <t>No</t>
        </is>
      </c>
      <c r="B2298" t="inlineStr">
        <is>
          <t>DS79.76 .E54 2004</t>
        </is>
      </c>
      <c r="C2298" t="inlineStr">
        <is>
          <t>0                      DS 0079760E  54          2004</t>
        </is>
      </c>
      <c r="D2298" t="inlineStr">
        <is>
          <t>A fist in the hornet's nest : on the ground in Baghdad before, during and after the war / Richard Engel.</t>
        </is>
      </c>
      <c r="F2298" t="inlineStr">
        <is>
          <t>No</t>
        </is>
      </c>
      <c r="G2298" t="inlineStr">
        <is>
          <t>1</t>
        </is>
      </c>
      <c r="H2298" t="inlineStr">
        <is>
          <t>No</t>
        </is>
      </c>
      <c r="I2298" t="inlineStr">
        <is>
          <t>No</t>
        </is>
      </c>
      <c r="J2298" t="inlineStr">
        <is>
          <t>0</t>
        </is>
      </c>
      <c r="K2298" t="inlineStr">
        <is>
          <t>Engel, Richard.</t>
        </is>
      </c>
      <c r="L2298" t="inlineStr">
        <is>
          <t>New York : Hyperion, c2004.</t>
        </is>
      </c>
      <c r="M2298" t="inlineStr">
        <is>
          <t>2004</t>
        </is>
      </c>
      <c r="N2298" t="inlineStr">
        <is>
          <t>1st ed.</t>
        </is>
      </c>
      <c r="O2298" t="inlineStr">
        <is>
          <t>eng</t>
        </is>
      </c>
      <c r="P2298" t="inlineStr">
        <is>
          <t>nyu</t>
        </is>
      </c>
      <c r="R2298" t="inlineStr">
        <is>
          <t xml:space="preserve">DS </t>
        </is>
      </c>
      <c r="S2298" t="n">
        <v>3</v>
      </c>
      <c r="T2298" t="n">
        <v>3</v>
      </c>
      <c r="U2298" t="inlineStr">
        <is>
          <t>2007-08-09</t>
        </is>
      </c>
      <c r="V2298" t="inlineStr">
        <is>
          <t>2007-08-09</t>
        </is>
      </c>
      <c r="W2298" t="inlineStr">
        <is>
          <t>2004-03-08</t>
        </is>
      </c>
      <c r="X2298" t="inlineStr">
        <is>
          <t>2004-03-08</t>
        </is>
      </c>
      <c r="Y2298" t="n">
        <v>680</v>
      </c>
      <c r="Z2298" t="n">
        <v>628</v>
      </c>
      <c r="AA2298" t="n">
        <v>722</v>
      </c>
      <c r="AB2298" t="n">
        <v>5</v>
      </c>
      <c r="AC2298" t="n">
        <v>5</v>
      </c>
      <c r="AD2298" t="n">
        <v>9</v>
      </c>
      <c r="AE2298" t="n">
        <v>9</v>
      </c>
      <c r="AF2298" t="n">
        <v>1</v>
      </c>
      <c r="AG2298" t="n">
        <v>1</v>
      </c>
      <c r="AH2298" t="n">
        <v>4</v>
      </c>
      <c r="AI2298" t="n">
        <v>4</v>
      </c>
      <c r="AJ2298" t="n">
        <v>4</v>
      </c>
      <c r="AK2298" t="n">
        <v>4</v>
      </c>
      <c r="AL2298" t="n">
        <v>2</v>
      </c>
      <c r="AM2298" t="n">
        <v>2</v>
      </c>
      <c r="AN2298" t="n">
        <v>0</v>
      </c>
      <c r="AO2298" t="n">
        <v>0</v>
      </c>
      <c r="AP2298" t="inlineStr">
        <is>
          <t>No</t>
        </is>
      </c>
      <c r="AQ2298" t="inlineStr">
        <is>
          <t>No</t>
        </is>
      </c>
      <c r="AS2298">
        <f>HYPERLINK("https://creighton-primo.hosted.exlibrisgroup.com/primo-explore/search?tab=default_tab&amp;search_scope=EVERYTHING&amp;vid=01CRU&amp;lang=en_US&amp;offset=0&amp;query=any,contains,991004244919702656","Catalog Record")</f>
        <v/>
      </c>
      <c r="AT2298">
        <f>HYPERLINK("http://www.worldcat.org/oclc/54438904","WorldCat Record")</f>
        <v/>
      </c>
      <c r="AU2298" t="inlineStr">
        <is>
          <t>1818:eng</t>
        </is>
      </c>
      <c r="AV2298" t="inlineStr">
        <is>
          <t>54438904</t>
        </is>
      </c>
      <c r="AW2298" t="inlineStr">
        <is>
          <t>991004244919702656</t>
        </is>
      </c>
      <c r="AX2298" t="inlineStr">
        <is>
          <t>991004244919702656</t>
        </is>
      </c>
      <c r="AY2298" t="inlineStr">
        <is>
          <t>2269099590002656</t>
        </is>
      </c>
      <c r="AZ2298" t="inlineStr">
        <is>
          <t>BOOK</t>
        </is>
      </c>
      <c r="BB2298" t="inlineStr">
        <is>
          <t>9781401301156</t>
        </is>
      </c>
      <c r="BC2298" t="inlineStr">
        <is>
          <t>32285004892617</t>
        </is>
      </c>
      <c r="BD2298" t="inlineStr">
        <is>
          <t>893782014</t>
        </is>
      </c>
    </row>
    <row r="2299">
      <c r="A2299" t="inlineStr">
        <is>
          <t>No</t>
        </is>
      </c>
      <c r="B2299" t="inlineStr">
        <is>
          <t>DS79.76 .G335 2006</t>
        </is>
      </c>
      <c r="C2299" t="inlineStr">
        <is>
          <t>0                      DS 0079760G  335         2006</t>
        </is>
      </c>
      <c r="D2299" t="inlineStr">
        <is>
          <t>The end of Iraq : how American incompetence created a war without end / Peter W. Galbraith.</t>
        </is>
      </c>
      <c r="F2299" t="inlineStr">
        <is>
          <t>No</t>
        </is>
      </c>
      <c r="G2299" t="inlineStr">
        <is>
          <t>1</t>
        </is>
      </c>
      <c r="H2299" t="inlineStr">
        <is>
          <t>No</t>
        </is>
      </c>
      <c r="I2299" t="inlineStr">
        <is>
          <t>No</t>
        </is>
      </c>
      <c r="J2299" t="inlineStr">
        <is>
          <t>0</t>
        </is>
      </c>
      <c r="K2299" t="inlineStr">
        <is>
          <t>Galbraith, Peter (Peter W.)</t>
        </is>
      </c>
      <c r="L2299" t="inlineStr">
        <is>
          <t>New York : Simon &amp; Schuster, c2006.</t>
        </is>
      </c>
      <c r="M2299" t="inlineStr">
        <is>
          <t>2006</t>
        </is>
      </c>
      <c r="O2299" t="inlineStr">
        <is>
          <t>eng</t>
        </is>
      </c>
      <c r="P2299" t="inlineStr">
        <is>
          <t>nyu</t>
        </is>
      </c>
      <c r="R2299" t="inlineStr">
        <is>
          <t xml:space="preserve">DS </t>
        </is>
      </c>
      <c r="S2299" t="n">
        <v>3</v>
      </c>
      <c r="T2299" t="n">
        <v>3</v>
      </c>
      <c r="U2299" t="inlineStr">
        <is>
          <t>2006-08-09</t>
        </is>
      </c>
      <c r="V2299" t="inlineStr">
        <is>
          <t>2006-08-09</t>
        </is>
      </c>
      <c r="W2299" t="inlineStr">
        <is>
          <t>2006-07-17</t>
        </is>
      </c>
      <c r="X2299" t="inlineStr">
        <is>
          <t>2006-07-17</t>
        </is>
      </c>
      <c r="Y2299" t="n">
        <v>1420</v>
      </c>
      <c r="Z2299" t="n">
        <v>1305</v>
      </c>
      <c r="AA2299" t="n">
        <v>1386</v>
      </c>
      <c r="AB2299" t="n">
        <v>13</v>
      </c>
      <c r="AC2299" t="n">
        <v>13</v>
      </c>
      <c r="AD2299" t="n">
        <v>34</v>
      </c>
      <c r="AE2299" t="n">
        <v>34</v>
      </c>
      <c r="AF2299" t="n">
        <v>13</v>
      </c>
      <c r="AG2299" t="n">
        <v>13</v>
      </c>
      <c r="AH2299" t="n">
        <v>7</v>
      </c>
      <c r="AI2299" t="n">
        <v>7</v>
      </c>
      <c r="AJ2299" t="n">
        <v>15</v>
      </c>
      <c r="AK2299" t="n">
        <v>15</v>
      </c>
      <c r="AL2299" t="n">
        <v>7</v>
      </c>
      <c r="AM2299" t="n">
        <v>7</v>
      </c>
      <c r="AN2299" t="n">
        <v>0</v>
      </c>
      <c r="AO2299" t="n">
        <v>0</v>
      </c>
      <c r="AP2299" t="inlineStr">
        <is>
          <t>No</t>
        </is>
      </c>
      <c r="AQ2299" t="inlineStr">
        <is>
          <t>Yes</t>
        </is>
      </c>
      <c r="AR2299">
        <f>HYPERLINK("http://catalog.hathitrust.org/Record/005247360","HathiTrust Record")</f>
        <v/>
      </c>
      <c r="AS2299">
        <f>HYPERLINK("https://creighton-primo.hosted.exlibrisgroup.com/primo-explore/search?tab=default_tab&amp;search_scope=EVERYTHING&amp;vid=01CRU&amp;lang=en_US&amp;offset=0&amp;query=any,contains,991004841319702656","Catalog Record")</f>
        <v/>
      </c>
      <c r="AT2299">
        <f>HYPERLINK("http://www.worldcat.org/oclc/69332311","WorldCat Record")</f>
        <v/>
      </c>
      <c r="AU2299" t="inlineStr">
        <is>
          <t>867836697:eng</t>
        </is>
      </c>
      <c r="AV2299" t="inlineStr">
        <is>
          <t>69332311</t>
        </is>
      </c>
      <c r="AW2299" t="inlineStr">
        <is>
          <t>991004841319702656</t>
        </is>
      </c>
      <c r="AX2299" t="inlineStr">
        <is>
          <t>991004841319702656</t>
        </is>
      </c>
      <c r="AY2299" t="inlineStr">
        <is>
          <t>2260997850002656</t>
        </is>
      </c>
      <c r="AZ2299" t="inlineStr">
        <is>
          <t>BOOK</t>
        </is>
      </c>
      <c r="BB2299" t="inlineStr">
        <is>
          <t>9780743294232</t>
        </is>
      </c>
      <c r="BC2299" t="inlineStr">
        <is>
          <t>32285005193866</t>
        </is>
      </c>
      <c r="BD2299" t="inlineStr">
        <is>
          <t>893526581</t>
        </is>
      </c>
    </row>
    <row r="2300">
      <c r="A2300" t="inlineStr">
        <is>
          <t>No</t>
        </is>
      </c>
      <c r="B2300" t="inlineStr">
        <is>
          <t>DS79.76 .G58 2004</t>
        </is>
      </c>
      <c r="C2300" t="inlineStr">
        <is>
          <t>0                      DS 0079760G  58          2004</t>
        </is>
      </c>
      <c r="D2300" t="inlineStr">
        <is>
          <t>Global media go to war : role of news and entertainment media during the 2003 Iraq War / edited by Ralph D. Berenger ; preface by Cees J. Hamelink ; foreword by John C. Merrill ; afterword by Kaarle Nordenstreng.</t>
        </is>
      </c>
      <c r="F2300" t="inlineStr">
        <is>
          <t>No</t>
        </is>
      </c>
      <c r="G2300" t="inlineStr">
        <is>
          <t>1</t>
        </is>
      </c>
      <c r="H2300" t="inlineStr">
        <is>
          <t>No</t>
        </is>
      </c>
      <c r="I2300" t="inlineStr">
        <is>
          <t>No</t>
        </is>
      </c>
      <c r="J2300" t="inlineStr">
        <is>
          <t>0</t>
        </is>
      </c>
      <c r="L2300" t="inlineStr">
        <is>
          <t>Spokane, Wash. : Marquette Books, c2004.</t>
        </is>
      </c>
      <c r="M2300" t="inlineStr">
        <is>
          <t>2004</t>
        </is>
      </c>
      <c r="O2300" t="inlineStr">
        <is>
          <t>eng</t>
        </is>
      </c>
      <c r="P2300" t="inlineStr">
        <is>
          <t>wau</t>
        </is>
      </c>
      <c r="R2300" t="inlineStr">
        <is>
          <t xml:space="preserve">DS </t>
        </is>
      </c>
      <c r="S2300" t="n">
        <v>3</v>
      </c>
      <c r="T2300" t="n">
        <v>3</v>
      </c>
      <c r="U2300" t="inlineStr">
        <is>
          <t>2006-02-13</t>
        </is>
      </c>
      <c r="V2300" t="inlineStr">
        <is>
          <t>2006-02-13</t>
        </is>
      </c>
      <c r="W2300" t="inlineStr">
        <is>
          <t>2006-02-07</t>
        </is>
      </c>
      <c r="X2300" t="inlineStr">
        <is>
          <t>2006-02-07</t>
        </is>
      </c>
      <c r="Y2300" t="n">
        <v>335</v>
      </c>
      <c r="Z2300" t="n">
        <v>268</v>
      </c>
      <c r="AA2300" t="n">
        <v>273</v>
      </c>
      <c r="AB2300" t="n">
        <v>3</v>
      </c>
      <c r="AC2300" t="n">
        <v>3</v>
      </c>
      <c r="AD2300" t="n">
        <v>21</v>
      </c>
      <c r="AE2300" t="n">
        <v>21</v>
      </c>
      <c r="AF2300" t="n">
        <v>10</v>
      </c>
      <c r="AG2300" t="n">
        <v>10</v>
      </c>
      <c r="AH2300" t="n">
        <v>5</v>
      </c>
      <c r="AI2300" t="n">
        <v>5</v>
      </c>
      <c r="AJ2300" t="n">
        <v>10</v>
      </c>
      <c r="AK2300" t="n">
        <v>10</v>
      </c>
      <c r="AL2300" t="n">
        <v>2</v>
      </c>
      <c r="AM2300" t="n">
        <v>2</v>
      </c>
      <c r="AN2300" t="n">
        <v>0</v>
      </c>
      <c r="AO2300" t="n">
        <v>0</v>
      </c>
      <c r="AP2300" t="inlineStr">
        <is>
          <t>No</t>
        </is>
      </c>
      <c r="AQ2300" t="inlineStr">
        <is>
          <t>Yes</t>
        </is>
      </c>
      <c r="AR2300">
        <f>HYPERLINK("http://catalog.hathitrust.org/Record/005086686","HathiTrust Record")</f>
        <v/>
      </c>
      <c r="AS2300">
        <f>HYPERLINK("https://creighton-primo.hosted.exlibrisgroup.com/primo-explore/search?tab=default_tab&amp;search_scope=EVERYTHING&amp;vid=01CRU&amp;lang=en_US&amp;offset=0&amp;query=any,contains,991004725379702656","Catalog Record")</f>
        <v/>
      </c>
      <c r="AT2300">
        <f>HYPERLINK("http://www.worldcat.org/oclc/54966145","WorldCat Record")</f>
        <v/>
      </c>
      <c r="AU2300" t="inlineStr">
        <is>
          <t>1039350:eng</t>
        </is>
      </c>
      <c r="AV2300" t="inlineStr">
        <is>
          <t>54966145</t>
        </is>
      </c>
      <c r="AW2300" t="inlineStr">
        <is>
          <t>991004725379702656</t>
        </is>
      </c>
      <c r="AX2300" t="inlineStr">
        <is>
          <t>991004725379702656</t>
        </is>
      </c>
      <c r="AY2300" t="inlineStr">
        <is>
          <t>2254881820002656</t>
        </is>
      </c>
      <c r="AZ2300" t="inlineStr">
        <is>
          <t>BOOK</t>
        </is>
      </c>
      <c r="BB2300" t="inlineStr">
        <is>
          <t>9780922993109</t>
        </is>
      </c>
      <c r="BC2300" t="inlineStr">
        <is>
          <t>32285005157481</t>
        </is>
      </c>
      <c r="BD2300" t="inlineStr">
        <is>
          <t>893882858</t>
        </is>
      </c>
    </row>
    <row r="2301">
      <c r="A2301" t="inlineStr">
        <is>
          <t>No</t>
        </is>
      </c>
      <c r="B2301" t="inlineStr">
        <is>
          <t>DS79.76 .G67 2006</t>
        </is>
      </c>
      <c r="C2301" t="inlineStr">
        <is>
          <t>0                      DS 0079760G  67          2006</t>
        </is>
      </c>
      <c r="D2301" t="inlineStr">
        <is>
          <t>Cobra II : the inside story of the invasion and occupation of Iraq / Michael R. Gordon and Bernard E. Trainor.</t>
        </is>
      </c>
      <c r="F2301" t="inlineStr">
        <is>
          <t>No</t>
        </is>
      </c>
      <c r="G2301" t="inlineStr">
        <is>
          <t>1</t>
        </is>
      </c>
      <c r="H2301" t="inlineStr">
        <is>
          <t>No</t>
        </is>
      </c>
      <c r="I2301" t="inlineStr">
        <is>
          <t>No</t>
        </is>
      </c>
      <c r="J2301" t="inlineStr">
        <is>
          <t>0</t>
        </is>
      </c>
      <c r="K2301" t="inlineStr">
        <is>
          <t>Gordon, Michael R., 1951-</t>
        </is>
      </c>
      <c r="L2301" t="inlineStr">
        <is>
          <t>New York : Pantheon Books, 2006.</t>
        </is>
      </c>
      <c r="M2301" t="inlineStr">
        <is>
          <t>2006</t>
        </is>
      </c>
      <c r="N2301" t="inlineStr">
        <is>
          <t>1st ed.</t>
        </is>
      </c>
      <c r="O2301" t="inlineStr">
        <is>
          <t>eng</t>
        </is>
      </c>
      <c r="P2301" t="inlineStr">
        <is>
          <t>nyu</t>
        </is>
      </c>
      <c r="R2301" t="inlineStr">
        <is>
          <t xml:space="preserve">DS </t>
        </is>
      </c>
      <c r="S2301" t="n">
        <v>3</v>
      </c>
      <c r="T2301" t="n">
        <v>3</v>
      </c>
      <c r="U2301" t="inlineStr">
        <is>
          <t>2008-03-26</t>
        </is>
      </c>
      <c r="V2301" t="inlineStr">
        <is>
          <t>2008-03-26</t>
        </is>
      </c>
      <c r="W2301" t="inlineStr">
        <is>
          <t>2006-05-11</t>
        </is>
      </c>
      <c r="X2301" t="inlineStr">
        <is>
          <t>2006-05-11</t>
        </is>
      </c>
      <c r="Y2301" t="n">
        <v>2178</v>
      </c>
      <c r="Z2301" t="n">
        <v>2047</v>
      </c>
      <c r="AA2301" t="n">
        <v>2180</v>
      </c>
      <c r="AB2301" t="n">
        <v>22</v>
      </c>
      <c r="AC2301" t="n">
        <v>22</v>
      </c>
      <c r="AD2301" t="n">
        <v>46</v>
      </c>
      <c r="AE2301" t="n">
        <v>50</v>
      </c>
      <c r="AF2301" t="n">
        <v>20</v>
      </c>
      <c r="AG2301" t="n">
        <v>23</v>
      </c>
      <c r="AH2301" t="n">
        <v>8</v>
      </c>
      <c r="AI2301" t="n">
        <v>8</v>
      </c>
      <c r="AJ2301" t="n">
        <v>17</v>
      </c>
      <c r="AK2301" t="n">
        <v>20</v>
      </c>
      <c r="AL2301" t="n">
        <v>7</v>
      </c>
      <c r="AM2301" t="n">
        <v>7</v>
      </c>
      <c r="AN2301" t="n">
        <v>3</v>
      </c>
      <c r="AO2301" t="n">
        <v>3</v>
      </c>
      <c r="AP2301" t="inlineStr">
        <is>
          <t>No</t>
        </is>
      </c>
      <c r="AQ2301" t="inlineStr">
        <is>
          <t>Yes</t>
        </is>
      </c>
      <c r="AR2301">
        <f>HYPERLINK("http://catalog.hathitrust.org/Record/005145454","HathiTrust Record")</f>
        <v/>
      </c>
      <c r="AS2301">
        <f>HYPERLINK("https://creighton-primo.hosted.exlibrisgroup.com/primo-explore/search?tab=default_tab&amp;search_scope=EVERYTHING&amp;vid=01CRU&amp;lang=en_US&amp;offset=0&amp;query=any,contains,991004814609702656","Catalog Record")</f>
        <v/>
      </c>
      <c r="AT2301">
        <f>HYPERLINK("http://www.worldcat.org/oclc/65200842","WorldCat Record")</f>
        <v/>
      </c>
      <c r="AU2301" t="inlineStr">
        <is>
          <t>794224169:eng</t>
        </is>
      </c>
      <c r="AV2301" t="inlineStr">
        <is>
          <t>65200842</t>
        </is>
      </c>
      <c r="AW2301" t="inlineStr">
        <is>
          <t>991004814609702656</t>
        </is>
      </c>
      <c r="AX2301" t="inlineStr">
        <is>
          <t>991004814609702656</t>
        </is>
      </c>
      <c r="AY2301" t="inlineStr">
        <is>
          <t>2264315370002656</t>
        </is>
      </c>
      <c r="AZ2301" t="inlineStr">
        <is>
          <t>BOOK</t>
        </is>
      </c>
      <c r="BB2301" t="inlineStr">
        <is>
          <t>9780375422621</t>
        </is>
      </c>
      <c r="BC2301" t="inlineStr">
        <is>
          <t>32285005186993</t>
        </is>
      </c>
      <c r="BD2301" t="inlineStr">
        <is>
          <t>893882980</t>
        </is>
      </c>
    </row>
    <row r="2302">
      <c r="A2302" t="inlineStr">
        <is>
          <t>No</t>
        </is>
      </c>
      <c r="B2302" t="inlineStr">
        <is>
          <t>DS79.76 .K62 2005</t>
        </is>
      </c>
      <c r="C2302" t="inlineStr">
        <is>
          <t>0                      DS 0079760K  62          2005</t>
        </is>
      </c>
      <c r="D2302" t="inlineStr">
        <is>
          <t>Cradle of conflict : Iraq and the birth of modern U.S. military power / Michael Andrew Knights.</t>
        </is>
      </c>
      <c r="F2302" t="inlineStr">
        <is>
          <t>No</t>
        </is>
      </c>
      <c r="G2302" t="inlineStr">
        <is>
          <t>1</t>
        </is>
      </c>
      <c r="H2302" t="inlineStr">
        <is>
          <t>No</t>
        </is>
      </c>
      <c r="I2302" t="inlineStr">
        <is>
          <t>No</t>
        </is>
      </c>
      <c r="J2302" t="inlineStr">
        <is>
          <t>0</t>
        </is>
      </c>
      <c r="K2302" t="inlineStr">
        <is>
          <t>Knights, Michael.</t>
        </is>
      </c>
      <c r="L2302" t="inlineStr">
        <is>
          <t>Annapolis, Md. : Naval Institute Press, 2005.</t>
        </is>
      </c>
      <c r="M2302" t="inlineStr">
        <is>
          <t>2005</t>
        </is>
      </c>
      <c r="O2302" t="inlineStr">
        <is>
          <t>eng</t>
        </is>
      </c>
      <c r="P2302" t="inlineStr">
        <is>
          <t>mdu</t>
        </is>
      </c>
      <c r="R2302" t="inlineStr">
        <is>
          <t xml:space="preserve">DS </t>
        </is>
      </c>
      <c r="S2302" t="n">
        <v>3</v>
      </c>
      <c r="T2302" t="n">
        <v>3</v>
      </c>
      <c r="U2302" t="inlineStr">
        <is>
          <t>2010-11-28</t>
        </is>
      </c>
      <c r="V2302" t="inlineStr">
        <is>
          <t>2010-11-28</t>
        </is>
      </c>
      <c r="W2302" t="inlineStr">
        <is>
          <t>2006-03-06</t>
        </is>
      </c>
      <c r="X2302" t="inlineStr">
        <is>
          <t>2006-03-06</t>
        </is>
      </c>
      <c r="Y2302" t="n">
        <v>536</v>
      </c>
      <c r="Z2302" t="n">
        <v>481</v>
      </c>
      <c r="AA2302" t="n">
        <v>492</v>
      </c>
      <c r="AB2302" t="n">
        <v>3</v>
      </c>
      <c r="AC2302" t="n">
        <v>3</v>
      </c>
      <c r="AD2302" t="n">
        <v>24</v>
      </c>
      <c r="AE2302" t="n">
        <v>24</v>
      </c>
      <c r="AF2302" t="n">
        <v>13</v>
      </c>
      <c r="AG2302" t="n">
        <v>13</v>
      </c>
      <c r="AH2302" t="n">
        <v>5</v>
      </c>
      <c r="AI2302" t="n">
        <v>5</v>
      </c>
      <c r="AJ2302" t="n">
        <v>11</v>
      </c>
      <c r="AK2302" t="n">
        <v>11</v>
      </c>
      <c r="AL2302" t="n">
        <v>2</v>
      </c>
      <c r="AM2302" t="n">
        <v>2</v>
      </c>
      <c r="AN2302" t="n">
        <v>0</v>
      </c>
      <c r="AO2302" t="n">
        <v>0</v>
      </c>
      <c r="AP2302" t="inlineStr">
        <is>
          <t>No</t>
        </is>
      </c>
      <c r="AQ2302" t="inlineStr">
        <is>
          <t>Yes</t>
        </is>
      </c>
      <c r="AR2302">
        <f>HYPERLINK("http://catalog.hathitrust.org/Record/005097420","HathiTrust Record")</f>
        <v/>
      </c>
      <c r="AS2302">
        <f>HYPERLINK("https://creighton-primo.hosted.exlibrisgroup.com/primo-explore/search?tab=default_tab&amp;search_scope=EVERYTHING&amp;vid=01CRU&amp;lang=en_US&amp;offset=0&amp;query=any,contains,991004759219702656","Catalog Record")</f>
        <v/>
      </c>
      <c r="AT2302">
        <f>HYPERLINK("http://www.worldcat.org/oclc/61151539","WorldCat Record")</f>
        <v/>
      </c>
      <c r="AU2302" t="inlineStr">
        <is>
          <t>796438097:eng</t>
        </is>
      </c>
      <c r="AV2302" t="inlineStr">
        <is>
          <t>61151539</t>
        </is>
      </c>
      <c r="AW2302" t="inlineStr">
        <is>
          <t>991004759219702656</t>
        </is>
      </c>
      <c r="AX2302" t="inlineStr">
        <is>
          <t>991004759219702656</t>
        </is>
      </c>
      <c r="AY2302" t="inlineStr">
        <is>
          <t>2262492030002656</t>
        </is>
      </c>
      <c r="AZ2302" t="inlineStr">
        <is>
          <t>BOOK</t>
        </is>
      </c>
      <c r="BB2302" t="inlineStr">
        <is>
          <t>9781591144441</t>
        </is>
      </c>
      <c r="BC2302" t="inlineStr">
        <is>
          <t>32285005164974</t>
        </is>
      </c>
      <c r="BD2302" t="inlineStr">
        <is>
          <t>893612743</t>
        </is>
      </c>
    </row>
    <row r="2303">
      <c r="A2303" t="inlineStr">
        <is>
          <t>No</t>
        </is>
      </c>
      <c r="B2303" t="inlineStr">
        <is>
          <t>DS79.76 .M39 2006</t>
        </is>
      </c>
      <c r="C2303" t="inlineStr">
        <is>
          <t>0                      DS 0079760M  39          2006</t>
        </is>
      </c>
      <c r="D2303" t="inlineStr">
        <is>
          <t>Out of Iraq : a practical plan for withdrawal now / George S. McGovern and William R. Polk.</t>
        </is>
      </c>
      <c r="F2303" t="inlineStr">
        <is>
          <t>No</t>
        </is>
      </c>
      <c r="G2303" t="inlineStr">
        <is>
          <t>1</t>
        </is>
      </c>
      <c r="H2303" t="inlineStr">
        <is>
          <t>No</t>
        </is>
      </c>
      <c r="I2303" t="inlineStr">
        <is>
          <t>No</t>
        </is>
      </c>
      <c r="J2303" t="inlineStr">
        <is>
          <t>0</t>
        </is>
      </c>
      <c r="K2303" t="inlineStr">
        <is>
          <t>McGovern, George S. (George Stanley), 1922-2012.</t>
        </is>
      </c>
      <c r="L2303" t="inlineStr">
        <is>
          <t>New York : Simon &amp; Schuster Paperbacks, c2006.</t>
        </is>
      </c>
      <c r="M2303" t="inlineStr">
        <is>
          <t>2006</t>
        </is>
      </c>
      <c r="O2303" t="inlineStr">
        <is>
          <t>eng</t>
        </is>
      </c>
      <c r="P2303" t="inlineStr">
        <is>
          <t>nyu</t>
        </is>
      </c>
      <c r="R2303" t="inlineStr">
        <is>
          <t xml:space="preserve">DS </t>
        </is>
      </c>
      <c r="S2303" t="n">
        <v>2</v>
      </c>
      <c r="T2303" t="n">
        <v>2</v>
      </c>
      <c r="U2303" t="inlineStr">
        <is>
          <t>2008-01-21</t>
        </is>
      </c>
      <c r="V2303" t="inlineStr">
        <is>
          <t>2008-01-21</t>
        </is>
      </c>
      <c r="W2303" t="inlineStr">
        <is>
          <t>2008-01-21</t>
        </is>
      </c>
      <c r="X2303" t="inlineStr">
        <is>
          <t>2008-01-21</t>
        </is>
      </c>
      <c r="Y2303" t="n">
        <v>691</v>
      </c>
      <c r="Z2303" t="n">
        <v>653</v>
      </c>
      <c r="AA2303" t="n">
        <v>670</v>
      </c>
      <c r="AB2303" t="n">
        <v>5</v>
      </c>
      <c r="AC2303" t="n">
        <v>5</v>
      </c>
      <c r="AD2303" t="n">
        <v>15</v>
      </c>
      <c r="AE2303" t="n">
        <v>15</v>
      </c>
      <c r="AF2303" t="n">
        <v>5</v>
      </c>
      <c r="AG2303" t="n">
        <v>5</v>
      </c>
      <c r="AH2303" t="n">
        <v>3</v>
      </c>
      <c r="AI2303" t="n">
        <v>3</v>
      </c>
      <c r="AJ2303" t="n">
        <v>6</v>
      </c>
      <c r="AK2303" t="n">
        <v>6</v>
      </c>
      <c r="AL2303" t="n">
        <v>3</v>
      </c>
      <c r="AM2303" t="n">
        <v>3</v>
      </c>
      <c r="AN2303" t="n">
        <v>0</v>
      </c>
      <c r="AO2303" t="n">
        <v>0</v>
      </c>
      <c r="AP2303" t="inlineStr">
        <is>
          <t>No</t>
        </is>
      </c>
      <c r="AQ2303" t="inlineStr">
        <is>
          <t>No</t>
        </is>
      </c>
      <c r="AS2303">
        <f>HYPERLINK("https://creighton-primo.hosted.exlibrisgroup.com/primo-explore/search?tab=default_tab&amp;search_scope=EVERYTHING&amp;vid=01CRU&amp;lang=en_US&amp;offset=0&amp;query=any,contains,991005163839702656","Catalog Record")</f>
        <v/>
      </c>
      <c r="AT2303">
        <f>HYPERLINK("http://www.worldcat.org/oclc/71189936","WorldCat Record")</f>
        <v/>
      </c>
      <c r="AU2303" t="inlineStr">
        <is>
          <t>58166572:eng</t>
        </is>
      </c>
      <c r="AV2303" t="inlineStr">
        <is>
          <t>71189936</t>
        </is>
      </c>
      <c r="AW2303" t="inlineStr">
        <is>
          <t>991005163839702656</t>
        </is>
      </c>
      <c r="AX2303" t="inlineStr">
        <is>
          <t>991005163839702656</t>
        </is>
      </c>
      <c r="AY2303" t="inlineStr">
        <is>
          <t>2263999350002656</t>
        </is>
      </c>
      <c r="AZ2303" t="inlineStr">
        <is>
          <t>BOOK</t>
        </is>
      </c>
      <c r="BB2303" t="inlineStr">
        <is>
          <t>9781416534563</t>
        </is>
      </c>
      <c r="BC2303" t="inlineStr">
        <is>
          <t>32285005379457</t>
        </is>
      </c>
      <c r="BD2303" t="inlineStr">
        <is>
          <t>893613235</t>
        </is>
      </c>
    </row>
    <row r="2304">
      <c r="A2304" t="inlineStr">
        <is>
          <t>No</t>
        </is>
      </c>
      <c r="B2304" t="inlineStr">
        <is>
          <t>DS79.76 .M47 2006</t>
        </is>
      </c>
      <c r="C2304" t="inlineStr">
        <is>
          <t>0                      DS 0079760M  47          2006</t>
        </is>
      </c>
      <c r="D2304" t="inlineStr">
        <is>
          <t>Blood money : wasted billions, lost lives, and corporate greed in Iraq / T. Christian Miller.</t>
        </is>
      </c>
      <c r="F2304" t="inlineStr">
        <is>
          <t>No</t>
        </is>
      </c>
      <c r="G2304" t="inlineStr">
        <is>
          <t>1</t>
        </is>
      </c>
      <c r="H2304" t="inlineStr">
        <is>
          <t>No</t>
        </is>
      </c>
      <c r="I2304" t="inlineStr">
        <is>
          <t>No</t>
        </is>
      </c>
      <c r="J2304" t="inlineStr">
        <is>
          <t>0</t>
        </is>
      </c>
      <c r="K2304" t="inlineStr">
        <is>
          <t>Miller, T. Christian.</t>
        </is>
      </c>
      <c r="L2304" t="inlineStr">
        <is>
          <t>New York : Little, Brown and Company, 2006.</t>
        </is>
      </c>
      <c r="M2304" t="inlineStr">
        <is>
          <t>2006</t>
        </is>
      </c>
      <c r="N2304" t="inlineStr">
        <is>
          <t>1st ed.</t>
        </is>
      </c>
      <c r="O2304" t="inlineStr">
        <is>
          <t>eng</t>
        </is>
      </c>
      <c r="P2304" t="inlineStr">
        <is>
          <t>nyu</t>
        </is>
      </c>
      <c r="R2304" t="inlineStr">
        <is>
          <t xml:space="preserve">DS </t>
        </is>
      </c>
      <c r="S2304" t="n">
        <v>5</v>
      </c>
      <c r="T2304" t="n">
        <v>5</v>
      </c>
      <c r="U2304" t="inlineStr">
        <is>
          <t>2009-09-13</t>
        </is>
      </c>
      <c r="V2304" t="inlineStr">
        <is>
          <t>2009-09-13</t>
        </is>
      </c>
      <c r="W2304" t="inlineStr">
        <is>
          <t>2006-09-05</t>
        </is>
      </c>
      <c r="X2304" t="inlineStr">
        <is>
          <t>2006-09-05</t>
        </is>
      </c>
      <c r="Y2304" t="n">
        <v>908</v>
      </c>
      <c r="Z2304" t="n">
        <v>848</v>
      </c>
      <c r="AA2304" t="n">
        <v>912</v>
      </c>
      <c r="AB2304" t="n">
        <v>4</v>
      </c>
      <c r="AC2304" t="n">
        <v>4</v>
      </c>
      <c r="AD2304" t="n">
        <v>13</v>
      </c>
      <c r="AE2304" t="n">
        <v>14</v>
      </c>
      <c r="AF2304" t="n">
        <v>3</v>
      </c>
      <c r="AG2304" t="n">
        <v>4</v>
      </c>
      <c r="AH2304" t="n">
        <v>5</v>
      </c>
      <c r="AI2304" t="n">
        <v>5</v>
      </c>
      <c r="AJ2304" t="n">
        <v>6</v>
      </c>
      <c r="AK2304" t="n">
        <v>6</v>
      </c>
      <c r="AL2304" t="n">
        <v>2</v>
      </c>
      <c r="AM2304" t="n">
        <v>2</v>
      </c>
      <c r="AN2304" t="n">
        <v>0</v>
      </c>
      <c r="AO2304" t="n">
        <v>0</v>
      </c>
      <c r="AP2304" t="inlineStr">
        <is>
          <t>No</t>
        </is>
      </c>
      <c r="AQ2304" t="inlineStr">
        <is>
          <t>No</t>
        </is>
      </c>
      <c r="AS2304">
        <f>HYPERLINK("https://creighton-primo.hosted.exlibrisgroup.com/primo-explore/search?tab=default_tab&amp;search_scope=EVERYTHING&amp;vid=01CRU&amp;lang=en_US&amp;offset=0&amp;query=any,contains,991004842879702656","Catalog Record")</f>
        <v/>
      </c>
      <c r="AT2304">
        <f>HYPERLINK("http://www.worldcat.org/oclc/68799662","WorldCat Record")</f>
        <v/>
      </c>
      <c r="AU2304" t="inlineStr">
        <is>
          <t>52155301:eng</t>
        </is>
      </c>
      <c r="AV2304" t="inlineStr">
        <is>
          <t>68799662</t>
        </is>
      </c>
      <c r="AW2304" t="inlineStr">
        <is>
          <t>991004842879702656</t>
        </is>
      </c>
      <c r="AX2304" t="inlineStr">
        <is>
          <t>991004842879702656</t>
        </is>
      </c>
      <c r="AY2304" t="inlineStr">
        <is>
          <t>2258245900002656</t>
        </is>
      </c>
      <c r="AZ2304" t="inlineStr">
        <is>
          <t>BOOK</t>
        </is>
      </c>
      <c r="BB2304" t="inlineStr">
        <is>
          <t>9780316166270</t>
        </is>
      </c>
      <c r="BC2304" t="inlineStr">
        <is>
          <t>32285005221667</t>
        </is>
      </c>
      <c r="BD2304" t="inlineStr">
        <is>
          <t>893801418</t>
        </is>
      </c>
    </row>
    <row r="2305">
      <c r="A2305" t="inlineStr">
        <is>
          <t>No</t>
        </is>
      </c>
      <c r="B2305" t="inlineStr">
        <is>
          <t>DS79.76 .M66 2004</t>
        </is>
      </c>
      <c r="C2305" t="inlineStr">
        <is>
          <t>0                      DS 0079760M  66          2004</t>
        </is>
      </c>
      <c r="D2305" t="inlineStr">
        <is>
          <t>Hunting down Saddam : the inside story of the search and capture / Robin Moore.</t>
        </is>
      </c>
      <c r="F2305" t="inlineStr">
        <is>
          <t>No</t>
        </is>
      </c>
      <c r="G2305" t="inlineStr">
        <is>
          <t>1</t>
        </is>
      </c>
      <c r="H2305" t="inlineStr">
        <is>
          <t>No</t>
        </is>
      </c>
      <c r="I2305" t="inlineStr">
        <is>
          <t>No</t>
        </is>
      </c>
      <c r="J2305" t="inlineStr">
        <is>
          <t>0</t>
        </is>
      </c>
      <c r="K2305" t="inlineStr">
        <is>
          <t>Moore, Robin, 1925-2008.</t>
        </is>
      </c>
      <c r="L2305" t="inlineStr">
        <is>
          <t>New York : St. Martin's Press, 2004.</t>
        </is>
      </c>
      <c r="M2305" t="inlineStr">
        <is>
          <t>2004</t>
        </is>
      </c>
      <c r="N2305" t="inlineStr">
        <is>
          <t>1st ed.</t>
        </is>
      </c>
      <c r="O2305" t="inlineStr">
        <is>
          <t>eng</t>
        </is>
      </c>
      <c r="P2305" t="inlineStr">
        <is>
          <t>nyu</t>
        </is>
      </c>
      <c r="R2305" t="inlineStr">
        <is>
          <t xml:space="preserve">DS </t>
        </is>
      </c>
      <c r="S2305" t="n">
        <v>6</v>
      </c>
      <c r="T2305" t="n">
        <v>6</v>
      </c>
      <c r="U2305" t="inlineStr">
        <is>
          <t>2005-10-13</t>
        </is>
      </c>
      <c r="V2305" t="inlineStr">
        <is>
          <t>2005-10-13</t>
        </is>
      </c>
      <c r="W2305" t="inlineStr">
        <is>
          <t>2004-11-01</t>
        </is>
      </c>
      <c r="X2305" t="inlineStr">
        <is>
          <t>2004-11-01</t>
        </is>
      </c>
      <c r="Y2305" t="n">
        <v>787</v>
      </c>
      <c r="Z2305" t="n">
        <v>716</v>
      </c>
      <c r="AA2305" t="n">
        <v>753</v>
      </c>
      <c r="AB2305" t="n">
        <v>6</v>
      </c>
      <c r="AC2305" t="n">
        <v>6</v>
      </c>
      <c r="AD2305" t="n">
        <v>13</v>
      </c>
      <c r="AE2305" t="n">
        <v>14</v>
      </c>
      <c r="AF2305" t="n">
        <v>2</v>
      </c>
      <c r="AG2305" t="n">
        <v>3</v>
      </c>
      <c r="AH2305" t="n">
        <v>6</v>
      </c>
      <c r="AI2305" t="n">
        <v>6</v>
      </c>
      <c r="AJ2305" t="n">
        <v>6</v>
      </c>
      <c r="AK2305" t="n">
        <v>6</v>
      </c>
      <c r="AL2305" t="n">
        <v>2</v>
      </c>
      <c r="AM2305" t="n">
        <v>2</v>
      </c>
      <c r="AN2305" t="n">
        <v>0</v>
      </c>
      <c r="AO2305" t="n">
        <v>0</v>
      </c>
      <c r="AP2305" t="inlineStr">
        <is>
          <t>No</t>
        </is>
      </c>
      <c r="AQ2305" t="inlineStr">
        <is>
          <t>No</t>
        </is>
      </c>
      <c r="AS2305">
        <f>HYPERLINK("https://creighton-primo.hosted.exlibrisgroup.com/primo-explore/search?tab=default_tab&amp;search_scope=EVERYTHING&amp;vid=01CRU&amp;lang=en_US&amp;offset=0&amp;query=any,contains,991004283309702656","Catalog Record")</f>
        <v/>
      </c>
      <c r="AT2305">
        <f>HYPERLINK("http://www.worldcat.org/oclc/54460121","WorldCat Record")</f>
        <v/>
      </c>
      <c r="AU2305" t="inlineStr">
        <is>
          <t>961773711:eng</t>
        </is>
      </c>
      <c r="AV2305" t="inlineStr">
        <is>
          <t>54460121</t>
        </is>
      </c>
      <c r="AW2305" t="inlineStr">
        <is>
          <t>991004283309702656</t>
        </is>
      </c>
      <c r="AX2305" t="inlineStr">
        <is>
          <t>991004283309702656</t>
        </is>
      </c>
      <c r="AY2305" t="inlineStr">
        <is>
          <t>2255579430002656</t>
        </is>
      </c>
      <c r="AZ2305" t="inlineStr">
        <is>
          <t>BOOK</t>
        </is>
      </c>
      <c r="BB2305" t="inlineStr">
        <is>
          <t>9780312329167</t>
        </is>
      </c>
      <c r="BC2305" t="inlineStr">
        <is>
          <t>32285005007470</t>
        </is>
      </c>
      <c r="BD2305" t="inlineStr">
        <is>
          <t>893612167</t>
        </is>
      </c>
    </row>
    <row r="2306">
      <c r="A2306" t="inlineStr">
        <is>
          <t>No</t>
        </is>
      </c>
      <c r="B2306" t="inlineStr">
        <is>
          <t>DS79.76 .P34 2005</t>
        </is>
      </c>
      <c r="C2306" t="inlineStr">
        <is>
          <t>0                      DS 0079760P  34          2005</t>
        </is>
      </c>
      <c r="D2306" t="inlineStr">
        <is>
          <t>Strategic preemption : U.S. foreign policy and the second Iraq war / Robert J. Pauly, Jr., Tom Lansford.</t>
        </is>
      </c>
      <c r="F2306" t="inlineStr">
        <is>
          <t>No</t>
        </is>
      </c>
      <c r="G2306" t="inlineStr">
        <is>
          <t>1</t>
        </is>
      </c>
      <c r="H2306" t="inlineStr">
        <is>
          <t>No</t>
        </is>
      </c>
      <c r="I2306" t="inlineStr">
        <is>
          <t>No</t>
        </is>
      </c>
      <c r="J2306" t="inlineStr">
        <is>
          <t>0</t>
        </is>
      </c>
      <c r="K2306" t="inlineStr">
        <is>
          <t>Pauly, Robert J., 1967-</t>
        </is>
      </c>
      <c r="L2306" t="inlineStr">
        <is>
          <t>Burlington, VT : Ashgate Pub., c2005.</t>
        </is>
      </c>
      <c r="M2306" t="inlineStr">
        <is>
          <t>2004</t>
        </is>
      </c>
      <c r="O2306" t="inlineStr">
        <is>
          <t>eng</t>
        </is>
      </c>
      <c r="P2306" t="inlineStr">
        <is>
          <t>vtu</t>
        </is>
      </c>
      <c r="Q2306" t="inlineStr">
        <is>
          <t>US foreign policy and conflict in the Islamic world</t>
        </is>
      </c>
      <c r="R2306" t="inlineStr">
        <is>
          <t xml:space="preserve">DS </t>
        </is>
      </c>
      <c r="S2306" t="n">
        <v>6</v>
      </c>
      <c r="T2306" t="n">
        <v>6</v>
      </c>
      <c r="U2306" t="inlineStr">
        <is>
          <t>2010-10-14</t>
        </is>
      </c>
      <c r="V2306" t="inlineStr">
        <is>
          <t>2010-10-14</t>
        </is>
      </c>
      <c r="W2306" t="inlineStr">
        <is>
          <t>2006-04-18</t>
        </is>
      </c>
      <c r="X2306" t="inlineStr">
        <is>
          <t>2006-04-18</t>
        </is>
      </c>
      <c r="Y2306" t="n">
        <v>486</v>
      </c>
      <c r="Z2306" t="n">
        <v>440</v>
      </c>
      <c r="AA2306" t="n">
        <v>522</v>
      </c>
      <c r="AB2306" t="n">
        <v>3</v>
      </c>
      <c r="AC2306" t="n">
        <v>4</v>
      </c>
      <c r="AD2306" t="n">
        <v>26</v>
      </c>
      <c r="AE2306" t="n">
        <v>28</v>
      </c>
      <c r="AF2306" t="n">
        <v>14</v>
      </c>
      <c r="AG2306" t="n">
        <v>14</v>
      </c>
      <c r="AH2306" t="n">
        <v>8</v>
      </c>
      <c r="AI2306" t="n">
        <v>8</v>
      </c>
      <c r="AJ2306" t="n">
        <v>10</v>
      </c>
      <c r="AK2306" t="n">
        <v>11</v>
      </c>
      <c r="AL2306" t="n">
        <v>2</v>
      </c>
      <c r="AM2306" t="n">
        <v>3</v>
      </c>
      <c r="AN2306" t="n">
        <v>1</v>
      </c>
      <c r="AO2306" t="n">
        <v>1</v>
      </c>
      <c r="AP2306" t="inlineStr">
        <is>
          <t>No</t>
        </is>
      </c>
      <c r="AQ2306" t="inlineStr">
        <is>
          <t>Yes</t>
        </is>
      </c>
      <c r="AR2306">
        <f>HYPERLINK("http://catalog.hathitrust.org/Record/004945850","HathiTrust Record")</f>
        <v/>
      </c>
      <c r="AS2306">
        <f>HYPERLINK("https://creighton-primo.hosted.exlibrisgroup.com/primo-explore/search?tab=default_tab&amp;search_scope=EVERYTHING&amp;vid=01CRU&amp;lang=en_US&amp;offset=0&amp;query=any,contains,991004772729702656","Catalog Record")</f>
        <v/>
      </c>
      <c r="AT2306">
        <f>HYPERLINK("http://www.worldcat.org/oclc/55502572","WorldCat Record")</f>
        <v/>
      </c>
      <c r="AU2306" t="inlineStr">
        <is>
          <t>1164059:eng</t>
        </is>
      </c>
      <c r="AV2306" t="inlineStr">
        <is>
          <t>55502572</t>
        </is>
      </c>
      <c r="AW2306" t="inlineStr">
        <is>
          <t>991004772729702656</t>
        </is>
      </c>
      <c r="AX2306" t="inlineStr">
        <is>
          <t>991004772729702656</t>
        </is>
      </c>
      <c r="AY2306" t="inlineStr">
        <is>
          <t>2268205670002656</t>
        </is>
      </c>
      <c r="AZ2306" t="inlineStr">
        <is>
          <t>BOOK</t>
        </is>
      </c>
      <c r="BB2306" t="inlineStr">
        <is>
          <t>9780754639756</t>
        </is>
      </c>
      <c r="BC2306" t="inlineStr">
        <is>
          <t>32285005064166</t>
        </is>
      </c>
      <c r="BD2306" t="inlineStr">
        <is>
          <t>893719363</t>
        </is>
      </c>
    </row>
    <row r="2307">
      <c r="A2307" t="inlineStr">
        <is>
          <t>No</t>
        </is>
      </c>
      <c r="B2307" t="inlineStr">
        <is>
          <t>DS79.76 .P87 2003</t>
        </is>
      </c>
      <c r="C2307" t="inlineStr">
        <is>
          <t>0                      DS 0079760P  87          2003</t>
        </is>
      </c>
      <c r="D2307" t="inlineStr">
        <is>
          <t>A time of our choosing : America's war in Iraq / Todd S. Purdum and the staff of the New York times.</t>
        </is>
      </c>
      <c r="F2307" t="inlineStr">
        <is>
          <t>No</t>
        </is>
      </c>
      <c r="G2307" t="inlineStr">
        <is>
          <t>1</t>
        </is>
      </c>
      <c r="H2307" t="inlineStr">
        <is>
          <t>No</t>
        </is>
      </c>
      <c r="I2307" t="inlineStr">
        <is>
          <t>No</t>
        </is>
      </c>
      <c r="J2307" t="inlineStr">
        <is>
          <t>0</t>
        </is>
      </c>
      <c r="K2307" t="inlineStr">
        <is>
          <t>Purdum, Todd S.</t>
        </is>
      </c>
      <c r="L2307" t="inlineStr">
        <is>
          <t>New York : Times Books/Henry Holt, 2003.</t>
        </is>
      </c>
      <c r="M2307" t="inlineStr">
        <is>
          <t>2003</t>
        </is>
      </c>
      <c r="N2307" t="inlineStr">
        <is>
          <t>1st ed.</t>
        </is>
      </c>
      <c r="O2307" t="inlineStr">
        <is>
          <t>eng</t>
        </is>
      </c>
      <c r="P2307" t="inlineStr">
        <is>
          <t>nyu</t>
        </is>
      </c>
      <c r="R2307" t="inlineStr">
        <is>
          <t xml:space="preserve">DS </t>
        </is>
      </c>
      <c r="S2307" t="n">
        <v>4</v>
      </c>
      <c r="T2307" t="n">
        <v>4</v>
      </c>
      <c r="U2307" t="inlineStr">
        <is>
          <t>2007-12-12</t>
        </is>
      </c>
      <c r="V2307" t="inlineStr">
        <is>
          <t>2007-12-12</t>
        </is>
      </c>
      <c r="W2307" t="inlineStr">
        <is>
          <t>2003-12-01</t>
        </is>
      </c>
      <c r="X2307" t="inlineStr">
        <is>
          <t>2003-12-01</t>
        </is>
      </c>
      <c r="Y2307" t="n">
        <v>867</v>
      </c>
      <c r="Z2307" t="n">
        <v>821</v>
      </c>
      <c r="AA2307" t="n">
        <v>855</v>
      </c>
      <c r="AB2307" t="n">
        <v>3</v>
      </c>
      <c r="AC2307" t="n">
        <v>3</v>
      </c>
      <c r="AD2307" t="n">
        <v>23</v>
      </c>
      <c r="AE2307" t="n">
        <v>24</v>
      </c>
      <c r="AF2307" t="n">
        <v>9</v>
      </c>
      <c r="AG2307" t="n">
        <v>9</v>
      </c>
      <c r="AH2307" t="n">
        <v>5</v>
      </c>
      <c r="AI2307" t="n">
        <v>6</v>
      </c>
      <c r="AJ2307" t="n">
        <v>12</v>
      </c>
      <c r="AK2307" t="n">
        <v>12</v>
      </c>
      <c r="AL2307" t="n">
        <v>2</v>
      </c>
      <c r="AM2307" t="n">
        <v>2</v>
      </c>
      <c r="AN2307" t="n">
        <v>1</v>
      </c>
      <c r="AO2307" t="n">
        <v>1</v>
      </c>
      <c r="AP2307" t="inlineStr">
        <is>
          <t>No</t>
        </is>
      </c>
      <c r="AQ2307" t="inlineStr">
        <is>
          <t>No</t>
        </is>
      </c>
      <c r="AS2307">
        <f>HYPERLINK("https://creighton-primo.hosted.exlibrisgroup.com/primo-explore/search?tab=default_tab&amp;search_scope=EVERYTHING&amp;vid=01CRU&amp;lang=en_US&amp;offset=0&amp;query=any,contains,991004183639702656","Catalog Record")</f>
        <v/>
      </c>
      <c r="AT2307">
        <f>HYPERLINK("http://www.worldcat.org/oclc/52901400","WorldCat Record")</f>
        <v/>
      </c>
      <c r="AU2307" t="inlineStr">
        <is>
          <t>783803:eng</t>
        </is>
      </c>
      <c r="AV2307" t="inlineStr">
        <is>
          <t>52901400</t>
        </is>
      </c>
      <c r="AW2307" t="inlineStr">
        <is>
          <t>991004183639702656</t>
        </is>
      </c>
      <c r="AX2307" t="inlineStr">
        <is>
          <t>991004183639702656</t>
        </is>
      </c>
      <c r="AY2307" t="inlineStr">
        <is>
          <t>2260766720002656</t>
        </is>
      </c>
      <c r="AZ2307" t="inlineStr">
        <is>
          <t>BOOK</t>
        </is>
      </c>
      <c r="BB2307" t="inlineStr">
        <is>
          <t>9780805075625</t>
        </is>
      </c>
      <c r="BC2307" t="inlineStr">
        <is>
          <t>32285004843115</t>
        </is>
      </c>
      <c r="BD2307" t="inlineStr">
        <is>
          <t>893325039</t>
        </is>
      </c>
    </row>
    <row r="2308">
      <c r="A2308" t="inlineStr">
        <is>
          <t>No</t>
        </is>
      </c>
      <c r="B2308" t="inlineStr">
        <is>
          <t>DS79.76 .R43 2004</t>
        </is>
      </c>
      <c r="C2308" t="inlineStr">
        <is>
          <t>0                      DS 0079760R  43          2004</t>
        </is>
      </c>
      <c r="D2308" t="inlineStr">
        <is>
          <t>Dark victory : America's second war against Iraq / Jeffrey Record.</t>
        </is>
      </c>
      <c r="F2308" t="inlineStr">
        <is>
          <t>No</t>
        </is>
      </c>
      <c r="G2308" t="inlineStr">
        <is>
          <t>1</t>
        </is>
      </c>
      <c r="H2308" t="inlineStr">
        <is>
          <t>No</t>
        </is>
      </c>
      <c r="I2308" t="inlineStr">
        <is>
          <t>No</t>
        </is>
      </c>
      <c r="J2308" t="inlineStr">
        <is>
          <t>0</t>
        </is>
      </c>
      <c r="K2308" t="inlineStr">
        <is>
          <t>Record, Jeffrey.</t>
        </is>
      </c>
      <c r="L2308" t="inlineStr">
        <is>
          <t>Annapolis, Md. : Naval Institute Press, c2004.</t>
        </is>
      </c>
      <c r="M2308" t="inlineStr">
        <is>
          <t>2004</t>
        </is>
      </c>
      <c r="O2308" t="inlineStr">
        <is>
          <t>eng</t>
        </is>
      </c>
      <c r="P2308" t="inlineStr">
        <is>
          <t>mdu</t>
        </is>
      </c>
      <c r="R2308" t="inlineStr">
        <is>
          <t xml:space="preserve">DS </t>
        </is>
      </c>
      <c r="S2308" t="n">
        <v>6</v>
      </c>
      <c r="T2308" t="n">
        <v>6</v>
      </c>
      <c r="U2308" t="inlineStr">
        <is>
          <t>2005-03-28</t>
        </is>
      </c>
      <c r="V2308" t="inlineStr">
        <is>
          <t>2005-03-28</t>
        </is>
      </c>
      <c r="W2308" t="inlineStr">
        <is>
          <t>2004-07-20</t>
        </is>
      </c>
      <c r="X2308" t="inlineStr">
        <is>
          <t>2004-07-20</t>
        </is>
      </c>
      <c r="Y2308" t="n">
        <v>744</v>
      </c>
      <c r="Z2308" t="n">
        <v>667</v>
      </c>
      <c r="AA2308" t="n">
        <v>673</v>
      </c>
      <c r="AB2308" t="n">
        <v>4</v>
      </c>
      <c r="AC2308" t="n">
        <v>4</v>
      </c>
      <c r="AD2308" t="n">
        <v>36</v>
      </c>
      <c r="AE2308" t="n">
        <v>36</v>
      </c>
      <c r="AF2308" t="n">
        <v>16</v>
      </c>
      <c r="AG2308" t="n">
        <v>16</v>
      </c>
      <c r="AH2308" t="n">
        <v>8</v>
      </c>
      <c r="AI2308" t="n">
        <v>8</v>
      </c>
      <c r="AJ2308" t="n">
        <v>16</v>
      </c>
      <c r="AK2308" t="n">
        <v>16</v>
      </c>
      <c r="AL2308" t="n">
        <v>3</v>
      </c>
      <c r="AM2308" t="n">
        <v>3</v>
      </c>
      <c r="AN2308" t="n">
        <v>1</v>
      </c>
      <c r="AO2308" t="n">
        <v>1</v>
      </c>
      <c r="AP2308" t="inlineStr">
        <is>
          <t>No</t>
        </is>
      </c>
      <c r="AQ2308" t="inlineStr">
        <is>
          <t>Yes</t>
        </is>
      </c>
      <c r="AR2308">
        <f>HYPERLINK("http://catalog.hathitrust.org/Record/004723095","HathiTrust Record")</f>
        <v/>
      </c>
      <c r="AS2308">
        <f>HYPERLINK("https://creighton-primo.hosted.exlibrisgroup.com/primo-explore/search?tab=default_tab&amp;search_scope=EVERYTHING&amp;vid=01CRU&amp;lang=en_US&amp;offset=0&amp;query=any,contains,991004314669702656","Catalog Record")</f>
        <v/>
      </c>
      <c r="AT2308">
        <f>HYPERLINK("http://www.worldcat.org/oclc/53824235","WorldCat Record")</f>
        <v/>
      </c>
      <c r="AU2308" t="inlineStr">
        <is>
          <t>197498028:eng</t>
        </is>
      </c>
      <c r="AV2308" t="inlineStr">
        <is>
          <t>53824235</t>
        </is>
      </c>
      <c r="AW2308" t="inlineStr">
        <is>
          <t>991004314669702656</t>
        </is>
      </c>
      <c r="AX2308" t="inlineStr">
        <is>
          <t>991004314669702656</t>
        </is>
      </c>
      <c r="AY2308" t="inlineStr">
        <is>
          <t>2268900600002656</t>
        </is>
      </c>
      <c r="AZ2308" t="inlineStr">
        <is>
          <t>BOOK</t>
        </is>
      </c>
      <c r="BB2308" t="inlineStr">
        <is>
          <t>9781591147114</t>
        </is>
      </c>
      <c r="BC2308" t="inlineStr">
        <is>
          <t>32285004924170</t>
        </is>
      </c>
      <c r="BD2308" t="inlineStr">
        <is>
          <t>893417473</t>
        </is>
      </c>
    </row>
    <row r="2309">
      <c r="A2309" t="inlineStr">
        <is>
          <t>No</t>
        </is>
      </c>
      <c r="B2309" t="inlineStr">
        <is>
          <t>DS79.76 .S53 2004</t>
        </is>
      </c>
      <c r="C2309" t="inlineStr">
        <is>
          <t>0                      DS 0079760S  53          2004</t>
        </is>
      </c>
      <c r="D2309" t="inlineStr">
        <is>
          <t>Allies : the U.S., Britain, Europe and the war in Iraq / William Shawcross.</t>
        </is>
      </c>
      <c r="F2309" t="inlineStr">
        <is>
          <t>No</t>
        </is>
      </c>
      <c r="G2309" t="inlineStr">
        <is>
          <t>1</t>
        </is>
      </c>
      <c r="H2309" t="inlineStr">
        <is>
          <t>No</t>
        </is>
      </c>
      <c r="I2309" t="inlineStr">
        <is>
          <t>No</t>
        </is>
      </c>
      <c r="J2309" t="inlineStr">
        <is>
          <t>0</t>
        </is>
      </c>
      <c r="K2309" t="inlineStr">
        <is>
          <t>Shawcross, William.</t>
        </is>
      </c>
      <c r="L2309" t="inlineStr">
        <is>
          <t>New York : Public Affairs, c2004.</t>
        </is>
      </c>
      <c r="M2309" t="inlineStr">
        <is>
          <t>2004</t>
        </is>
      </c>
      <c r="O2309" t="inlineStr">
        <is>
          <t>eng</t>
        </is>
      </c>
      <c r="P2309" t="inlineStr">
        <is>
          <t>nyu</t>
        </is>
      </c>
      <c r="R2309" t="inlineStr">
        <is>
          <t xml:space="preserve">DS </t>
        </is>
      </c>
      <c r="S2309" t="n">
        <v>5</v>
      </c>
      <c r="T2309" t="n">
        <v>5</v>
      </c>
      <c r="U2309" t="inlineStr">
        <is>
          <t>2007-11-08</t>
        </is>
      </c>
      <c r="V2309" t="inlineStr">
        <is>
          <t>2007-11-08</t>
        </is>
      </c>
      <c r="W2309" t="inlineStr">
        <is>
          <t>2004-03-08</t>
        </is>
      </c>
      <c r="X2309" t="inlineStr">
        <is>
          <t>2004-03-08</t>
        </is>
      </c>
      <c r="Y2309" t="n">
        <v>626</v>
      </c>
      <c r="Z2309" t="n">
        <v>558</v>
      </c>
      <c r="AA2309" t="n">
        <v>566</v>
      </c>
      <c r="AB2309" t="n">
        <v>4</v>
      </c>
      <c r="AC2309" t="n">
        <v>4</v>
      </c>
      <c r="AD2309" t="n">
        <v>22</v>
      </c>
      <c r="AE2309" t="n">
        <v>22</v>
      </c>
      <c r="AF2309" t="n">
        <v>7</v>
      </c>
      <c r="AG2309" t="n">
        <v>7</v>
      </c>
      <c r="AH2309" t="n">
        <v>3</v>
      </c>
      <c r="AI2309" t="n">
        <v>3</v>
      </c>
      <c r="AJ2309" t="n">
        <v>13</v>
      </c>
      <c r="AK2309" t="n">
        <v>13</v>
      </c>
      <c r="AL2309" t="n">
        <v>3</v>
      </c>
      <c r="AM2309" t="n">
        <v>3</v>
      </c>
      <c r="AN2309" t="n">
        <v>0</v>
      </c>
      <c r="AO2309" t="n">
        <v>0</v>
      </c>
      <c r="AP2309" t="inlineStr">
        <is>
          <t>No</t>
        </is>
      </c>
      <c r="AQ2309" t="inlineStr">
        <is>
          <t>No</t>
        </is>
      </c>
      <c r="AS2309">
        <f>HYPERLINK("https://creighton-primo.hosted.exlibrisgroup.com/primo-explore/search?tab=default_tab&amp;search_scope=EVERYTHING&amp;vid=01CRU&amp;lang=en_US&amp;offset=0&amp;query=any,contains,991004244749702656","Catalog Record")</f>
        <v/>
      </c>
      <c r="AT2309">
        <f>HYPERLINK("http://www.worldcat.org/oclc/53442992","WorldCat Record")</f>
        <v/>
      </c>
      <c r="AU2309" t="inlineStr">
        <is>
          <t>796761:eng</t>
        </is>
      </c>
      <c r="AV2309" t="inlineStr">
        <is>
          <t>53442992</t>
        </is>
      </c>
      <c r="AW2309" t="inlineStr">
        <is>
          <t>991004244749702656</t>
        </is>
      </c>
      <c r="AX2309" t="inlineStr">
        <is>
          <t>991004244749702656</t>
        </is>
      </c>
      <c r="AY2309" t="inlineStr">
        <is>
          <t>2272367160002656</t>
        </is>
      </c>
      <c r="AZ2309" t="inlineStr">
        <is>
          <t>BOOK</t>
        </is>
      </c>
      <c r="BB2309" t="inlineStr">
        <is>
          <t>9781586482169</t>
        </is>
      </c>
      <c r="BC2309" t="inlineStr">
        <is>
          <t>32285004892765</t>
        </is>
      </c>
      <c r="BD2309" t="inlineStr">
        <is>
          <t>893712324</t>
        </is>
      </c>
    </row>
    <row r="2310">
      <c r="A2310" t="inlineStr">
        <is>
          <t>No</t>
        </is>
      </c>
      <c r="B2310" t="inlineStr">
        <is>
          <t>DS79.76 .S6315 2009</t>
        </is>
      </c>
      <c r="C2310" t="inlineStr">
        <is>
          <t>0                      DS 0079760S  6315        2009</t>
        </is>
      </c>
      <c r="D2310" t="inlineStr">
        <is>
          <t>What after Iraq? / Donald M. Snow.</t>
        </is>
      </c>
      <c r="F2310" t="inlineStr">
        <is>
          <t>No</t>
        </is>
      </c>
      <c r="G2310" t="inlineStr">
        <is>
          <t>1</t>
        </is>
      </c>
      <c r="H2310" t="inlineStr">
        <is>
          <t>No</t>
        </is>
      </c>
      <c r="I2310" t="inlineStr">
        <is>
          <t>No</t>
        </is>
      </c>
      <c r="J2310" t="inlineStr">
        <is>
          <t>0</t>
        </is>
      </c>
      <c r="K2310" t="inlineStr">
        <is>
          <t>Snow, Donald M., 1943-</t>
        </is>
      </c>
      <c r="L2310" t="inlineStr">
        <is>
          <t>New York : Pearson/Longman, c2009.</t>
        </is>
      </c>
      <c r="M2310" t="inlineStr">
        <is>
          <t>2009</t>
        </is>
      </c>
      <c r="O2310" t="inlineStr">
        <is>
          <t>eng</t>
        </is>
      </c>
      <c r="P2310" t="inlineStr">
        <is>
          <t>nyu</t>
        </is>
      </c>
      <c r="R2310" t="inlineStr">
        <is>
          <t xml:space="preserve">DS </t>
        </is>
      </c>
      <c r="S2310" t="n">
        <v>2</v>
      </c>
      <c r="T2310" t="n">
        <v>2</v>
      </c>
      <c r="U2310" t="inlineStr">
        <is>
          <t>2009-10-06</t>
        </is>
      </c>
      <c r="V2310" t="inlineStr">
        <is>
          <t>2009-10-06</t>
        </is>
      </c>
      <c r="W2310" t="inlineStr">
        <is>
          <t>2009-10-06</t>
        </is>
      </c>
      <c r="X2310" t="inlineStr">
        <is>
          <t>2009-10-06</t>
        </is>
      </c>
      <c r="Y2310" t="n">
        <v>261</v>
      </c>
      <c r="Z2310" t="n">
        <v>235</v>
      </c>
      <c r="AA2310" t="n">
        <v>236</v>
      </c>
      <c r="AB2310" t="n">
        <v>2</v>
      </c>
      <c r="AC2310" t="n">
        <v>2</v>
      </c>
      <c r="AD2310" t="n">
        <v>9</v>
      </c>
      <c r="AE2310" t="n">
        <v>9</v>
      </c>
      <c r="AF2310" t="n">
        <v>4</v>
      </c>
      <c r="AG2310" t="n">
        <v>4</v>
      </c>
      <c r="AH2310" t="n">
        <v>2</v>
      </c>
      <c r="AI2310" t="n">
        <v>2</v>
      </c>
      <c r="AJ2310" t="n">
        <v>6</v>
      </c>
      <c r="AK2310" t="n">
        <v>6</v>
      </c>
      <c r="AL2310" t="n">
        <v>1</v>
      </c>
      <c r="AM2310" t="n">
        <v>1</v>
      </c>
      <c r="AN2310" t="n">
        <v>0</v>
      </c>
      <c r="AO2310" t="n">
        <v>0</v>
      </c>
      <c r="AP2310" t="inlineStr">
        <is>
          <t>No</t>
        </is>
      </c>
      <c r="AQ2310" t="inlineStr">
        <is>
          <t>No</t>
        </is>
      </c>
      <c r="AS2310">
        <f>HYPERLINK("https://creighton-primo.hosted.exlibrisgroup.com/primo-explore/search?tab=default_tab&amp;search_scope=EVERYTHING&amp;vid=01CRU&amp;lang=en_US&amp;offset=0&amp;query=any,contains,991005333219702656","Catalog Record")</f>
        <v/>
      </c>
      <c r="AT2310">
        <f>HYPERLINK("http://www.worldcat.org/oclc/232002294","WorldCat Record")</f>
        <v/>
      </c>
      <c r="AU2310" t="inlineStr">
        <is>
          <t>137026259:eng</t>
        </is>
      </c>
      <c r="AV2310" t="inlineStr">
        <is>
          <t>232002294</t>
        </is>
      </c>
      <c r="AW2310" t="inlineStr">
        <is>
          <t>991005333219702656</t>
        </is>
      </c>
      <c r="AX2310" t="inlineStr">
        <is>
          <t>991005333219702656</t>
        </is>
      </c>
      <c r="AY2310" t="inlineStr">
        <is>
          <t>2269256650002656</t>
        </is>
      </c>
      <c r="AZ2310" t="inlineStr">
        <is>
          <t>BOOK</t>
        </is>
      </c>
      <c r="BB2310" t="inlineStr">
        <is>
          <t>9780205642847</t>
        </is>
      </c>
      <c r="BC2310" t="inlineStr">
        <is>
          <t>32285005546782</t>
        </is>
      </c>
      <c r="BD2310" t="inlineStr">
        <is>
          <t>893607218</t>
        </is>
      </c>
    </row>
    <row r="2311">
      <c r="A2311" t="inlineStr">
        <is>
          <t>No</t>
        </is>
      </c>
      <c r="B2311" t="inlineStr">
        <is>
          <t>DS79.76 .S698 2008</t>
        </is>
      </c>
      <c r="C2311" t="inlineStr">
        <is>
          <t>0                      DS 0079760S  698         2008</t>
        </is>
      </c>
      <c r="D2311" t="inlineStr">
        <is>
          <t>The three trillion dollar war : the true cost of the Iraq Conflict / Joseph E. Stiglitz and Linda J. Bilmes.</t>
        </is>
      </c>
      <c r="F2311" t="inlineStr">
        <is>
          <t>No</t>
        </is>
      </c>
      <c r="G2311" t="inlineStr">
        <is>
          <t>1</t>
        </is>
      </c>
      <c r="H2311" t="inlineStr">
        <is>
          <t>No</t>
        </is>
      </c>
      <c r="I2311" t="inlineStr">
        <is>
          <t>No</t>
        </is>
      </c>
      <c r="J2311" t="inlineStr">
        <is>
          <t>0</t>
        </is>
      </c>
      <c r="K2311" t="inlineStr">
        <is>
          <t>Stiglitz, Joseph E.</t>
        </is>
      </c>
      <c r="L2311" t="inlineStr">
        <is>
          <t>New York : W.W. Norton, c2008.</t>
        </is>
      </c>
      <c r="M2311" t="inlineStr">
        <is>
          <t>2008</t>
        </is>
      </c>
      <c r="N2311" t="inlineStr">
        <is>
          <t>1st ed.</t>
        </is>
      </c>
      <c r="O2311" t="inlineStr">
        <is>
          <t>eng</t>
        </is>
      </c>
      <c r="P2311" t="inlineStr">
        <is>
          <t>nyu</t>
        </is>
      </c>
      <c r="R2311" t="inlineStr">
        <is>
          <t xml:space="preserve">DS </t>
        </is>
      </c>
      <c r="S2311" t="n">
        <v>4</v>
      </c>
      <c r="T2311" t="n">
        <v>4</v>
      </c>
      <c r="U2311" t="inlineStr">
        <is>
          <t>2010-03-05</t>
        </is>
      </c>
      <c r="V2311" t="inlineStr">
        <is>
          <t>2010-03-05</t>
        </is>
      </c>
      <c r="W2311" t="inlineStr">
        <is>
          <t>2008-03-19</t>
        </is>
      </c>
      <c r="X2311" t="inlineStr">
        <is>
          <t>2008-03-19</t>
        </is>
      </c>
      <c r="Y2311" t="n">
        <v>1265</v>
      </c>
      <c r="Z2311" t="n">
        <v>1133</v>
      </c>
      <c r="AA2311" t="n">
        <v>1253</v>
      </c>
      <c r="AB2311" t="n">
        <v>9</v>
      </c>
      <c r="AC2311" t="n">
        <v>10</v>
      </c>
      <c r="AD2311" t="n">
        <v>27</v>
      </c>
      <c r="AE2311" t="n">
        <v>31</v>
      </c>
      <c r="AF2311" t="n">
        <v>10</v>
      </c>
      <c r="AG2311" t="n">
        <v>12</v>
      </c>
      <c r="AH2311" t="n">
        <v>4</v>
      </c>
      <c r="AI2311" t="n">
        <v>5</v>
      </c>
      <c r="AJ2311" t="n">
        <v>14</v>
      </c>
      <c r="AK2311" t="n">
        <v>16</v>
      </c>
      <c r="AL2311" t="n">
        <v>4</v>
      </c>
      <c r="AM2311" t="n">
        <v>5</v>
      </c>
      <c r="AN2311" t="n">
        <v>0</v>
      </c>
      <c r="AO2311" t="n">
        <v>0</v>
      </c>
      <c r="AP2311" t="inlineStr">
        <is>
          <t>No</t>
        </is>
      </c>
      <c r="AQ2311" t="inlineStr">
        <is>
          <t>No</t>
        </is>
      </c>
      <c r="AS2311">
        <f>HYPERLINK("https://creighton-primo.hosted.exlibrisgroup.com/primo-explore/search?tab=default_tab&amp;search_scope=EVERYTHING&amp;vid=01CRU&amp;lang=en_US&amp;offset=0&amp;query=any,contains,991005190779702656","Catalog Record")</f>
        <v/>
      </c>
      <c r="AT2311">
        <f>HYPERLINK("http://www.worldcat.org/oclc/181139407","WorldCat Record")</f>
        <v/>
      </c>
      <c r="AU2311" t="inlineStr">
        <is>
          <t>691840519:eng</t>
        </is>
      </c>
      <c r="AV2311" t="inlineStr">
        <is>
          <t>181139407</t>
        </is>
      </c>
      <c r="AW2311" t="inlineStr">
        <is>
          <t>991005190779702656</t>
        </is>
      </c>
      <c r="AX2311" t="inlineStr">
        <is>
          <t>991005190779702656</t>
        </is>
      </c>
      <c r="AY2311" t="inlineStr">
        <is>
          <t>2264955860002656</t>
        </is>
      </c>
      <c r="AZ2311" t="inlineStr">
        <is>
          <t>BOOK</t>
        </is>
      </c>
      <c r="BB2311" t="inlineStr">
        <is>
          <t>9780393067019</t>
        </is>
      </c>
      <c r="BC2311" t="inlineStr">
        <is>
          <t>32285005397756</t>
        </is>
      </c>
      <c r="BD2311" t="inlineStr">
        <is>
          <t>893236445</t>
        </is>
      </c>
    </row>
    <row r="2312">
      <c r="A2312" t="inlineStr">
        <is>
          <t>No</t>
        </is>
      </c>
      <c r="B2312" t="inlineStr">
        <is>
          <t>DS79.76 .S954 2005</t>
        </is>
      </c>
      <c r="C2312" t="inlineStr">
        <is>
          <t>0                      DS 0079760S  954         2005</t>
        </is>
      </c>
      <c r="D2312" t="inlineStr">
        <is>
          <t>Reporting from the front : the media and the military / Judith Sylvester and Suzanne Huffman.</t>
        </is>
      </c>
      <c r="F2312" t="inlineStr">
        <is>
          <t>No</t>
        </is>
      </c>
      <c r="G2312" t="inlineStr">
        <is>
          <t>1</t>
        </is>
      </c>
      <c r="H2312" t="inlineStr">
        <is>
          <t>No</t>
        </is>
      </c>
      <c r="I2312" t="inlineStr">
        <is>
          <t>No</t>
        </is>
      </c>
      <c r="J2312" t="inlineStr">
        <is>
          <t>0</t>
        </is>
      </c>
      <c r="K2312" t="inlineStr">
        <is>
          <t>Sylvester, Judith L., 1952-</t>
        </is>
      </c>
      <c r="L2312" t="inlineStr">
        <is>
          <t>Lanham, MD : Rowman &amp; Littlefield, c2005.</t>
        </is>
      </c>
      <c r="M2312" t="inlineStr">
        <is>
          <t>2005</t>
        </is>
      </c>
      <c r="O2312" t="inlineStr">
        <is>
          <t>eng</t>
        </is>
      </c>
      <c r="P2312" t="inlineStr">
        <is>
          <t>mdu</t>
        </is>
      </c>
      <c r="R2312" t="inlineStr">
        <is>
          <t xml:space="preserve">DS </t>
        </is>
      </c>
      <c r="S2312" t="n">
        <v>2</v>
      </c>
      <c r="T2312" t="n">
        <v>2</v>
      </c>
      <c r="U2312" t="inlineStr">
        <is>
          <t>2005-02-18</t>
        </is>
      </c>
      <c r="V2312" t="inlineStr">
        <is>
          <t>2005-02-18</t>
        </is>
      </c>
      <c r="W2312" t="inlineStr">
        <is>
          <t>2005-01-17</t>
        </is>
      </c>
      <c r="X2312" t="inlineStr">
        <is>
          <t>2005-01-17</t>
        </is>
      </c>
      <c r="Y2312" t="n">
        <v>545</v>
      </c>
      <c r="Z2312" t="n">
        <v>456</v>
      </c>
      <c r="AA2312" t="n">
        <v>459</v>
      </c>
      <c r="AB2312" t="n">
        <v>5</v>
      </c>
      <c r="AC2312" t="n">
        <v>5</v>
      </c>
      <c r="AD2312" t="n">
        <v>26</v>
      </c>
      <c r="AE2312" t="n">
        <v>26</v>
      </c>
      <c r="AF2312" t="n">
        <v>12</v>
      </c>
      <c r="AG2312" t="n">
        <v>12</v>
      </c>
      <c r="AH2312" t="n">
        <v>5</v>
      </c>
      <c r="AI2312" t="n">
        <v>5</v>
      </c>
      <c r="AJ2312" t="n">
        <v>10</v>
      </c>
      <c r="AK2312" t="n">
        <v>10</v>
      </c>
      <c r="AL2312" t="n">
        <v>4</v>
      </c>
      <c r="AM2312" t="n">
        <v>4</v>
      </c>
      <c r="AN2312" t="n">
        <v>0</v>
      </c>
      <c r="AO2312" t="n">
        <v>0</v>
      </c>
      <c r="AP2312" t="inlineStr">
        <is>
          <t>No</t>
        </is>
      </c>
      <c r="AQ2312" t="inlineStr">
        <is>
          <t>Yes</t>
        </is>
      </c>
      <c r="AR2312">
        <f>HYPERLINK("http://catalog.hathitrust.org/Record/009929843","HathiTrust Record")</f>
        <v/>
      </c>
      <c r="AS2312">
        <f>HYPERLINK("https://creighton-primo.hosted.exlibrisgroup.com/primo-explore/search?tab=default_tab&amp;search_scope=EVERYTHING&amp;vid=01CRU&amp;lang=en_US&amp;offset=0&amp;query=any,contains,991004440279702656","Catalog Record")</f>
        <v/>
      </c>
      <c r="AT2312">
        <f>HYPERLINK("http://www.worldcat.org/oclc/55220254","WorldCat Record")</f>
        <v/>
      </c>
      <c r="AU2312" t="inlineStr">
        <is>
          <t>796820162:eng</t>
        </is>
      </c>
      <c r="AV2312" t="inlineStr">
        <is>
          <t>55220254</t>
        </is>
      </c>
      <c r="AW2312" t="inlineStr">
        <is>
          <t>991004440279702656</t>
        </is>
      </c>
      <c r="AX2312" t="inlineStr">
        <is>
          <t>991004440279702656</t>
        </is>
      </c>
      <c r="AY2312" t="inlineStr">
        <is>
          <t>2255336110002656</t>
        </is>
      </c>
      <c r="AZ2312" t="inlineStr">
        <is>
          <t>BOOK</t>
        </is>
      </c>
      <c r="BB2312" t="inlineStr">
        <is>
          <t>9780742530591</t>
        </is>
      </c>
      <c r="BC2312" t="inlineStr">
        <is>
          <t>32285005021265</t>
        </is>
      </c>
      <c r="BD2312" t="inlineStr">
        <is>
          <t>893712601</t>
        </is>
      </c>
    </row>
    <row r="2313">
      <c r="A2313" t="inlineStr">
        <is>
          <t>No</t>
        </is>
      </c>
      <c r="B2313" t="inlineStr">
        <is>
          <t>DS79.76 .W55 2004</t>
        </is>
      </c>
      <c r="C2313" t="inlineStr">
        <is>
          <t>0                      DS 0079760W  55          2004</t>
        </is>
      </c>
      <c r="D2313" t="inlineStr">
        <is>
          <t>Will they ever trust us again? : letters from the war zone / Michael Moore.</t>
        </is>
      </c>
      <c r="F2313" t="inlineStr">
        <is>
          <t>No</t>
        </is>
      </c>
      <c r="G2313" t="inlineStr">
        <is>
          <t>1</t>
        </is>
      </c>
      <c r="H2313" t="inlineStr">
        <is>
          <t>No</t>
        </is>
      </c>
      <c r="I2313" t="inlineStr">
        <is>
          <t>No</t>
        </is>
      </c>
      <c r="J2313" t="inlineStr">
        <is>
          <t>0</t>
        </is>
      </c>
      <c r="L2313" t="inlineStr">
        <is>
          <t>New York : Simon &amp; Schuster, c2004.</t>
        </is>
      </c>
      <c r="M2313" t="inlineStr">
        <is>
          <t>2004</t>
        </is>
      </c>
      <c r="O2313" t="inlineStr">
        <is>
          <t>eng</t>
        </is>
      </c>
      <c r="P2313" t="inlineStr">
        <is>
          <t>nyu</t>
        </is>
      </c>
      <c r="R2313" t="inlineStr">
        <is>
          <t xml:space="preserve">DS </t>
        </is>
      </c>
      <c r="S2313" t="n">
        <v>1</v>
      </c>
      <c r="T2313" t="n">
        <v>1</v>
      </c>
      <c r="U2313" t="inlineStr">
        <is>
          <t>2004-11-09</t>
        </is>
      </c>
      <c r="V2313" t="inlineStr">
        <is>
          <t>2004-11-09</t>
        </is>
      </c>
      <c r="W2313" t="inlineStr">
        <is>
          <t>2004-11-09</t>
        </is>
      </c>
      <c r="X2313" t="inlineStr">
        <is>
          <t>2004-11-09</t>
        </is>
      </c>
      <c r="Y2313" t="n">
        <v>1153</v>
      </c>
      <c r="Z2313" t="n">
        <v>1074</v>
      </c>
      <c r="AA2313" t="n">
        <v>1103</v>
      </c>
      <c r="AB2313" t="n">
        <v>6</v>
      </c>
      <c r="AC2313" t="n">
        <v>6</v>
      </c>
      <c r="AD2313" t="n">
        <v>18</v>
      </c>
      <c r="AE2313" t="n">
        <v>18</v>
      </c>
      <c r="AF2313" t="n">
        <v>5</v>
      </c>
      <c r="AG2313" t="n">
        <v>5</v>
      </c>
      <c r="AH2313" t="n">
        <v>5</v>
      </c>
      <c r="AI2313" t="n">
        <v>5</v>
      </c>
      <c r="AJ2313" t="n">
        <v>10</v>
      </c>
      <c r="AK2313" t="n">
        <v>10</v>
      </c>
      <c r="AL2313" t="n">
        <v>2</v>
      </c>
      <c r="AM2313" t="n">
        <v>2</v>
      </c>
      <c r="AN2313" t="n">
        <v>1</v>
      </c>
      <c r="AO2313" t="n">
        <v>1</v>
      </c>
      <c r="AP2313" t="inlineStr">
        <is>
          <t>No</t>
        </is>
      </c>
      <c r="AQ2313" t="inlineStr">
        <is>
          <t>Yes</t>
        </is>
      </c>
      <c r="AR2313">
        <f>HYPERLINK("http://catalog.hathitrust.org/Record/004768810","HathiTrust Record")</f>
        <v/>
      </c>
      <c r="AS2313">
        <f>HYPERLINK("https://creighton-primo.hosted.exlibrisgroup.com/primo-explore/search?tab=default_tab&amp;search_scope=EVERYTHING&amp;vid=01CRU&amp;lang=en_US&amp;offset=0&amp;query=any,contains,991004413059702656","Catalog Record")</f>
        <v/>
      </c>
      <c r="AT2313">
        <f>HYPERLINK("http://www.worldcat.org/oclc/56531274","WorldCat Record")</f>
        <v/>
      </c>
      <c r="AU2313" t="inlineStr">
        <is>
          <t>326301021:eng</t>
        </is>
      </c>
      <c r="AV2313" t="inlineStr">
        <is>
          <t>56531274</t>
        </is>
      </c>
      <c r="AW2313" t="inlineStr">
        <is>
          <t>991004413059702656</t>
        </is>
      </c>
      <c r="AX2313" t="inlineStr">
        <is>
          <t>991004413059702656</t>
        </is>
      </c>
      <c r="AY2313" t="inlineStr">
        <is>
          <t>2259948530002656</t>
        </is>
      </c>
      <c r="AZ2313" t="inlineStr">
        <is>
          <t>BOOK</t>
        </is>
      </c>
      <c r="BB2313" t="inlineStr">
        <is>
          <t>9780743271523</t>
        </is>
      </c>
      <c r="BC2313" t="inlineStr">
        <is>
          <t>32285005009823</t>
        </is>
      </c>
      <c r="BD2313" t="inlineStr">
        <is>
          <t>893612320</t>
        </is>
      </c>
    </row>
    <row r="2314">
      <c r="A2314" t="inlineStr">
        <is>
          <t>No</t>
        </is>
      </c>
      <c r="B2314" t="inlineStr">
        <is>
          <t>DS79.762 .U54 2005</t>
        </is>
      </c>
      <c r="C2314" t="inlineStr">
        <is>
          <t>0                      DS 0079762U  54          2005</t>
        </is>
      </c>
      <c r="D2314" t="inlineStr">
        <is>
          <t>Unembedded : four independent photojournalists on the war in Iraq / Ghaith Abdul-Ahad ... [et al.] ; foreword by Philip Jones Griffiths ; introduction by Phillip Robertson.</t>
        </is>
      </c>
      <c r="F2314" t="inlineStr">
        <is>
          <t>No</t>
        </is>
      </c>
      <c r="G2314" t="inlineStr">
        <is>
          <t>1</t>
        </is>
      </c>
      <c r="H2314" t="inlineStr">
        <is>
          <t>No</t>
        </is>
      </c>
      <c r="I2314" t="inlineStr">
        <is>
          <t>No</t>
        </is>
      </c>
      <c r="J2314" t="inlineStr">
        <is>
          <t>0</t>
        </is>
      </c>
      <c r="L2314" t="inlineStr">
        <is>
          <t>White River Junction, Vt. : Chelsea Green Pub. Company, c2005.</t>
        </is>
      </c>
      <c r="M2314" t="inlineStr">
        <is>
          <t>2005</t>
        </is>
      </c>
      <c r="O2314" t="inlineStr">
        <is>
          <t>eng</t>
        </is>
      </c>
      <c r="P2314" t="inlineStr">
        <is>
          <t>vtu</t>
        </is>
      </c>
      <c r="R2314" t="inlineStr">
        <is>
          <t xml:space="preserve">DS </t>
        </is>
      </c>
      <c r="S2314" t="n">
        <v>4</v>
      </c>
      <c r="T2314" t="n">
        <v>4</v>
      </c>
      <c r="U2314" t="inlineStr">
        <is>
          <t>2006-06-13</t>
        </is>
      </c>
      <c r="V2314" t="inlineStr">
        <is>
          <t>2006-06-13</t>
        </is>
      </c>
      <c r="W2314" t="inlineStr">
        <is>
          <t>2006-02-28</t>
        </is>
      </c>
      <c r="X2314" t="inlineStr">
        <is>
          <t>2006-02-28</t>
        </is>
      </c>
      <c r="Y2314" t="n">
        <v>604</v>
      </c>
      <c r="Z2314" t="n">
        <v>561</v>
      </c>
      <c r="AA2314" t="n">
        <v>568</v>
      </c>
      <c r="AB2314" t="n">
        <v>3</v>
      </c>
      <c r="AC2314" t="n">
        <v>3</v>
      </c>
      <c r="AD2314" t="n">
        <v>21</v>
      </c>
      <c r="AE2314" t="n">
        <v>21</v>
      </c>
      <c r="AF2314" t="n">
        <v>9</v>
      </c>
      <c r="AG2314" t="n">
        <v>9</v>
      </c>
      <c r="AH2314" t="n">
        <v>6</v>
      </c>
      <c r="AI2314" t="n">
        <v>6</v>
      </c>
      <c r="AJ2314" t="n">
        <v>10</v>
      </c>
      <c r="AK2314" t="n">
        <v>10</v>
      </c>
      <c r="AL2314" t="n">
        <v>2</v>
      </c>
      <c r="AM2314" t="n">
        <v>2</v>
      </c>
      <c r="AN2314" t="n">
        <v>0</v>
      </c>
      <c r="AO2314" t="n">
        <v>0</v>
      </c>
      <c r="AP2314" t="inlineStr">
        <is>
          <t>No</t>
        </is>
      </c>
      <c r="AQ2314" t="inlineStr">
        <is>
          <t>Yes</t>
        </is>
      </c>
      <c r="AR2314">
        <f>HYPERLINK("http://catalog.hathitrust.org/Record/005103837","HathiTrust Record")</f>
        <v/>
      </c>
      <c r="AS2314">
        <f>HYPERLINK("https://creighton-primo.hosted.exlibrisgroup.com/primo-explore/search?tab=default_tab&amp;search_scope=EVERYTHING&amp;vid=01CRU&amp;lang=en_US&amp;offset=0&amp;query=any,contains,991004754169702656","Catalog Record")</f>
        <v/>
      </c>
      <c r="AT2314">
        <f>HYPERLINK("http://www.worldcat.org/oclc/61204414","WorldCat Record")</f>
        <v/>
      </c>
      <c r="AU2314" t="inlineStr">
        <is>
          <t>1151858:eng</t>
        </is>
      </c>
      <c r="AV2314" t="inlineStr">
        <is>
          <t>61204414</t>
        </is>
      </c>
      <c r="AW2314" t="inlineStr">
        <is>
          <t>991004754169702656</t>
        </is>
      </c>
      <c r="AX2314" t="inlineStr">
        <is>
          <t>991004754169702656</t>
        </is>
      </c>
      <c r="AY2314" t="inlineStr">
        <is>
          <t>2261010430002656</t>
        </is>
      </c>
      <c r="AZ2314" t="inlineStr">
        <is>
          <t>BOOK</t>
        </is>
      </c>
      <c r="BB2314" t="inlineStr">
        <is>
          <t>9781931498951</t>
        </is>
      </c>
      <c r="BC2314" t="inlineStr">
        <is>
          <t>32285005164156</t>
        </is>
      </c>
      <c r="BD2314" t="inlineStr">
        <is>
          <t>893789054</t>
        </is>
      </c>
    </row>
    <row r="2315">
      <c r="A2315" t="inlineStr">
        <is>
          <t>No</t>
        </is>
      </c>
      <c r="B2315" t="inlineStr">
        <is>
          <t>DS79.764.U6 A85 2004</t>
        </is>
      </c>
      <c r="C2315" t="inlineStr">
        <is>
          <t>0                      DS 0079764U  6                  A  85          2004</t>
        </is>
      </c>
      <c r="D2315" t="inlineStr">
        <is>
          <t>In the company of soldiers : a chronicle of combat / Rick Atkinson.</t>
        </is>
      </c>
      <c r="F2315" t="inlineStr">
        <is>
          <t>No</t>
        </is>
      </c>
      <c r="G2315" t="inlineStr">
        <is>
          <t>1</t>
        </is>
      </c>
      <c r="H2315" t="inlineStr">
        <is>
          <t>No</t>
        </is>
      </c>
      <c r="I2315" t="inlineStr">
        <is>
          <t>No</t>
        </is>
      </c>
      <c r="J2315" t="inlineStr">
        <is>
          <t>0</t>
        </is>
      </c>
      <c r="K2315" t="inlineStr">
        <is>
          <t>Atkinson, Rick.</t>
        </is>
      </c>
      <c r="L2315" t="inlineStr">
        <is>
          <t>New York : H. Holt, 2004.</t>
        </is>
      </c>
      <c r="M2315" t="inlineStr">
        <is>
          <t>2004</t>
        </is>
      </c>
      <c r="N2315" t="inlineStr">
        <is>
          <t>1st ed.</t>
        </is>
      </c>
      <c r="O2315" t="inlineStr">
        <is>
          <t>eng</t>
        </is>
      </c>
      <c r="P2315" t="inlineStr">
        <is>
          <t>nyu</t>
        </is>
      </c>
      <c r="R2315" t="inlineStr">
        <is>
          <t xml:space="preserve">DS </t>
        </is>
      </c>
      <c r="S2315" t="n">
        <v>2</v>
      </c>
      <c r="T2315" t="n">
        <v>2</v>
      </c>
      <c r="U2315" t="inlineStr">
        <is>
          <t>2004-04-16</t>
        </is>
      </c>
      <c r="V2315" t="inlineStr">
        <is>
          <t>2004-04-16</t>
        </is>
      </c>
      <c r="W2315" t="inlineStr">
        <is>
          <t>2004-03-30</t>
        </is>
      </c>
      <c r="X2315" t="inlineStr">
        <is>
          <t>2004-03-30</t>
        </is>
      </c>
      <c r="Y2315" t="n">
        <v>1883</v>
      </c>
      <c r="Z2315" t="n">
        <v>1821</v>
      </c>
      <c r="AA2315" t="n">
        <v>2015</v>
      </c>
      <c r="AB2315" t="n">
        <v>25</v>
      </c>
      <c r="AC2315" t="n">
        <v>26</v>
      </c>
      <c r="AD2315" t="n">
        <v>28</v>
      </c>
      <c r="AE2315" t="n">
        <v>30</v>
      </c>
      <c r="AF2315" t="n">
        <v>16</v>
      </c>
      <c r="AG2315" t="n">
        <v>18</v>
      </c>
      <c r="AH2315" t="n">
        <v>5</v>
      </c>
      <c r="AI2315" t="n">
        <v>5</v>
      </c>
      <c r="AJ2315" t="n">
        <v>12</v>
      </c>
      <c r="AK2315" t="n">
        <v>13</v>
      </c>
      <c r="AL2315" t="n">
        <v>2</v>
      </c>
      <c r="AM2315" t="n">
        <v>2</v>
      </c>
      <c r="AN2315" t="n">
        <v>0</v>
      </c>
      <c r="AO2315" t="n">
        <v>0</v>
      </c>
      <c r="AP2315" t="inlineStr">
        <is>
          <t>No</t>
        </is>
      </c>
      <c r="AQ2315" t="inlineStr">
        <is>
          <t>No</t>
        </is>
      </c>
      <c r="AS2315">
        <f>HYPERLINK("https://creighton-primo.hosted.exlibrisgroup.com/primo-explore/search?tab=default_tab&amp;search_scope=EVERYTHING&amp;vid=01CRU&amp;lang=en_US&amp;offset=0&amp;query=any,contains,991004256329702656","Catalog Record")</f>
        <v/>
      </c>
      <c r="AT2315">
        <f>HYPERLINK("http://www.worldcat.org/oclc/53967465","WorldCat Record")</f>
        <v/>
      </c>
      <c r="AU2315" t="inlineStr">
        <is>
          <t>2288040557:eng</t>
        </is>
      </c>
      <c r="AV2315" t="inlineStr">
        <is>
          <t>53967465</t>
        </is>
      </c>
      <c r="AW2315" t="inlineStr">
        <is>
          <t>991004256329702656</t>
        </is>
      </c>
      <c r="AX2315" t="inlineStr">
        <is>
          <t>991004256329702656</t>
        </is>
      </c>
      <c r="AY2315" t="inlineStr">
        <is>
          <t>2256822480002656</t>
        </is>
      </c>
      <c r="AZ2315" t="inlineStr">
        <is>
          <t>BOOK</t>
        </is>
      </c>
      <c r="BB2315" t="inlineStr">
        <is>
          <t>9780805075618</t>
        </is>
      </c>
      <c r="BC2315" t="inlineStr">
        <is>
          <t>32285004897368</t>
        </is>
      </c>
      <c r="BD2315" t="inlineStr">
        <is>
          <t>893901004</t>
        </is>
      </c>
    </row>
    <row r="2316">
      <c r="A2316" t="inlineStr">
        <is>
          <t>No</t>
        </is>
      </c>
      <c r="B2316" t="inlineStr">
        <is>
          <t>DS79.766.G35 A3 2010</t>
        </is>
      </c>
      <c r="C2316" t="inlineStr">
        <is>
          <t>0                      DS 0079766G  35                 A  3           2010</t>
        </is>
      </c>
      <c r="D2316" t="inlineStr">
        <is>
          <t>Kaboom : embracing the suck in a savage little war / Matt Gallagher.</t>
        </is>
      </c>
      <c r="F2316" t="inlineStr">
        <is>
          <t>No</t>
        </is>
      </c>
      <c r="G2316" t="inlineStr">
        <is>
          <t>1</t>
        </is>
      </c>
      <c r="H2316" t="inlineStr">
        <is>
          <t>No</t>
        </is>
      </c>
      <c r="I2316" t="inlineStr">
        <is>
          <t>No</t>
        </is>
      </c>
      <c r="J2316" t="inlineStr">
        <is>
          <t>0</t>
        </is>
      </c>
      <c r="K2316" t="inlineStr">
        <is>
          <t>Gallagher, Matt.</t>
        </is>
      </c>
      <c r="L2316" t="inlineStr">
        <is>
          <t>Cambrigde, MA : Da Capo Press, c2010.</t>
        </is>
      </c>
      <c r="M2316" t="inlineStr">
        <is>
          <t>2010</t>
        </is>
      </c>
      <c r="O2316" t="inlineStr">
        <is>
          <t>eng</t>
        </is>
      </c>
      <c r="P2316" t="inlineStr">
        <is>
          <t>mau</t>
        </is>
      </c>
      <c r="R2316" t="inlineStr">
        <is>
          <t xml:space="preserve">DS </t>
        </is>
      </c>
      <c r="S2316" t="n">
        <v>2</v>
      </c>
      <c r="T2316" t="n">
        <v>2</v>
      </c>
      <c r="U2316" t="inlineStr">
        <is>
          <t>2010-10-05</t>
        </is>
      </c>
      <c r="V2316" t="inlineStr">
        <is>
          <t>2010-10-05</t>
        </is>
      </c>
      <c r="W2316" t="inlineStr">
        <is>
          <t>2010-09-21</t>
        </is>
      </c>
      <c r="X2316" t="inlineStr">
        <is>
          <t>2010-09-21</t>
        </is>
      </c>
      <c r="Y2316" t="n">
        <v>426</v>
      </c>
      <c r="Z2316" t="n">
        <v>412</v>
      </c>
      <c r="AA2316" t="n">
        <v>549</v>
      </c>
      <c r="AB2316" t="n">
        <v>2</v>
      </c>
      <c r="AC2316" t="n">
        <v>2</v>
      </c>
      <c r="AD2316" t="n">
        <v>3</v>
      </c>
      <c r="AE2316" t="n">
        <v>3</v>
      </c>
      <c r="AF2316" t="n">
        <v>1</v>
      </c>
      <c r="AG2316" t="n">
        <v>1</v>
      </c>
      <c r="AH2316" t="n">
        <v>1</v>
      </c>
      <c r="AI2316" t="n">
        <v>1</v>
      </c>
      <c r="AJ2316" t="n">
        <v>1</v>
      </c>
      <c r="AK2316" t="n">
        <v>1</v>
      </c>
      <c r="AL2316" t="n">
        <v>0</v>
      </c>
      <c r="AM2316" t="n">
        <v>0</v>
      </c>
      <c r="AN2316" t="n">
        <v>0</v>
      </c>
      <c r="AO2316" t="n">
        <v>0</v>
      </c>
      <c r="AP2316" t="inlineStr">
        <is>
          <t>No</t>
        </is>
      </c>
      <c r="AQ2316" t="inlineStr">
        <is>
          <t>No</t>
        </is>
      </c>
      <c r="AS2316">
        <f>HYPERLINK("https://creighton-primo.hosted.exlibrisgroup.com/primo-explore/search?tab=default_tab&amp;search_scope=EVERYTHING&amp;vid=01CRU&amp;lang=en_US&amp;offset=0&amp;query=any,contains,991000106909702656","Catalog Record")</f>
        <v/>
      </c>
      <c r="AT2316">
        <f>HYPERLINK("http://www.worldcat.org/oclc/435418549","WorldCat Record")</f>
        <v/>
      </c>
      <c r="AU2316" t="inlineStr">
        <is>
          <t>796731164:eng</t>
        </is>
      </c>
      <c r="AV2316" t="inlineStr">
        <is>
          <t>435418549</t>
        </is>
      </c>
      <c r="AW2316" t="inlineStr">
        <is>
          <t>991000106909702656</t>
        </is>
      </c>
      <c r="AX2316" t="inlineStr">
        <is>
          <t>991000106909702656</t>
        </is>
      </c>
      <c r="AY2316" t="inlineStr">
        <is>
          <t>2261137390002656</t>
        </is>
      </c>
      <c r="AZ2316" t="inlineStr">
        <is>
          <t>BOOK</t>
        </is>
      </c>
      <c r="BB2316" t="inlineStr">
        <is>
          <t>9780306818806</t>
        </is>
      </c>
      <c r="BC2316" t="inlineStr">
        <is>
          <t>32285005595789</t>
        </is>
      </c>
      <c r="BD2316" t="inlineStr">
        <is>
          <t>893327015</t>
        </is>
      </c>
    </row>
    <row r="2317">
      <c r="A2317" t="inlineStr">
        <is>
          <t>No</t>
        </is>
      </c>
      <c r="B2317" t="inlineStr">
        <is>
          <t>DS79.769 .T95 2003</t>
        </is>
      </c>
      <c r="C2317" t="inlineStr">
        <is>
          <t>0                      DS 0079769T  95          2003</t>
        </is>
      </c>
      <c r="D2317" t="inlineStr">
        <is>
          <t>Twilight of empire : responses to occupation.</t>
        </is>
      </c>
      <c r="F2317" t="inlineStr">
        <is>
          <t>No</t>
        </is>
      </c>
      <c r="G2317" t="inlineStr">
        <is>
          <t>1</t>
        </is>
      </c>
      <c r="H2317" t="inlineStr">
        <is>
          <t>No</t>
        </is>
      </c>
      <c r="I2317" t="inlineStr">
        <is>
          <t>No</t>
        </is>
      </c>
      <c r="J2317" t="inlineStr">
        <is>
          <t>0</t>
        </is>
      </c>
      <c r="L2317" t="inlineStr">
        <is>
          <t>Santa Monica, CA : Perceval Press, c2003.</t>
        </is>
      </c>
      <c r="M2317" t="inlineStr">
        <is>
          <t>2003</t>
        </is>
      </c>
      <c r="N2317" t="inlineStr">
        <is>
          <t>1st ed.</t>
        </is>
      </c>
      <c r="O2317" t="inlineStr">
        <is>
          <t>eng</t>
        </is>
      </c>
      <c r="P2317" t="inlineStr">
        <is>
          <t>cau</t>
        </is>
      </c>
      <c r="R2317" t="inlineStr">
        <is>
          <t xml:space="preserve">DS </t>
        </is>
      </c>
      <c r="S2317" t="n">
        <v>3</v>
      </c>
      <c r="T2317" t="n">
        <v>3</v>
      </c>
      <c r="U2317" t="inlineStr">
        <is>
          <t>2009-04-17</t>
        </is>
      </c>
      <c r="V2317" t="inlineStr">
        <is>
          <t>2009-04-17</t>
        </is>
      </c>
      <c r="W2317" t="inlineStr">
        <is>
          <t>2005-02-08</t>
        </is>
      </c>
      <c r="X2317" t="inlineStr">
        <is>
          <t>2005-02-08</t>
        </is>
      </c>
      <c r="Y2317" t="n">
        <v>58</v>
      </c>
      <c r="Z2317" t="n">
        <v>47</v>
      </c>
      <c r="AA2317" t="n">
        <v>107</v>
      </c>
      <c r="AB2317" t="n">
        <v>1</v>
      </c>
      <c r="AC2317" t="n">
        <v>1</v>
      </c>
      <c r="AD2317" t="n">
        <v>2</v>
      </c>
      <c r="AE2317" t="n">
        <v>4</v>
      </c>
      <c r="AF2317" t="n">
        <v>0</v>
      </c>
      <c r="AG2317" t="n">
        <v>0</v>
      </c>
      <c r="AH2317" t="n">
        <v>0</v>
      </c>
      <c r="AI2317" t="n">
        <v>2</v>
      </c>
      <c r="AJ2317" t="n">
        <v>2</v>
      </c>
      <c r="AK2317" t="n">
        <v>4</v>
      </c>
      <c r="AL2317" t="n">
        <v>0</v>
      </c>
      <c r="AM2317" t="n">
        <v>0</v>
      </c>
      <c r="AN2317" t="n">
        <v>0</v>
      </c>
      <c r="AO2317" t="n">
        <v>0</v>
      </c>
      <c r="AP2317" t="inlineStr">
        <is>
          <t>No</t>
        </is>
      </c>
      <c r="AQ2317" t="inlineStr">
        <is>
          <t>No</t>
        </is>
      </c>
      <c r="AS2317">
        <f>HYPERLINK("https://creighton-primo.hosted.exlibrisgroup.com/primo-explore/search?tab=default_tab&amp;search_scope=EVERYTHING&amp;vid=01CRU&amp;lang=en_US&amp;offset=0&amp;query=any,contains,991004328919702656","Catalog Record")</f>
        <v/>
      </c>
      <c r="AT2317">
        <f>HYPERLINK("http://www.worldcat.org/oclc/54491940","WorldCat Record")</f>
        <v/>
      </c>
      <c r="AU2317" t="inlineStr">
        <is>
          <t>57026555:eng</t>
        </is>
      </c>
      <c r="AV2317" t="inlineStr">
        <is>
          <t>54491940</t>
        </is>
      </c>
      <c r="AW2317" t="inlineStr">
        <is>
          <t>991004328919702656</t>
        </is>
      </c>
      <c r="AX2317" t="inlineStr">
        <is>
          <t>991004328919702656</t>
        </is>
      </c>
      <c r="AY2317" t="inlineStr">
        <is>
          <t>2260773190002656</t>
        </is>
      </c>
      <c r="AZ2317" t="inlineStr">
        <is>
          <t>BOOK</t>
        </is>
      </c>
      <c r="BB2317" t="inlineStr">
        <is>
          <t>9780972143691</t>
        </is>
      </c>
      <c r="BC2317" t="inlineStr">
        <is>
          <t>32285005025209</t>
        </is>
      </c>
      <c r="BD2317" t="inlineStr">
        <is>
          <t>893888571</t>
        </is>
      </c>
    </row>
    <row r="2318">
      <c r="A2318" t="inlineStr">
        <is>
          <t>No</t>
        </is>
      </c>
      <c r="B2318" t="inlineStr">
        <is>
          <t>DS79.9.M6 K46 1997</t>
        </is>
      </c>
      <c r="C2318" t="inlineStr">
        <is>
          <t>0                      DS 0079900M  6                  K  46          1997</t>
        </is>
      </c>
      <c r="D2318" t="inlineStr">
        <is>
          <t>State and provincial society in the Ottoman empire : Mosul, 1540-1834 / Dina Rizk Khoury.</t>
        </is>
      </c>
      <c r="F2318" t="inlineStr">
        <is>
          <t>No</t>
        </is>
      </c>
      <c r="G2318" t="inlineStr">
        <is>
          <t>1</t>
        </is>
      </c>
      <c r="H2318" t="inlineStr">
        <is>
          <t>No</t>
        </is>
      </c>
      <c r="I2318" t="inlineStr">
        <is>
          <t>No</t>
        </is>
      </c>
      <c r="J2318" t="inlineStr">
        <is>
          <t>0</t>
        </is>
      </c>
      <c r="K2318" t="inlineStr">
        <is>
          <t>Khoury, Dina Rizk.</t>
        </is>
      </c>
      <c r="L2318" t="inlineStr">
        <is>
          <t>Cambridge ; New York, NY, USA : Cambridge University Press, 1997.</t>
        </is>
      </c>
      <c r="M2318" t="inlineStr">
        <is>
          <t>1997</t>
        </is>
      </c>
      <c r="O2318" t="inlineStr">
        <is>
          <t>eng</t>
        </is>
      </c>
      <c r="P2318" t="inlineStr">
        <is>
          <t>enk</t>
        </is>
      </c>
      <c r="Q2318" t="inlineStr">
        <is>
          <t>Cambridge studies in Islamic civilization</t>
        </is>
      </c>
      <c r="R2318" t="inlineStr">
        <is>
          <t xml:space="preserve">DS </t>
        </is>
      </c>
      <c r="S2318" t="n">
        <v>5</v>
      </c>
      <c r="T2318" t="n">
        <v>5</v>
      </c>
      <c r="U2318" t="inlineStr">
        <is>
          <t>2009-10-13</t>
        </is>
      </c>
      <c r="V2318" t="inlineStr">
        <is>
          <t>2009-10-13</t>
        </is>
      </c>
      <c r="W2318" t="inlineStr">
        <is>
          <t>1999-01-07</t>
        </is>
      </c>
      <c r="X2318" t="inlineStr">
        <is>
          <t>1999-01-07</t>
        </is>
      </c>
      <c r="Y2318" t="n">
        <v>280</v>
      </c>
      <c r="Z2318" t="n">
        <v>207</v>
      </c>
      <c r="AA2318" t="n">
        <v>221</v>
      </c>
      <c r="AB2318" t="n">
        <v>3</v>
      </c>
      <c r="AC2318" t="n">
        <v>4</v>
      </c>
      <c r="AD2318" t="n">
        <v>15</v>
      </c>
      <c r="AE2318" t="n">
        <v>17</v>
      </c>
      <c r="AF2318" t="n">
        <v>4</v>
      </c>
      <c r="AG2318" t="n">
        <v>4</v>
      </c>
      <c r="AH2318" t="n">
        <v>4</v>
      </c>
      <c r="AI2318" t="n">
        <v>5</v>
      </c>
      <c r="AJ2318" t="n">
        <v>9</v>
      </c>
      <c r="AK2318" t="n">
        <v>9</v>
      </c>
      <c r="AL2318" t="n">
        <v>2</v>
      </c>
      <c r="AM2318" t="n">
        <v>3</v>
      </c>
      <c r="AN2318" t="n">
        <v>0</v>
      </c>
      <c r="AO2318" t="n">
        <v>0</v>
      </c>
      <c r="AP2318" t="inlineStr">
        <is>
          <t>No</t>
        </is>
      </c>
      <c r="AQ2318" t="inlineStr">
        <is>
          <t>No</t>
        </is>
      </c>
      <c r="AS2318">
        <f>HYPERLINK("https://creighton-primo.hosted.exlibrisgroup.com/primo-explore/search?tab=default_tab&amp;search_scope=EVERYTHING&amp;vid=01CRU&amp;lang=en_US&amp;offset=0&amp;query=any,contains,991002744169702656","Catalog Record")</f>
        <v/>
      </c>
      <c r="AT2318">
        <f>HYPERLINK("http://www.worldcat.org/oclc/36017229","WorldCat Record")</f>
        <v/>
      </c>
      <c r="AU2318" t="inlineStr">
        <is>
          <t>557719:eng</t>
        </is>
      </c>
      <c r="AV2318" t="inlineStr">
        <is>
          <t>36017229</t>
        </is>
      </c>
      <c r="AW2318" t="inlineStr">
        <is>
          <t>991002744169702656</t>
        </is>
      </c>
      <c r="AX2318" t="inlineStr">
        <is>
          <t>991002744169702656</t>
        </is>
      </c>
      <c r="AY2318" t="inlineStr">
        <is>
          <t>2262249000002656</t>
        </is>
      </c>
      <c r="AZ2318" t="inlineStr">
        <is>
          <t>BOOK</t>
        </is>
      </c>
      <c r="BB2318" t="inlineStr">
        <is>
          <t>9780521590600</t>
        </is>
      </c>
      <c r="BC2318" t="inlineStr">
        <is>
          <t>32285003510285</t>
        </is>
      </c>
      <c r="BD2318" t="inlineStr">
        <is>
          <t>893511136</t>
        </is>
      </c>
    </row>
    <row r="2319">
      <c r="A2319" t="inlineStr">
        <is>
          <t>No</t>
        </is>
      </c>
      <c r="B2319" t="inlineStr">
        <is>
          <t>DS793.G67 C453 2007</t>
        </is>
      </c>
      <c r="C2319" t="inlineStr">
        <is>
          <t>0                      DS 0793000G  67                 C  453         2007</t>
        </is>
      </c>
      <c r="D2319" t="inlineStr">
        <is>
          <t>The Great Wall of China : photographs by Chen Changfen / Anne Wilkes Tucker ; foreword by Jonathan D. Spence.</t>
        </is>
      </c>
      <c r="F2319" t="inlineStr">
        <is>
          <t>No</t>
        </is>
      </c>
      <c r="G2319" t="inlineStr">
        <is>
          <t>1</t>
        </is>
      </c>
      <c r="H2319" t="inlineStr">
        <is>
          <t>No</t>
        </is>
      </c>
      <c r="I2319" t="inlineStr">
        <is>
          <t>No</t>
        </is>
      </c>
      <c r="J2319" t="inlineStr">
        <is>
          <t>0</t>
        </is>
      </c>
      <c r="K2319" t="inlineStr">
        <is>
          <t>Chen, Changfen, 1941-</t>
        </is>
      </c>
      <c r="L2319" t="inlineStr">
        <is>
          <t>New Haven : Yale University Press in association with The Museum of Fine Arts, Houston, c2007.</t>
        </is>
      </c>
      <c r="M2319" t="inlineStr">
        <is>
          <t>2007</t>
        </is>
      </c>
      <c r="O2319" t="inlineStr">
        <is>
          <t>eng</t>
        </is>
      </c>
      <c r="P2319" t="inlineStr">
        <is>
          <t>ctu</t>
        </is>
      </c>
      <c r="R2319" t="inlineStr">
        <is>
          <t xml:space="preserve">DS </t>
        </is>
      </c>
      <c r="S2319" t="n">
        <v>1</v>
      </c>
      <c r="T2319" t="n">
        <v>1</v>
      </c>
      <c r="U2319" t="inlineStr">
        <is>
          <t>2007-05-24</t>
        </is>
      </c>
      <c r="V2319" t="inlineStr">
        <is>
          <t>2007-05-24</t>
        </is>
      </c>
      <c r="W2319" t="inlineStr">
        <is>
          <t>2007-05-24</t>
        </is>
      </c>
      <c r="X2319" t="inlineStr">
        <is>
          <t>2007-05-24</t>
        </is>
      </c>
      <c r="Y2319" t="n">
        <v>469</v>
      </c>
      <c r="Z2319" t="n">
        <v>411</v>
      </c>
      <c r="AA2319" t="n">
        <v>419</v>
      </c>
      <c r="AB2319" t="n">
        <v>1</v>
      </c>
      <c r="AC2319" t="n">
        <v>2</v>
      </c>
      <c r="AD2319" t="n">
        <v>5</v>
      </c>
      <c r="AE2319" t="n">
        <v>6</v>
      </c>
      <c r="AF2319" t="n">
        <v>1</v>
      </c>
      <c r="AG2319" t="n">
        <v>1</v>
      </c>
      <c r="AH2319" t="n">
        <v>2</v>
      </c>
      <c r="AI2319" t="n">
        <v>2</v>
      </c>
      <c r="AJ2319" t="n">
        <v>2</v>
      </c>
      <c r="AK2319" t="n">
        <v>2</v>
      </c>
      <c r="AL2319" t="n">
        <v>0</v>
      </c>
      <c r="AM2319" t="n">
        <v>1</v>
      </c>
      <c r="AN2319" t="n">
        <v>0</v>
      </c>
      <c r="AO2319" t="n">
        <v>0</v>
      </c>
      <c r="AP2319" t="inlineStr">
        <is>
          <t>No</t>
        </is>
      </c>
      <c r="AQ2319" t="inlineStr">
        <is>
          <t>Yes</t>
        </is>
      </c>
      <c r="AR2319">
        <f>HYPERLINK("http://catalog.hathitrust.org/Record/005563639","HathiTrust Record")</f>
        <v/>
      </c>
      <c r="AS2319">
        <f>HYPERLINK("https://creighton-primo.hosted.exlibrisgroup.com/primo-explore/search?tab=default_tab&amp;search_scope=EVERYTHING&amp;vid=01CRU&amp;lang=en_US&amp;offset=0&amp;query=any,contains,991005082239702656","Catalog Record")</f>
        <v/>
      </c>
      <c r="AT2319">
        <f>HYPERLINK("http://www.worldcat.org/oclc/70831061","WorldCat Record")</f>
        <v/>
      </c>
      <c r="AU2319" t="inlineStr">
        <is>
          <t>865494544:eng</t>
        </is>
      </c>
      <c r="AV2319" t="inlineStr">
        <is>
          <t>70831061</t>
        </is>
      </c>
      <c r="AW2319" t="inlineStr">
        <is>
          <t>991005082239702656</t>
        </is>
      </c>
      <c r="AX2319" t="inlineStr">
        <is>
          <t>991005082239702656</t>
        </is>
      </c>
      <c r="AY2319" t="inlineStr">
        <is>
          <t>2266233350002656</t>
        </is>
      </c>
      <c r="AZ2319" t="inlineStr">
        <is>
          <t>BOOK</t>
        </is>
      </c>
      <c r="BB2319" t="inlineStr">
        <is>
          <t>9780300122473</t>
        </is>
      </c>
      <c r="BC2319" t="inlineStr">
        <is>
          <t>32285005314579</t>
        </is>
      </c>
      <c r="BD2319" t="inlineStr">
        <is>
          <t>893795576</t>
        </is>
      </c>
    </row>
    <row r="2320">
      <c r="A2320" t="inlineStr">
        <is>
          <t>No</t>
        </is>
      </c>
      <c r="B2320" t="inlineStr">
        <is>
          <t>DS793.G67 H3 1988</t>
        </is>
      </c>
      <c r="C2320" t="inlineStr">
        <is>
          <t>0                      DS 0793000G  67                 H  3           1988</t>
        </is>
      </c>
      <c r="D2320" t="inlineStr">
        <is>
          <t>A ride along the Great Wall / Robin Hanbury-Tenison.</t>
        </is>
      </c>
      <c r="F2320" t="inlineStr">
        <is>
          <t>No</t>
        </is>
      </c>
      <c r="G2320" t="inlineStr">
        <is>
          <t>1</t>
        </is>
      </c>
      <c r="H2320" t="inlineStr">
        <is>
          <t>No</t>
        </is>
      </c>
      <c r="I2320" t="inlineStr">
        <is>
          <t>No</t>
        </is>
      </c>
      <c r="J2320" t="inlineStr">
        <is>
          <t>0</t>
        </is>
      </c>
      <c r="K2320" t="inlineStr">
        <is>
          <t>Hanbury-Tenison, Robin.</t>
        </is>
      </c>
      <c r="L2320" t="inlineStr">
        <is>
          <t>Topsfield, MA : Salem House, 1988, c1987.</t>
        </is>
      </c>
      <c r="M2320" t="inlineStr">
        <is>
          <t>1988</t>
        </is>
      </c>
      <c r="O2320" t="inlineStr">
        <is>
          <t>eng</t>
        </is>
      </c>
      <c r="P2320" t="inlineStr">
        <is>
          <t>mau</t>
        </is>
      </c>
      <c r="R2320" t="inlineStr">
        <is>
          <t xml:space="preserve">DS </t>
        </is>
      </c>
      <c r="S2320" t="n">
        <v>3</v>
      </c>
      <c r="T2320" t="n">
        <v>3</v>
      </c>
      <c r="U2320" t="inlineStr">
        <is>
          <t>2004-12-07</t>
        </is>
      </c>
      <c r="V2320" t="inlineStr">
        <is>
          <t>2004-12-07</t>
        </is>
      </c>
      <c r="W2320" t="inlineStr">
        <is>
          <t>1990-10-23</t>
        </is>
      </c>
      <c r="X2320" t="inlineStr">
        <is>
          <t>1990-10-23</t>
        </is>
      </c>
      <c r="Y2320" t="n">
        <v>248</v>
      </c>
      <c r="Z2320" t="n">
        <v>245</v>
      </c>
      <c r="AA2320" t="n">
        <v>292</v>
      </c>
      <c r="AB2320" t="n">
        <v>1</v>
      </c>
      <c r="AC2320" t="n">
        <v>1</v>
      </c>
      <c r="AD2320" t="n">
        <v>0</v>
      </c>
      <c r="AE2320" t="n">
        <v>0</v>
      </c>
      <c r="AF2320" t="n">
        <v>0</v>
      </c>
      <c r="AG2320" t="n">
        <v>0</v>
      </c>
      <c r="AH2320" t="n">
        <v>0</v>
      </c>
      <c r="AI2320" t="n">
        <v>0</v>
      </c>
      <c r="AJ2320" t="n">
        <v>0</v>
      </c>
      <c r="AK2320" t="n">
        <v>0</v>
      </c>
      <c r="AL2320" t="n">
        <v>0</v>
      </c>
      <c r="AM2320" t="n">
        <v>0</v>
      </c>
      <c r="AN2320" t="n">
        <v>0</v>
      </c>
      <c r="AO2320" t="n">
        <v>0</v>
      </c>
      <c r="AP2320" t="inlineStr">
        <is>
          <t>No</t>
        </is>
      </c>
      <c r="AQ2320" t="inlineStr">
        <is>
          <t>No</t>
        </is>
      </c>
      <c r="AS2320">
        <f>HYPERLINK("https://creighton-primo.hosted.exlibrisgroup.com/primo-explore/search?tab=default_tab&amp;search_scope=EVERYTHING&amp;vid=01CRU&amp;lang=en_US&amp;offset=0&amp;query=any,contains,991001220849702656","Catalog Record")</f>
        <v/>
      </c>
      <c r="AT2320">
        <f>HYPERLINK("http://www.worldcat.org/oclc/17461122","WorldCat Record")</f>
        <v/>
      </c>
      <c r="AU2320" t="inlineStr">
        <is>
          <t>15562054:eng</t>
        </is>
      </c>
      <c r="AV2320" t="inlineStr">
        <is>
          <t>17461122</t>
        </is>
      </c>
      <c r="AW2320" t="inlineStr">
        <is>
          <t>991001220849702656</t>
        </is>
      </c>
      <c r="AX2320" t="inlineStr">
        <is>
          <t>991001220849702656</t>
        </is>
      </c>
      <c r="AY2320" t="inlineStr">
        <is>
          <t>2267469740002656</t>
        </is>
      </c>
      <c r="AZ2320" t="inlineStr">
        <is>
          <t>BOOK</t>
        </is>
      </c>
      <c r="BB2320" t="inlineStr">
        <is>
          <t>9780881623505</t>
        </is>
      </c>
      <c r="BC2320" t="inlineStr">
        <is>
          <t>32285000339399</t>
        </is>
      </c>
      <c r="BD2320" t="inlineStr">
        <is>
          <t>893250067</t>
        </is>
      </c>
    </row>
    <row r="2321">
      <c r="A2321" t="inlineStr">
        <is>
          <t>No</t>
        </is>
      </c>
      <c r="B2321" t="inlineStr">
        <is>
          <t>DS793.K7 W3</t>
        </is>
      </c>
      <c r="C2321" t="inlineStr">
        <is>
          <t>0                      DS 0793000K  7                  W  3</t>
        </is>
      </c>
      <c r="D2321" t="inlineStr">
        <is>
          <t>Strangers at the gate; social disorder in South China, 1839-1861 / [by] Frederic Wakeman, Jr.</t>
        </is>
      </c>
      <c r="F2321" t="inlineStr">
        <is>
          <t>No</t>
        </is>
      </c>
      <c r="G2321" t="inlineStr">
        <is>
          <t>1</t>
        </is>
      </c>
      <c r="H2321" t="inlineStr">
        <is>
          <t>No</t>
        </is>
      </c>
      <c r="I2321" t="inlineStr">
        <is>
          <t>No</t>
        </is>
      </c>
      <c r="J2321" t="inlineStr">
        <is>
          <t>0</t>
        </is>
      </c>
      <c r="K2321" t="inlineStr">
        <is>
          <t>Wakeman, Frederic E.</t>
        </is>
      </c>
      <c r="L2321" t="inlineStr">
        <is>
          <t>Berkeley, University of California Press [c1966]</t>
        </is>
      </c>
      <c r="M2321" t="inlineStr">
        <is>
          <t>1966</t>
        </is>
      </c>
      <c r="O2321" t="inlineStr">
        <is>
          <t>eng</t>
        </is>
      </c>
      <c r="P2321" t="inlineStr">
        <is>
          <t>cau</t>
        </is>
      </c>
      <c r="Q2321" t="inlineStr">
        <is>
          <t>Center for Chinese Studies. Publications</t>
        </is>
      </c>
      <c r="R2321" t="inlineStr">
        <is>
          <t xml:space="preserve">DS </t>
        </is>
      </c>
      <c r="S2321" t="n">
        <v>3</v>
      </c>
      <c r="T2321" t="n">
        <v>3</v>
      </c>
      <c r="U2321" t="inlineStr">
        <is>
          <t>2007-03-20</t>
        </is>
      </c>
      <c r="V2321" t="inlineStr">
        <is>
          <t>2007-03-20</t>
        </is>
      </c>
      <c r="W2321" t="inlineStr">
        <is>
          <t>1997-03-17</t>
        </is>
      </c>
      <c r="X2321" t="inlineStr">
        <is>
          <t>1997-03-17</t>
        </is>
      </c>
      <c r="Y2321" t="n">
        <v>764</v>
      </c>
      <c r="Z2321" t="n">
        <v>623</v>
      </c>
      <c r="AA2321" t="n">
        <v>667</v>
      </c>
      <c r="AB2321" t="n">
        <v>4</v>
      </c>
      <c r="AC2321" t="n">
        <v>4</v>
      </c>
      <c r="AD2321" t="n">
        <v>33</v>
      </c>
      <c r="AE2321" t="n">
        <v>35</v>
      </c>
      <c r="AF2321" t="n">
        <v>12</v>
      </c>
      <c r="AG2321" t="n">
        <v>13</v>
      </c>
      <c r="AH2321" t="n">
        <v>8</v>
      </c>
      <c r="AI2321" t="n">
        <v>8</v>
      </c>
      <c r="AJ2321" t="n">
        <v>18</v>
      </c>
      <c r="AK2321" t="n">
        <v>20</v>
      </c>
      <c r="AL2321" t="n">
        <v>3</v>
      </c>
      <c r="AM2321" t="n">
        <v>3</v>
      </c>
      <c r="AN2321" t="n">
        <v>0</v>
      </c>
      <c r="AO2321" t="n">
        <v>0</v>
      </c>
      <c r="AP2321" t="inlineStr">
        <is>
          <t>No</t>
        </is>
      </c>
      <c r="AQ2321" t="inlineStr">
        <is>
          <t>Yes</t>
        </is>
      </c>
      <c r="AR2321">
        <f>HYPERLINK("http://catalog.hathitrust.org/Record/001258919","HathiTrust Record")</f>
        <v/>
      </c>
      <c r="AS2321">
        <f>HYPERLINK("https://creighton-primo.hosted.exlibrisgroup.com/primo-explore/search?tab=default_tab&amp;search_scope=EVERYTHING&amp;vid=01CRU&amp;lang=en_US&amp;offset=0&amp;query=any,contains,991002717579702656","Catalog Record")</f>
        <v/>
      </c>
      <c r="AT2321">
        <f>HYPERLINK("http://www.worldcat.org/oclc/411706","WorldCat Record")</f>
        <v/>
      </c>
      <c r="AU2321" t="inlineStr">
        <is>
          <t>554997:eng</t>
        </is>
      </c>
      <c r="AV2321" t="inlineStr">
        <is>
          <t>411706</t>
        </is>
      </c>
      <c r="AW2321" t="inlineStr">
        <is>
          <t>991002717579702656</t>
        </is>
      </c>
      <c r="AX2321" t="inlineStr">
        <is>
          <t>991002717579702656</t>
        </is>
      </c>
      <c r="AY2321" t="inlineStr">
        <is>
          <t>2264723460002656</t>
        </is>
      </c>
      <c r="AZ2321" t="inlineStr">
        <is>
          <t>BOOK</t>
        </is>
      </c>
      <c r="BC2321" t="inlineStr">
        <is>
          <t>32285002448974</t>
        </is>
      </c>
      <c r="BD2321" t="inlineStr">
        <is>
          <t>893341761</t>
        </is>
      </c>
    </row>
    <row r="2322">
      <c r="A2322" t="inlineStr">
        <is>
          <t>No</t>
        </is>
      </c>
      <c r="B2322" t="inlineStr">
        <is>
          <t>DS793.K8 C67 1995</t>
        </is>
      </c>
      <c r="C2322" t="inlineStr">
        <is>
          <t>0                      DS 0793000K  8                  C  67          1995</t>
        </is>
      </c>
      <c r="D2322" t="inlineStr">
        <is>
          <t>Guizhou / text and photography by Gina Corrigan.</t>
        </is>
      </c>
      <c r="F2322" t="inlineStr">
        <is>
          <t>No</t>
        </is>
      </c>
      <c r="G2322" t="inlineStr">
        <is>
          <t>1</t>
        </is>
      </c>
      <c r="H2322" t="inlineStr">
        <is>
          <t>No</t>
        </is>
      </c>
      <c r="I2322" t="inlineStr">
        <is>
          <t>No</t>
        </is>
      </c>
      <c r="J2322" t="inlineStr">
        <is>
          <t>0</t>
        </is>
      </c>
      <c r="K2322" t="inlineStr">
        <is>
          <t>Corrigan, Gina.</t>
        </is>
      </c>
      <c r="L2322" t="inlineStr">
        <is>
          <t>Lincolnwood, Ill. : Passport Books, 1995.</t>
        </is>
      </c>
      <c r="M2322" t="inlineStr">
        <is>
          <t>1995</t>
        </is>
      </c>
      <c r="O2322" t="inlineStr">
        <is>
          <t>eng</t>
        </is>
      </c>
      <c r="P2322" t="inlineStr">
        <is>
          <t>ilu</t>
        </is>
      </c>
      <c r="R2322" t="inlineStr">
        <is>
          <t xml:space="preserve">DS </t>
        </is>
      </c>
      <c r="S2322" t="n">
        <v>1</v>
      </c>
      <c r="T2322" t="n">
        <v>1</v>
      </c>
      <c r="U2322" t="inlineStr">
        <is>
          <t>1997-02-13</t>
        </is>
      </c>
      <c r="V2322" t="inlineStr">
        <is>
          <t>1997-02-13</t>
        </is>
      </c>
      <c r="W2322" t="inlineStr">
        <is>
          <t>1997-01-13</t>
        </is>
      </c>
      <c r="X2322" t="inlineStr">
        <is>
          <t>1997-01-13</t>
        </is>
      </c>
      <c r="Y2322" t="n">
        <v>25</v>
      </c>
      <c r="Z2322" t="n">
        <v>19</v>
      </c>
      <c r="AA2322" t="n">
        <v>42</v>
      </c>
      <c r="AB2322" t="n">
        <v>1</v>
      </c>
      <c r="AC2322" t="n">
        <v>1</v>
      </c>
      <c r="AD2322" t="n">
        <v>0</v>
      </c>
      <c r="AE2322" t="n">
        <v>1</v>
      </c>
      <c r="AF2322" t="n">
        <v>0</v>
      </c>
      <c r="AG2322" t="n">
        <v>1</v>
      </c>
      <c r="AH2322" t="n">
        <v>0</v>
      </c>
      <c r="AI2322" t="n">
        <v>0</v>
      </c>
      <c r="AJ2322" t="n">
        <v>0</v>
      </c>
      <c r="AK2322" t="n">
        <v>0</v>
      </c>
      <c r="AL2322" t="n">
        <v>0</v>
      </c>
      <c r="AM2322" t="n">
        <v>0</v>
      </c>
      <c r="AN2322" t="n">
        <v>0</v>
      </c>
      <c r="AO2322" t="n">
        <v>0</v>
      </c>
      <c r="AP2322" t="inlineStr">
        <is>
          <t>No</t>
        </is>
      </c>
      <c r="AQ2322" t="inlineStr">
        <is>
          <t>No</t>
        </is>
      </c>
      <c r="AS2322">
        <f>HYPERLINK("https://creighton-primo.hosted.exlibrisgroup.com/primo-explore/search?tab=default_tab&amp;search_scope=EVERYTHING&amp;vid=01CRU&amp;lang=en_US&amp;offset=0&amp;query=any,contains,991002572289702656","Catalog Record")</f>
        <v/>
      </c>
      <c r="AT2322">
        <f>HYPERLINK("http://www.worldcat.org/oclc/33439115","WorldCat Record")</f>
        <v/>
      </c>
      <c r="AU2322" t="inlineStr">
        <is>
          <t>59791:eng</t>
        </is>
      </c>
      <c r="AV2322" t="inlineStr">
        <is>
          <t>33439115</t>
        </is>
      </c>
      <c r="AW2322" t="inlineStr">
        <is>
          <t>991002572289702656</t>
        </is>
      </c>
      <c r="AX2322" t="inlineStr">
        <is>
          <t>991002572289702656</t>
        </is>
      </c>
      <c r="AY2322" t="inlineStr">
        <is>
          <t>2262074940002656</t>
        </is>
      </c>
      <c r="AZ2322" t="inlineStr">
        <is>
          <t>BOOK</t>
        </is>
      </c>
      <c r="BC2322" t="inlineStr">
        <is>
          <t>32285002406394</t>
        </is>
      </c>
      <c r="BD2322" t="inlineStr">
        <is>
          <t>893627197</t>
        </is>
      </c>
    </row>
    <row r="2323">
      <c r="A2323" t="inlineStr">
        <is>
          <t>No</t>
        </is>
      </c>
      <c r="B2323" t="inlineStr">
        <is>
          <t>DS793.S683 M47 1994</t>
        </is>
      </c>
      <c r="C2323" t="inlineStr">
        <is>
          <t>0                      DS 0793000S  683                M  47          1994</t>
        </is>
      </c>
      <c r="D2323" t="inlineStr">
        <is>
          <t>Gentlemanly interests and wealth on the Yangtze Delta / John Meskill.</t>
        </is>
      </c>
      <c r="F2323" t="inlineStr">
        <is>
          <t>No</t>
        </is>
      </c>
      <c r="G2323" t="inlineStr">
        <is>
          <t>1</t>
        </is>
      </c>
      <c r="H2323" t="inlineStr">
        <is>
          <t>No</t>
        </is>
      </c>
      <c r="I2323" t="inlineStr">
        <is>
          <t>No</t>
        </is>
      </c>
      <c r="J2323" t="inlineStr">
        <is>
          <t>0</t>
        </is>
      </c>
      <c r="K2323" t="inlineStr">
        <is>
          <t>Meskill, John Thomas, 1925-</t>
        </is>
      </c>
      <c r="L2323" t="inlineStr">
        <is>
          <t>Ann Arbor, Mich. : Association for Asian Studies, c1994.</t>
        </is>
      </c>
      <c r="M2323" t="inlineStr">
        <is>
          <t>1994</t>
        </is>
      </c>
      <c r="O2323" t="inlineStr">
        <is>
          <t>eng</t>
        </is>
      </c>
      <c r="P2323" t="inlineStr">
        <is>
          <t>miu</t>
        </is>
      </c>
      <c r="Q2323" t="inlineStr">
        <is>
          <t>AAS monograph series</t>
        </is>
      </c>
      <c r="R2323" t="inlineStr">
        <is>
          <t xml:space="preserve">DS </t>
        </is>
      </c>
      <c r="S2323" t="n">
        <v>3</v>
      </c>
      <c r="T2323" t="n">
        <v>3</v>
      </c>
      <c r="U2323" t="inlineStr">
        <is>
          <t>1997-02-14</t>
        </is>
      </c>
      <c r="V2323" t="inlineStr">
        <is>
          <t>1997-02-14</t>
        </is>
      </c>
      <c r="W2323" t="inlineStr">
        <is>
          <t>1997-01-17</t>
        </is>
      </c>
      <c r="X2323" t="inlineStr">
        <is>
          <t>1997-01-17</t>
        </is>
      </c>
      <c r="Y2323" t="n">
        <v>179</v>
      </c>
      <c r="Z2323" t="n">
        <v>129</v>
      </c>
      <c r="AA2323" t="n">
        <v>130</v>
      </c>
      <c r="AB2323" t="n">
        <v>2</v>
      </c>
      <c r="AC2323" t="n">
        <v>2</v>
      </c>
      <c r="AD2323" t="n">
        <v>6</v>
      </c>
      <c r="AE2323" t="n">
        <v>6</v>
      </c>
      <c r="AF2323" t="n">
        <v>2</v>
      </c>
      <c r="AG2323" t="n">
        <v>2</v>
      </c>
      <c r="AH2323" t="n">
        <v>2</v>
      </c>
      <c r="AI2323" t="n">
        <v>2</v>
      </c>
      <c r="AJ2323" t="n">
        <v>2</v>
      </c>
      <c r="AK2323" t="n">
        <v>2</v>
      </c>
      <c r="AL2323" t="n">
        <v>1</v>
      </c>
      <c r="AM2323" t="n">
        <v>1</v>
      </c>
      <c r="AN2323" t="n">
        <v>0</v>
      </c>
      <c r="AO2323" t="n">
        <v>0</v>
      </c>
      <c r="AP2323" t="inlineStr">
        <is>
          <t>No</t>
        </is>
      </c>
      <c r="AQ2323" t="inlineStr">
        <is>
          <t>Yes</t>
        </is>
      </c>
      <c r="AR2323">
        <f>HYPERLINK("http://catalog.hathitrust.org/Record/003019090","HathiTrust Record")</f>
        <v/>
      </c>
      <c r="AS2323">
        <f>HYPERLINK("https://creighton-primo.hosted.exlibrisgroup.com/primo-explore/search?tab=default_tab&amp;search_scope=EVERYTHING&amp;vid=01CRU&amp;lang=en_US&amp;offset=0&amp;query=any,contains,991002300659702656","Catalog Record")</f>
        <v/>
      </c>
      <c r="AT2323">
        <f>HYPERLINK("http://www.worldcat.org/oclc/29846194","WorldCat Record")</f>
        <v/>
      </c>
      <c r="AU2323" t="inlineStr">
        <is>
          <t>32453678:eng</t>
        </is>
      </c>
      <c r="AV2323" t="inlineStr">
        <is>
          <t>29846194</t>
        </is>
      </c>
      <c r="AW2323" t="inlineStr">
        <is>
          <t>991002300659702656</t>
        </is>
      </c>
      <c r="AX2323" t="inlineStr">
        <is>
          <t>991002300659702656</t>
        </is>
      </c>
      <c r="AY2323" t="inlineStr">
        <is>
          <t>2265963700002656</t>
        </is>
      </c>
      <c r="AZ2323" t="inlineStr">
        <is>
          <t>BOOK</t>
        </is>
      </c>
      <c r="BB2323" t="inlineStr">
        <is>
          <t>9780924304194</t>
        </is>
      </c>
      <c r="BC2323" t="inlineStr">
        <is>
          <t>32285002408960</t>
        </is>
      </c>
      <c r="BD2323" t="inlineStr">
        <is>
          <t>893316649</t>
        </is>
      </c>
    </row>
    <row r="2324">
      <c r="A2324" t="inlineStr">
        <is>
          <t>No</t>
        </is>
      </c>
      <c r="B2324" t="inlineStr">
        <is>
          <t>DS793.S8 A528 2001</t>
        </is>
      </c>
      <c r="C2324" t="inlineStr">
        <is>
          <t>0                      DS 0793000S  8                  A  528         2001</t>
        </is>
      </c>
      <c r="D2324" t="inlineStr">
        <is>
          <t>Ancient Sichuan : treasures from a lost civilization / edited by Robert Bagley, with contributions by Jay Xu ... [et al.].</t>
        </is>
      </c>
      <c r="F2324" t="inlineStr">
        <is>
          <t>No</t>
        </is>
      </c>
      <c r="G2324" t="inlineStr">
        <is>
          <t>1</t>
        </is>
      </c>
      <c r="H2324" t="inlineStr">
        <is>
          <t>No</t>
        </is>
      </c>
      <c r="I2324" t="inlineStr">
        <is>
          <t>No</t>
        </is>
      </c>
      <c r="J2324" t="inlineStr">
        <is>
          <t>0</t>
        </is>
      </c>
      <c r="L2324" t="inlineStr">
        <is>
          <t>Seattle, Wash. : Seattle Art Museum ; Princeton, N.J. : Princeton University Press, c2001.</t>
        </is>
      </c>
      <c r="M2324" t="inlineStr">
        <is>
          <t>2001</t>
        </is>
      </c>
      <c r="O2324" t="inlineStr">
        <is>
          <t>eng</t>
        </is>
      </c>
      <c r="P2324" t="inlineStr">
        <is>
          <t>wau</t>
        </is>
      </c>
      <c r="R2324" t="inlineStr">
        <is>
          <t xml:space="preserve">DS </t>
        </is>
      </c>
      <c r="S2324" t="n">
        <v>1</v>
      </c>
      <c r="T2324" t="n">
        <v>1</v>
      </c>
      <c r="U2324" t="inlineStr">
        <is>
          <t>2002-11-22</t>
        </is>
      </c>
      <c r="V2324" t="inlineStr">
        <is>
          <t>2002-11-22</t>
        </is>
      </c>
      <c r="W2324" t="inlineStr">
        <is>
          <t>2002-04-15</t>
        </is>
      </c>
      <c r="X2324" t="inlineStr">
        <is>
          <t>2002-04-15</t>
        </is>
      </c>
      <c r="Y2324" t="n">
        <v>786</v>
      </c>
      <c r="Z2324" t="n">
        <v>677</v>
      </c>
      <c r="AA2324" t="n">
        <v>682</v>
      </c>
      <c r="AB2324" t="n">
        <v>5</v>
      </c>
      <c r="AC2324" t="n">
        <v>5</v>
      </c>
      <c r="AD2324" t="n">
        <v>25</v>
      </c>
      <c r="AE2324" t="n">
        <v>25</v>
      </c>
      <c r="AF2324" t="n">
        <v>9</v>
      </c>
      <c r="AG2324" t="n">
        <v>9</v>
      </c>
      <c r="AH2324" t="n">
        <v>6</v>
      </c>
      <c r="AI2324" t="n">
        <v>6</v>
      </c>
      <c r="AJ2324" t="n">
        <v>13</v>
      </c>
      <c r="AK2324" t="n">
        <v>13</v>
      </c>
      <c r="AL2324" t="n">
        <v>4</v>
      </c>
      <c r="AM2324" t="n">
        <v>4</v>
      </c>
      <c r="AN2324" t="n">
        <v>0</v>
      </c>
      <c r="AO2324" t="n">
        <v>0</v>
      </c>
      <c r="AP2324" t="inlineStr">
        <is>
          <t>No</t>
        </is>
      </c>
      <c r="AQ2324" t="inlineStr">
        <is>
          <t>No</t>
        </is>
      </c>
      <c r="AS2324">
        <f>HYPERLINK("https://creighton-primo.hosted.exlibrisgroup.com/primo-explore/search?tab=default_tab&amp;search_scope=EVERYTHING&amp;vid=01CRU&amp;lang=en_US&amp;offset=0&amp;query=any,contains,991003781889702656","Catalog Record")</f>
        <v/>
      </c>
      <c r="AT2324">
        <f>HYPERLINK("http://www.worldcat.org/oclc/45610099","WorldCat Record")</f>
        <v/>
      </c>
      <c r="AU2324" t="inlineStr">
        <is>
          <t>892929:eng</t>
        </is>
      </c>
      <c r="AV2324" t="inlineStr">
        <is>
          <t>45610099</t>
        </is>
      </c>
      <c r="AW2324" t="inlineStr">
        <is>
          <t>991003781889702656</t>
        </is>
      </c>
      <c r="AX2324" t="inlineStr">
        <is>
          <t>991003781889702656</t>
        </is>
      </c>
      <c r="AY2324" t="inlineStr">
        <is>
          <t>2260371930002656</t>
        </is>
      </c>
      <c r="AZ2324" t="inlineStr">
        <is>
          <t>BOOK</t>
        </is>
      </c>
      <c r="BB2324" t="inlineStr">
        <is>
          <t>9780691088518</t>
        </is>
      </c>
      <c r="BC2324" t="inlineStr">
        <is>
          <t>32285004479019</t>
        </is>
      </c>
      <c r="BD2324" t="inlineStr">
        <is>
          <t>893234584</t>
        </is>
      </c>
    </row>
    <row r="2325">
      <c r="A2325" t="inlineStr">
        <is>
          <t>No</t>
        </is>
      </c>
      <c r="B2325" t="inlineStr">
        <is>
          <t>DS793.Y3 C495 2002</t>
        </is>
      </c>
      <c r="C2325" t="inlineStr">
        <is>
          <t>0                      DS 0793000Y  3                  C  495         2002</t>
        </is>
      </c>
      <c r="D2325" t="inlineStr">
        <is>
          <t>Before the deluge : the vanishing world of the Yangtze's Three Gorges / Deirdre Chetham.</t>
        </is>
      </c>
      <c r="F2325" t="inlineStr">
        <is>
          <t>No</t>
        </is>
      </c>
      <c r="G2325" t="inlineStr">
        <is>
          <t>1</t>
        </is>
      </c>
      <c r="H2325" t="inlineStr">
        <is>
          <t>No</t>
        </is>
      </c>
      <c r="I2325" t="inlineStr">
        <is>
          <t>No</t>
        </is>
      </c>
      <c r="J2325" t="inlineStr">
        <is>
          <t>0</t>
        </is>
      </c>
      <c r="K2325" t="inlineStr">
        <is>
          <t>Chetham, Deirdre, 1954-</t>
        </is>
      </c>
      <c r="L2325" t="inlineStr">
        <is>
          <t>New York, N.Y. : Palgrave Macmillan, 2002.</t>
        </is>
      </c>
      <c r="M2325" t="inlineStr">
        <is>
          <t>2002</t>
        </is>
      </c>
      <c r="N2325" t="inlineStr">
        <is>
          <t>1st ed.</t>
        </is>
      </c>
      <c r="O2325" t="inlineStr">
        <is>
          <t>eng</t>
        </is>
      </c>
      <c r="P2325" t="inlineStr">
        <is>
          <t>nyu</t>
        </is>
      </c>
      <c r="R2325" t="inlineStr">
        <is>
          <t xml:space="preserve">DS </t>
        </is>
      </c>
      <c r="S2325" t="n">
        <v>4</v>
      </c>
      <c r="T2325" t="n">
        <v>4</v>
      </c>
      <c r="U2325" t="inlineStr">
        <is>
          <t>2010-09-16</t>
        </is>
      </c>
      <c r="V2325" t="inlineStr">
        <is>
          <t>2010-09-16</t>
        </is>
      </c>
      <c r="W2325" t="inlineStr">
        <is>
          <t>2002-12-03</t>
        </is>
      </c>
      <c r="X2325" t="inlineStr">
        <is>
          <t>2002-12-03</t>
        </is>
      </c>
      <c r="Y2325" t="n">
        <v>651</v>
      </c>
      <c r="Z2325" t="n">
        <v>566</v>
      </c>
      <c r="AA2325" t="n">
        <v>632</v>
      </c>
      <c r="AB2325" t="n">
        <v>4</v>
      </c>
      <c r="AC2325" t="n">
        <v>4</v>
      </c>
      <c r="AD2325" t="n">
        <v>19</v>
      </c>
      <c r="AE2325" t="n">
        <v>21</v>
      </c>
      <c r="AF2325" t="n">
        <v>8</v>
      </c>
      <c r="AG2325" t="n">
        <v>10</v>
      </c>
      <c r="AH2325" t="n">
        <v>5</v>
      </c>
      <c r="AI2325" t="n">
        <v>5</v>
      </c>
      <c r="AJ2325" t="n">
        <v>9</v>
      </c>
      <c r="AK2325" t="n">
        <v>10</v>
      </c>
      <c r="AL2325" t="n">
        <v>3</v>
      </c>
      <c r="AM2325" t="n">
        <v>3</v>
      </c>
      <c r="AN2325" t="n">
        <v>0</v>
      </c>
      <c r="AO2325" t="n">
        <v>0</v>
      </c>
      <c r="AP2325" t="inlineStr">
        <is>
          <t>No</t>
        </is>
      </c>
      <c r="AQ2325" t="inlineStr">
        <is>
          <t>No</t>
        </is>
      </c>
      <c r="AS2325">
        <f>HYPERLINK("https://creighton-primo.hosted.exlibrisgroup.com/primo-explore/search?tab=default_tab&amp;search_scope=EVERYTHING&amp;vid=01CRU&amp;lang=en_US&amp;offset=0&amp;query=any,contains,991003943629702656","Catalog Record")</f>
        <v/>
      </c>
      <c r="AT2325">
        <f>HYPERLINK("http://www.worldcat.org/oclc/48777344","WorldCat Record")</f>
        <v/>
      </c>
      <c r="AU2325" t="inlineStr">
        <is>
          <t>905399127:eng</t>
        </is>
      </c>
      <c r="AV2325" t="inlineStr">
        <is>
          <t>48777344</t>
        </is>
      </c>
      <c r="AW2325" t="inlineStr">
        <is>
          <t>991003943629702656</t>
        </is>
      </c>
      <c r="AX2325" t="inlineStr">
        <is>
          <t>991003943629702656</t>
        </is>
      </c>
      <c r="AY2325" t="inlineStr">
        <is>
          <t>2259860530002656</t>
        </is>
      </c>
      <c r="AZ2325" t="inlineStr">
        <is>
          <t>BOOK</t>
        </is>
      </c>
      <c r="BB2325" t="inlineStr">
        <is>
          <t>9780312214173</t>
        </is>
      </c>
      <c r="BC2325" t="inlineStr">
        <is>
          <t>32285004667118</t>
        </is>
      </c>
      <c r="BD2325" t="inlineStr">
        <is>
          <t>893246967</t>
        </is>
      </c>
    </row>
    <row r="2326">
      <c r="A2326" t="inlineStr">
        <is>
          <t>No</t>
        </is>
      </c>
      <c r="B2326" t="inlineStr">
        <is>
          <t>DS793.Y3 C69 1999</t>
        </is>
      </c>
      <c r="C2326" t="inlineStr">
        <is>
          <t>0                      DS 0793000Y  3                  C  69          1999</t>
        </is>
      </c>
      <c r="D2326" t="inlineStr">
        <is>
          <t>Through the dragon's mouth : journeys into the Yangzi's three Gorges / Ben Thomson Cowles.</t>
        </is>
      </c>
      <c r="F2326" t="inlineStr">
        <is>
          <t>No</t>
        </is>
      </c>
      <c r="G2326" t="inlineStr">
        <is>
          <t>1</t>
        </is>
      </c>
      <c r="H2326" t="inlineStr">
        <is>
          <t>No</t>
        </is>
      </c>
      <c r="I2326" t="inlineStr">
        <is>
          <t>No</t>
        </is>
      </c>
      <c r="J2326" t="inlineStr">
        <is>
          <t>0</t>
        </is>
      </c>
      <c r="K2326" t="inlineStr">
        <is>
          <t>Cowles, Ben Thomson, 1915-</t>
        </is>
      </c>
      <c r="L2326" t="inlineStr">
        <is>
          <t>Santa Barbara, Calif. : Fithian Press, 1999.</t>
        </is>
      </c>
      <c r="M2326" t="inlineStr">
        <is>
          <t>1999</t>
        </is>
      </c>
      <c r="N2326" t="inlineStr">
        <is>
          <t>1st ed.</t>
        </is>
      </c>
      <c r="O2326" t="inlineStr">
        <is>
          <t>eng</t>
        </is>
      </c>
      <c r="P2326" t="inlineStr">
        <is>
          <t>cau</t>
        </is>
      </c>
      <c r="R2326" t="inlineStr">
        <is>
          <t xml:space="preserve">DS </t>
        </is>
      </c>
      <c r="S2326" t="n">
        <v>2</v>
      </c>
      <c r="T2326" t="n">
        <v>2</v>
      </c>
      <c r="U2326" t="inlineStr">
        <is>
          <t>2004-12-07</t>
        </is>
      </c>
      <c r="V2326" t="inlineStr">
        <is>
          <t>2004-12-07</t>
        </is>
      </c>
      <c r="W2326" t="inlineStr">
        <is>
          <t>1999-05-10</t>
        </is>
      </c>
      <c r="X2326" t="inlineStr">
        <is>
          <t>1999-05-10</t>
        </is>
      </c>
      <c r="Y2326" t="n">
        <v>351</v>
      </c>
      <c r="Z2326" t="n">
        <v>328</v>
      </c>
      <c r="AA2326" t="n">
        <v>330</v>
      </c>
      <c r="AB2326" t="n">
        <v>4</v>
      </c>
      <c r="AC2326" t="n">
        <v>4</v>
      </c>
      <c r="AD2326" t="n">
        <v>6</v>
      </c>
      <c r="AE2326" t="n">
        <v>6</v>
      </c>
      <c r="AF2326" t="n">
        <v>0</v>
      </c>
      <c r="AG2326" t="n">
        <v>0</v>
      </c>
      <c r="AH2326" t="n">
        <v>2</v>
      </c>
      <c r="AI2326" t="n">
        <v>2</v>
      </c>
      <c r="AJ2326" t="n">
        <v>4</v>
      </c>
      <c r="AK2326" t="n">
        <v>4</v>
      </c>
      <c r="AL2326" t="n">
        <v>1</v>
      </c>
      <c r="AM2326" t="n">
        <v>1</v>
      </c>
      <c r="AN2326" t="n">
        <v>0</v>
      </c>
      <c r="AO2326" t="n">
        <v>0</v>
      </c>
      <c r="AP2326" t="inlineStr">
        <is>
          <t>No</t>
        </is>
      </c>
      <c r="AQ2326" t="inlineStr">
        <is>
          <t>Yes</t>
        </is>
      </c>
      <c r="AR2326">
        <f>HYPERLINK("http://catalog.hathitrust.org/Record/004037550","HathiTrust Record")</f>
        <v/>
      </c>
      <c r="AS2326">
        <f>HYPERLINK("https://creighton-primo.hosted.exlibrisgroup.com/primo-explore/search?tab=default_tab&amp;search_scope=EVERYTHING&amp;vid=01CRU&amp;lang=en_US&amp;offset=0&amp;query=any,contains,991002964469702656","Catalog Record")</f>
        <v/>
      </c>
      <c r="AT2326">
        <f>HYPERLINK("http://www.worldcat.org/oclc/39659771","WorldCat Record")</f>
        <v/>
      </c>
      <c r="AU2326" t="inlineStr">
        <is>
          <t>2564983079:eng</t>
        </is>
      </c>
      <c r="AV2326" t="inlineStr">
        <is>
          <t>39659771</t>
        </is>
      </c>
      <c r="AW2326" t="inlineStr">
        <is>
          <t>991002964469702656</t>
        </is>
      </c>
      <c r="AX2326" t="inlineStr">
        <is>
          <t>991002964469702656</t>
        </is>
      </c>
      <c r="AY2326" t="inlineStr">
        <is>
          <t>2262671590002656</t>
        </is>
      </c>
      <c r="AZ2326" t="inlineStr">
        <is>
          <t>BOOK</t>
        </is>
      </c>
      <c r="BB2326" t="inlineStr">
        <is>
          <t>9781564742940</t>
        </is>
      </c>
      <c r="BC2326" t="inlineStr">
        <is>
          <t>32285003559852</t>
        </is>
      </c>
      <c r="BD2326" t="inlineStr">
        <is>
          <t>893721732</t>
        </is>
      </c>
    </row>
    <row r="2327">
      <c r="A2327" t="inlineStr">
        <is>
          <t>No</t>
        </is>
      </c>
      <c r="B2327" t="inlineStr">
        <is>
          <t>DS793.Y3 L96 1997</t>
        </is>
      </c>
      <c r="C2327" t="inlineStr">
        <is>
          <t>0                      DS 0793000Y  3                  L  96          1997</t>
        </is>
      </c>
      <c r="D2327" t="inlineStr">
        <is>
          <t>Yangtze River : the wildest, wickedest river on earth / an anthology selected and edited by Madeleine Lynn.</t>
        </is>
      </c>
      <c r="F2327" t="inlineStr">
        <is>
          <t>No</t>
        </is>
      </c>
      <c r="G2327" t="inlineStr">
        <is>
          <t>1</t>
        </is>
      </c>
      <c r="H2327" t="inlineStr">
        <is>
          <t>No</t>
        </is>
      </c>
      <c r="I2327" t="inlineStr">
        <is>
          <t>No</t>
        </is>
      </c>
      <c r="J2327" t="inlineStr">
        <is>
          <t>0</t>
        </is>
      </c>
      <c r="K2327" t="inlineStr">
        <is>
          <t>Lynn, Madeleine, 1954-</t>
        </is>
      </c>
      <c r="L2327" t="inlineStr">
        <is>
          <t>Hong Kong ; New York : Oxford University Press, 1997.</t>
        </is>
      </c>
      <c r="M2327" t="inlineStr">
        <is>
          <t>1997</t>
        </is>
      </c>
      <c r="O2327" t="inlineStr">
        <is>
          <t>eng</t>
        </is>
      </c>
      <c r="P2327" t="inlineStr">
        <is>
          <t xml:space="preserve">hk </t>
        </is>
      </c>
      <c r="R2327" t="inlineStr">
        <is>
          <t xml:space="preserve">DS </t>
        </is>
      </c>
      <c r="S2327" t="n">
        <v>2</v>
      </c>
      <c r="T2327" t="n">
        <v>2</v>
      </c>
      <c r="U2327" t="inlineStr">
        <is>
          <t>2010-09-16</t>
        </is>
      </c>
      <c r="V2327" t="inlineStr">
        <is>
          <t>2010-09-16</t>
        </is>
      </c>
      <c r="W2327" t="inlineStr">
        <is>
          <t>1997-04-23</t>
        </is>
      </c>
      <c r="X2327" t="inlineStr">
        <is>
          <t>1997-04-23</t>
        </is>
      </c>
      <c r="Y2327" t="n">
        <v>160</v>
      </c>
      <c r="Z2327" t="n">
        <v>120</v>
      </c>
      <c r="AA2327" t="n">
        <v>122</v>
      </c>
      <c r="AB2327" t="n">
        <v>1</v>
      </c>
      <c r="AC2327" t="n">
        <v>1</v>
      </c>
      <c r="AD2327" t="n">
        <v>5</v>
      </c>
      <c r="AE2327" t="n">
        <v>5</v>
      </c>
      <c r="AF2327" t="n">
        <v>1</v>
      </c>
      <c r="AG2327" t="n">
        <v>1</v>
      </c>
      <c r="AH2327" t="n">
        <v>1</v>
      </c>
      <c r="AI2327" t="n">
        <v>1</v>
      </c>
      <c r="AJ2327" t="n">
        <v>5</v>
      </c>
      <c r="AK2327" t="n">
        <v>5</v>
      </c>
      <c r="AL2327" t="n">
        <v>0</v>
      </c>
      <c r="AM2327" t="n">
        <v>0</v>
      </c>
      <c r="AN2327" t="n">
        <v>0</v>
      </c>
      <c r="AO2327" t="n">
        <v>0</v>
      </c>
      <c r="AP2327" t="inlineStr">
        <is>
          <t>No</t>
        </is>
      </c>
      <c r="AQ2327" t="inlineStr">
        <is>
          <t>Yes</t>
        </is>
      </c>
      <c r="AR2327">
        <f>HYPERLINK("http://catalog.hathitrust.org/Record/003953678","HathiTrust Record")</f>
        <v/>
      </c>
      <c r="AS2327">
        <f>HYPERLINK("https://creighton-primo.hosted.exlibrisgroup.com/primo-explore/search?tab=default_tab&amp;search_scope=EVERYTHING&amp;vid=01CRU&amp;lang=en_US&amp;offset=0&amp;query=any,contains,991002715199702656","Catalog Record")</f>
        <v/>
      </c>
      <c r="AT2327">
        <f>HYPERLINK("http://www.worldcat.org/oclc/35620412","WorldCat Record")</f>
        <v/>
      </c>
      <c r="AU2327" t="inlineStr">
        <is>
          <t>837016042:eng</t>
        </is>
      </c>
      <c r="AV2327" t="inlineStr">
        <is>
          <t>35620412</t>
        </is>
      </c>
      <c r="AW2327" t="inlineStr">
        <is>
          <t>991002715199702656</t>
        </is>
      </c>
      <c r="AX2327" t="inlineStr">
        <is>
          <t>991002715199702656</t>
        </is>
      </c>
      <c r="AY2327" t="inlineStr">
        <is>
          <t>2259894410002656</t>
        </is>
      </c>
      <c r="AZ2327" t="inlineStr">
        <is>
          <t>BOOK</t>
        </is>
      </c>
      <c r="BB2327" t="inlineStr">
        <is>
          <t>9780195869200</t>
        </is>
      </c>
      <c r="BC2327" t="inlineStr">
        <is>
          <t>32285002499845</t>
        </is>
      </c>
      <c r="BD2327" t="inlineStr">
        <is>
          <t>893780127</t>
        </is>
      </c>
    </row>
    <row r="2328">
      <c r="A2328" t="inlineStr">
        <is>
          <t>No</t>
        </is>
      </c>
      <c r="B2328" t="inlineStr">
        <is>
          <t>DS793.Y3 W56 1996</t>
        </is>
      </c>
      <c r="C2328" t="inlineStr">
        <is>
          <t>0                      DS 0793000Y  3                  W  56          1996</t>
        </is>
      </c>
      <c r="D2328" t="inlineStr">
        <is>
          <t>The river at the center of the world : a journey up the Yangtze, and back in Chinese time / Simon Winchester.</t>
        </is>
      </c>
      <c r="F2328" t="inlineStr">
        <is>
          <t>No</t>
        </is>
      </c>
      <c r="G2328" t="inlineStr">
        <is>
          <t>1</t>
        </is>
      </c>
      <c r="H2328" t="inlineStr">
        <is>
          <t>No</t>
        </is>
      </c>
      <c r="I2328" t="inlineStr">
        <is>
          <t>No</t>
        </is>
      </c>
      <c r="J2328" t="inlineStr">
        <is>
          <t>0</t>
        </is>
      </c>
      <c r="K2328" t="inlineStr">
        <is>
          <t>Winchester, Simon.</t>
        </is>
      </c>
      <c r="L2328" t="inlineStr">
        <is>
          <t>New York : Henry Holt &amp; Co., 1996.</t>
        </is>
      </c>
      <c r="M2328" t="inlineStr">
        <is>
          <t>1996</t>
        </is>
      </c>
      <c r="N2328" t="inlineStr">
        <is>
          <t>1st ed.</t>
        </is>
      </c>
      <c r="O2328" t="inlineStr">
        <is>
          <t>eng</t>
        </is>
      </c>
      <c r="P2328" t="inlineStr">
        <is>
          <t>nyu</t>
        </is>
      </c>
      <c r="R2328" t="inlineStr">
        <is>
          <t xml:space="preserve">DS </t>
        </is>
      </c>
      <c r="S2328" t="n">
        <v>5</v>
      </c>
      <c r="T2328" t="n">
        <v>5</v>
      </c>
      <c r="U2328" t="inlineStr">
        <is>
          <t>2007-07-26</t>
        </is>
      </c>
      <c r="V2328" t="inlineStr">
        <is>
          <t>2007-07-26</t>
        </is>
      </c>
      <c r="W2328" t="inlineStr">
        <is>
          <t>1996-11-26</t>
        </is>
      </c>
      <c r="X2328" t="inlineStr">
        <is>
          <t>1996-11-26</t>
        </is>
      </c>
      <c r="Y2328" t="n">
        <v>790</v>
      </c>
      <c r="Z2328" t="n">
        <v>737</v>
      </c>
      <c r="AA2328" t="n">
        <v>979</v>
      </c>
      <c r="AB2328" t="n">
        <v>6</v>
      </c>
      <c r="AC2328" t="n">
        <v>9</v>
      </c>
      <c r="AD2328" t="n">
        <v>13</v>
      </c>
      <c r="AE2328" t="n">
        <v>18</v>
      </c>
      <c r="AF2328" t="n">
        <v>4</v>
      </c>
      <c r="AG2328" t="n">
        <v>6</v>
      </c>
      <c r="AH2328" t="n">
        <v>3</v>
      </c>
      <c r="AI2328" t="n">
        <v>3</v>
      </c>
      <c r="AJ2328" t="n">
        <v>7</v>
      </c>
      <c r="AK2328" t="n">
        <v>8</v>
      </c>
      <c r="AL2328" t="n">
        <v>2</v>
      </c>
      <c r="AM2328" t="n">
        <v>4</v>
      </c>
      <c r="AN2328" t="n">
        <v>1</v>
      </c>
      <c r="AO2328" t="n">
        <v>1</v>
      </c>
      <c r="AP2328" t="inlineStr">
        <is>
          <t>No</t>
        </is>
      </c>
      <c r="AQ2328" t="inlineStr">
        <is>
          <t>No</t>
        </is>
      </c>
      <c r="AS2328">
        <f>HYPERLINK("https://creighton-primo.hosted.exlibrisgroup.com/primo-explore/search?tab=default_tab&amp;search_scope=EVERYTHING&amp;vid=01CRU&amp;lang=en_US&amp;offset=0&amp;query=any,contains,991002625069702656","Catalog Record")</f>
        <v/>
      </c>
      <c r="AT2328">
        <f>HYPERLINK("http://www.worldcat.org/oclc/34411014","WorldCat Record")</f>
        <v/>
      </c>
      <c r="AU2328" t="inlineStr">
        <is>
          <t>2452840444:eng</t>
        </is>
      </c>
      <c r="AV2328" t="inlineStr">
        <is>
          <t>34411014</t>
        </is>
      </c>
      <c r="AW2328" t="inlineStr">
        <is>
          <t>991002625069702656</t>
        </is>
      </c>
      <c r="AX2328" t="inlineStr">
        <is>
          <t>991002625069702656</t>
        </is>
      </c>
      <c r="AY2328" t="inlineStr">
        <is>
          <t>2263150740002656</t>
        </is>
      </c>
      <c r="AZ2328" t="inlineStr">
        <is>
          <t>BOOK</t>
        </is>
      </c>
      <c r="BB2328" t="inlineStr">
        <is>
          <t>9780805038880</t>
        </is>
      </c>
      <c r="BC2328" t="inlineStr">
        <is>
          <t>32285002386034</t>
        </is>
      </c>
      <c r="BD2328" t="inlineStr">
        <is>
          <t>893867468</t>
        </is>
      </c>
    </row>
    <row r="2329">
      <c r="A2329" t="inlineStr">
        <is>
          <t>No</t>
        </is>
      </c>
      <c r="B2329" t="inlineStr">
        <is>
          <t>DS795 .D88 2008</t>
        </is>
      </c>
      <c r="C2329" t="inlineStr">
        <is>
          <t>0                      DS 0795000D  88          2008</t>
        </is>
      </c>
      <c r="D2329" t="inlineStr">
        <is>
          <t>Beijing time / Michael Dutton, Hsiu-ju Stacy Lo, Dong Dong Wu.</t>
        </is>
      </c>
      <c r="F2329" t="inlineStr">
        <is>
          <t>No</t>
        </is>
      </c>
      <c r="G2329" t="inlineStr">
        <is>
          <t>1</t>
        </is>
      </c>
      <c r="H2329" t="inlineStr">
        <is>
          <t>No</t>
        </is>
      </c>
      <c r="I2329" t="inlineStr">
        <is>
          <t>No</t>
        </is>
      </c>
      <c r="J2329" t="inlineStr">
        <is>
          <t>0</t>
        </is>
      </c>
      <c r="K2329" t="inlineStr">
        <is>
          <t>Dutton, Michael Robert.</t>
        </is>
      </c>
      <c r="L2329" t="inlineStr">
        <is>
          <t>Cambridge, Mass. : Harvard University Press, 2008.</t>
        </is>
      </c>
      <c r="M2329" t="inlineStr">
        <is>
          <t>2008</t>
        </is>
      </c>
      <c r="O2329" t="inlineStr">
        <is>
          <t>eng</t>
        </is>
      </c>
      <c r="P2329" t="inlineStr">
        <is>
          <t>mau</t>
        </is>
      </c>
      <c r="R2329" t="inlineStr">
        <is>
          <t xml:space="preserve">DS </t>
        </is>
      </c>
      <c r="S2329" t="n">
        <v>1</v>
      </c>
      <c r="T2329" t="n">
        <v>1</v>
      </c>
      <c r="U2329" t="inlineStr">
        <is>
          <t>2010-03-11</t>
        </is>
      </c>
      <c r="V2329" t="inlineStr">
        <is>
          <t>2010-03-11</t>
        </is>
      </c>
      <c r="W2329" t="inlineStr">
        <is>
          <t>2010-03-11</t>
        </is>
      </c>
      <c r="X2329" t="inlineStr">
        <is>
          <t>2010-03-11</t>
        </is>
      </c>
      <c r="Y2329" t="n">
        <v>322</v>
      </c>
      <c r="Z2329" t="n">
        <v>229</v>
      </c>
      <c r="AA2329" t="n">
        <v>241</v>
      </c>
      <c r="AB2329" t="n">
        <v>2</v>
      </c>
      <c r="AC2329" t="n">
        <v>2</v>
      </c>
      <c r="AD2329" t="n">
        <v>12</v>
      </c>
      <c r="AE2329" t="n">
        <v>12</v>
      </c>
      <c r="AF2329" t="n">
        <v>6</v>
      </c>
      <c r="AG2329" t="n">
        <v>6</v>
      </c>
      <c r="AH2329" t="n">
        <v>2</v>
      </c>
      <c r="AI2329" t="n">
        <v>2</v>
      </c>
      <c r="AJ2329" t="n">
        <v>6</v>
      </c>
      <c r="AK2329" t="n">
        <v>6</v>
      </c>
      <c r="AL2329" t="n">
        <v>1</v>
      </c>
      <c r="AM2329" t="n">
        <v>1</v>
      </c>
      <c r="AN2329" t="n">
        <v>0</v>
      </c>
      <c r="AO2329" t="n">
        <v>0</v>
      </c>
      <c r="AP2329" t="inlineStr">
        <is>
          <t>No</t>
        </is>
      </c>
      <c r="AQ2329" t="inlineStr">
        <is>
          <t>Yes</t>
        </is>
      </c>
      <c r="AR2329">
        <f>HYPERLINK("http://catalog.hathitrust.org/Record/005814661","HathiTrust Record")</f>
        <v/>
      </c>
      <c r="AS2329">
        <f>HYPERLINK("https://creighton-primo.hosted.exlibrisgroup.com/primo-explore/search?tab=default_tab&amp;search_scope=EVERYTHING&amp;vid=01CRU&amp;lang=en_US&amp;offset=0&amp;query=any,contains,991005364479702656","Catalog Record")</f>
        <v/>
      </c>
      <c r="AT2329">
        <f>HYPERLINK("http://www.worldcat.org/oclc/173136229","WorldCat Record")</f>
        <v/>
      </c>
      <c r="AU2329" t="inlineStr">
        <is>
          <t>114071539:eng</t>
        </is>
      </c>
      <c r="AV2329" t="inlineStr">
        <is>
          <t>173136229</t>
        </is>
      </c>
      <c r="AW2329" t="inlineStr">
        <is>
          <t>991005364479702656</t>
        </is>
      </c>
      <c r="AX2329" t="inlineStr">
        <is>
          <t>991005364479702656</t>
        </is>
      </c>
      <c r="AY2329" t="inlineStr">
        <is>
          <t>2261324750002656</t>
        </is>
      </c>
      <c r="AZ2329" t="inlineStr">
        <is>
          <t>BOOK</t>
        </is>
      </c>
      <c r="BB2329" t="inlineStr">
        <is>
          <t>9780674027893</t>
        </is>
      </c>
      <c r="BC2329" t="inlineStr">
        <is>
          <t>32285005578009</t>
        </is>
      </c>
      <c r="BD2329" t="inlineStr">
        <is>
          <t>893783516</t>
        </is>
      </c>
    </row>
    <row r="2330">
      <c r="A2330" t="inlineStr">
        <is>
          <t>No</t>
        </is>
      </c>
      <c r="B2330" t="inlineStr">
        <is>
          <t>DS795.6.T5 S3 1989</t>
        </is>
      </c>
      <c r="C2330" t="inlineStr">
        <is>
          <t>0                      DS 0795600T  5                  S  3           1989</t>
        </is>
      </c>
      <c r="D2330" t="inlineStr">
        <is>
          <t>Tiananmen diary : thirteen days in June / Harrison E. Salisbury.</t>
        </is>
      </c>
      <c r="F2330" t="inlineStr">
        <is>
          <t>No</t>
        </is>
      </c>
      <c r="G2330" t="inlineStr">
        <is>
          <t>1</t>
        </is>
      </c>
      <c r="H2330" t="inlineStr">
        <is>
          <t>No</t>
        </is>
      </c>
      <c r="I2330" t="inlineStr">
        <is>
          <t>No</t>
        </is>
      </c>
      <c r="J2330" t="inlineStr">
        <is>
          <t>0</t>
        </is>
      </c>
      <c r="K2330" t="inlineStr">
        <is>
          <t>Salisbury, Harrison E. (Harrison Evans), 1908-1993.</t>
        </is>
      </c>
      <c r="L2330" t="inlineStr">
        <is>
          <t>Boston : Little, Brown, c1989.</t>
        </is>
      </c>
      <c r="M2330" t="inlineStr">
        <is>
          <t>1989</t>
        </is>
      </c>
      <c r="N2330" t="inlineStr">
        <is>
          <t>1st ed.</t>
        </is>
      </c>
      <c r="O2330" t="inlineStr">
        <is>
          <t>eng</t>
        </is>
      </c>
      <c r="P2330" t="inlineStr">
        <is>
          <t>mau</t>
        </is>
      </c>
      <c r="R2330" t="inlineStr">
        <is>
          <t xml:space="preserve">DS </t>
        </is>
      </c>
      <c r="S2330" t="n">
        <v>20</v>
      </c>
      <c r="T2330" t="n">
        <v>20</v>
      </c>
      <c r="U2330" t="inlineStr">
        <is>
          <t>2005-07-19</t>
        </is>
      </c>
      <c r="V2330" t="inlineStr">
        <is>
          <t>2005-07-19</t>
        </is>
      </c>
      <c r="W2330" t="inlineStr">
        <is>
          <t>1990-01-14</t>
        </is>
      </c>
      <c r="X2330" t="inlineStr">
        <is>
          <t>1990-01-14</t>
        </is>
      </c>
      <c r="Y2330" t="n">
        <v>1340</v>
      </c>
      <c r="Z2330" t="n">
        <v>1253</v>
      </c>
      <c r="AA2330" t="n">
        <v>1258</v>
      </c>
      <c r="AB2330" t="n">
        <v>10</v>
      </c>
      <c r="AC2330" t="n">
        <v>10</v>
      </c>
      <c r="AD2330" t="n">
        <v>27</v>
      </c>
      <c r="AE2330" t="n">
        <v>27</v>
      </c>
      <c r="AF2330" t="n">
        <v>10</v>
      </c>
      <c r="AG2330" t="n">
        <v>10</v>
      </c>
      <c r="AH2330" t="n">
        <v>7</v>
      </c>
      <c r="AI2330" t="n">
        <v>7</v>
      </c>
      <c r="AJ2330" t="n">
        <v>12</v>
      </c>
      <c r="AK2330" t="n">
        <v>12</v>
      </c>
      <c r="AL2330" t="n">
        <v>4</v>
      </c>
      <c r="AM2330" t="n">
        <v>4</v>
      </c>
      <c r="AN2330" t="n">
        <v>0</v>
      </c>
      <c r="AO2330" t="n">
        <v>0</v>
      </c>
      <c r="AP2330" t="inlineStr">
        <is>
          <t>No</t>
        </is>
      </c>
      <c r="AQ2330" t="inlineStr">
        <is>
          <t>No</t>
        </is>
      </c>
      <c r="AS2330">
        <f>HYPERLINK("https://creighton-primo.hosted.exlibrisgroup.com/primo-explore/search?tab=default_tab&amp;search_scope=EVERYTHING&amp;vid=01CRU&amp;lang=en_US&amp;offset=0&amp;query=any,contains,991001552339702656","Catalog Record")</f>
        <v/>
      </c>
      <c r="AT2330">
        <f>HYPERLINK("http://www.worldcat.org/oclc/20232053","WorldCat Record")</f>
        <v/>
      </c>
      <c r="AU2330" t="inlineStr">
        <is>
          <t>197901996:eng</t>
        </is>
      </c>
      <c r="AV2330" t="inlineStr">
        <is>
          <t>20232053</t>
        </is>
      </c>
      <c r="AW2330" t="inlineStr">
        <is>
          <t>991001552339702656</t>
        </is>
      </c>
      <c r="AX2330" t="inlineStr">
        <is>
          <t>991001552339702656</t>
        </is>
      </c>
      <c r="AY2330" t="inlineStr">
        <is>
          <t>2264605250002656</t>
        </is>
      </c>
      <c r="AZ2330" t="inlineStr">
        <is>
          <t>BOOK</t>
        </is>
      </c>
      <c r="BB2330" t="inlineStr">
        <is>
          <t>9780316809054</t>
        </is>
      </c>
      <c r="BC2330" t="inlineStr">
        <is>
          <t>32285000025733</t>
        </is>
      </c>
      <c r="BD2330" t="inlineStr">
        <is>
          <t>893690680</t>
        </is>
      </c>
    </row>
    <row r="2331">
      <c r="A2331" t="inlineStr">
        <is>
          <t>No</t>
        </is>
      </c>
      <c r="B2331" t="inlineStr">
        <is>
          <t>DS796.H757 E524</t>
        </is>
      </c>
      <c r="C2331" t="inlineStr">
        <is>
          <t>0                      DS 0796000H  757                E  524</t>
        </is>
      </c>
      <c r="D2331" t="inlineStr">
        <is>
          <t>Hong Kong eclipse / G. B. Endacott ; edited and with additional material by Alan Birch.</t>
        </is>
      </c>
      <c r="F2331" t="inlineStr">
        <is>
          <t>No</t>
        </is>
      </c>
      <c r="G2331" t="inlineStr">
        <is>
          <t>1</t>
        </is>
      </c>
      <c r="H2331" t="inlineStr">
        <is>
          <t>No</t>
        </is>
      </c>
      <c r="I2331" t="inlineStr">
        <is>
          <t>No</t>
        </is>
      </c>
      <c r="J2331" t="inlineStr">
        <is>
          <t>0</t>
        </is>
      </c>
      <c r="K2331" t="inlineStr">
        <is>
          <t>Endacott, G. B.</t>
        </is>
      </c>
      <c r="L2331" t="inlineStr">
        <is>
          <t>Hong Kong ; New York : Oxford University Press, 1978.</t>
        </is>
      </c>
      <c r="M2331" t="inlineStr">
        <is>
          <t>1978</t>
        </is>
      </c>
      <c r="O2331" t="inlineStr">
        <is>
          <t>eng</t>
        </is>
      </c>
      <c r="P2331" t="inlineStr">
        <is>
          <t xml:space="preserve">hk </t>
        </is>
      </c>
      <c r="Q2331" t="inlineStr">
        <is>
          <t>Oxford in Asia paperbacks</t>
        </is>
      </c>
      <c r="R2331" t="inlineStr">
        <is>
          <t xml:space="preserve">DS </t>
        </is>
      </c>
      <c r="S2331" t="n">
        <v>3</v>
      </c>
      <c r="T2331" t="n">
        <v>3</v>
      </c>
      <c r="U2331" t="inlineStr">
        <is>
          <t>1995-03-02</t>
        </is>
      </c>
      <c r="V2331" t="inlineStr">
        <is>
          <t>1995-03-02</t>
        </is>
      </c>
      <c r="W2331" t="inlineStr">
        <is>
          <t>1991-06-28</t>
        </is>
      </c>
      <c r="X2331" t="inlineStr">
        <is>
          <t>1991-06-28</t>
        </is>
      </c>
      <c r="Y2331" t="n">
        <v>293</v>
      </c>
      <c r="Z2331" t="n">
        <v>213</v>
      </c>
      <c r="AA2331" t="n">
        <v>226</v>
      </c>
      <c r="AB2331" t="n">
        <v>2</v>
      </c>
      <c r="AC2331" t="n">
        <v>2</v>
      </c>
      <c r="AD2331" t="n">
        <v>7</v>
      </c>
      <c r="AE2331" t="n">
        <v>7</v>
      </c>
      <c r="AF2331" t="n">
        <v>1</v>
      </c>
      <c r="AG2331" t="n">
        <v>1</v>
      </c>
      <c r="AH2331" t="n">
        <v>3</v>
      </c>
      <c r="AI2331" t="n">
        <v>3</v>
      </c>
      <c r="AJ2331" t="n">
        <v>3</v>
      </c>
      <c r="AK2331" t="n">
        <v>3</v>
      </c>
      <c r="AL2331" t="n">
        <v>1</v>
      </c>
      <c r="AM2331" t="n">
        <v>1</v>
      </c>
      <c r="AN2331" t="n">
        <v>0</v>
      </c>
      <c r="AO2331" t="n">
        <v>0</v>
      </c>
      <c r="AP2331" t="inlineStr">
        <is>
          <t>No</t>
        </is>
      </c>
      <c r="AQ2331" t="inlineStr">
        <is>
          <t>Yes</t>
        </is>
      </c>
      <c r="AR2331">
        <f>HYPERLINK("http://catalog.hathitrust.org/Record/000299783","HathiTrust Record")</f>
        <v/>
      </c>
      <c r="AS2331">
        <f>HYPERLINK("https://creighton-primo.hosted.exlibrisgroup.com/primo-explore/search?tab=default_tab&amp;search_scope=EVERYTHING&amp;vid=01CRU&amp;lang=en_US&amp;offset=0&amp;query=any,contains,991004602879702656","Catalog Record")</f>
        <v/>
      </c>
      <c r="AT2331">
        <f>HYPERLINK("http://www.worldcat.org/oclc/4183099","WorldCat Record")</f>
        <v/>
      </c>
      <c r="AU2331" t="inlineStr">
        <is>
          <t>415604:eng</t>
        </is>
      </c>
      <c r="AV2331" t="inlineStr">
        <is>
          <t>4183099</t>
        </is>
      </c>
      <c r="AW2331" t="inlineStr">
        <is>
          <t>991004602879702656</t>
        </is>
      </c>
      <c r="AX2331" t="inlineStr">
        <is>
          <t>991004602879702656</t>
        </is>
      </c>
      <c r="AY2331" t="inlineStr">
        <is>
          <t>2266505480002656</t>
        </is>
      </c>
      <c r="AZ2331" t="inlineStr">
        <is>
          <t>BOOK</t>
        </is>
      </c>
      <c r="BB2331" t="inlineStr">
        <is>
          <t>9780195803754</t>
        </is>
      </c>
      <c r="BC2331" t="inlineStr">
        <is>
          <t>32285000672526</t>
        </is>
      </c>
      <c r="BD2331" t="inlineStr">
        <is>
          <t>893319431</t>
        </is>
      </c>
    </row>
    <row r="2332">
      <c r="A2332" t="inlineStr">
        <is>
          <t>No</t>
        </is>
      </c>
      <c r="B2332" t="inlineStr">
        <is>
          <t>DS796.H757 H647 1999</t>
        </is>
      </c>
      <c r="C2332" t="inlineStr">
        <is>
          <t>0                      DS 0796000H  757                H  647         1999</t>
        </is>
      </c>
      <c r="D2332" t="inlineStr">
        <is>
          <t>Hong Kong at the handover / edited by Bruce Herschensohn.</t>
        </is>
      </c>
      <c r="F2332" t="inlineStr">
        <is>
          <t>No</t>
        </is>
      </c>
      <c r="G2332" t="inlineStr">
        <is>
          <t>1</t>
        </is>
      </c>
      <c r="H2332" t="inlineStr">
        <is>
          <t>No</t>
        </is>
      </c>
      <c r="I2332" t="inlineStr">
        <is>
          <t>No</t>
        </is>
      </c>
      <c r="J2332" t="inlineStr">
        <is>
          <t>0</t>
        </is>
      </c>
      <c r="L2332" t="inlineStr">
        <is>
          <t>Lanham : Lexington Books, c1999</t>
        </is>
      </c>
      <c r="M2332" t="inlineStr">
        <is>
          <t>1999</t>
        </is>
      </c>
      <c r="O2332" t="inlineStr">
        <is>
          <t>eng</t>
        </is>
      </c>
      <c r="P2332" t="inlineStr">
        <is>
          <t>mdu</t>
        </is>
      </c>
      <c r="R2332" t="inlineStr">
        <is>
          <t xml:space="preserve">DS </t>
        </is>
      </c>
      <c r="S2332" t="n">
        <v>2</v>
      </c>
      <c r="T2332" t="n">
        <v>2</v>
      </c>
      <c r="U2332" t="inlineStr">
        <is>
          <t>2003-12-04</t>
        </is>
      </c>
      <c r="V2332" t="inlineStr">
        <is>
          <t>2003-12-04</t>
        </is>
      </c>
      <c r="W2332" t="inlineStr">
        <is>
          <t>2003-12-04</t>
        </is>
      </c>
      <c r="X2332" t="inlineStr">
        <is>
          <t>2003-12-04</t>
        </is>
      </c>
      <c r="Y2332" t="n">
        <v>185</v>
      </c>
      <c r="Z2332" t="n">
        <v>150</v>
      </c>
      <c r="AA2332" t="n">
        <v>153</v>
      </c>
      <c r="AB2332" t="n">
        <v>2</v>
      </c>
      <c r="AC2332" t="n">
        <v>2</v>
      </c>
      <c r="AD2332" t="n">
        <v>11</v>
      </c>
      <c r="AE2332" t="n">
        <v>11</v>
      </c>
      <c r="AF2332" t="n">
        <v>3</v>
      </c>
      <c r="AG2332" t="n">
        <v>3</v>
      </c>
      <c r="AH2332" t="n">
        <v>3</v>
      </c>
      <c r="AI2332" t="n">
        <v>3</v>
      </c>
      <c r="AJ2332" t="n">
        <v>8</v>
      </c>
      <c r="AK2332" t="n">
        <v>8</v>
      </c>
      <c r="AL2332" t="n">
        <v>1</v>
      </c>
      <c r="AM2332" t="n">
        <v>1</v>
      </c>
      <c r="AN2332" t="n">
        <v>0</v>
      </c>
      <c r="AO2332" t="n">
        <v>0</v>
      </c>
      <c r="AP2332" t="inlineStr">
        <is>
          <t>No</t>
        </is>
      </c>
      <c r="AQ2332" t="inlineStr">
        <is>
          <t>Yes</t>
        </is>
      </c>
      <c r="AR2332">
        <f>HYPERLINK("http://catalog.hathitrust.org/Record/004022343","HathiTrust Record")</f>
        <v/>
      </c>
      <c r="AS2332">
        <f>HYPERLINK("https://creighton-primo.hosted.exlibrisgroup.com/primo-explore/search?tab=default_tab&amp;search_scope=EVERYTHING&amp;vid=01CRU&amp;lang=en_US&amp;offset=0&amp;query=any,contains,991004187399702656","Catalog Record")</f>
        <v/>
      </c>
      <c r="AT2332">
        <f>HYPERLINK("http://www.worldcat.org/oclc/40043588","WorldCat Record")</f>
        <v/>
      </c>
      <c r="AU2332" t="inlineStr">
        <is>
          <t>368219205:eng</t>
        </is>
      </c>
      <c r="AV2332" t="inlineStr">
        <is>
          <t>40043588</t>
        </is>
      </c>
      <c r="AW2332" t="inlineStr">
        <is>
          <t>991004187399702656</t>
        </is>
      </c>
      <c r="AX2332" t="inlineStr">
        <is>
          <t>991004187399702656</t>
        </is>
      </c>
      <c r="AY2332" t="inlineStr">
        <is>
          <t>2268034800002656</t>
        </is>
      </c>
      <c r="AZ2332" t="inlineStr">
        <is>
          <t>BOOK</t>
        </is>
      </c>
      <c r="BB2332" t="inlineStr">
        <is>
          <t>9780739100066</t>
        </is>
      </c>
      <c r="BC2332" t="inlineStr">
        <is>
          <t>32285004844709</t>
        </is>
      </c>
      <c r="BD2332" t="inlineStr">
        <is>
          <t>893888395</t>
        </is>
      </c>
    </row>
    <row r="2333">
      <c r="A2333" t="inlineStr">
        <is>
          <t>No</t>
        </is>
      </c>
      <c r="B2333" t="inlineStr">
        <is>
          <t>DS796.H757 H6595 2000</t>
        </is>
      </c>
      <c r="C2333" t="inlineStr">
        <is>
          <t>0                      DS 0796000H  757                H  6595        2000</t>
        </is>
      </c>
      <c r="D2333" t="inlineStr">
        <is>
          <t>Hong Kong the super paradox : life after return to China / edited by James C. Hsiung.</t>
        </is>
      </c>
      <c r="F2333" t="inlineStr">
        <is>
          <t>No</t>
        </is>
      </c>
      <c r="G2333" t="inlineStr">
        <is>
          <t>1</t>
        </is>
      </c>
      <c r="H2333" t="inlineStr">
        <is>
          <t>No</t>
        </is>
      </c>
      <c r="I2333" t="inlineStr">
        <is>
          <t>No</t>
        </is>
      </c>
      <c r="J2333" t="inlineStr">
        <is>
          <t>0</t>
        </is>
      </c>
      <c r="L2333" t="inlineStr">
        <is>
          <t>New York, N.Y. : St. Martin's Press, c2000.</t>
        </is>
      </c>
      <c r="M2333" t="inlineStr">
        <is>
          <t>2000</t>
        </is>
      </c>
      <c r="O2333" t="inlineStr">
        <is>
          <t>eng</t>
        </is>
      </c>
      <c r="P2333" t="inlineStr">
        <is>
          <t>nyu</t>
        </is>
      </c>
      <c r="R2333" t="inlineStr">
        <is>
          <t xml:space="preserve">DS </t>
        </is>
      </c>
      <c r="S2333" t="n">
        <v>2</v>
      </c>
      <c r="T2333" t="n">
        <v>2</v>
      </c>
      <c r="U2333" t="inlineStr">
        <is>
          <t>2002-10-16</t>
        </is>
      </c>
      <c r="V2333" t="inlineStr">
        <is>
          <t>2002-10-16</t>
        </is>
      </c>
      <c r="W2333" t="inlineStr">
        <is>
          <t>2002-10-16</t>
        </is>
      </c>
      <c r="X2333" t="inlineStr">
        <is>
          <t>2002-10-16</t>
        </is>
      </c>
      <c r="Y2333" t="n">
        <v>358</v>
      </c>
      <c r="Z2333" t="n">
        <v>305</v>
      </c>
      <c r="AA2333" t="n">
        <v>311</v>
      </c>
      <c r="AB2333" t="n">
        <v>2</v>
      </c>
      <c r="AC2333" t="n">
        <v>2</v>
      </c>
      <c r="AD2333" t="n">
        <v>17</v>
      </c>
      <c r="AE2333" t="n">
        <v>17</v>
      </c>
      <c r="AF2333" t="n">
        <v>4</v>
      </c>
      <c r="AG2333" t="n">
        <v>4</v>
      </c>
      <c r="AH2333" t="n">
        <v>8</v>
      </c>
      <c r="AI2333" t="n">
        <v>8</v>
      </c>
      <c r="AJ2333" t="n">
        <v>9</v>
      </c>
      <c r="AK2333" t="n">
        <v>9</v>
      </c>
      <c r="AL2333" t="n">
        <v>1</v>
      </c>
      <c r="AM2333" t="n">
        <v>1</v>
      </c>
      <c r="AN2333" t="n">
        <v>0</v>
      </c>
      <c r="AO2333" t="n">
        <v>0</v>
      </c>
      <c r="AP2333" t="inlineStr">
        <is>
          <t>No</t>
        </is>
      </c>
      <c r="AQ2333" t="inlineStr">
        <is>
          <t>No</t>
        </is>
      </c>
      <c r="AS2333">
        <f>HYPERLINK("https://creighton-primo.hosted.exlibrisgroup.com/primo-explore/search?tab=default_tab&amp;search_scope=EVERYTHING&amp;vid=01CRU&amp;lang=en_US&amp;offset=0&amp;query=any,contains,991003890309702656","Catalog Record")</f>
        <v/>
      </c>
      <c r="AT2333">
        <f>HYPERLINK("http://www.worldcat.org/oclc/41892515","WorldCat Record")</f>
        <v/>
      </c>
      <c r="AU2333" t="inlineStr">
        <is>
          <t>837035517:eng</t>
        </is>
      </c>
      <c r="AV2333" t="inlineStr">
        <is>
          <t>41892515</t>
        </is>
      </c>
      <c r="AW2333" t="inlineStr">
        <is>
          <t>991003890309702656</t>
        </is>
      </c>
      <c r="AX2333" t="inlineStr">
        <is>
          <t>991003890309702656</t>
        </is>
      </c>
      <c r="AY2333" t="inlineStr">
        <is>
          <t>2259334480002656</t>
        </is>
      </c>
      <c r="AZ2333" t="inlineStr">
        <is>
          <t>BOOK</t>
        </is>
      </c>
      <c r="BB2333" t="inlineStr">
        <is>
          <t>9780312222932</t>
        </is>
      </c>
      <c r="BC2333" t="inlineStr">
        <is>
          <t>32285004655477</t>
        </is>
      </c>
      <c r="BD2333" t="inlineStr">
        <is>
          <t>893518986</t>
        </is>
      </c>
    </row>
    <row r="2334">
      <c r="A2334" t="inlineStr">
        <is>
          <t>No</t>
        </is>
      </c>
      <c r="B2334" t="inlineStr">
        <is>
          <t>DS796.H757 R628 1996</t>
        </is>
      </c>
      <c r="C2334" t="inlineStr">
        <is>
          <t>0                      DS 0796000H  757                R  628         1996</t>
        </is>
      </c>
      <c r="D2334" t="inlineStr">
        <is>
          <t>The fall of Hong Kong : China's triumph and Britain's betrayal / Mark Roberti.</t>
        </is>
      </c>
      <c r="F2334" t="inlineStr">
        <is>
          <t>No</t>
        </is>
      </c>
      <c r="G2334" t="inlineStr">
        <is>
          <t>1</t>
        </is>
      </c>
      <c r="H2334" t="inlineStr">
        <is>
          <t>No</t>
        </is>
      </c>
      <c r="I2334" t="inlineStr">
        <is>
          <t>No</t>
        </is>
      </c>
      <c r="J2334" t="inlineStr">
        <is>
          <t>0</t>
        </is>
      </c>
      <c r="K2334" t="inlineStr">
        <is>
          <t>Roberti, Mark, 1961-</t>
        </is>
      </c>
      <c r="L2334" t="inlineStr">
        <is>
          <t>New York : John Wiley &amp; Sons, c1996.</t>
        </is>
      </c>
      <c r="M2334" t="inlineStr">
        <is>
          <t>1996</t>
        </is>
      </c>
      <c r="N2334" t="inlineStr">
        <is>
          <t>[Rev. and updated]</t>
        </is>
      </c>
      <c r="O2334" t="inlineStr">
        <is>
          <t>eng</t>
        </is>
      </c>
      <c r="P2334" t="inlineStr">
        <is>
          <t>nyu</t>
        </is>
      </c>
      <c r="R2334" t="inlineStr">
        <is>
          <t xml:space="preserve">DS </t>
        </is>
      </c>
      <c r="S2334" t="n">
        <v>11</v>
      </c>
      <c r="T2334" t="n">
        <v>11</v>
      </c>
      <c r="U2334" t="inlineStr">
        <is>
          <t>2005-11-21</t>
        </is>
      </c>
      <c r="V2334" t="inlineStr">
        <is>
          <t>2005-11-21</t>
        </is>
      </c>
      <c r="W2334" t="inlineStr">
        <is>
          <t>1997-02-19</t>
        </is>
      </c>
      <c r="X2334" t="inlineStr">
        <is>
          <t>1997-02-19</t>
        </is>
      </c>
      <c r="Y2334" t="n">
        <v>260</v>
      </c>
      <c r="Z2334" t="n">
        <v>184</v>
      </c>
      <c r="AA2334" t="n">
        <v>572</v>
      </c>
      <c r="AB2334" t="n">
        <v>1</v>
      </c>
      <c r="AC2334" t="n">
        <v>4</v>
      </c>
      <c r="AD2334" t="n">
        <v>11</v>
      </c>
      <c r="AE2334" t="n">
        <v>22</v>
      </c>
      <c r="AF2334" t="n">
        <v>6</v>
      </c>
      <c r="AG2334" t="n">
        <v>8</v>
      </c>
      <c r="AH2334" t="n">
        <v>1</v>
      </c>
      <c r="AI2334" t="n">
        <v>5</v>
      </c>
      <c r="AJ2334" t="n">
        <v>7</v>
      </c>
      <c r="AK2334" t="n">
        <v>13</v>
      </c>
      <c r="AL2334" t="n">
        <v>0</v>
      </c>
      <c r="AM2334" t="n">
        <v>2</v>
      </c>
      <c r="AN2334" t="n">
        <v>0</v>
      </c>
      <c r="AO2334" t="n">
        <v>0</v>
      </c>
      <c r="AP2334" t="inlineStr">
        <is>
          <t>No</t>
        </is>
      </c>
      <c r="AQ2334" t="inlineStr">
        <is>
          <t>Yes</t>
        </is>
      </c>
      <c r="AR2334">
        <f>HYPERLINK("http://catalog.hathitrust.org/Record/007219525","HathiTrust Record")</f>
        <v/>
      </c>
      <c r="AS2334">
        <f>HYPERLINK("https://creighton-primo.hosted.exlibrisgroup.com/primo-explore/search?tab=default_tab&amp;search_scope=EVERYTHING&amp;vid=01CRU&amp;lang=en_US&amp;offset=0&amp;query=any,contains,991002650989702656","Catalog Record")</f>
        <v/>
      </c>
      <c r="AT2334">
        <f>HYPERLINK("http://www.worldcat.org/oclc/34669501","WorldCat Record")</f>
        <v/>
      </c>
      <c r="AU2334" t="inlineStr">
        <is>
          <t>811361774:eng</t>
        </is>
      </c>
      <c r="AV2334" t="inlineStr">
        <is>
          <t>34669501</t>
        </is>
      </c>
      <c r="AW2334" t="inlineStr">
        <is>
          <t>991002650989702656</t>
        </is>
      </c>
      <c r="AX2334" t="inlineStr">
        <is>
          <t>991002650989702656</t>
        </is>
      </c>
      <c r="AY2334" t="inlineStr">
        <is>
          <t>2271225530002656</t>
        </is>
      </c>
      <c r="AZ2334" t="inlineStr">
        <is>
          <t>BOOK</t>
        </is>
      </c>
      <c r="BB2334" t="inlineStr">
        <is>
          <t>9780471159612</t>
        </is>
      </c>
      <c r="BC2334" t="inlineStr">
        <is>
          <t>32285002431772</t>
        </is>
      </c>
      <c r="BD2334" t="inlineStr">
        <is>
          <t>893622543</t>
        </is>
      </c>
    </row>
    <row r="2335">
      <c r="A2335" t="inlineStr">
        <is>
          <t>No</t>
        </is>
      </c>
      <c r="B2335" t="inlineStr">
        <is>
          <t>DS796.H757 W36 1995</t>
        </is>
      </c>
      <c r="C2335" t="inlineStr">
        <is>
          <t>0                      DS 0796000H  757                W  36          1995</t>
        </is>
      </c>
      <c r="D2335" t="inlineStr">
        <is>
          <t>Hong Kong, 1997 : the politics of transition / Enbao Wang.</t>
        </is>
      </c>
      <c r="F2335" t="inlineStr">
        <is>
          <t>No</t>
        </is>
      </c>
      <c r="G2335" t="inlineStr">
        <is>
          <t>1</t>
        </is>
      </c>
      <c r="H2335" t="inlineStr">
        <is>
          <t>No</t>
        </is>
      </c>
      <c r="I2335" t="inlineStr">
        <is>
          <t>No</t>
        </is>
      </c>
      <c r="J2335" t="inlineStr">
        <is>
          <t>0</t>
        </is>
      </c>
      <c r="K2335" t="inlineStr">
        <is>
          <t>Wang, Enbao, 1953-</t>
        </is>
      </c>
      <c r="L2335" t="inlineStr">
        <is>
          <t>Boulder : L. Rienner, 1995.</t>
        </is>
      </c>
      <c r="M2335" t="inlineStr">
        <is>
          <t>1995</t>
        </is>
      </c>
      <c r="O2335" t="inlineStr">
        <is>
          <t>eng</t>
        </is>
      </c>
      <c r="P2335" t="inlineStr">
        <is>
          <t>cou</t>
        </is>
      </c>
      <c r="R2335" t="inlineStr">
        <is>
          <t xml:space="preserve">DS </t>
        </is>
      </c>
      <c r="S2335" t="n">
        <v>9</v>
      </c>
      <c r="T2335" t="n">
        <v>9</v>
      </c>
      <c r="U2335" t="inlineStr">
        <is>
          <t>1998-11-09</t>
        </is>
      </c>
      <c r="V2335" t="inlineStr">
        <is>
          <t>1998-11-09</t>
        </is>
      </c>
      <c r="W2335" t="inlineStr">
        <is>
          <t>1996-12-04</t>
        </is>
      </c>
      <c r="X2335" t="inlineStr">
        <is>
          <t>1996-12-04</t>
        </is>
      </c>
      <c r="Y2335" t="n">
        <v>450</v>
      </c>
      <c r="Z2335" t="n">
        <v>357</v>
      </c>
      <c r="AA2335" t="n">
        <v>364</v>
      </c>
      <c r="AB2335" t="n">
        <v>4</v>
      </c>
      <c r="AC2335" t="n">
        <v>4</v>
      </c>
      <c r="AD2335" t="n">
        <v>20</v>
      </c>
      <c r="AE2335" t="n">
        <v>20</v>
      </c>
      <c r="AF2335" t="n">
        <v>4</v>
      </c>
      <c r="AG2335" t="n">
        <v>4</v>
      </c>
      <c r="AH2335" t="n">
        <v>6</v>
      </c>
      <c r="AI2335" t="n">
        <v>6</v>
      </c>
      <c r="AJ2335" t="n">
        <v>10</v>
      </c>
      <c r="AK2335" t="n">
        <v>10</v>
      </c>
      <c r="AL2335" t="n">
        <v>3</v>
      </c>
      <c r="AM2335" t="n">
        <v>3</v>
      </c>
      <c r="AN2335" t="n">
        <v>0</v>
      </c>
      <c r="AO2335" t="n">
        <v>0</v>
      </c>
      <c r="AP2335" t="inlineStr">
        <is>
          <t>No</t>
        </is>
      </c>
      <c r="AQ2335" t="inlineStr">
        <is>
          <t>No</t>
        </is>
      </c>
      <c r="AS2335">
        <f>HYPERLINK("https://creighton-primo.hosted.exlibrisgroup.com/primo-explore/search?tab=default_tab&amp;search_scope=EVERYTHING&amp;vid=01CRU&amp;lang=en_US&amp;offset=0&amp;query=any,contains,991002500049702656","Catalog Record")</f>
        <v/>
      </c>
      <c r="AT2335">
        <f>HYPERLINK("http://www.worldcat.org/oclc/32510760","WorldCat Record")</f>
        <v/>
      </c>
      <c r="AU2335" t="inlineStr">
        <is>
          <t>318775620:eng</t>
        </is>
      </c>
      <c r="AV2335" t="inlineStr">
        <is>
          <t>32510760</t>
        </is>
      </c>
      <c r="AW2335" t="inlineStr">
        <is>
          <t>991002500049702656</t>
        </is>
      </c>
      <c r="AX2335" t="inlineStr">
        <is>
          <t>991002500049702656</t>
        </is>
      </c>
      <c r="AY2335" t="inlineStr">
        <is>
          <t>2259635730002656</t>
        </is>
      </c>
      <c r="AZ2335" t="inlineStr">
        <is>
          <t>BOOK</t>
        </is>
      </c>
      <c r="BB2335" t="inlineStr">
        <is>
          <t>9781555875978</t>
        </is>
      </c>
      <c r="BC2335" t="inlineStr">
        <is>
          <t>32285002388089</t>
        </is>
      </c>
      <c r="BD2335" t="inlineStr">
        <is>
          <t>893245256</t>
        </is>
      </c>
    </row>
    <row r="2336">
      <c r="A2336" t="inlineStr">
        <is>
          <t>No</t>
        </is>
      </c>
      <c r="B2336" t="inlineStr">
        <is>
          <t>DS796.H757 Y34 1996</t>
        </is>
      </c>
      <c r="C2336" t="inlineStr">
        <is>
          <t>0                      DS 0796000H  757                Y  34          1996</t>
        </is>
      </c>
      <c r="D2336" t="inlineStr">
        <is>
          <t>Hong Kong : China's challenge / Michael Yahuda.</t>
        </is>
      </c>
      <c r="F2336" t="inlineStr">
        <is>
          <t>No</t>
        </is>
      </c>
      <c r="G2336" t="inlineStr">
        <is>
          <t>1</t>
        </is>
      </c>
      <c r="H2336" t="inlineStr">
        <is>
          <t>No</t>
        </is>
      </c>
      <c r="I2336" t="inlineStr">
        <is>
          <t>No</t>
        </is>
      </c>
      <c r="J2336" t="inlineStr">
        <is>
          <t>0</t>
        </is>
      </c>
      <c r="K2336" t="inlineStr">
        <is>
          <t>Yahuda, Michael B.</t>
        </is>
      </c>
      <c r="L2336" t="inlineStr">
        <is>
          <t>London ; New York : Routledge, 1996.</t>
        </is>
      </c>
      <c r="M2336" t="inlineStr">
        <is>
          <t>1996</t>
        </is>
      </c>
      <c r="O2336" t="inlineStr">
        <is>
          <t>eng</t>
        </is>
      </c>
      <c r="P2336" t="inlineStr">
        <is>
          <t>nyu</t>
        </is>
      </c>
      <c r="R2336" t="inlineStr">
        <is>
          <t xml:space="preserve">DS </t>
        </is>
      </c>
      <c r="S2336" t="n">
        <v>7</v>
      </c>
      <c r="T2336" t="n">
        <v>7</v>
      </c>
      <c r="U2336" t="inlineStr">
        <is>
          <t>1998-03-02</t>
        </is>
      </c>
      <c r="V2336" t="inlineStr">
        <is>
          <t>1998-03-02</t>
        </is>
      </c>
      <c r="W2336" t="inlineStr">
        <is>
          <t>1996-11-08</t>
        </is>
      </c>
      <c r="X2336" t="inlineStr">
        <is>
          <t>1996-11-08</t>
        </is>
      </c>
      <c r="Y2336" t="n">
        <v>386</v>
      </c>
      <c r="Z2336" t="n">
        <v>225</v>
      </c>
      <c r="AA2336" t="n">
        <v>249</v>
      </c>
      <c r="AB2336" t="n">
        <v>2</v>
      </c>
      <c r="AC2336" t="n">
        <v>2</v>
      </c>
      <c r="AD2336" t="n">
        <v>11</v>
      </c>
      <c r="AE2336" t="n">
        <v>11</v>
      </c>
      <c r="AF2336" t="n">
        <v>3</v>
      </c>
      <c r="AG2336" t="n">
        <v>3</v>
      </c>
      <c r="AH2336" t="n">
        <v>3</v>
      </c>
      <c r="AI2336" t="n">
        <v>3</v>
      </c>
      <c r="AJ2336" t="n">
        <v>8</v>
      </c>
      <c r="AK2336" t="n">
        <v>8</v>
      </c>
      <c r="AL2336" t="n">
        <v>1</v>
      </c>
      <c r="AM2336" t="n">
        <v>1</v>
      </c>
      <c r="AN2336" t="n">
        <v>0</v>
      </c>
      <c r="AO2336" t="n">
        <v>0</v>
      </c>
      <c r="AP2336" t="inlineStr">
        <is>
          <t>No</t>
        </is>
      </c>
      <c r="AQ2336" t="inlineStr">
        <is>
          <t>Yes</t>
        </is>
      </c>
      <c r="AR2336">
        <f>HYPERLINK("http://catalog.hathitrust.org/Record/003082362","HathiTrust Record")</f>
        <v/>
      </c>
      <c r="AS2336">
        <f>HYPERLINK("https://creighton-primo.hosted.exlibrisgroup.com/primo-explore/search?tab=default_tab&amp;search_scope=EVERYTHING&amp;vid=01CRU&amp;lang=en_US&amp;offset=0&amp;query=any,contains,991002590529702656","Catalog Record")</f>
        <v/>
      </c>
      <c r="AT2336">
        <f>HYPERLINK("http://www.worldcat.org/oclc/33948079","WorldCat Record")</f>
        <v/>
      </c>
      <c r="AU2336" t="inlineStr">
        <is>
          <t>325460376:eng</t>
        </is>
      </c>
      <c r="AV2336" t="inlineStr">
        <is>
          <t>33948079</t>
        </is>
      </c>
      <c r="AW2336" t="inlineStr">
        <is>
          <t>991002590529702656</t>
        </is>
      </c>
      <c r="AX2336" t="inlineStr">
        <is>
          <t>991002590529702656</t>
        </is>
      </c>
      <c r="AY2336" t="inlineStr">
        <is>
          <t>2260828860002656</t>
        </is>
      </c>
      <c r="AZ2336" t="inlineStr">
        <is>
          <t>BOOK</t>
        </is>
      </c>
      <c r="BB2336" t="inlineStr">
        <is>
          <t>9780415140706</t>
        </is>
      </c>
      <c r="BC2336" t="inlineStr">
        <is>
          <t>32285001419737</t>
        </is>
      </c>
      <c r="BD2336" t="inlineStr">
        <is>
          <t>893886474</t>
        </is>
      </c>
    </row>
    <row r="2337">
      <c r="A2337" t="inlineStr">
        <is>
          <t>No</t>
        </is>
      </c>
      <c r="B2337" t="inlineStr">
        <is>
          <t>DS796.S25 L43 1999</t>
        </is>
      </c>
      <c r="C2337" t="inlineStr">
        <is>
          <t>0                      DS 0796000S  25                 L  43          1999</t>
        </is>
      </c>
      <c r="D2337" t="inlineStr">
        <is>
          <t>Shanghai modern : the flowering of a new urban culture in China, 1930-1945 / Leo Ou-fan Lee.</t>
        </is>
      </c>
      <c r="F2337" t="inlineStr">
        <is>
          <t>No</t>
        </is>
      </c>
      <c r="G2337" t="inlineStr">
        <is>
          <t>1</t>
        </is>
      </c>
      <c r="H2337" t="inlineStr">
        <is>
          <t>No</t>
        </is>
      </c>
      <c r="I2337" t="inlineStr">
        <is>
          <t>No</t>
        </is>
      </c>
      <c r="J2337" t="inlineStr">
        <is>
          <t>0</t>
        </is>
      </c>
      <c r="K2337" t="inlineStr">
        <is>
          <t>Lee, Leo Ou-fan.</t>
        </is>
      </c>
      <c r="L2337" t="inlineStr">
        <is>
          <t>Cambridge, Mass. : Harvard University Press, 1999.</t>
        </is>
      </c>
      <c r="M2337" t="inlineStr">
        <is>
          <t>1999</t>
        </is>
      </c>
      <c r="O2337" t="inlineStr">
        <is>
          <t>eng</t>
        </is>
      </c>
      <c r="P2337" t="inlineStr">
        <is>
          <t>mau</t>
        </is>
      </c>
      <c r="R2337" t="inlineStr">
        <is>
          <t xml:space="preserve">DS </t>
        </is>
      </c>
      <c r="S2337" t="n">
        <v>3</v>
      </c>
      <c r="T2337" t="n">
        <v>3</v>
      </c>
      <c r="U2337" t="inlineStr">
        <is>
          <t>2006-09-12</t>
        </is>
      </c>
      <c r="V2337" t="inlineStr">
        <is>
          <t>2006-09-12</t>
        </is>
      </c>
      <c r="W2337" t="inlineStr">
        <is>
          <t>2000-01-11</t>
        </is>
      </c>
      <c r="X2337" t="inlineStr">
        <is>
          <t>2000-01-11</t>
        </is>
      </c>
      <c r="Y2337" t="n">
        <v>593</v>
      </c>
      <c r="Z2337" t="n">
        <v>459</v>
      </c>
      <c r="AA2337" t="n">
        <v>462</v>
      </c>
      <c r="AB2337" t="n">
        <v>3</v>
      </c>
      <c r="AC2337" t="n">
        <v>3</v>
      </c>
      <c r="AD2337" t="n">
        <v>29</v>
      </c>
      <c r="AE2337" t="n">
        <v>30</v>
      </c>
      <c r="AF2337" t="n">
        <v>11</v>
      </c>
      <c r="AG2337" t="n">
        <v>12</v>
      </c>
      <c r="AH2337" t="n">
        <v>8</v>
      </c>
      <c r="AI2337" t="n">
        <v>8</v>
      </c>
      <c r="AJ2337" t="n">
        <v>16</v>
      </c>
      <c r="AK2337" t="n">
        <v>16</v>
      </c>
      <c r="AL2337" t="n">
        <v>2</v>
      </c>
      <c r="AM2337" t="n">
        <v>2</v>
      </c>
      <c r="AN2337" t="n">
        <v>0</v>
      </c>
      <c r="AO2337" t="n">
        <v>0</v>
      </c>
      <c r="AP2337" t="inlineStr">
        <is>
          <t>No</t>
        </is>
      </c>
      <c r="AQ2337" t="inlineStr">
        <is>
          <t>Yes</t>
        </is>
      </c>
      <c r="AR2337">
        <f>HYPERLINK("http://catalog.hathitrust.org/Record/004042169","HathiTrust Record")</f>
        <v/>
      </c>
      <c r="AS2337">
        <f>HYPERLINK("https://creighton-primo.hosted.exlibrisgroup.com/primo-explore/search?tab=default_tab&amp;search_scope=EVERYTHING&amp;vid=01CRU&amp;lang=en_US&amp;offset=0&amp;query=any,contains,991002990209702656","Catalog Record")</f>
        <v/>
      </c>
      <c r="AT2337">
        <f>HYPERLINK("http://www.worldcat.org/oclc/40354566","WorldCat Record")</f>
        <v/>
      </c>
      <c r="AU2337" t="inlineStr">
        <is>
          <t>179381159:eng</t>
        </is>
      </c>
      <c r="AV2337" t="inlineStr">
        <is>
          <t>40354566</t>
        </is>
      </c>
      <c r="AW2337" t="inlineStr">
        <is>
          <t>991002990209702656</t>
        </is>
      </c>
      <c r="AX2337" t="inlineStr">
        <is>
          <t>991002990209702656</t>
        </is>
      </c>
      <c r="AY2337" t="inlineStr">
        <is>
          <t>2267425440002656</t>
        </is>
      </c>
      <c r="AZ2337" t="inlineStr">
        <is>
          <t>BOOK</t>
        </is>
      </c>
      <c r="BB2337" t="inlineStr">
        <is>
          <t>9780674805507</t>
        </is>
      </c>
      <c r="BC2337" t="inlineStr">
        <is>
          <t>32285003639688</t>
        </is>
      </c>
      <c r="BD2337" t="inlineStr">
        <is>
          <t>893799252</t>
        </is>
      </c>
    </row>
    <row r="2338">
      <c r="A2338" t="inlineStr">
        <is>
          <t>No</t>
        </is>
      </c>
      <c r="B2338" t="inlineStr">
        <is>
          <t>DS797.22.W85 P73 2001</t>
        </is>
      </c>
      <c r="C2338" t="inlineStr">
        <is>
          <t>0                      DS 0797220W  85                 P  73          2001</t>
        </is>
      </c>
      <c r="D2338" t="inlineStr">
        <is>
          <t>Wuhu diary : on taking my adopted daughter back to her hometown in China / Emily Prager.</t>
        </is>
      </c>
      <c r="F2338" t="inlineStr">
        <is>
          <t>No</t>
        </is>
      </c>
      <c r="G2338" t="inlineStr">
        <is>
          <t>1</t>
        </is>
      </c>
      <c r="H2338" t="inlineStr">
        <is>
          <t>No</t>
        </is>
      </c>
      <c r="I2338" t="inlineStr">
        <is>
          <t>No</t>
        </is>
      </c>
      <c r="J2338" t="inlineStr">
        <is>
          <t>0</t>
        </is>
      </c>
      <c r="K2338" t="inlineStr">
        <is>
          <t>Prager, Emily.</t>
        </is>
      </c>
      <c r="L2338" t="inlineStr">
        <is>
          <t>New York : Random House, c2001.</t>
        </is>
      </c>
      <c r="M2338" t="inlineStr">
        <is>
          <t>2001</t>
        </is>
      </c>
      <c r="N2338" t="inlineStr">
        <is>
          <t>1st ed.</t>
        </is>
      </c>
      <c r="O2338" t="inlineStr">
        <is>
          <t>eng</t>
        </is>
      </c>
      <c r="P2338" t="inlineStr">
        <is>
          <t>nyu</t>
        </is>
      </c>
      <c r="R2338" t="inlineStr">
        <is>
          <t xml:space="preserve">DS </t>
        </is>
      </c>
      <c r="S2338" t="n">
        <v>1</v>
      </c>
      <c r="T2338" t="n">
        <v>1</v>
      </c>
      <c r="U2338" t="inlineStr">
        <is>
          <t>2001-10-04</t>
        </is>
      </c>
      <c r="V2338" t="inlineStr">
        <is>
          <t>2001-10-04</t>
        </is>
      </c>
      <c r="W2338" t="inlineStr">
        <is>
          <t>2001-10-03</t>
        </is>
      </c>
      <c r="X2338" t="inlineStr">
        <is>
          <t>2001-10-03</t>
        </is>
      </c>
      <c r="Y2338" t="n">
        <v>544</v>
      </c>
      <c r="Z2338" t="n">
        <v>511</v>
      </c>
      <c r="AA2338" t="n">
        <v>556</v>
      </c>
      <c r="AB2338" t="n">
        <v>4</v>
      </c>
      <c r="AC2338" t="n">
        <v>4</v>
      </c>
      <c r="AD2338" t="n">
        <v>9</v>
      </c>
      <c r="AE2338" t="n">
        <v>9</v>
      </c>
      <c r="AF2338" t="n">
        <v>2</v>
      </c>
      <c r="AG2338" t="n">
        <v>2</v>
      </c>
      <c r="AH2338" t="n">
        <v>2</v>
      </c>
      <c r="AI2338" t="n">
        <v>2</v>
      </c>
      <c r="AJ2338" t="n">
        <v>5</v>
      </c>
      <c r="AK2338" t="n">
        <v>5</v>
      </c>
      <c r="AL2338" t="n">
        <v>2</v>
      </c>
      <c r="AM2338" t="n">
        <v>2</v>
      </c>
      <c r="AN2338" t="n">
        <v>0</v>
      </c>
      <c r="AO2338" t="n">
        <v>0</v>
      </c>
      <c r="AP2338" t="inlineStr">
        <is>
          <t>No</t>
        </is>
      </c>
      <c r="AQ2338" t="inlineStr">
        <is>
          <t>Yes</t>
        </is>
      </c>
      <c r="AR2338">
        <f>HYPERLINK("http://catalog.hathitrust.org/Record/004201090","HathiTrust Record")</f>
        <v/>
      </c>
      <c r="AS2338">
        <f>HYPERLINK("https://creighton-primo.hosted.exlibrisgroup.com/primo-explore/search?tab=default_tab&amp;search_scope=EVERYTHING&amp;vid=01CRU&amp;lang=en_US&amp;offset=0&amp;query=any,contains,991003593199702656","Catalog Record")</f>
        <v/>
      </c>
      <c r="AT2338">
        <f>HYPERLINK("http://www.worldcat.org/oclc/45835549","WorldCat Record")</f>
        <v/>
      </c>
      <c r="AU2338" t="inlineStr">
        <is>
          <t>8527661:eng</t>
        </is>
      </c>
      <c r="AV2338" t="inlineStr">
        <is>
          <t>45835549</t>
        </is>
      </c>
      <c r="AW2338" t="inlineStr">
        <is>
          <t>991003593199702656</t>
        </is>
      </c>
      <c r="AX2338" t="inlineStr">
        <is>
          <t>991003593199702656</t>
        </is>
      </c>
      <c r="AY2338" t="inlineStr">
        <is>
          <t>2268225570002656</t>
        </is>
      </c>
      <c r="AZ2338" t="inlineStr">
        <is>
          <t>BOOK</t>
        </is>
      </c>
      <c r="BB2338" t="inlineStr">
        <is>
          <t>9780375503498</t>
        </is>
      </c>
      <c r="BC2338" t="inlineStr">
        <is>
          <t>32285004395082</t>
        </is>
      </c>
      <c r="BD2338" t="inlineStr">
        <is>
          <t>893416545</t>
        </is>
      </c>
    </row>
    <row r="2339">
      <c r="A2339" t="inlineStr">
        <is>
          <t>No</t>
        </is>
      </c>
      <c r="B2339" t="inlineStr">
        <is>
          <t>DS799 .C67 1990</t>
        </is>
      </c>
      <c r="C2339" t="inlineStr">
        <is>
          <t>0                      DS 0799000C  67          1990</t>
        </is>
      </c>
      <c r="D2339" t="inlineStr">
        <is>
          <t>Taiwan : nation-state or province? / John F. Copper.</t>
        </is>
      </c>
      <c r="F2339" t="inlineStr">
        <is>
          <t>No</t>
        </is>
      </c>
      <c r="G2339" t="inlineStr">
        <is>
          <t>1</t>
        </is>
      </c>
      <c r="H2339" t="inlineStr">
        <is>
          <t>No</t>
        </is>
      </c>
      <c r="I2339" t="inlineStr">
        <is>
          <t>Yes</t>
        </is>
      </c>
      <c r="J2339" t="inlineStr">
        <is>
          <t>0</t>
        </is>
      </c>
      <c r="K2339" t="inlineStr">
        <is>
          <t>Copper, John Franklin.</t>
        </is>
      </c>
      <c r="L2339" t="inlineStr">
        <is>
          <t>Boulder : Westview Press, 1990.</t>
        </is>
      </c>
      <c r="M2339" t="inlineStr">
        <is>
          <t>1990</t>
        </is>
      </c>
      <c r="O2339" t="inlineStr">
        <is>
          <t>eng</t>
        </is>
      </c>
      <c r="P2339" t="inlineStr">
        <is>
          <t>cou</t>
        </is>
      </c>
      <c r="Q2339" t="inlineStr">
        <is>
          <t>Westview profiles. Nations of contemporary Asia</t>
        </is>
      </c>
      <c r="R2339" t="inlineStr">
        <is>
          <t xml:space="preserve">DS </t>
        </is>
      </c>
      <c r="S2339" t="n">
        <v>11</v>
      </c>
      <c r="T2339" t="n">
        <v>11</v>
      </c>
      <c r="U2339" t="inlineStr">
        <is>
          <t>2005-09-19</t>
        </is>
      </c>
      <c r="V2339" t="inlineStr">
        <is>
          <t>2005-09-19</t>
        </is>
      </c>
      <c r="W2339" t="inlineStr">
        <is>
          <t>1991-03-08</t>
        </is>
      </c>
      <c r="X2339" t="inlineStr">
        <is>
          <t>1991-03-08</t>
        </is>
      </c>
      <c r="Y2339" t="n">
        <v>489</v>
      </c>
      <c r="Z2339" t="n">
        <v>392</v>
      </c>
      <c r="AA2339" t="n">
        <v>1128</v>
      </c>
      <c r="AB2339" t="n">
        <v>1</v>
      </c>
      <c r="AC2339" t="n">
        <v>7</v>
      </c>
      <c r="AD2339" t="n">
        <v>11</v>
      </c>
      <c r="AE2339" t="n">
        <v>35</v>
      </c>
      <c r="AF2339" t="n">
        <v>4</v>
      </c>
      <c r="AG2339" t="n">
        <v>14</v>
      </c>
      <c r="AH2339" t="n">
        <v>5</v>
      </c>
      <c r="AI2339" t="n">
        <v>8</v>
      </c>
      <c r="AJ2339" t="n">
        <v>7</v>
      </c>
      <c r="AK2339" t="n">
        <v>15</v>
      </c>
      <c r="AL2339" t="n">
        <v>0</v>
      </c>
      <c r="AM2339" t="n">
        <v>6</v>
      </c>
      <c r="AN2339" t="n">
        <v>0</v>
      </c>
      <c r="AO2339" t="n">
        <v>0</v>
      </c>
      <c r="AP2339" t="inlineStr">
        <is>
          <t>No</t>
        </is>
      </c>
      <c r="AQ2339" t="inlineStr">
        <is>
          <t>Yes</t>
        </is>
      </c>
      <c r="AR2339">
        <f>HYPERLINK("http://catalog.hathitrust.org/Record/001837915","HathiTrust Record")</f>
        <v/>
      </c>
      <c r="AS2339">
        <f>HYPERLINK("https://creighton-primo.hosted.exlibrisgroup.com/primo-explore/search?tab=default_tab&amp;search_scope=EVERYTHING&amp;vid=01CRU&amp;lang=en_US&amp;offset=0&amp;query=any,contains,991001097759702656","Catalog Record")</f>
        <v/>
      </c>
      <c r="AT2339">
        <f>HYPERLINK("http://www.worldcat.org/oclc/16277266","WorldCat Record")</f>
        <v/>
      </c>
      <c r="AU2339" t="inlineStr">
        <is>
          <t>4926775700:eng</t>
        </is>
      </c>
      <c r="AV2339" t="inlineStr">
        <is>
          <t>16277266</t>
        </is>
      </c>
      <c r="AW2339" t="inlineStr">
        <is>
          <t>991001097759702656</t>
        </is>
      </c>
      <c r="AX2339" t="inlineStr">
        <is>
          <t>991001097759702656</t>
        </is>
      </c>
      <c r="AY2339" t="inlineStr">
        <is>
          <t>2263053720002656</t>
        </is>
      </c>
      <c r="AZ2339" t="inlineStr">
        <is>
          <t>BOOK</t>
        </is>
      </c>
      <c r="BB2339" t="inlineStr">
        <is>
          <t>9780813310510</t>
        </is>
      </c>
      <c r="BC2339" t="inlineStr">
        <is>
          <t>32285000494335</t>
        </is>
      </c>
      <c r="BD2339" t="inlineStr">
        <is>
          <t>893720926</t>
        </is>
      </c>
    </row>
    <row r="2340">
      <c r="A2340" t="inlineStr">
        <is>
          <t>No</t>
        </is>
      </c>
      <c r="B2340" t="inlineStr">
        <is>
          <t>DS799 .L85</t>
        </is>
      </c>
      <c r="C2340" t="inlineStr">
        <is>
          <t>0                      DS 0799000L  85</t>
        </is>
      </c>
      <c r="D2340" t="inlineStr">
        <is>
          <t>The Republic of China under Chiang Kai-shek : Taiwan today / F. A. Lumley.</t>
        </is>
      </c>
      <c r="F2340" t="inlineStr">
        <is>
          <t>No</t>
        </is>
      </c>
      <c r="G2340" t="inlineStr">
        <is>
          <t>1</t>
        </is>
      </c>
      <c r="H2340" t="inlineStr">
        <is>
          <t>No</t>
        </is>
      </c>
      <c r="I2340" t="inlineStr">
        <is>
          <t>No</t>
        </is>
      </c>
      <c r="J2340" t="inlineStr">
        <is>
          <t>0</t>
        </is>
      </c>
      <c r="K2340" t="inlineStr">
        <is>
          <t>Lumley, F. A.</t>
        </is>
      </c>
      <c r="L2340" t="inlineStr">
        <is>
          <t>London : Barrie &amp; Jenkins, 1976.</t>
        </is>
      </c>
      <c r="M2340" t="inlineStr">
        <is>
          <t>1976</t>
        </is>
      </c>
      <c r="O2340" t="inlineStr">
        <is>
          <t>eng</t>
        </is>
      </c>
      <c r="P2340" t="inlineStr">
        <is>
          <t>enk</t>
        </is>
      </c>
      <c r="Q2340" t="inlineStr">
        <is>
          <t>World realities series</t>
        </is>
      </c>
      <c r="R2340" t="inlineStr">
        <is>
          <t xml:space="preserve">DS </t>
        </is>
      </c>
      <c r="S2340" t="n">
        <v>1</v>
      </c>
      <c r="T2340" t="n">
        <v>1</v>
      </c>
      <c r="U2340" t="inlineStr">
        <is>
          <t>2004-12-06</t>
        </is>
      </c>
      <c r="V2340" t="inlineStr">
        <is>
          <t>2004-12-06</t>
        </is>
      </c>
      <c r="W2340" t="inlineStr">
        <is>
          <t>1997-03-14</t>
        </is>
      </c>
      <c r="X2340" t="inlineStr">
        <is>
          <t>1997-03-14</t>
        </is>
      </c>
      <c r="Y2340" t="n">
        <v>237</v>
      </c>
      <c r="Z2340" t="n">
        <v>128</v>
      </c>
      <c r="AA2340" t="n">
        <v>128</v>
      </c>
      <c r="AB2340" t="n">
        <v>2</v>
      </c>
      <c r="AC2340" t="n">
        <v>2</v>
      </c>
      <c r="AD2340" t="n">
        <v>4</v>
      </c>
      <c r="AE2340" t="n">
        <v>4</v>
      </c>
      <c r="AF2340" t="n">
        <v>0</v>
      </c>
      <c r="AG2340" t="n">
        <v>0</v>
      </c>
      <c r="AH2340" t="n">
        <v>1</v>
      </c>
      <c r="AI2340" t="n">
        <v>1</v>
      </c>
      <c r="AJ2340" t="n">
        <v>3</v>
      </c>
      <c r="AK2340" t="n">
        <v>3</v>
      </c>
      <c r="AL2340" t="n">
        <v>1</v>
      </c>
      <c r="AM2340" t="n">
        <v>1</v>
      </c>
      <c r="AN2340" t="n">
        <v>0</v>
      </c>
      <c r="AO2340" t="n">
        <v>0</v>
      </c>
      <c r="AP2340" t="inlineStr">
        <is>
          <t>No</t>
        </is>
      </c>
      <c r="AQ2340" t="inlineStr">
        <is>
          <t>No</t>
        </is>
      </c>
      <c r="AS2340">
        <f>HYPERLINK("https://creighton-primo.hosted.exlibrisgroup.com/primo-explore/search?tab=default_tab&amp;search_scope=EVERYTHING&amp;vid=01CRU&amp;lang=en_US&amp;offset=0&amp;query=any,contains,991004333479702656","Catalog Record")</f>
        <v/>
      </c>
      <c r="AT2340">
        <f>HYPERLINK("http://www.worldcat.org/oclc/3069540","WorldCat Record")</f>
        <v/>
      </c>
      <c r="AU2340" t="inlineStr">
        <is>
          <t>7420983:eng</t>
        </is>
      </c>
      <c r="AV2340" t="inlineStr">
        <is>
          <t>3069540</t>
        </is>
      </c>
      <c r="AW2340" t="inlineStr">
        <is>
          <t>991004333479702656</t>
        </is>
      </c>
      <c r="AX2340" t="inlineStr">
        <is>
          <t>991004333479702656</t>
        </is>
      </c>
      <c r="AY2340" t="inlineStr">
        <is>
          <t>2267939560002656</t>
        </is>
      </c>
      <c r="AZ2340" t="inlineStr">
        <is>
          <t>BOOK</t>
        </is>
      </c>
      <c r="BB2340" t="inlineStr">
        <is>
          <t>9780214203510</t>
        </is>
      </c>
      <c r="BC2340" t="inlineStr">
        <is>
          <t>32285002449709</t>
        </is>
      </c>
      <c r="BD2340" t="inlineStr">
        <is>
          <t>893788572</t>
        </is>
      </c>
    </row>
    <row r="2341">
      <c r="A2341" t="inlineStr">
        <is>
          <t>No</t>
        </is>
      </c>
      <c r="B2341" t="inlineStr">
        <is>
          <t>DS799.63.C6 M35 1999</t>
        </is>
      </c>
      <c r="C2341" t="inlineStr">
        <is>
          <t>0                      DS 0799630C  6                  M  35          1999</t>
        </is>
      </c>
      <c r="D2341" t="inlineStr">
        <is>
          <t>Across the Taiwan strait : mainland China, Taiwan, and the 1995-1996 crisis / Suisheng Zhao, editor.</t>
        </is>
      </c>
      <c r="F2341" t="inlineStr">
        <is>
          <t>No</t>
        </is>
      </c>
      <c r="G2341" t="inlineStr">
        <is>
          <t>1</t>
        </is>
      </c>
      <c r="H2341" t="inlineStr">
        <is>
          <t>No</t>
        </is>
      </c>
      <c r="I2341" t="inlineStr">
        <is>
          <t>No</t>
        </is>
      </c>
      <c r="J2341" t="inlineStr">
        <is>
          <t>0</t>
        </is>
      </c>
      <c r="L2341" t="inlineStr">
        <is>
          <t>New York : Routledge, 1999.</t>
        </is>
      </c>
      <c r="M2341" t="inlineStr">
        <is>
          <t>1999</t>
        </is>
      </c>
      <c r="O2341" t="inlineStr">
        <is>
          <t>eng</t>
        </is>
      </c>
      <c r="P2341" t="inlineStr">
        <is>
          <t>nyu</t>
        </is>
      </c>
      <c r="R2341" t="inlineStr">
        <is>
          <t xml:space="preserve">DS </t>
        </is>
      </c>
      <c r="S2341" t="n">
        <v>8</v>
      </c>
      <c r="T2341" t="n">
        <v>8</v>
      </c>
      <c r="U2341" t="inlineStr">
        <is>
          <t>2008-10-08</t>
        </is>
      </c>
      <c r="V2341" t="inlineStr">
        <is>
          <t>2008-10-08</t>
        </is>
      </c>
      <c r="W2341" t="inlineStr">
        <is>
          <t>1999-10-26</t>
        </is>
      </c>
      <c r="X2341" t="inlineStr">
        <is>
          <t>1999-10-26</t>
        </is>
      </c>
      <c r="Y2341" t="n">
        <v>230</v>
      </c>
      <c r="Z2341" t="n">
        <v>170</v>
      </c>
      <c r="AA2341" t="n">
        <v>202</v>
      </c>
      <c r="AB2341" t="n">
        <v>2</v>
      </c>
      <c r="AC2341" t="n">
        <v>2</v>
      </c>
      <c r="AD2341" t="n">
        <v>9</v>
      </c>
      <c r="AE2341" t="n">
        <v>9</v>
      </c>
      <c r="AF2341" t="n">
        <v>4</v>
      </c>
      <c r="AG2341" t="n">
        <v>4</v>
      </c>
      <c r="AH2341" t="n">
        <v>3</v>
      </c>
      <c r="AI2341" t="n">
        <v>3</v>
      </c>
      <c r="AJ2341" t="n">
        <v>5</v>
      </c>
      <c r="AK2341" t="n">
        <v>5</v>
      </c>
      <c r="AL2341" t="n">
        <v>1</v>
      </c>
      <c r="AM2341" t="n">
        <v>1</v>
      </c>
      <c r="AN2341" t="n">
        <v>0</v>
      </c>
      <c r="AO2341" t="n">
        <v>0</v>
      </c>
      <c r="AP2341" t="inlineStr">
        <is>
          <t>No</t>
        </is>
      </c>
      <c r="AQ2341" t="inlineStr">
        <is>
          <t>No</t>
        </is>
      </c>
      <c r="AS2341">
        <f>HYPERLINK("https://creighton-primo.hosted.exlibrisgroup.com/primo-explore/search?tab=default_tab&amp;search_scope=EVERYTHING&amp;vid=01CRU&amp;lang=en_US&amp;offset=0&amp;query=any,contains,991003029369702656","Catalog Record")</f>
        <v/>
      </c>
      <c r="AT2341">
        <f>HYPERLINK("http://www.worldcat.org/oclc/41467819","WorldCat Record")</f>
        <v/>
      </c>
      <c r="AU2341" t="inlineStr">
        <is>
          <t>795218299:eng</t>
        </is>
      </c>
      <c r="AV2341" t="inlineStr">
        <is>
          <t>41467819</t>
        </is>
      </c>
      <c r="AW2341" t="inlineStr">
        <is>
          <t>991003029369702656</t>
        </is>
      </c>
      <c r="AX2341" t="inlineStr">
        <is>
          <t>991003029369702656</t>
        </is>
      </c>
      <c r="AY2341" t="inlineStr">
        <is>
          <t>2271697640002656</t>
        </is>
      </c>
      <c r="AZ2341" t="inlineStr">
        <is>
          <t>BOOK</t>
        </is>
      </c>
      <c r="BB2341" t="inlineStr">
        <is>
          <t>9780415923323</t>
        </is>
      </c>
      <c r="BC2341" t="inlineStr">
        <is>
          <t>32285003613725</t>
        </is>
      </c>
      <c r="BD2341" t="inlineStr">
        <is>
          <t>893868011</t>
        </is>
      </c>
    </row>
    <row r="2342">
      <c r="A2342" t="inlineStr">
        <is>
          <t>No</t>
        </is>
      </c>
      <c r="B2342" t="inlineStr">
        <is>
          <t>DS799.63.C6 W35 2006</t>
        </is>
      </c>
      <c r="C2342" t="inlineStr">
        <is>
          <t>0                      DS 0799630C  6                  W  35          2006</t>
        </is>
      </c>
      <c r="D2342" t="inlineStr">
        <is>
          <t>China and the Taiwan issue : impending war at Taiwan Strait / Gabe T. Wang.</t>
        </is>
      </c>
      <c r="F2342" t="inlineStr">
        <is>
          <t>No</t>
        </is>
      </c>
      <c r="G2342" t="inlineStr">
        <is>
          <t>1</t>
        </is>
      </c>
      <c r="H2342" t="inlineStr">
        <is>
          <t>No</t>
        </is>
      </c>
      <c r="I2342" t="inlineStr">
        <is>
          <t>No</t>
        </is>
      </c>
      <c r="J2342" t="inlineStr">
        <is>
          <t>0</t>
        </is>
      </c>
      <c r="K2342" t="inlineStr">
        <is>
          <t>Wang, Gabe T.</t>
        </is>
      </c>
      <c r="L2342" t="inlineStr">
        <is>
          <t>Lanham, Md. : University Press of America, c2006.</t>
        </is>
      </c>
      <c r="M2342" t="inlineStr">
        <is>
          <t>2006</t>
        </is>
      </c>
      <c r="O2342" t="inlineStr">
        <is>
          <t>eng</t>
        </is>
      </c>
      <c r="P2342" t="inlineStr">
        <is>
          <t>mdu</t>
        </is>
      </c>
      <c r="R2342" t="inlineStr">
        <is>
          <t xml:space="preserve">DS </t>
        </is>
      </c>
      <c r="S2342" t="n">
        <v>3</v>
      </c>
      <c r="T2342" t="n">
        <v>3</v>
      </c>
      <c r="U2342" t="inlineStr">
        <is>
          <t>2008-09-09</t>
        </is>
      </c>
      <c r="V2342" t="inlineStr">
        <is>
          <t>2008-09-09</t>
        </is>
      </c>
      <c r="W2342" t="inlineStr">
        <is>
          <t>2006-09-28</t>
        </is>
      </c>
      <c r="X2342" t="inlineStr">
        <is>
          <t>2006-09-28</t>
        </is>
      </c>
      <c r="Y2342" t="n">
        <v>173</v>
      </c>
      <c r="Z2342" t="n">
        <v>125</v>
      </c>
      <c r="AA2342" t="n">
        <v>128</v>
      </c>
      <c r="AB2342" t="n">
        <v>1</v>
      </c>
      <c r="AC2342" t="n">
        <v>1</v>
      </c>
      <c r="AD2342" t="n">
        <v>4</v>
      </c>
      <c r="AE2342" t="n">
        <v>4</v>
      </c>
      <c r="AF2342" t="n">
        <v>1</v>
      </c>
      <c r="AG2342" t="n">
        <v>1</v>
      </c>
      <c r="AH2342" t="n">
        <v>2</v>
      </c>
      <c r="AI2342" t="n">
        <v>2</v>
      </c>
      <c r="AJ2342" t="n">
        <v>2</v>
      </c>
      <c r="AK2342" t="n">
        <v>2</v>
      </c>
      <c r="AL2342" t="n">
        <v>0</v>
      </c>
      <c r="AM2342" t="n">
        <v>0</v>
      </c>
      <c r="AN2342" t="n">
        <v>0</v>
      </c>
      <c r="AO2342" t="n">
        <v>0</v>
      </c>
      <c r="AP2342" t="inlineStr">
        <is>
          <t>No</t>
        </is>
      </c>
      <c r="AQ2342" t="inlineStr">
        <is>
          <t>Yes</t>
        </is>
      </c>
      <c r="AR2342">
        <f>HYPERLINK("http://catalog.hathitrust.org/Record/005272147","HathiTrust Record")</f>
        <v/>
      </c>
      <c r="AS2342">
        <f>HYPERLINK("https://creighton-primo.hosted.exlibrisgroup.com/primo-explore/search?tab=default_tab&amp;search_scope=EVERYTHING&amp;vid=01CRU&amp;lang=en_US&amp;offset=0&amp;query=any,contains,991004902329702656","Catalog Record")</f>
        <v/>
      </c>
      <c r="AT2342">
        <f>HYPERLINK("http://www.worldcat.org/oclc/123817322","WorldCat Record")</f>
        <v/>
      </c>
      <c r="AU2342" t="inlineStr">
        <is>
          <t>312744061:eng</t>
        </is>
      </c>
      <c r="AV2342" t="inlineStr">
        <is>
          <t>123817322</t>
        </is>
      </c>
      <c r="AW2342" t="inlineStr">
        <is>
          <t>991004902329702656</t>
        </is>
      </c>
      <c r="AX2342" t="inlineStr">
        <is>
          <t>991004902329702656</t>
        </is>
      </c>
      <c r="AY2342" t="inlineStr">
        <is>
          <t>2271310570002656</t>
        </is>
      </c>
      <c r="AZ2342" t="inlineStr">
        <is>
          <t>BOOK</t>
        </is>
      </c>
      <c r="BB2342" t="inlineStr">
        <is>
          <t>9780761834342</t>
        </is>
      </c>
      <c r="BC2342" t="inlineStr">
        <is>
          <t>32285005226880</t>
        </is>
      </c>
      <c r="BD2342" t="inlineStr">
        <is>
          <t>893694476</t>
        </is>
      </c>
    </row>
    <row r="2343">
      <c r="A2343" t="inlineStr">
        <is>
          <t>No</t>
        </is>
      </c>
      <c r="B2343" t="inlineStr">
        <is>
          <t>DS799.7 .T3517 2001</t>
        </is>
      </c>
      <c r="C2343" t="inlineStr">
        <is>
          <t>0                      DS 0799700T  3517        2001</t>
        </is>
      </c>
      <c r="D2343" t="inlineStr">
        <is>
          <t>Taiwan in the twentieth century : a retrospective view / edited by Richard Louis Edmonds and Steven M. Goldstein.</t>
        </is>
      </c>
      <c r="F2343" t="inlineStr">
        <is>
          <t>No</t>
        </is>
      </c>
      <c r="G2343" t="inlineStr">
        <is>
          <t>1</t>
        </is>
      </c>
      <c r="H2343" t="inlineStr">
        <is>
          <t>No</t>
        </is>
      </c>
      <c r="I2343" t="inlineStr">
        <is>
          <t>No</t>
        </is>
      </c>
      <c r="J2343" t="inlineStr">
        <is>
          <t>0</t>
        </is>
      </c>
      <c r="L2343" t="inlineStr">
        <is>
          <t>Cambridge ; New York : Cambridge University Press, c2001.</t>
        </is>
      </c>
      <c r="M2343" t="inlineStr">
        <is>
          <t>2001</t>
        </is>
      </c>
      <c r="O2343" t="inlineStr">
        <is>
          <t>eng</t>
        </is>
      </c>
      <c r="P2343" t="inlineStr">
        <is>
          <t>enk</t>
        </is>
      </c>
      <c r="Q2343" t="inlineStr">
        <is>
          <t>The China quarterly special issues ; no. 1</t>
        </is>
      </c>
      <c r="R2343" t="inlineStr">
        <is>
          <t xml:space="preserve">DS </t>
        </is>
      </c>
      <c r="S2343" t="n">
        <v>3</v>
      </c>
      <c r="T2343" t="n">
        <v>3</v>
      </c>
      <c r="U2343" t="inlineStr">
        <is>
          <t>2006-07-26</t>
        </is>
      </c>
      <c r="V2343" t="inlineStr">
        <is>
          <t>2006-07-26</t>
        </is>
      </c>
      <c r="W2343" t="inlineStr">
        <is>
          <t>2003-03-03</t>
        </is>
      </c>
      <c r="X2343" t="inlineStr">
        <is>
          <t>2003-03-03</t>
        </is>
      </c>
      <c r="Y2343" t="n">
        <v>233</v>
      </c>
      <c r="Z2343" t="n">
        <v>145</v>
      </c>
      <c r="AA2343" t="n">
        <v>146</v>
      </c>
      <c r="AB2343" t="n">
        <v>1</v>
      </c>
      <c r="AC2343" t="n">
        <v>1</v>
      </c>
      <c r="AD2343" t="n">
        <v>7</v>
      </c>
      <c r="AE2343" t="n">
        <v>7</v>
      </c>
      <c r="AF2343" t="n">
        <v>3</v>
      </c>
      <c r="AG2343" t="n">
        <v>3</v>
      </c>
      <c r="AH2343" t="n">
        <v>4</v>
      </c>
      <c r="AI2343" t="n">
        <v>4</v>
      </c>
      <c r="AJ2343" t="n">
        <v>3</v>
      </c>
      <c r="AK2343" t="n">
        <v>3</v>
      </c>
      <c r="AL2343" t="n">
        <v>0</v>
      </c>
      <c r="AM2343" t="n">
        <v>0</v>
      </c>
      <c r="AN2343" t="n">
        <v>0</v>
      </c>
      <c r="AO2343" t="n">
        <v>0</v>
      </c>
      <c r="AP2343" t="inlineStr">
        <is>
          <t>No</t>
        </is>
      </c>
      <c r="AQ2343" t="inlineStr">
        <is>
          <t>No</t>
        </is>
      </c>
      <c r="AS2343">
        <f>HYPERLINK("https://creighton-primo.hosted.exlibrisgroup.com/primo-explore/search?tab=default_tab&amp;search_scope=EVERYTHING&amp;vid=01CRU&amp;lang=en_US&amp;offset=0&amp;query=any,contains,991003999729702656","Catalog Record")</f>
        <v/>
      </c>
      <c r="AT2343">
        <f>HYPERLINK("http://www.worldcat.org/oclc/45909180","WorldCat Record")</f>
        <v/>
      </c>
      <c r="AU2343" t="inlineStr">
        <is>
          <t>319703531:eng</t>
        </is>
      </c>
      <c r="AV2343" t="inlineStr">
        <is>
          <t>45909180</t>
        </is>
      </c>
      <c r="AW2343" t="inlineStr">
        <is>
          <t>991003999729702656</t>
        </is>
      </c>
      <c r="AX2343" t="inlineStr">
        <is>
          <t>991003999729702656</t>
        </is>
      </c>
      <c r="AY2343" t="inlineStr">
        <is>
          <t>2267882450002656</t>
        </is>
      </c>
      <c r="AZ2343" t="inlineStr">
        <is>
          <t>BOOK</t>
        </is>
      </c>
      <c r="BB2343" t="inlineStr">
        <is>
          <t>9780521003438</t>
        </is>
      </c>
      <c r="BC2343" t="inlineStr">
        <is>
          <t>32285004681994</t>
        </is>
      </c>
      <c r="BD2343" t="inlineStr">
        <is>
          <t>893429521</t>
        </is>
      </c>
    </row>
    <row r="2344">
      <c r="A2344" t="inlineStr">
        <is>
          <t>No</t>
        </is>
      </c>
      <c r="B2344" t="inlineStr">
        <is>
          <t>DS799.716 .T94 2009</t>
        </is>
      </c>
      <c r="C2344" t="inlineStr">
        <is>
          <t>0                      DS 0799716T  94          2009</t>
        </is>
      </c>
      <c r="D2344" t="inlineStr">
        <is>
          <t>From hōnto jin to bensheng ren : the origin and development of Taiwanese national consciousness / Shih-jung Tzeng.</t>
        </is>
      </c>
      <c r="F2344" t="inlineStr">
        <is>
          <t>No</t>
        </is>
      </c>
      <c r="G2344" t="inlineStr">
        <is>
          <t>1</t>
        </is>
      </c>
      <c r="H2344" t="inlineStr">
        <is>
          <t>No</t>
        </is>
      </c>
      <c r="I2344" t="inlineStr">
        <is>
          <t>No</t>
        </is>
      </c>
      <c r="J2344" t="inlineStr">
        <is>
          <t>0</t>
        </is>
      </c>
      <c r="K2344" t="inlineStr">
        <is>
          <t>Tzeng, Shih-jung, 1966-</t>
        </is>
      </c>
      <c r="L2344" t="inlineStr">
        <is>
          <t>Lanham, Md. : University Press of America, c2009.</t>
        </is>
      </c>
      <c r="M2344" t="inlineStr">
        <is>
          <t>2009</t>
        </is>
      </c>
      <c r="O2344" t="inlineStr">
        <is>
          <t>eng</t>
        </is>
      </c>
      <c r="P2344" t="inlineStr">
        <is>
          <t>mdu</t>
        </is>
      </c>
      <c r="R2344" t="inlineStr">
        <is>
          <t xml:space="preserve">DS </t>
        </is>
      </c>
      <c r="S2344" t="n">
        <v>1</v>
      </c>
      <c r="T2344" t="n">
        <v>1</v>
      </c>
      <c r="U2344" t="inlineStr">
        <is>
          <t>2010-03-24</t>
        </is>
      </c>
      <c r="V2344" t="inlineStr">
        <is>
          <t>2010-03-24</t>
        </is>
      </c>
      <c r="W2344" t="inlineStr">
        <is>
          <t>2010-03-24</t>
        </is>
      </c>
      <c r="X2344" t="inlineStr">
        <is>
          <t>2010-03-24</t>
        </is>
      </c>
      <c r="Y2344" t="n">
        <v>96</v>
      </c>
      <c r="Z2344" t="n">
        <v>67</v>
      </c>
      <c r="AA2344" t="n">
        <v>84</v>
      </c>
      <c r="AB2344" t="n">
        <v>1</v>
      </c>
      <c r="AC2344" t="n">
        <v>1</v>
      </c>
      <c r="AD2344" t="n">
        <v>0</v>
      </c>
      <c r="AE2344" t="n">
        <v>1</v>
      </c>
      <c r="AF2344" t="n">
        <v>0</v>
      </c>
      <c r="AG2344" t="n">
        <v>1</v>
      </c>
      <c r="AH2344" t="n">
        <v>0</v>
      </c>
      <c r="AI2344" t="n">
        <v>1</v>
      </c>
      <c r="AJ2344" t="n">
        <v>0</v>
      </c>
      <c r="AK2344" t="n">
        <v>0</v>
      </c>
      <c r="AL2344" t="n">
        <v>0</v>
      </c>
      <c r="AM2344" t="n">
        <v>0</v>
      </c>
      <c r="AN2344" t="n">
        <v>0</v>
      </c>
      <c r="AO2344" t="n">
        <v>0</v>
      </c>
      <c r="AP2344" t="inlineStr">
        <is>
          <t>No</t>
        </is>
      </c>
      <c r="AQ2344" t="inlineStr">
        <is>
          <t>Yes</t>
        </is>
      </c>
      <c r="AR2344">
        <f>HYPERLINK("http://catalog.hathitrust.org/Record/006836055","HathiTrust Record")</f>
        <v/>
      </c>
      <c r="AS2344">
        <f>HYPERLINK("https://creighton-primo.hosted.exlibrisgroup.com/primo-explore/search?tab=default_tab&amp;search_scope=EVERYTHING&amp;vid=01CRU&amp;lang=en_US&amp;offset=0&amp;query=any,contains,991005374569702656","Catalog Record")</f>
        <v/>
      </c>
      <c r="AT2344">
        <f>HYPERLINK("http://www.worldcat.org/oclc/297206834","WorldCat Record")</f>
        <v/>
      </c>
      <c r="AU2344" t="inlineStr">
        <is>
          <t>373790287:eng</t>
        </is>
      </c>
      <c r="AV2344" t="inlineStr">
        <is>
          <t>297206834</t>
        </is>
      </c>
      <c r="AW2344" t="inlineStr">
        <is>
          <t>991005374569702656</t>
        </is>
      </c>
      <c r="AX2344" t="inlineStr">
        <is>
          <t>991005374569702656</t>
        </is>
      </c>
      <c r="AY2344" t="inlineStr">
        <is>
          <t>2260760030002656</t>
        </is>
      </c>
      <c r="AZ2344" t="inlineStr">
        <is>
          <t>BOOK</t>
        </is>
      </c>
      <c r="BB2344" t="inlineStr">
        <is>
          <t>9780761844716</t>
        </is>
      </c>
      <c r="BC2344" t="inlineStr">
        <is>
          <t>32285005579692</t>
        </is>
      </c>
      <c r="BD2344" t="inlineStr">
        <is>
          <t>893777348</t>
        </is>
      </c>
    </row>
    <row r="2345">
      <c r="A2345" t="inlineStr">
        <is>
          <t>No</t>
        </is>
      </c>
      <c r="B2345" t="inlineStr">
        <is>
          <t>DS799.8 .F87</t>
        </is>
      </c>
      <c r="C2345" t="inlineStr">
        <is>
          <t>0                      DS 0799800F  87</t>
        </is>
      </c>
      <c r="D2345" t="inlineStr">
        <is>
          <t>The Future of Taiwan : a difference of opinion : a dialogue / among Trong R. Chai ... [et al.] ; edited by Victor H. Li.</t>
        </is>
      </c>
      <c r="F2345" t="inlineStr">
        <is>
          <t>No</t>
        </is>
      </c>
      <c r="G2345" t="inlineStr">
        <is>
          <t>1</t>
        </is>
      </c>
      <c r="H2345" t="inlineStr">
        <is>
          <t>No</t>
        </is>
      </c>
      <c r="I2345" t="inlineStr">
        <is>
          <t>No</t>
        </is>
      </c>
      <c r="J2345" t="inlineStr">
        <is>
          <t>0</t>
        </is>
      </c>
      <c r="L2345" t="inlineStr">
        <is>
          <t>White PLains, N.Y. : M. E. Sharpe, c1980.</t>
        </is>
      </c>
      <c r="M2345" t="inlineStr">
        <is>
          <t>1980</t>
        </is>
      </c>
      <c r="O2345" t="inlineStr">
        <is>
          <t>eng</t>
        </is>
      </c>
      <c r="P2345" t="inlineStr">
        <is>
          <t>nyu</t>
        </is>
      </c>
      <c r="R2345" t="inlineStr">
        <is>
          <t xml:space="preserve">DS </t>
        </is>
      </c>
      <c r="S2345" t="n">
        <v>3</v>
      </c>
      <c r="T2345" t="n">
        <v>3</v>
      </c>
      <c r="U2345" t="inlineStr">
        <is>
          <t>2005-12-09</t>
        </is>
      </c>
      <c r="V2345" t="inlineStr">
        <is>
          <t>2005-12-09</t>
        </is>
      </c>
      <c r="W2345" t="inlineStr">
        <is>
          <t>1990-10-23</t>
        </is>
      </c>
      <c r="X2345" t="inlineStr">
        <is>
          <t>1990-10-23</t>
        </is>
      </c>
      <c r="Y2345" t="n">
        <v>231</v>
      </c>
      <c r="Z2345" t="n">
        <v>185</v>
      </c>
      <c r="AA2345" t="n">
        <v>199</v>
      </c>
      <c r="AB2345" t="n">
        <v>2</v>
      </c>
      <c r="AC2345" t="n">
        <v>2</v>
      </c>
      <c r="AD2345" t="n">
        <v>6</v>
      </c>
      <c r="AE2345" t="n">
        <v>6</v>
      </c>
      <c r="AF2345" t="n">
        <v>1</v>
      </c>
      <c r="AG2345" t="n">
        <v>1</v>
      </c>
      <c r="AH2345" t="n">
        <v>2</v>
      </c>
      <c r="AI2345" t="n">
        <v>2</v>
      </c>
      <c r="AJ2345" t="n">
        <v>3</v>
      </c>
      <c r="AK2345" t="n">
        <v>3</v>
      </c>
      <c r="AL2345" t="n">
        <v>1</v>
      </c>
      <c r="AM2345" t="n">
        <v>1</v>
      </c>
      <c r="AN2345" t="n">
        <v>0</v>
      </c>
      <c r="AO2345" t="n">
        <v>0</v>
      </c>
      <c r="AP2345" t="inlineStr">
        <is>
          <t>No</t>
        </is>
      </c>
      <c r="AQ2345" t="inlineStr">
        <is>
          <t>Yes</t>
        </is>
      </c>
      <c r="AR2345">
        <f>HYPERLINK("http://catalog.hathitrust.org/Record/004502180","HathiTrust Record")</f>
        <v/>
      </c>
      <c r="AS2345">
        <f>HYPERLINK("https://creighton-primo.hosted.exlibrisgroup.com/primo-explore/search?tab=default_tab&amp;search_scope=EVERYTHING&amp;vid=01CRU&amp;lang=en_US&amp;offset=0&amp;query=any,contains,991004988729702656","Catalog Record")</f>
        <v/>
      </c>
      <c r="AT2345">
        <f>HYPERLINK("http://www.worldcat.org/oclc/6483055","WorldCat Record")</f>
        <v/>
      </c>
      <c r="AU2345" t="inlineStr">
        <is>
          <t>1027280803:eng</t>
        </is>
      </c>
      <c r="AV2345" t="inlineStr">
        <is>
          <t>6483055</t>
        </is>
      </c>
      <c r="AW2345" t="inlineStr">
        <is>
          <t>991004988729702656</t>
        </is>
      </c>
      <c r="AX2345" t="inlineStr">
        <is>
          <t>991004988729702656</t>
        </is>
      </c>
      <c r="AY2345" t="inlineStr">
        <is>
          <t>2271042120002656</t>
        </is>
      </c>
      <c r="AZ2345" t="inlineStr">
        <is>
          <t>BOOK</t>
        </is>
      </c>
      <c r="BB2345" t="inlineStr">
        <is>
          <t>9780873321730</t>
        </is>
      </c>
      <c r="BC2345" t="inlineStr">
        <is>
          <t>32285000339464</t>
        </is>
      </c>
      <c r="BD2345" t="inlineStr">
        <is>
          <t>893436997</t>
        </is>
      </c>
    </row>
    <row r="2346">
      <c r="A2346" t="inlineStr">
        <is>
          <t>No</t>
        </is>
      </c>
      <c r="B2346" t="inlineStr">
        <is>
          <t>DS799.816 .M33 1998</t>
        </is>
      </c>
      <c r="C2346" t="inlineStr">
        <is>
          <t>0                      DS 0799816M  33          1998</t>
        </is>
      </c>
      <c r="D2346" t="inlineStr">
        <is>
          <t>The rise of modern Taiwan / Keith Maguire.</t>
        </is>
      </c>
      <c r="F2346" t="inlineStr">
        <is>
          <t>No</t>
        </is>
      </c>
      <c r="G2346" t="inlineStr">
        <is>
          <t>1</t>
        </is>
      </c>
      <c r="H2346" t="inlineStr">
        <is>
          <t>No</t>
        </is>
      </c>
      <c r="I2346" t="inlineStr">
        <is>
          <t>No</t>
        </is>
      </c>
      <c r="J2346" t="inlineStr">
        <is>
          <t>0</t>
        </is>
      </c>
      <c r="K2346" t="inlineStr">
        <is>
          <t>Maguire, Keith.</t>
        </is>
      </c>
      <c r="L2346" t="inlineStr">
        <is>
          <t>Aldershot, Hampshire, England ; Brookfield, Vt., USA : Ashgate, c1998.</t>
        </is>
      </c>
      <c r="M2346" t="inlineStr">
        <is>
          <t>1998</t>
        </is>
      </c>
      <c r="O2346" t="inlineStr">
        <is>
          <t>eng</t>
        </is>
      </c>
      <c r="P2346" t="inlineStr">
        <is>
          <t>enk</t>
        </is>
      </c>
      <c r="R2346" t="inlineStr">
        <is>
          <t xml:space="preserve">DS </t>
        </is>
      </c>
      <c r="S2346" t="n">
        <v>3</v>
      </c>
      <c r="T2346" t="n">
        <v>3</v>
      </c>
      <c r="U2346" t="inlineStr">
        <is>
          <t>2007-08-30</t>
        </is>
      </c>
      <c r="V2346" t="inlineStr">
        <is>
          <t>2007-08-30</t>
        </is>
      </c>
      <c r="W2346" t="inlineStr">
        <is>
          <t>2002-10-22</t>
        </is>
      </c>
      <c r="X2346" t="inlineStr">
        <is>
          <t>2002-10-22</t>
        </is>
      </c>
      <c r="Y2346" t="n">
        <v>251</v>
      </c>
      <c r="Z2346" t="n">
        <v>181</v>
      </c>
      <c r="AA2346" t="n">
        <v>182</v>
      </c>
      <c r="AB2346" t="n">
        <v>1</v>
      </c>
      <c r="AC2346" t="n">
        <v>1</v>
      </c>
      <c r="AD2346" t="n">
        <v>7</v>
      </c>
      <c r="AE2346" t="n">
        <v>7</v>
      </c>
      <c r="AF2346" t="n">
        <v>1</v>
      </c>
      <c r="AG2346" t="n">
        <v>1</v>
      </c>
      <c r="AH2346" t="n">
        <v>4</v>
      </c>
      <c r="AI2346" t="n">
        <v>4</v>
      </c>
      <c r="AJ2346" t="n">
        <v>5</v>
      </c>
      <c r="AK2346" t="n">
        <v>5</v>
      </c>
      <c r="AL2346" t="n">
        <v>0</v>
      </c>
      <c r="AM2346" t="n">
        <v>0</v>
      </c>
      <c r="AN2346" t="n">
        <v>0</v>
      </c>
      <c r="AO2346" t="n">
        <v>0</v>
      </c>
      <c r="AP2346" t="inlineStr">
        <is>
          <t>No</t>
        </is>
      </c>
      <c r="AQ2346" t="inlineStr">
        <is>
          <t>Yes</t>
        </is>
      </c>
      <c r="AR2346">
        <f>HYPERLINK("http://catalog.hathitrust.org/Record/003998990","HathiTrust Record")</f>
        <v/>
      </c>
      <c r="AS2346">
        <f>HYPERLINK("https://creighton-primo.hosted.exlibrisgroup.com/primo-explore/search?tab=default_tab&amp;search_scope=EVERYTHING&amp;vid=01CRU&amp;lang=en_US&amp;offset=0&amp;query=any,contains,991003876069702656","Catalog Record")</f>
        <v/>
      </c>
      <c r="AT2346">
        <f>HYPERLINK("http://www.worldcat.org/oclc/39291674","WorldCat Record")</f>
        <v/>
      </c>
      <c r="AU2346" t="inlineStr">
        <is>
          <t>42555117:eng</t>
        </is>
      </c>
      <c r="AV2346" t="inlineStr">
        <is>
          <t>39291674</t>
        </is>
      </c>
      <c r="AW2346" t="inlineStr">
        <is>
          <t>991003876069702656</t>
        </is>
      </c>
      <c r="AX2346" t="inlineStr">
        <is>
          <t>991003876069702656</t>
        </is>
      </c>
      <c r="AY2346" t="inlineStr">
        <is>
          <t>2260286050002656</t>
        </is>
      </c>
      <c r="AZ2346" t="inlineStr">
        <is>
          <t>BOOK</t>
        </is>
      </c>
      <c r="BB2346" t="inlineStr">
        <is>
          <t>9781855218475</t>
        </is>
      </c>
      <c r="BC2346" t="inlineStr">
        <is>
          <t>32285004656707</t>
        </is>
      </c>
      <c r="BD2346" t="inlineStr">
        <is>
          <t>893343145</t>
        </is>
      </c>
    </row>
    <row r="2347">
      <c r="A2347" t="inlineStr">
        <is>
          <t>No</t>
        </is>
      </c>
      <c r="B2347" t="inlineStr">
        <is>
          <t>DS799.82.C437 T39 2000</t>
        </is>
      </c>
      <c r="C2347" t="inlineStr">
        <is>
          <t>0                      DS 0799820C  437                T  39          2000</t>
        </is>
      </c>
      <c r="D2347" t="inlineStr">
        <is>
          <t>The Generalissimo's son : Chiang Ching-kuo and the revolutions in China and Taiwan / Jay Taylor.</t>
        </is>
      </c>
      <c r="F2347" t="inlineStr">
        <is>
          <t>No</t>
        </is>
      </c>
      <c r="G2347" t="inlineStr">
        <is>
          <t>1</t>
        </is>
      </c>
      <c r="H2347" t="inlineStr">
        <is>
          <t>No</t>
        </is>
      </c>
      <c r="I2347" t="inlineStr">
        <is>
          <t>No</t>
        </is>
      </c>
      <c r="J2347" t="inlineStr">
        <is>
          <t>0</t>
        </is>
      </c>
      <c r="K2347" t="inlineStr">
        <is>
          <t>Taylor, Jay, 1931-</t>
        </is>
      </c>
      <c r="L2347" t="inlineStr">
        <is>
          <t>Cambridge, Mass. : Harvard University Press, 2000.</t>
        </is>
      </c>
      <c r="M2347" t="inlineStr">
        <is>
          <t>2000</t>
        </is>
      </c>
      <c r="O2347" t="inlineStr">
        <is>
          <t>eng</t>
        </is>
      </c>
      <c r="P2347" t="inlineStr">
        <is>
          <t>mau</t>
        </is>
      </c>
      <c r="R2347" t="inlineStr">
        <is>
          <t xml:space="preserve">DS </t>
        </is>
      </c>
      <c r="S2347" t="n">
        <v>3</v>
      </c>
      <c r="T2347" t="n">
        <v>3</v>
      </c>
      <c r="U2347" t="inlineStr">
        <is>
          <t>2009-05-04</t>
        </is>
      </c>
      <c r="V2347" t="inlineStr">
        <is>
          <t>2009-05-04</t>
        </is>
      </c>
      <c r="W2347" t="inlineStr">
        <is>
          <t>2002-01-08</t>
        </is>
      </c>
      <c r="X2347" t="inlineStr">
        <is>
          <t>2002-01-08</t>
        </is>
      </c>
      <c r="Y2347" t="n">
        <v>624</v>
      </c>
      <c r="Z2347" t="n">
        <v>526</v>
      </c>
      <c r="AA2347" t="n">
        <v>533</v>
      </c>
      <c r="AB2347" t="n">
        <v>3</v>
      </c>
      <c r="AC2347" t="n">
        <v>3</v>
      </c>
      <c r="AD2347" t="n">
        <v>28</v>
      </c>
      <c r="AE2347" t="n">
        <v>28</v>
      </c>
      <c r="AF2347" t="n">
        <v>10</v>
      </c>
      <c r="AG2347" t="n">
        <v>10</v>
      </c>
      <c r="AH2347" t="n">
        <v>8</v>
      </c>
      <c r="AI2347" t="n">
        <v>8</v>
      </c>
      <c r="AJ2347" t="n">
        <v>14</v>
      </c>
      <c r="AK2347" t="n">
        <v>14</v>
      </c>
      <c r="AL2347" t="n">
        <v>2</v>
      </c>
      <c r="AM2347" t="n">
        <v>2</v>
      </c>
      <c r="AN2347" t="n">
        <v>2</v>
      </c>
      <c r="AO2347" t="n">
        <v>2</v>
      </c>
      <c r="AP2347" t="inlineStr">
        <is>
          <t>No</t>
        </is>
      </c>
      <c r="AQ2347" t="inlineStr">
        <is>
          <t>Yes</t>
        </is>
      </c>
      <c r="AR2347">
        <f>HYPERLINK("http://catalog.hathitrust.org/Record/004129968","HathiTrust Record")</f>
        <v/>
      </c>
      <c r="AS2347">
        <f>HYPERLINK("https://creighton-primo.hosted.exlibrisgroup.com/primo-explore/search?tab=default_tab&amp;search_scope=EVERYTHING&amp;vid=01CRU&amp;lang=en_US&amp;offset=0&amp;query=any,contains,991003696309702656","Catalog Record")</f>
        <v/>
      </c>
      <c r="AT2347">
        <f>HYPERLINK("http://www.worldcat.org/oclc/43708530","WorldCat Record")</f>
        <v/>
      </c>
      <c r="AU2347" t="inlineStr">
        <is>
          <t>4714757025:eng</t>
        </is>
      </c>
      <c r="AV2347" t="inlineStr">
        <is>
          <t>43708530</t>
        </is>
      </c>
      <c r="AW2347" t="inlineStr">
        <is>
          <t>991003696309702656</t>
        </is>
      </c>
      <c r="AX2347" t="inlineStr">
        <is>
          <t>991003696309702656</t>
        </is>
      </c>
      <c r="AY2347" t="inlineStr">
        <is>
          <t>2256925390002656</t>
        </is>
      </c>
      <c r="AZ2347" t="inlineStr">
        <is>
          <t>BOOK</t>
        </is>
      </c>
      <c r="BB2347" t="inlineStr">
        <is>
          <t>9780674002876</t>
        </is>
      </c>
      <c r="BC2347" t="inlineStr">
        <is>
          <t>32285004446422</t>
        </is>
      </c>
      <c r="BD2347" t="inlineStr">
        <is>
          <t>893441606</t>
        </is>
      </c>
    </row>
    <row r="2348">
      <c r="A2348" t="inlineStr">
        <is>
          <t>No</t>
        </is>
      </c>
      <c r="B2348" t="inlineStr">
        <is>
          <t>DS799.847 .C458 2001</t>
        </is>
      </c>
      <c r="C2348" t="inlineStr">
        <is>
          <t>0                      DS 0799847C  458         2001</t>
        </is>
      </c>
      <c r="D2348" t="inlineStr">
        <is>
          <t>Will Taiwan break away : the rise of Taiwanese nationalism / Ching Cheong.</t>
        </is>
      </c>
      <c r="F2348" t="inlineStr">
        <is>
          <t>No</t>
        </is>
      </c>
      <c r="G2348" t="inlineStr">
        <is>
          <t>1</t>
        </is>
      </c>
      <c r="H2348" t="inlineStr">
        <is>
          <t>No</t>
        </is>
      </c>
      <c r="I2348" t="inlineStr">
        <is>
          <t>No</t>
        </is>
      </c>
      <c r="J2348" t="inlineStr">
        <is>
          <t>0</t>
        </is>
      </c>
      <c r="K2348" t="inlineStr">
        <is>
          <t>Ching, Cheong, 1949-</t>
        </is>
      </c>
      <c r="L2348" t="inlineStr">
        <is>
          <t>Singapore ; River Edge, NJ : World Scientific, c2001.</t>
        </is>
      </c>
      <c r="M2348" t="inlineStr">
        <is>
          <t>2001</t>
        </is>
      </c>
      <c r="O2348" t="inlineStr">
        <is>
          <t>eng</t>
        </is>
      </c>
      <c r="P2348" t="inlineStr">
        <is>
          <t xml:space="preserve">si </t>
        </is>
      </c>
      <c r="R2348" t="inlineStr">
        <is>
          <t xml:space="preserve">DS </t>
        </is>
      </c>
      <c r="S2348" t="n">
        <v>5</v>
      </c>
      <c r="T2348" t="n">
        <v>5</v>
      </c>
      <c r="U2348" t="inlineStr">
        <is>
          <t>2007-08-30</t>
        </is>
      </c>
      <c r="V2348" t="inlineStr">
        <is>
          <t>2007-08-30</t>
        </is>
      </c>
      <c r="W2348" t="inlineStr">
        <is>
          <t>2001-07-10</t>
        </is>
      </c>
      <c r="X2348" t="inlineStr">
        <is>
          <t>2001-07-10</t>
        </is>
      </c>
      <c r="Y2348" t="n">
        <v>159</v>
      </c>
      <c r="Z2348" t="n">
        <v>115</v>
      </c>
      <c r="AA2348" t="n">
        <v>360</v>
      </c>
      <c r="AB2348" t="n">
        <v>2</v>
      </c>
      <c r="AC2348" t="n">
        <v>3</v>
      </c>
      <c r="AD2348" t="n">
        <v>8</v>
      </c>
      <c r="AE2348" t="n">
        <v>14</v>
      </c>
      <c r="AF2348" t="n">
        <v>2</v>
      </c>
      <c r="AG2348" t="n">
        <v>3</v>
      </c>
      <c r="AH2348" t="n">
        <v>3</v>
      </c>
      <c r="AI2348" t="n">
        <v>5</v>
      </c>
      <c r="AJ2348" t="n">
        <v>6</v>
      </c>
      <c r="AK2348" t="n">
        <v>9</v>
      </c>
      <c r="AL2348" t="n">
        <v>1</v>
      </c>
      <c r="AM2348" t="n">
        <v>2</v>
      </c>
      <c r="AN2348" t="n">
        <v>0</v>
      </c>
      <c r="AO2348" t="n">
        <v>0</v>
      </c>
      <c r="AP2348" t="inlineStr">
        <is>
          <t>No</t>
        </is>
      </c>
      <c r="AQ2348" t="inlineStr">
        <is>
          <t>No</t>
        </is>
      </c>
      <c r="AS2348">
        <f>HYPERLINK("https://creighton-primo.hosted.exlibrisgroup.com/primo-explore/search?tab=default_tab&amp;search_scope=EVERYTHING&amp;vid=01CRU&amp;lang=en_US&amp;offset=0&amp;query=any,contains,991003538319702656","Catalog Record")</f>
        <v/>
      </c>
      <c r="AT2348">
        <f>HYPERLINK("http://www.worldcat.org/oclc/45945321","WorldCat Record")</f>
        <v/>
      </c>
      <c r="AU2348" t="inlineStr">
        <is>
          <t>47137805:eng</t>
        </is>
      </c>
      <c r="AV2348" t="inlineStr">
        <is>
          <t>45945321</t>
        </is>
      </c>
      <c r="AW2348" t="inlineStr">
        <is>
          <t>991003538319702656</t>
        </is>
      </c>
      <c r="AX2348" t="inlineStr">
        <is>
          <t>991003538319702656</t>
        </is>
      </c>
      <c r="AY2348" t="inlineStr">
        <is>
          <t>2258470990002656</t>
        </is>
      </c>
      <c r="AZ2348" t="inlineStr">
        <is>
          <t>BOOK</t>
        </is>
      </c>
      <c r="BB2348" t="inlineStr">
        <is>
          <t>9789810244866</t>
        </is>
      </c>
      <c r="BC2348" t="inlineStr">
        <is>
          <t>32285004330675</t>
        </is>
      </c>
      <c r="BD2348" t="inlineStr">
        <is>
          <t>893799849</t>
        </is>
      </c>
    </row>
    <row r="2349">
      <c r="A2349" t="inlineStr">
        <is>
          <t>No</t>
        </is>
      </c>
      <c r="B2349" t="inlineStr">
        <is>
          <t>DS799.847 .C65 1999</t>
        </is>
      </c>
      <c r="C2349" t="inlineStr">
        <is>
          <t>0                      DS 0799847C  65          1999</t>
        </is>
      </c>
      <c r="D2349" t="inlineStr">
        <is>
          <t>As Taiwan approaches the new millennium : essays on politics and foreign affairs / John F. Copper.</t>
        </is>
      </c>
      <c r="F2349" t="inlineStr">
        <is>
          <t>No</t>
        </is>
      </c>
      <c r="G2349" t="inlineStr">
        <is>
          <t>1</t>
        </is>
      </c>
      <c r="H2349" t="inlineStr">
        <is>
          <t>No</t>
        </is>
      </c>
      <c r="I2349" t="inlineStr">
        <is>
          <t>No</t>
        </is>
      </c>
      <c r="J2349" t="inlineStr">
        <is>
          <t>0</t>
        </is>
      </c>
      <c r="K2349" t="inlineStr">
        <is>
          <t>Copper, John Franklin.</t>
        </is>
      </c>
      <c r="L2349" t="inlineStr">
        <is>
          <t>Lanham, Md. : University Press of America, c1999.</t>
        </is>
      </c>
      <c r="M2349" t="inlineStr">
        <is>
          <t>1999</t>
        </is>
      </c>
      <c r="O2349" t="inlineStr">
        <is>
          <t>eng</t>
        </is>
      </c>
      <c r="P2349" t="inlineStr">
        <is>
          <t>mdu</t>
        </is>
      </c>
      <c r="R2349" t="inlineStr">
        <is>
          <t xml:space="preserve">DS </t>
        </is>
      </c>
      <c r="S2349" t="n">
        <v>4</v>
      </c>
      <c r="T2349" t="n">
        <v>4</v>
      </c>
      <c r="U2349" t="inlineStr">
        <is>
          <t>2005-10-11</t>
        </is>
      </c>
      <c r="V2349" t="inlineStr">
        <is>
          <t>2005-10-11</t>
        </is>
      </c>
      <c r="W2349" t="inlineStr">
        <is>
          <t>2002-04-16</t>
        </is>
      </c>
      <c r="X2349" t="inlineStr">
        <is>
          <t>2002-04-16</t>
        </is>
      </c>
      <c r="Y2349" t="n">
        <v>147</v>
      </c>
      <c r="Z2349" t="n">
        <v>119</v>
      </c>
      <c r="AA2349" t="n">
        <v>121</v>
      </c>
      <c r="AB2349" t="n">
        <v>2</v>
      </c>
      <c r="AC2349" t="n">
        <v>2</v>
      </c>
      <c r="AD2349" t="n">
        <v>7</v>
      </c>
      <c r="AE2349" t="n">
        <v>7</v>
      </c>
      <c r="AF2349" t="n">
        <v>1</v>
      </c>
      <c r="AG2349" t="n">
        <v>1</v>
      </c>
      <c r="AH2349" t="n">
        <v>2</v>
      </c>
      <c r="AI2349" t="n">
        <v>2</v>
      </c>
      <c r="AJ2349" t="n">
        <v>5</v>
      </c>
      <c r="AK2349" t="n">
        <v>5</v>
      </c>
      <c r="AL2349" t="n">
        <v>1</v>
      </c>
      <c r="AM2349" t="n">
        <v>1</v>
      </c>
      <c r="AN2349" t="n">
        <v>0</v>
      </c>
      <c r="AO2349" t="n">
        <v>0</v>
      </c>
      <c r="AP2349" t="inlineStr">
        <is>
          <t>No</t>
        </is>
      </c>
      <c r="AQ2349" t="inlineStr">
        <is>
          <t>Yes</t>
        </is>
      </c>
      <c r="AR2349">
        <f>HYPERLINK("http://catalog.hathitrust.org/Record/004102426","HathiTrust Record")</f>
        <v/>
      </c>
      <c r="AS2349">
        <f>HYPERLINK("https://creighton-primo.hosted.exlibrisgroup.com/primo-explore/search?tab=default_tab&amp;search_scope=EVERYTHING&amp;vid=01CRU&amp;lang=en_US&amp;offset=0&amp;query=any,contains,991003777269702656","Catalog Record")</f>
        <v/>
      </c>
      <c r="AT2349">
        <f>HYPERLINK("http://www.worldcat.org/oclc/41278474","WorldCat Record")</f>
        <v/>
      </c>
      <c r="AU2349" t="inlineStr">
        <is>
          <t>202133037:eng</t>
        </is>
      </c>
      <c r="AV2349" t="inlineStr">
        <is>
          <t>41278474</t>
        </is>
      </c>
      <c r="AW2349" t="inlineStr">
        <is>
          <t>991003777269702656</t>
        </is>
      </c>
      <c r="AX2349" t="inlineStr">
        <is>
          <t>991003777269702656</t>
        </is>
      </c>
      <c r="AY2349" t="inlineStr">
        <is>
          <t>2267825070002656</t>
        </is>
      </c>
      <c r="AZ2349" t="inlineStr">
        <is>
          <t>BOOK</t>
        </is>
      </c>
      <c r="BB2349" t="inlineStr">
        <is>
          <t>9780761814320</t>
        </is>
      </c>
      <c r="BC2349" t="inlineStr">
        <is>
          <t>32285004480033</t>
        </is>
      </c>
      <c r="BD2349" t="inlineStr">
        <is>
          <t>893535623</t>
        </is>
      </c>
    </row>
    <row r="2350">
      <c r="A2350" t="inlineStr">
        <is>
          <t>No</t>
        </is>
      </c>
      <c r="B2350" t="inlineStr">
        <is>
          <t>DS799.847 .H53 1997</t>
        </is>
      </c>
      <c r="C2350" t="inlineStr">
        <is>
          <t>0                      DS 0799847H  53          1997</t>
        </is>
      </c>
      <c r="D2350" t="inlineStr">
        <is>
          <t>Taiwan's security in the changing international system / Dennis Van Vranken Hickey.</t>
        </is>
      </c>
      <c r="F2350" t="inlineStr">
        <is>
          <t>No</t>
        </is>
      </c>
      <c r="G2350" t="inlineStr">
        <is>
          <t>1</t>
        </is>
      </c>
      <c r="H2350" t="inlineStr">
        <is>
          <t>No</t>
        </is>
      </c>
      <c r="I2350" t="inlineStr">
        <is>
          <t>No</t>
        </is>
      </c>
      <c r="J2350" t="inlineStr">
        <is>
          <t>0</t>
        </is>
      </c>
      <c r="K2350" t="inlineStr">
        <is>
          <t>Hickey, Dennis Van Vranken.</t>
        </is>
      </c>
      <c r="L2350" t="inlineStr">
        <is>
          <t>Boulder, Colo. : Lynne Rienner Publishers, 1997.</t>
        </is>
      </c>
      <c r="M2350" t="inlineStr">
        <is>
          <t>1997</t>
        </is>
      </c>
      <c r="O2350" t="inlineStr">
        <is>
          <t>eng</t>
        </is>
      </c>
      <c r="P2350" t="inlineStr">
        <is>
          <t>cou</t>
        </is>
      </c>
      <c r="R2350" t="inlineStr">
        <is>
          <t xml:space="preserve">DS </t>
        </is>
      </c>
      <c r="S2350" t="n">
        <v>4</v>
      </c>
      <c r="T2350" t="n">
        <v>4</v>
      </c>
      <c r="U2350" t="inlineStr">
        <is>
          <t>1999-02-24</t>
        </is>
      </c>
      <c r="V2350" t="inlineStr">
        <is>
          <t>1999-02-24</t>
        </is>
      </c>
      <c r="W2350" t="inlineStr">
        <is>
          <t>1997-03-11</t>
        </is>
      </c>
      <c r="X2350" t="inlineStr">
        <is>
          <t>1997-03-11</t>
        </is>
      </c>
      <c r="Y2350" t="n">
        <v>253</v>
      </c>
      <c r="Z2350" t="n">
        <v>188</v>
      </c>
      <c r="AA2350" t="n">
        <v>188</v>
      </c>
      <c r="AB2350" t="n">
        <v>3</v>
      </c>
      <c r="AC2350" t="n">
        <v>3</v>
      </c>
      <c r="AD2350" t="n">
        <v>10</v>
      </c>
      <c r="AE2350" t="n">
        <v>10</v>
      </c>
      <c r="AF2350" t="n">
        <v>0</v>
      </c>
      <c r="AG2350" t="n">
        <v>0</v>
      </c>
      <c r="AH2350" t="n">
        <v>4</v>
      </c>
      <c r="AI2350" t="n">
        <v>4</v>
      </c>
      <c r="AJ2350" t="n">
        <v>6</v>
      </c>
      <c r="AK2350" t="n">
        <v>6</v>
      </c>
      <c r="AL2350" t="n">
        <v>2</v>
      </c>
      <c r="AM2350" t="n">
        <v>2</v>
      </c>
      <c r="AN2350" t="n">
        <v>0</v>
      </c>
      <c r="AO2350" t="n">
        <v>0</v>
      </c>
      <c r="AP2350" t="inlineStr">
        <is>
          <t>No</t>
        </is>
      </c>
      <c r="AQ2350" t="inlineStr">
        <is>
          <t>No</t>
        </is>
      </c>
      <c r="AS2350">
        <f>HYPERLINK("https://creighton-primo.hosted.exlibrisgroup.com/primo-explore/search?tab=default_tab&amp;search_scope=EVERYTHING&amp;vid=01CRU&amp;lang=en_US&amp;offset=0&amp;query=any,contains,991002696269702656","Catalog Record")</f>
        <v/>
      </c>
      <c r="AT2350">
        <f>HYPERLINK("http://www.worldcat.org/oclc/35198745","WorldCat Record")</f>
        <v/>
      </c>
      <c r="AU2350" t="inlineStr">
        <is>
          <t>41136707:eng</t>
        </is>
      </c>
      <c r="AV2350" t="inlineStr">
        <is>
          <t>35198745</t>
        </is>
      </c>
      <c r="AW2350" t="inlineStr">
        <is>
          <t>991002696269702656</t>
        </is>
      </c>
      <c r="AX2350" t="inlineStr">
        <is>
          <t>991002696269702656</t>
        </is>
      </c>
      <c r="AY2350" t="inlineStr">
        <is>
          <t>2260428160002656</t>
        </is>
      </c>
      <c r="AZ2350" t="inlineStr">
        <is>
          <t>BOOK</t>
        </is>
      </c>
      <c r="BB2350" t="inlineStr">
        <is>
          <t>9781555876272</t>
        </is>
      </c>
      <c r="BC2350" t="inlineStr">
        <is>
          <t>32285002441243</t>
        </is>
      </c>
      <c r="BD2350" t="inlineStr">
        <is>
          <t>893603889</t>
        </is>
      </c>
    </row>
    <row r="2351">
      <c r="A2351" t="inlineStr">
        <is>
          <t>No</t>
        </is>
      </c>
      <c r="B2351" t="inlineStr">
        <is>
          <t>DS799.847 .W43 2001</t>
        </is>
      </c>
      <c r="C2351" t="inlineStr">
        <is>
          <t>0                      DS 0799847W  43          2001</t>
        </is>
      </c>
      <c r="D2351" t="inlineStr">
        <is>
          <t>Virtual missiles : metaphors and allusions in Taiwanese political campaigns / Jennifer M. Wei.</t>
        </is>
      </c>
      <c r="F2351" t="inlineStr">
        <is>
          <t>No</t>
        </is>
      </c>
      <c r="G2351" t="inlineStr">
        <is>
          <t>1</t>
        </is>
      </c>
      <c r="H2351" t="inlineStr">
        <is>
          <t>No</t>
        </is>
      </c>
      <c r="I2351" t="inlineStr">
        <is>
          <t>No</t>
        </is>
      </c>
      <c r="J2351" t="inlineStr">
        <is>
          <t>0</t>
        </is>
      </c>
      <c r="K2351" t="inlineStr">
        <is>
          <t>Wei, Jennifer M., 1964-</t>
        </is>
      </c>
      <c r="L2351" t="inlineStr">
        <is>
          <t>Lanham, MD : Lexington Books, c2001.</t>
        </is>
      </c>
      <c r="M2351" t="inlineStr">
        <is>
          <t>2001</t>
        </is>
      </c>
      <c r="O2351" t="inlineStr">
        <is>
          <t>eng</t>
        </is>
      </c>
      <c r="P2351" t="inlineStr">
        <is>
          <t>mdu</t>
        </is>
      </c>
      <c r="R2351" t="inlineStr">
        <is>
          <t xml:space="preserve">DS </t>
        </is>
      </c>
      <c r="S2351" t="n">
        <v>1</v>
      </c>
      <c r="T2351" t="n">
        <v>1</v>
      </c>
      <c r="U2351" t="inlineStr">
        <is>
          <t>2004-01-28</t>
        </is>
      </c>
      <c r="V2351" t="inlineStr">
        <is>
          <t>2004-01-28</t>
        </is>
      </c>
      <c r="W2351" t="inlineStr">
        <is>
          <t>2004-01-28</t>
        </is>
      </c>
      <c r="X2351" t="inlineStr">
        <is>
          <t>2004-01-28</t>
        </is>
      </c>
      <c r="Y2351" t="n">
        <v>126</v>
      </c>
      <c r="Z2351" t="n">
        <v>109</v>
      </c>
      <c r="AA2351" t="n">
        <v>111</v>
      </c>
      <c r="AB2351" t="n">
        <v>3</v>
      </c>
      <c r="AC2351" t="n">
        <v>3</v>
      </c>
      <c r="AD2351" t="n">
        <v>8</v>
      </c>
      <c r="AE2351" t="n">
        <v>8</v>
      </c>
      <c r="AF2351" t="n">
        <v>0</v>
      </c>
      <c r="AG2351" t="n">
        <v>0</v>
      </c>
      <c r="AH2351" t="n">
        <v>3</v>
      </c>
      <c r="AI2351" t="n">
        <v>3</v>
      </c>
      <c r="AJ2351" t="n">
        <v>5</v>
      </c>
      <c r="AK2351" t="n">
        <v>5</v>
      </c>
      <c r="AL2351" t="n">
        <v>2</v>
      </c>
      <c r="AM2351" t="n">
        <v>2</v>
      </c>
      <c r="AN2351" t="n">
        <v>0</v>
      </c>
      <c r="AO2351" t="n">
        <v>0</v>
      </c>
      <c r="AP2351" t="inlineStr">
        <is>
          <t>No</t>
        </is>
      </c>
      <c r="AQ2351" t="inlineStr">
        <is>
          <t>Yes</t>
        </is>
      </c>
      <c r="AR2351">
        <f>HYPERLINK("http://catalog.hathitrust.org/Record/004206748","HathiTrust Record")</f>
        <v/>
      </c>
      <c r="AS2351">
        <f>HYPERLINK("https://creighton-primo.hosted.exlibrisgroup.com/primo-explore/search?tab=default_tab&amp;search_scope=EVERYTHING&amp;vid=01CRU&amp;lang=en_US&amp;offset=0&amp;query=any,contains,991004187249702656","Catalog Record")</f>
        <v/>
      </c>
      <c r="AT2351">
        <f>HYPERLINK("http://www.worldcat.org/oclc/46969929","WorldCat Record")</f>
        <v/>
      </c>
      <c r="AU2351" t="inlineStr">
        <is>
          <t>138905721:eng</t>
        </is>
      </c>
      <c r="AV2351" t="inlineStr">
        <is>
          <t>46969929</t>
        </is>
      </c>
      <c r="AW2351" t="inlineStr">
        <is>
          <t>991004187249702656</t>
        </is>
      </c>
      <c r="AX2351" t="inlineStr">
        <is>
          <t>991004187249702656</t>
        </is>
      </c>
      <c r="AY2351" t="inlineStr">
        <is>
          <t>2266928650002656</t>
        </is>
      </c>
      <c r="AZ2351" t="inlineStr">
        <is>
          <t>BOOK</t>
        </is>
      </c>
      <c r="BB2351" t="inlineStr">
        <is>
          <t>9780739102718</t>
        </is>
      </c>
      <c r="BC2351" t="inlineStr">
        <is>
          <t>32285004803192</t>
        </is>
      </c>
      <c r="BD2351" t="inlineStr">
        <is>
          <t>893712254</t>
        </is>
      </c>
    </row>
    <row r="2352">
      <c r="A2352" t="inlineStr">
        <is>
          <t>No</t>
        </is>
      </c>
      <c r="B2352" t="inlineStr">
        <is>
          <t>DS799.848 .Y79 2002</t>
        </is>
      </c>
      <c r="C2352" t="inlineStr">
        <is>
          <t>0                      DS 0799848Y  79          2002</t>
        </is>
      </c>
      <c r="D2352" t="inlineStr">
        <is>
          <t>The crab and frog motion paradigm shift : decoding and deciphering Taipei and Beijing's dialectical politics / Peter Kien-hong Yu.</t>
        </is>
      </c>
      <c r="F2352" t="inlineStr">
        <is>
          <t>No</t>
        </is>
      </c>
      <c r="G2352" t="inlineStr">
        <is>
          <t>1</t>
        </is>
      </c>
      <c r="H2352" t="inlineStr">
        <is>
          <t>No</t>
        </is>
      </c>
      <c r="I2352" t="inlineStr">
        <is>
          <t>No</t>
        </is>
      </c>
      <c r="J2352" t="inlineStr">
        <is>
          <t>0</t>
        </is>
      </c>
      <c r="K2352" t="inlineStr">
        <is>
          <t>Yu, Peter Kien-hong, 1953-</t>
        </is>
      </c>
      <c r="L2352" t="inlineStr">
        <is>
          <t>Lanham, MD : University Press of America, c2002.</t>
        </is>
      </c>
      <c r="M2352" t="inlineStr">
        <is>
          <t>2002</t>
        </is>
      </c>
      <c r="O2352" t="inlineStr">
        <is>
          <t>eng</t>
        </is>
      </c>
      <c r="P2352" t="inlineStr">
        <is>
          <t>mdu</t>
        </is>
      </c>
      <c r="R2352" t="inlineStr">
        <is>
          <t xml:space="preserve">DS </t>
        </is>
      </c>
      <c r="S2352" t="n">
        <v>2</v>
      </c>
      <c r="T2352" t="n">
        <v>2</v>
      </c>
      <c r="U2352" t="inlineStr">
        <is>
          <t>2007-08-30</t>
        </is>
      </c>
      <c r="V2352" t="inlineStr">
        <is>
          <t>2007-08-30</t>
        </is>
      </c>
      <c r="W2352" t="inlineStr">
        <is>
          <t>2002-04-04</t>
        </is>
      </c>
      <c r="X2352" t="inlineStr">
        <is>
          <t>2002-04-04</t>
        </is>
      </c>
      <c r="Y2352" t="n">
        <v>116</v>
      </c>
      <c r="Z2352" t="n">
        <v>87</v>
      </c>
      <c r="AA2352" t="n">
        <v>92</v>
      </c>
      <c r="AB2352" t="n">
        <v>2</v>
      </c>
      <c r="AC2352" t="n">
        <v>2</v>
      </c>
      <c r="AD2352" t="n">
        <v>6</v>
      </c>
      <c r="AE2352" t="n">
        <v>6</v>
      </c>
      <c r="AF2352" t="n">
        <v>1</v>
      </c>
      <c r="AG2352" t="n">
        <v>1</v>
      </c>
      <c r="AH2352" t="n">
        <v>3</v>
      </c>
      <c r="AI2352" t="n">
        <v>3</v>
      </c>
      <c r="AJ2352" t="n">
        <v>4</v>
      </c>
      <c r="AK2352" t="n">
        <v>4</v>
      </c>
      <c r="AL2352" t="n">
        <v>1</v>
      </c>
      <c r="AM2352" t="n">
        <v>1</v>
      </c>
      <c r="AN2352" t="n">
        <v>0</v>
      </c>
      <c r="AO2352" t="n">
        <v>0</v>
      </c>
      <c r="AP2352" t="inlineStr">
        <is>
          <t>No</t>
        </is>
      </c>
      <c r="AQ2352" t="inlineStr">
        <is>
          <t>Yes</t>
        </is>
      </c>
      <c r="AR2352">
        <f>HYPERLINK("http://catalog.hathitrust.org/Record/004219550","HathiTrust Record")</f>
        <v/>
      </c>
      <c r="AS2352">
        <f>HYPERLINK("https://creighton-primo.hosted.exlibrisgroup.com/primo-explore/search?tab=default_tab&amp;search_scope=EVERYTHING&amp;vid=01CRU&amp;lang=en_US&amp;offset=0&amp;query=any,contains,991003768329702656","Catalog Record")</f>
        <v/>
      </c>
      <c r="AT2352">
        <f>HYPERLINK("http://www.worldcat.org/oclc/48053894","WorldCat Record")</f>
        <v/>
      </c>
      <c r="AU2352" t="inlineStr">
        <is>
          <t>20801269:eng</t>
        </is>
      </c>
      <c r="AV2352" t="inlineStr">
        <is>
          <t>48053894</t>
        </is>
      </c>
      <c r="AW2352" t="inlineStr">
        <is>
          <t>991003768329702656</t>
        </is>
      </c>
      <c r="AX2352" t="inlineStr">
        <is>
          <t>991003768329702656</t>
        </is>
      </c>
      <c r="AY2352" t="inlineStr">
        <is>
          <t>2268402220002656</t>
        </is>
      </c>
      <c r="AZ2352" t="inlineStr">
        <is>
          <t>BOOK</t>
        </is>
      </c>
      <c r="BB2352" t="inlineStr">
        <is>
          <t>9780761821502</t>
        </is>
      </c>
      <c r="BC2352" t="inlineStr">
        <is>
          <t>32285004476841</t>
        </is>
      </c>
      <c r="BD2352" t="inlineStr">
        <is>
          <t>893627759</t>
        </is>
      </c>
    </row>
    <row r="2353">
      <c r="A2353" t="inlineStr">
        <is>
          <t>No</t>
        </is>
      </c>
      <c r="B2353" t="inlineStr">
        <is>
          <t>DS799.9.T24 S36 1987</t>
        </is>
      </c>
      <c r="C2353" t="inlineStr">
        <is>
          <t>0                      DS 0799900T  24                 S  36          1987</t>
        </is>
      </c>
      <c r="D2353" t="inlineStr">
        <is>
          <t>History and magical power in a Chinese community / P. Steven Sangren.</t>
        </is>
      </c>
      <c r="F2353" t="inlineStr">
        <is>
          <t>No</t>
        </is>
      </c>
      <c r="G2353" t="inlineStr">
        <is>
          <t>1</t>
        </is>
      </c>
      <c r="H2353" t="inlineStr">
        <is>
          <t>No</t>
        </is>
      </c>
      <c r="I2353" t="inlineStr">
        <is>
          <t>No</t>
        </is>
      </c>
      <c r="J2353" t="inlineStr">
        <is>
          <t>0</t>
        </is>
      </c>
      <c r="K2353" t="inlineStr">
        <is>
          <t>Sangren, Paul Steven.</t>
        </is>
      </c>
      <c r="L2353" t="inlineStr">
        <is>
          <t>Sanford, Calif. : Stanford University Press, c1987.</t>
        </is>
      </c>
      <c r="M2353" t="inlineStr">
        <is>
          <t>1987</t>
        </is>
      </c>
      <c r="O2353" t="inlineStr">
        <is>
          <t>eng</t>
        </is>
      </c>
      <c r="P2353" t="inlineStr">
        <is>
          <t>cau</t>
        </is>
      </c>
      <c r="R2353" t="inlineStr">
        <is>
          <t xml:space="preserve">DS </t>
        </is>
      </c>
      <c r="S2353" t="n">
        <v>3</v>
      </c>
      <c r="T2353" t="n">
        <v>3</v>
      </c>
      <c r="U2353" t="inlineStr">
        <is>
          <t>1993-10-04</t>
        </is>
      </c>
      <c r="V2353" t="inlineStr">
        <is>
          <t>1993-10-04</t>
        </is>
      </c>
      <c r="W2353" t="inlineStr">
        <is>
          <t>1990-10-23</t>
        </is>
      </c>
      <c r="X2353" t="inlineStr">
        <is>
          <t>1990-10-23</t>
        </is>
      </c>
      <c r="Y2353" t="n">
        <v>380</v>
      </c>
      <c r="Z2353" t="n">
        <v>288</v>
      </c>
      <c r="AA2353" t="n">
        <v>288</v>
      </c>
      <c r="AB2353" t="n">
        <v>3</v>
      </c>
      <c r="AC2353" t="n">
        <v>3</v>
      </c>
      <c r="AD2353" t="n">
        <v>13</v>
      </c>
      <c r="AE2353" t="n">
        <v>13</v>
      </c>
      <c r="AF2353" t="n">
        <v>5</v>
      </c>
      <c r="AG2353" t="n">
        <v>5</v>
      </c>
      <c r="AH2353" t="n">
        <v>3</v>
      </c>
      <c r="AI2353" t="n">
        <v>3</v>
      </c>
      <c r="AJ2353" t="n">
        <v>9</v>
      </c>
      <c r="AK2353" t="n">
        <v>9</v>
      </c>
      <c r="AL2353" t="n">
        <v>2</v>
      </c>
      <c r="AM2353" t="n">
        <v>2</v>
      </c>
      <c r="AN2353" t="n">
        <v>0</v>
      </c>
      <c r="AO2353" t="n">
        <v>0</v>
      </c>
      <c r="AP2353" t="inlineStr">
        <is>
          <t>No</t>
        </is>
      </c>
      <c r="AQ2353" t="inlineStr">
        <is>
          <t>No</t>
        </is>
      </c>
      <c r="AS2353">
        <f>HYPERLINK("https://creighton-primo.hosted.exlibrisgroup.com/primo-explore/search?tab=default_tab&amp;search_scope=EVERYTHING&amp;vid=01CRU&amp;lang=en_US&amp;offset=0&amp;query=any,contains,991000952329702656","Catalog Record")</f>
        <v/>
      </c>
      <c r="AT2353">
        <f>HYPERLINK("http://www.worldcat.org/oclc/14692039","WorldCat Record")</f>
        <v/>
      </c>
      <c r="AU2353" t="inlineStr">
        <is>
          <t>9059932:eng</t>
        </is>
      </c>
      <c r="AV2353" t="inlineStr">
        <is>
          <t>14692039</t>
        </is>
      </c>
      <c r="AW2353" t="inlineStr">
        <is>
          <t>991000952329702656</t>
        </is>
      </c>
      <c r="AX2353" t="inlineStr">
        <is>
          <t>991000952329702656</t>
        </is>
      </c>
      <c r="AY2353" t="inlineStr">
        <is>
          <t>2257602100002656</t>
        </is>
      </c>
      <c r="AZ2353" t="inlineStr">
        <is>
          <t>BOOK</t>
        </is>
      </c>
      <c r="BB2353" t="inlineStr">
        <is>
          <t>9780804713443</t>
        </is>
      </c>
      <c r="BC2353" t="inlineStr">
        <is>
          <t>32285000339498</t>
        </is>
      </c>
      <c r="BD2353" t="inlineStr">
        <is>
          <t>893778420</t>
        </is>
      </c>
    </row>
    <row r="2354">
      <c r="A2354" t="inlineStr">
        <is>
          <t>No</t>
        </is>
      </c>
      <c r="B2354" t="inlineStr">
        <is>
          <t>DS80 .G67 1983</t>
        </is>
      </c>
      <c r="C2354" t="inlineStr">
        <is>
          <t>0                      DS 0080000G  67          1983</t>
        </is>
      </c>
      <c r="D2354" t="inlineStr">
        <is>
          <t>The Republic of Lebanon : nation in jeopardy / David C. Gordon.</t>
        </is>
      </c>
      <c r="F2354" t="inlineStr">
        <is>
          <t>No</t>
        </is>
      </c>
      <c r="G2354" t="inlineStr">
        <is>
          <t>1</t>
        </is>
      </c>
      <c r="H2354" t="inlineStr">
        <is>
          <t>No</t>
        </is>
      </c>
      <c r="I2354" t="inlineStr">
        <is>
          <t>No</t>
        </is>
      </c>
      <c r="J2354" t="inlineStr">
        <is>
          <t>0</t>
        </is>
      </c>
      <c r="K2354" t="inlineStr">
        <is>
          <t>Gordon, David C.</t>
        </is>
      </c>
      <c r="L2354" t="inlineStr">
        <is>
          <t>Boulder, Colo. : Westview Press ; London : Croom Helm, 1983.</t>
        </is>
      </c>
      <c r="M2354" t="inlineStr">
        <is>
          <t>1983</t>
        </is>
      </c>
      <c r="O2354" t="inlineStr">
        <is>
          <t>eng</t>
        </is>
      </c>
      <c r="P2354" t="inlineStr">
        <is>
          <t>cou</t>
        </is>
      </c>
      <c r="Q2354" t="inlineStr">
        <is>
          <t>Profiles. Nations of the contemporary Middle East</t>
        </is>
      </c>
      <c r="R2354" t="inlineStr">
        <is>
          <t xml:space="preserve">DS </t>
        </is>
      </c>
      <c r="S2354" t="n">
        <v>6</v>
      </c>
      <c r="T2354" t="n">
        <v>6</v>
      </c>
      <c r="U2354" t="inlineStr">
        <is>
          <t>1997-04-04</t>
        </is>
      </c>
      <c r="V2354" t="inlineStr">
        <is>
          <t>1997-04-04</t>
        </is>
      </c>
      <c r="W2354" t="inlineStr">
        <is>
          <t>1990-09-18</t>
        </is>
      </c>
      <c r="X2354" t="inlineStr">
        <is>
          <t>1990-09-18</t>
        </is>
      </c>
      <c r="Y2354" t="n">
        <v>908</v>
      </c>
      <c r="Z2354" t="n">
        <v>756</v>
      </c>
      <c r="AA2354" t="n">
        <v>784</v>
      </c>
      <c r="AB2354" t="n">
        <v>4</v>
      </c>
      <c r="AC2354" t="n">
        <v>4</v>
      </c>
      <c r="AD2354" t="n">
        <v>25</v>
      </c>
      <c r="AE2354" t="n">
        <v>25</v>
      </c>
      <c r="AF2354" t="n">
        <v>12</v>
      </c>
      <c r="AG2354" t="n">
        <v>12</v>
      </c>
      <c r="AH2354" t="n">
        <v>6</v>
      </c>
      <c r="AI2354" t="n">
        <v>6</v>
      </c>
      <c r="AJ2354" t="n">
        <v>12</v>
      </c>
      <c r="AK2354" t="n">
        <v>12</v>
      </c>
      <c r="AL2354" t="n">
        <v>3</v>
      </c>
      <c r="AM2354" t="n">
        <v>3</v>
      </c>
      <c r="AN2354" t="n">
        <v>0</v>
      </c>
      <c r="AO2354" t="n">
        <v>0</v>
      </c>
      <c r="AP2354" t="inlineStr">
        <is>
          <t>No</t>
        </is>
      </c>
      <c r="AQ2354" t="inlineStr">
        <is>
          <t>Yes</t>
        </is>
      </c>
      <c r="AR2354">
        <f>HYPERLINK("http://catalog.hathitrust.org/Record/000239421","HathiTrust Record")</f>
        <v/>
      </c>
      <c r="AS2354">
        <f>HYPERLINK("https://creighton-primo.hosted.exlibrisgroup.com/primo-explore/search?tab=default_tab&amp;search_scope=EVERYTHING&amp;vid=01CRU&amp;lang=en_US&amp;offset=0&amp;query=any,contains,991000104739702656","Catalog Record")</f>
        <v/>
      </c>
      <c r="AT2354">
        <f>HYPERLINK("http://www.worldcat.org/oclc/8974799","WorldCat Record")</f>
        <v/>
      </c>
      <c r="AU2354" t="inlineStr">
        <is>
          <t>21039045:eng</t>
        </is>
      </c>
      <c r="AV2354" t="inlineStr">
        <is>
          <t>8974799</t>
        </is>
      </c>
      <c r="AW2354" t="inlineStr">
        <is>
          <t>991000104739702656</t>
        </is>
      </c>
      <c r="AX2354" t="inlineStr">
        <is>
          <t>991000104739702656</t>
        </is>
      </c>
      <c r="AY2354" t="inlineStr">
        <is>
          <t>2256894490002656</t>
        </is>
      </c>
      <c r="AZ2354" t="inlineStr">
        <is>
          <t>BOOK</t>
        </is>
      </c>
      <c r="BB2354" t="inlineStr">
        <is>
          <t>9780865314504</t>
        </is>
      </c>
      <c r="BC2354" t="inlineStr">
        <is>
          <t>32285000292168</t>
        </is>
      </c>
      <c r="BD2354" t="inlineStr">
        <is>
          <t>893230876</t>
        </is>
      </c>
    </row>
    <row r="2355">
      <c r="A2355" t="inlineStr">
        <is>
          <t>No</t>
        </is>
      </c>
      <c r="B2355" t="inlineStr">
        <is>
          <t>DS80.3 .B73 1982</t>
        </is>
      </c>
      <c r="C2355" t="inlineStr">
        <is>
          <t>0                      DS 0080300B  73          1982</t>
        </is>
      </c>
      <c r="D2355" t="inlineStr">
        <is>
          <t>L'architecture domestique du Levant a l'age du fer / Frank Braemer.</t>
        </is>
      </c>
      <c r="F2355" t="inlineStr">
        <is>
          <t>No</t>
        </is>
      </c>
      <c r="G2355" t="inlineStr">
        <is>
          <t>1</t>
        </is>
      </c>
      <c r="H2355" t="inlineStr">
        <is>
          <t>No</t>
        </is>
      </c>
      <c r="I2355" t="inlineStr">
        <is>
          <t>No</t>
        </is>
      </c>
      <c r="J2355" t="inlineStr">
        <is>
          <t>0</t>
        </is>
      </c>
      <c r="K2355" t="inlineStr">
        <is>
          <t>Braemer, François.</t>
        </is>
      </c>
      <c r="L2355" t="inlineStr">
        <is>
          <t>Paris : Editions Recherche sur les civilisations, 1982.</t>
        </is>
      </c>
      <c r="M2355" t="inlineStr">
        <is>
          <t>1982</t>
        </is>
      </c>
      <c r="O2355" t="inlineStr">
        <is>
          <t>fre</t>
        </is>
      </c>
      <c r="P2355" t="inlineStr">
        <is>
          <t xml:space="preserve">fr </t>
        </is>
      </c>
      <c r="Q2355" t="inlineStr">
        <is>
          <t>Protohistoire du Levant</t>
        </is>
      </c>
      <c r="R2355" t="inlineStr">
        <is>
          <t xml:space="preserve">DS </t>
        </is>
      </c>
      <c r="S2355" t="n">
        <v>1</v>
      </c>
      <c r="T2355" t="n">
        <v>1</v>
      </c>
      <c r="U2355" t="inlineStr">
        <is>
          <t>2002-08-13</t>
        </is>
      </c>
      <c r="V2355" t="inlineStr">
        <is>
          <t>2002-08-13</t>
        </is>
      </c>
      <c r="W2355" t="inlineStr">
        <is>
          <t>1990-09-18</t>
        </is>
      </c>
      <c r="X2355" t="inlineStr">
        <is>
          <t>1990-09-18</t>
        </is>
      </c>
      <c r="Y2355" t="n">
        <v>85</v>
      </c>
      <c r="Z2355" t="n">
        <v>44</v>
      </c>
      <c r="AA2355" t="n">
        <v>45</v>
      </c>
      <c r="AB2355" t="n">
        <v>1</v>
      </c>
      <c r="AC2355" t="n">
        <v>1</v>
      </c>
      <c r="AD2355" t="n">
        <v>1</v>
      </c>
      <c r="AE2355" t="n">
        <v>1</v>
      </c>
      <c r="AF2355" t="n">
        <v>0</v>
      </c>
      <c r="AG2355" t="n">
        <v>0</v>
      </c>
      <c r="AH2355" t="n">
        <v>0</v>
      </c>
      <c r="AI2355" t="n">
        <v>0</v>
      </c>
      <c r="AJ2355" t="n">
        <v>1</v>
      </c>
      <c r="AK2355" t="n">
        <v>1</v>
      </c>
      <c r="AL2355" t="n">
        <v>0</v>
      </c>
      <c r="AM2355" t="n">
        <v>0</v>
      </c>
      <c r="AN2355" t="n">
        <v>0</v>
      </c>
      <c r="AO2355" t="n">
        <v>0</v>
      </c>
      <c r="AP2355" t="inlineStr">
        <is>
          <t>No</t>
        </is>
      </c>
      <c r="AQ2355" t="inlineStr">
        <is>
          <t>Yes</t>
        </is>
      </c>
      <c r="AR2355">
        <f>HYPERLINK("http://catalog.hathitrust.org/Record/008509944","HathiTrust Record")</f>
        <v/>
      </c>
      <c r="AS2355">
        <f>HYPERLINK("https://creighton-primo.hosted.exlibrisgroup.com/primo-explore/search?tab=default_tab&amp;search_scope=EVERYTHING&amp;vid=01CRU&amp;lang=en_US&amp;offset=0&amp;query=any,contains,991000099369702656","Catalog Record")</f>
        <v/>
      </c>
      <c r="AT2355">
        <f>HYPERLINK("http://www.worldcat.org/oclc/8942775","WorldCat Record")</f>
        <v/>
      </c>
      <c r="AU2355" t="inlineStr">
        <is>
          <t>8913547510:fre</t>
        </is>
      </c>
      <c r="AV2355" t="inlineStr">
        <is>
          <t>8942775</t>
        </is>
      </c>
      <c r="AW2355" t="inlineStr">
        <is>
          <t>991000099369702656</t>
        </is>
      </c>
      <c r="AX2355" t="inlineStr">
        <is>
          <t>991000099369702656</t>
        </is>
      </c>
      <c r="AY2355" t="inlineStr">
        <is>
          <t>2258573940002656</t>
        </is>
      </c>
      <c r="AZ2355" t="inlineStr">
        <is>
          <t>BOOK</t>
        </is>
      </c>
      <c r="BB2355" t="inlineStr">
        <is>
          <t>9782865380350</t>
        </is>
      </c>
      <c r="BC2355" t="inlineStr">
        <is>
          <t>32285000292176</t>
        </is>
      </c>
      <c r="BD2355" t="inlineStr">
        <is>
          <t>893431685</t>
        </is>
      </c>
    </row>
    <row r="2356">
      <c r="A2356" t="inlineStr">
        <is>
          <t>No</t>
        </is>
      </c>
      <c r="B2356" t="inlineStr">
        <is>
          <t>DS80.5 .N67 1987</t>
        </is>
      </c>
      <c r="C2356" t="inlineStr">
        <is>
          <t>0                      DS 0080500N  67          1987</t>
        </is>
      </c>
      <c r="D2356" t="inlineStr">
        <is>
          <t>Amal and the Shiʻa : struggle for the soul of Lebanon / by Augustus Richard Norton ; foreword by Leonard Binder.</t>
        </is>
      </c>
      <c r="F2356" t="inlineStr">
        <is>
          <t>No</t>
        </is>
      </c>
      <c r="G2356" t="inlineStr">
        <is>
          <t>1</t>
        </is>
      </c>
      <c r="H2356" t="inlineStr">
        <is>
          <t>No</t>
        </is>
      </c>
      <c r="I2356" t="inlineStr">
        <is>
          <t>No</t>
        </is>
      </c>
      <c r="J2356" t="inlineStr">
        <is>
          <t>0</t>
        </is>
      </c>
      <c r="K2356" t="inlineStr">
        <is>
          <t>Norton, Augustus R.</t>
        </is>
      </c>
      <c r="L2356" t="inlineStr">
        <is>
          <t>Austin : University of Texas Press, 1987.</t>
        </is>
      </c>
      <c r="M2356" t="inlineStr">
        <is>
          <t>1987</t>
        </is>
      </c>
      <c r="N2356" t="inlineStr">
        <is>
          <t>1st ed.</t>
        </is>
      </c>
      <c r="O2356" t="inlineStr">
        <is>
          <t>eng</t>
        </is>
      </c>
      <c r="P2356" t="inlineStr">
        <is>
          <t>txu</t>
        </is>
      </c>
      <c r="Q2356" t="inlineStr">
        <is>
          <t>Modern Middle East series ; no. 13</t>
        </is>
      </c>
      <c r="R2356" t="inlineStr">
        <is>
          <t xml:space="preserve">DS </t>
        </is>
      </c>
      <c r="S2356" t="n">
        <v>2</v>
      </c>
      <c r="T2356" t="n">
        <v>2</v>
      </c>
      <c r="U2356" t="inlineStr">
        <is>
          <t>1999-04-15</t>
        </is>
      </c>
      <c r="V2356" t="inlineStr">
        <is>
          <t>1999-04-15</t>
        </is>
      </c>
      <c r="W2356" t="inlineStr">
        <is>
          <t>1990-09-04</t>
        </is>
      </c>
      <c r="X2356" t="inlineStr">
        <is>
          <t>1990-09-04</t>
        </is>
      </c>
      <c r="Y2356" t="n">
        <v>631</v>
      </c>
      <c r="Z2356" t="n">
        <v>522</v>
      </c>
      <c r="AA2356" t="n">
        <v>664</v>
      </c>
      <c r="AB2356" t="n">
        <v>3</v>
      </c>
      <c r="AC2356" t="n">
        <v>4</v>
      </c>
      <c r="AD2356" t="n">
        <v>26</v>
      </c>
      <c r="AE2356" t="n">
        <v>35</v>
      </c>
      <c r="AF2356" t="n">
        <v>12</v>
      </c>
      <c r="AG2356" t="n">
        <v>17</v>
      </c>
      <c r="AH2356" t="n">
        <v>7</v>
      </c>
      <c r="AI2356" t="n">
        <v>9</v>
      </c>
      <c r="AJ2356" t="n">
        <v>14</v>
      </c>
      <c r="AK2356" t="n">
        <v>18</v>
      </c>
      <c r="AL2356" t="n">
        <v>2</v>
      </c>
      <c r="AM2356" t="n">
        <v>3</v>
      </c>
      <c r="AN2356" t="n">
        <v>0</v>
      </c>
      <c r="AO2356" t="n">
        <v>0</v>
      </c>
      <c r="AP2356" t="inlineStr">
        <is>
          <t>No</t>
        </is>
      </c>
      <c r="AQ2356" t="inlineStr">
        <is>
          <t>Yes</t>
        </is>
      </c>
      <c r="AR2356">
        <f>HYPERLINK("http://catalog.hathitrust.org/Record/000860111","HathiTrust Record")</f>
        <v/>
      </c>
      <c r="AS2356">
        <f>HYPERLINK("https://creighton-primo.hosted.exlibrisgroup.com/primo-explore/search?tab=default_tab&amp;search_scope=EVERYTHING&amp;vid=01CRU&amp;lang=en_US&amp;offset=0&amp;query=any,contains,991000944599702656","Catalog Record")</f>
        <v/>
      </c>
      <c r="AT2356">
        <f>HYPERLINK("http://www.worldcat.org/oclc/14519484","WorldCat Record")</f>
        <v/>
      </c>
      <c r="AU2356" t="inlineStr">
        <is>
          <t>8528195:eng</t>
        </is>
      </c>
      <c r="AV2356" t="inlineStr">
        <is>
          <t>14519484</t>
        </is>
      </c>
      <c r="AW2356" t="inlineStr">
        <is>
          <t>991000944599702656</t>
        </is>
      </c>
      <c r="AX2356" t="inlineStr">
        <is>
          <t>991000944599702656</t>
        </is>
      </c>
      <c r="AY2356" t="inlineStr">
        <is>
          <t>2254801100002656</t>
        </is>
      </c>
      <c r="AZ2356" t="inlineStr">
        <is>
          <t>BOOK</t>
        </is>
      </c>
      <c r="BB2356" t="inlineStr">
        <is>
          <t>9780292730403</t>
        </is>
      </c>
      <c r="BC2356" t="inlineStr">
        <is>
          <t>32285000275502</t>
        </is>
      </c>
      <c r="BD2356" t="inlineStr">
        <is>
          <t>893346118</t>
        </is>
      </c>
    </row>
    <row r="2357">
      <c r="A2357" t="inlineStr">
        <is>
          <t>No</t>
        </is>
      </c>
      <c r="B2357" t="inlineStr">
        <is>
          <t>DS80.9 .C6 1985</t>
        </is>
      </c>
      <c r="C2357" t="inlineStr">
        <is>
          <t>0                      DS 0080900C  6           1985</t>
        </is>
      </c>
      <c r="D2357" t="inlineStr">
        <is>
          <t>The making of modern Lebanon / Helena Cobban.</t>
        </is>
      </c>
      <c r="F2357" t="inlineStr">
        <is>
          <t>No</t>
        </is>
      </c>
      <c r="G2357" t="inlineStr">
        <is>
          <t>1</t>
        </is>
      </c>
      <c r="H2357" t="inlineStr">
        <is>
          <t>No</t>
        </is>
      </c>
      <c r="I2357" t="inlineStr">
        <is>
          <t>No</t>
        </is>
      </c>
      <c r="J2357" t="inlineStr">
        <is>
          <t>0</t>
        </is>
      </c>
      <c r="K2357" t="inlineStr">
        <is>
          <t>Cobban, Helena.</t>
        </is>
      </c>
      <c r="L2357" t="inlineStr">
        <is>
          <t>London : Hutchinson Education, 1985.</t>
        </is>
      </c>
      <c r="M2357" t="inlineStr">
        <is>
          <t>1985</t>
        </is>
      </c>
      <c r="O2357" t="inlineStr">
        <is>
          <t>eng</t>
        </is>
      </c>
      <c r="P2357" t="inlineStr">
        <is>
          <t>enk</t>
        </is>
      </c>
      <c r="Q2357" t="inlineStr">
        <is>
          <t>The Making of the Middle East</t>
        </is>
      </c>
      <c r="R2357" t="inlineStr">
        <is>
          <t xml:space="preserve">DS </t>
        </is>
      </c>
      <c r="S2357" t="n">
        <v>9</v>
      </c>
      <c r="T2357" t="n">
        <v>9</v>
      </c>
      <c r="U2357" t="inlineStr">
        <is>
          <t>1999-03-15</t>
        </is>
      </c>
      <c r="V2357" t="inlineStr">
        <is>
          <t>1999-03-15</t>
        </is>
      </c>
      <c r="W2357" t="inlineStr">
        <is>
          <t>1990-09-18</t>
        </is>
      </c>
      <c r="X2357" t="inlineStr">
        <is>
          <t>1990-09-18</t>
        </is>
      </c>
      <c r="Y2357" t="n">
        <v>206</v>
      </c>
      <c r="Z2357" t="n">
        <v>85</v>
      </c>
      <c r="AA2357" t="n">
        <v>607</v>
      </c>
      <c r="AB2357" t="n">
        <v>2</v>
      </c>
      <c r="AC2357" t="n">
        <v>5</v>
      </c>
      <c r="AD2357" t="n">
        <v>1</v>
      </c>
      <c r="AE2357" t="n">
        <v>24</v>
      </c>
      <c r="AF2357" t="n">
        <v>0</v>
      </c>
      <c r="AG2357" t="n">
        <v>9</v>
      </c>
      <c r="AH2357" t="n">
        <v>0</v>
      </c>
      <c r="AI2357" t="n">
        <v>5</v>
      </c>
      <c r="AJ2357" t="n">
        <v>0</v>
      </c>
      <c r="AK2357" t="n">
        <v>12</v>
      </c>
      <c r="AL2357" t="n">
        <v>1</v>
      </c>
      <c r="AM2357" t="n">
        <v>4</v>
      </c>
      <c r="AN2357" t="n">
        <v>0</v>
      </c>
      <c r="AO2357" t="n">
        <v>0</v>
      </c>
      <c r="AP2357" t="inlineStr">
        <is>
          <t>No</t>
        </is>
      </c>
      <c r="AQ2357" t="inlineStr">
        <is>
          <t>Yes</t>
        </is>
      </c>
      <c r="AR2357">
        <f>HYPERLINK("http://catalog.hathitrust.org/Record/000430728","HathiTrust Record")</f>
        <v/>
      </c>
      <c r="AS2357">
        <f>HYPERLINK("https://creighton-primo.hosted.exlibrisgroup.com/primo-explore/search?tab=default_tab&amp;search_scope=EVERYTHING&amp;vid=01CRU&amp;lang=en_US&amp;offset=0&amp;query=any,contains,991000697399702656","Catalog Record")</f>
        <v/>
      </c>
      <c r="AT2357">
        <f>HYPERLINK("http://www.worldcat.org/oclc/14412165","WorldCat Record")</f>
        <v/>
      </c>
      <c r="AU2357" t="inlineStr">
        <is>
          <t>5785647:eng</t>
        </is>
      </c>
      <c r="AV2357" t="inlineStr">
        <is>
          <t>14412165</t>
        </is>
      </c>
      <c r="AW2357" t="inlineStr">
        <is>
          <t>991000697399702656</t>
        </is>
      </c>
      <c r="AX2357" t="inlineStr">
        <is>
          <t>991000697399702656</t>
        </is>
      </c>
      <c r="AY2357" t="inlineStr">
        <is>
          <t>2258005430002656</t>
        </is>
      </c>
      <c r="AZ2357" t="inlineStr">
        <is>
          <t>BOOK</t>
        </is>
      </c>
      <c r="BB2357" t="inlineStr">
        <is>
          <t>9780091607913</t>
        </is>
      </c>
      <c r="BC2357" t="inlineStr">
        <is>
          <t>32285000292184</t>
        </is>
      </c>
      <c r="BD2357" t="inlineStr">
        <is>
          <t>893865588</t>
        </is>
      </c>
    </row>
    <row r="2358">
      <c r="A2358" t="inlineStr">
        <is>
          <t>No</t>
        </is>
      </c>
      <c r="B2358" t="inlineStr">
        <is>
          <t>DS80.9 .H52</t>
        </is>
      </c>
      <c r="C2358" t="inlineStr">
        <is>
          <t>0                      DS 0080900H  52</t>
        </is>
      </c>
      <c r="D2358" t="inlineStr">
        <is>
          <t>A short history of Lebanon / by Philip K. Hitti.</t>
        </is>
      </c>
      <c r="F2358" t="inlineStr">
        <is>
          <t>No</t>
        </is>
      </c>
      <c r="G2358" t="inlineStr">
        <is>
          <t>1</t>
        </is>
      </c>
      <c r="H2358" t="inlineStr">
        <is>
          <t>No</t>
        </is>
      </c>
      <c r="I2358" t="inlineStr">
        <is>
          <t>No</t>
        </is>
      </c>
      <c r="J2358" t="inlineStr">
        <is>
          <t>0</t>
        </is>
      </c>
      <c r="K2358" t="inlineStr">
        <is>
          <t>Hitti, Philip K. (Philip Khuri), 1886-1978.</t>
        </is>
      </c>
      <c r="L2358" t="inlineStr">
        <is>
          <t>London : Macmillan ; New York : St. Martin's Press, 1965.</t>
        </is>
      </c>
      <c r="M2358" t="inlineStr">
        <is>
          <t>1965</t>
        </is>
      </c>
      <c r="O2358" t="inlineStr">
        <is>
          <t>eng</t>
        </is>
      </c>
      <c r="P2358" t="inlineStr">
        <is>
          <t>enk</t>
        </is>
      </c>
      <c r="R2358" t="inlineStr">
        <is>
          <t xml:space="preserve">DS </t>
        </is>
      </c>
      <c r="S2358" t="n">
        <v>9</v>
      </c>
      <c r="T2358" t="n">
        <v>9</v>
      </c>
      <c r="U2358" t="inlineStr">
        <is>
          <t>1998-03-15</t>
        </is>
      </c>
      <c r="V2358" t="inlineStr">
        <is>
          <t>1998-03-15</t>
        </is>
      </c>
      <c r="W2358" t="inlineStr">
        <is>
          <t>1994-06-29</t>
        </is>
      </c>
      <c r="X2358" t="inlineStr">
        <is>
          <t>1994-06-29</t>
        </is>
      </c>
      <c r="Y2358" t="n">
        <v>646</v>
      </c>
      <c r="Z2358" t="n">
        <v>541</v>
      </c>
      <c r="AA2358" t="n">
        <v>572</v>
      </c>
      <c r="AB2358" t="n">
        <v>3</v>
      </c>
      <c r="AC2358" t="n">
        <v>3</v>
      </c>
      <c r="AD2358" t="n">
        <v>23</v>
      </c>
      <c r="AE2358" t="n">
        <v>24</v>
      </c>
      <c r="AF2358" t="n">
        <v>9</v>
      </c>
      <c r="AG2358" t="n">
        <v>10</v>
      </c>
      <c r="AH2358" t="n">
        <v>6</v>
      </c>
      <c r="AI2358" t="n">
        <v>6</v>
      </c>
      <c r="AJ2358" t="n">
        <v>11</v>
      </c>
      <c r="AK2358" t="n">
        <v>12</v>
      </c>
      <c r="AL2358" t="n">
        <v>2</v>
      </c>
      <c r="AM2358" t="n">
        <v>2</v>
      </c>
      <c r="AN2358" t="n">
        <v>0</v>
      </c>
      <c r="AO2358" t="n">
        <v>0</v>
      </c>
      <c r="AP2358" t="inlineStr">
        <is>
          <t>No</t>
        </is>
      </c>
      <c r="AQ2358" t="inlineStr">
        <is>
          <t>Yes</t>
        </is>
      </c>
      <c r="AR2358">
        <f>HYPERLINK("http://catalog.hathitrust.org/Record/001241692","HathiTrust Record")</f>
        <v/>
      </c>
      <c r="AS2358">
        <f>HYPERLINK("https://creighton-primo.hosted.exlibrisgroup.com/primo-explore/search?tab=default_tab&amp;search_scope=EVERYTHING&amp;vid=01CRU&amp;lang=en_US&amp;offset=0&amp;query=any,contains,991003713159702656","Catalog Record")</f>
        <v/>
      </c>
      <c r="AT2358">
        <f>HYPERLINK("http://www.worldcat.org/oclc/1355530","WorldCat Record")</f>
        <v/>
      </c>
      <c r="AU2358" t="inlineStr">
        <is>
          <t>2908447512:eng</t>
        </is>
      </c>
      <c r="AV2358" t="inlineStr">
        <is>
          <t>1355530</t>
        </is>
      </c>
      <c r="AW2358" t="inlineStr">
        <is>
          <t>991003713159702656</t>
        </is>
      </c>
      <c r="AX2358" t="inlineStr">
        <is>
          <t>991003713159702656</t>
        </is>
      </c>
      <c r="AY2358" t="inlineStr">
        <is>
          <t>2272485450002656</t>
        </is>
      </c>
      <c r="AZ2358" t="inlineStr">
        <is>
          <t>BOOK</t>
        </is>
      </c>
      <c r="BC2358" t="inlineStr">
        <is>
          <t>32285001929933</t>
        </is>
      </c>
      <c r="BD2358" t="inlineStr">
        <is>
          <t>893775063</t>
        </is>
      </c>
    </row>
    <row r="2359">
      <c r="A2359" t="inlineStr">
        <is>
          <t>No</t>
        </is>
      </c>
      <c r="B2359" t="inlineStr">
        <is>
          <t>DS803 .L57 v.1</t>
        </is>
      </c>
      <c r="C2359" t="inlineStr">
        <is>
          <t>0                      DS 0803000L  57                                                      v.1</t>
        </is>
      </c>
      <c r="D2359" t="inlineStr">
        <is>
          <t>Imperial Japan, 1800-1945 / edited, annotated, and with introductions by Jon Livingston, Joe Moore, and Felicia Oldfather.</t>
        </is>
      </c>
      <c r="E2359" t="inlineStr">
        <is>
          <t>V.1</t>
        </is>
      </c>
      <c r="F2359" t="inlineStr">
        <is>
          <t>No</t>
        </is>
      </c>
      <c r="G2359" t="inlineStr">
        <is>
          <t>1</t>
        </is>
      </c>
      <c r="H2359" t="inlineStr">
        <is>
          <t>No</t>
        </is>
      </c>
      <c r="I2359" t="inlineStr">
        <is>
          <t>No</t>
        </is>
      </c>
      <c r="J2359" t="inlineStr">
        <is>
          <t>0</t>
        </is>
      </c>
      <c r="K2359" t="inlineStr">
        <is>
          <t>Livingston, Jon, 1944- compiler.</t>
        </is>
      </c>
      <c r="L2359" t="inlineStr">
        <is>
          <t>New York, Pantheon Books [1974, c1973]</t>
        </is>
      </c>
      <c r="M2359" t="inlineStr">
        <is>
          <t>1974</t>
        </is>
      </c>
      <c r="N2359" t="inlineStr">
        <is>
          <t>[1st ed.]</t>
        </is>
      </c>
      <c r="O2359" t="inlineStr">
        <is>
          <t>eng</t>
        </is>
      </c>
      <c r="P2359" t="inlineStr">
        <is>
          <t>nyu</t>
        </is>
      </c>
      <c r="Q2359" t="inlineStr">
        <is>
          <t>Pantheon's Asia library</t>
        </is>
      </c>
      <c r="R2359" t="inlineStr">
        <is>
          <t xml:space="preserve">DS </t>
        </is>
      </c>
      <c r="S2359" t="n">
        <v>2</v>
      </c>
      <c r="T2359" t="n">
        <v>2</v>
      </c>
      <c r="U2359" t="inlineStr">
        <is>
          <t>2002-03-05</t>
        </is>
      </c>
      <c r="V2359" t="inlineStr">
        <is>
          <t>2002-03-05</t>
        </is>
      </c>
      <c r="W2359" t="inlineStr">
        <is>
          <t>1994-05-12</t>
        </is>
      </c>
      <c r="X2359" t="inlineStr">
        <is>
          <t>1994-05-12</t>
        </is>
      </c>
      <c r="Y2359" t="n">
        <v>587</v>
      </c>
      <c r="Z2359" t="n">
        <v>522</v>
      </c>
      <c r="AA2359" t="n">
        <v>542</v>
      </c>
      <c r="AB2359" t="n">
        <v>2</v>
      </c>
      <c r="AC2359" t="n">
        <v>2</v>
      </c>
      <c r="AD2359" t="n">
        <v>21</v>
      </c>
      <c r="AE2359" t="n">
        <v>23</v>
      </c>
      <c r="AF2359" t="n">
        <v>9</v>
      </c>
      <c r="AG2359" t="n">
        <v>10</v>
      </c>
      <c r="AH2359" t="n">
        <v>6</v>
      </c>
      <c r="AI2359" t="n">
        <v>7</v>
      </c>
      <c r="AJ2359" t="n">
        <v>12</v>
      </c>
      <c r="AK2359" t="n">
        <v>12</v>
      </c>
      <c r="AL2359" t="n">
        <v>1</v>
      </c>
      <c r="AM2359" t="n">
        <v>1</v>
      </c>
      <c r="AN2359" t="n">
        <v>0</v>
      </c>
      <c r="AO2359" t="n">
        <v>0</v>
      </c>
      <c r="AP2359" t="inlineStr">
        <is>
          <t>No</t>
        </is>
      </c>
      <c r="AQ2359" t="inlineStr">
        <is>
          <t>Yes</t>
        </is>
      </c>
      <c r="AR2359">
        <f>HYPERLINK("http://catalog.hathitrust.org/Record/001606386","HathiTrust Record")</f>
        <v/>
      </c>
      <c r="AS2359">
        <f>HYPERLINK("https://creighton-primo.hosted.exlibrisgroup.com/primo-explore/search?tab=default_tab&amp;search_scope=EVERYTHING&amp;vid=01CRU&amp;lang=en_US&amp;offset=0&amp;query=any,contains,991003154929702656","Catalog Record")</f>
        <v/>
      </c>
      <c r="AT2359">
        <f>HYPERLINK("http://www.worldcat.org/oclc/693936","WorldCat Record")</f>
        <v/>
      </c>
      <c r="AU2359" t="inlineStr">
        <is>
          <t>2829680900:eng</t>
        </is>
      </c>
      <c r="AV2359" t="inlineStr">
        <is>
          <t>693936</t>
        </is>
      </c>
      <c r="AW2359" t="inlineStr">
        <is>
          <t>991003154929702656</t>
        </is>
      </c>
      <c r="AX2359" t="inlineStr">
        <is>
          <t>991003154929702656</t>
        </is>
      </c>
      <c r="AY2359" t="inlineStr">
        <is>
          <t>2266540420002656</t>
        </is>
      </c>
      <c r="AZ2359" t="inlineStr">
        <is>
          <t>BOOK</t>
        </is>
      </c>
      <c r="BB2359" t="inlineStr">
        <is>
          <t>9780394484372</t>
        </is>
      </c>
      <c r="BC2359" t="inlineStr">
        <is>
          <t>32285001911220</t>
        </is>
      </c>
      <c r="BD2359" t="inlineStr">
        <is>
          <t>893899674</t>
        </is>
      </c>
    </row>
    <row r="2360">
      <c r="A2360" t="inlineStr">
        <is>
          <t>No</t>
        </is>
      </c>
      <c r="B2360" t="inlineStr">
        <is>
          <t>DS803 .L57 v.2</t>
        </is>
      </c>
      <c r="C2360" t="inlineStr">
        <is>
          <t>0                      DS 0803000L  57                                                      v.2</t>
        </is>
      </c>
      <c r="D2360" t="inlineStr">
        <is>
          <t>Postwar Japan, 1945 to the present / edited, annotated, and with introductions by Jon Livingston, Joe Moore, and Felicia Oldfather.</t>
        </is>
      </c>
      <c r="E2360" t="inlineStr">
        <is>
          <t>V.2</t>
        </is>
      </c>
      <c r="F2360" t="inlineStr">
        <is>
          <t>No</t>
        </is>
      </c>
      <c r="G2360" t="inlineStr">
        <is>
          <t>1</t>
        </is>
      </c>
      <c r="H2360" t="inlineStr">
        <is>
          <t>No</t>
        </is>
      </c>
      <c r="I2360" t="inlineStr">
        <is>
          <t>No</t>
        </is>
      </c>
      <c r="J2360" t="inlineStr">
        <is>
          <t>0</t>
        </is>
      </c>
      <c r="K2360" t="inlineStr">
        <is>
          <t>Livingston, Jon, 1944- compiler.</t>
        </is>
      </c>
      <c r="L2360" t="inlineStr">
        <is>
          <t>New York : Pantheon Books, [1974, c1973]</t>
        </is>
      </c>
      <c r="M2360" t="inlineStr">
        <is>
          <t>1974</t>
        </is>
      </c>
      <c r="N2360" t="inlineStr">
        <is>
          <t>[1st ed.]</t>
        </is>
      </c>
      <c r="O2360" t="inlineStr">
        <is>
          <t>eng</t>
        </is>
      </c>
      <c r="P2360" t="inlineStr">
        <is>
          <t>nyu</t>
        </is>
      </c>
      <c r="Q2360" t="inlineStr">
        <is>
          <t>Pantheon's Asia library</t>
        </is>
      </c>
      <c r="R2360" t="inlineStr">
        <is>
          <t xml:space="preserve">DS </t>
        </is>
      </c>
      <c r="S2360" t="n">
        <v>6</v>
      </c>
      <c r="T2360" t="n">
        <v>6</v>
      </c>
      <c r="U2360" t="inlineStr">
        <is>
          <t>2006-12-04</t>
        </is>
      </c>
      <c r="V2360" t="inlineStr">
        <is>
          <t>2006-12-04</t>
        </is>
      </c>
      <c r="W2360" t="inlineStr">
        <is>
          <t>1994-05-25</t>
        </is>
      </c>
      <c r="X2360" t="inlineStr">
        <is>
          <t>1994-05-25</t>
        </is>
      </c>
      <c r="Y2360" t="n">
        <v>574</v>
      </c>
      <c r="Z2360" t="n">
        <v>521</v>
      </c>
      <c r="AA2360" t="n">
        <v>535</v>
      </c>
      <c r="AB2360" t="n">
        <v>4</v>
      </c>
      <c r="AC2360" t="n">
        <v>4</v>
      </c>
      <c r="AD2360" t="n">
        <v>28</v>
      </c>
      <c r="AE2360" t="n">
        <v>30</v>
      </c>
      <c r="AF2360" t="n">
        <v>13</v>
      </c>
      <c r="AG2360" t="n">
        <v>14</v>
      </c>
      <c r="AH2360" t="n">
        <v>6</v>
      </c>
      <c r="AI2360" t="n">
        <v>7</v>
      </c>
      <c r="AJ2360" t="n">
        <v>16</v>
      </c>
      <c r="AK2360" t="n">
        <v>16</v>
      </c>
      <c r="AL2360" t="n">
        <v>3</v>
      </c>
      <c r="AM2360" t="n">
        <v>3</v>
      </c>
      <c r="AN2360" t="n">
        <v>0</v>
      </c>
      <c r="AO2360" t="n">
        <v>0</v>
      </c>
      <c r="AP2360" t="inlineStr">
        <is>
          <t>No</t>
        </is>
      </c>
      <c r="AQ2360" t="inlineStr">
        <is>
          <t>Yes</t>
        </is>
      </c>
      <c r="AR2360">
        <f>HYPERLINK("http://catalog.hathitrust.org/Record/001606503","HathiTrust Record")</f>
        <v/>
      </c>
      <c r="AS2360">
        <f>HYPERLINK("https://creighton-primo.hosted.exlibrisgroup.com/primo-explore/search?tab=default_tab&amp;search_scope=EVERYTHING&amp;vid=01CRU&amp;lang=en_US&amp;offset=0&amp;query=any,contains,991003154969702656","Catalog Record")</f>
        <v/>
      </c>
      <c r="AT2360">
        <f>HYPERLINK("http://www.worldcat.org/oclc/693940","WorldCat Record")</f>
        <v/>
      </c>
      <c r="AU2360" t="inlineStr">
        <is>
          <t>292116036:eng</t>
        </is>
      </c>
      <c r="AV2360" t="inlineStr">
        <is>
          <t>693940</t>
        </is>
      </c>
      <c r="AW2360" t="inlineStr">
        <is>
          <t>991003154969702656</t>
        </is>
      </c>
      <c r="AX2360" t="inlineStr">
        <is>
          <t>991003154969702656</t>
        </is>
      </c>
      <c r="AY2360" t="inlineStr">
        <is>
          <t>2266624190002656</t>
        </is>
      </c>
      <c r="AZ2360" t="inlineStr">
        <is>
          <t>BOOK</t>
        </is>
      </c>
      <c r="BB2360" t="inlineStr">
        <is>
          <t>9780394489032</t>
        </is>
      </c>
      <c r="BC2360" t="inlineStr">
        <is>
          <t>32285001913523</t>
        </is>
      </c>
      <c r="BD2360" t="inlineStr">
        <is>
          <t>893899675</t>
        </is>
      </c>
    </row>
    <row r="2361">
      <c r="A2361" t="inlineStr">
        <is>
          <t>No</t>
        </is>
      </c>
      <c r="B2361" t="inlineStr">
        <is>
          <t>DS806 .B6</t>
        </is>
      </c>
      <c r="C2361" t="inlineStr">
        <is>
          <t>0                      DS 0806000B  6</t>
        </is>
      </c>
      <c r="D2361" t="inlineStr">
        <is>
          <t>Japan.</t>
        </is>
      </c>
      <c r="F2361" t="inlineStr">
        <is>
          <t>No</t>
        </is>
      </c>
      <c r="G2361" t="inlineStr">
        <is>
          <t>1</t>
        </is>
      </c>
      <c r="H2361" t="inlineStr">
        <is>
          <t>No</t>
        </is>
      </c>
      <c r="I2361" t="inlineStr">
        <is>
          <t>No</t>
        </is>
      </c>
      <c r="J2361" t="inlineStr">
        <is>
          <t>0</t>
        </is>
      </c>
      <c r="K2361" t="inlineStr">
        <is>
          <t>Borton, Hugh, 1903-1995 editor.</t>
        </is>
      </c>
      <c r="L2361" t="inlineStr">
        <is>
          <t>Ithaca : Cornell University Press, [1951, c1950]</t>
        </is>
      </c>
      <c r="M2361" t="inlineStr">
        <is>
          <t>1951</t>
        </is>
      </c>
      <c r="O2361" t="inlineStr">
        <is>
          <t>eng</t>
        </is>
      </c>
      <c r="P2361" t="inlineStr">
        <is>
          <t>nyu</t>
        </is>
      </c>
      <c r="R2361" t="inlineStr">
        <is>
          <t xml:space="preserve">DS </t>
        </is>
      </c>
      <c r="S2361" t="n">
        <v>2</v>
      </c>
      <c r="T2361" t="n">
        <v>2</v>
      </c>
      <c r="U2361" t="inlineStr">
        <is>
          <t>1995-11-08</t>
        </is>
      </c>
      <c r="V2361" t="inlineStr">
        <is>
          <t>1995-11-08</t>
        </is>
      </c>
      <c r="W2361" t="inlineStr">
        <is>
          <t>1994-12-16</t>
        </is>
      </c>
      <c r="X2361" t="inlineStr">
        <is>
          <t>1994-12-16</t>
        </is>
      </c>
      <c r="Y2361" t="n">
        <v>392</v>
      </c>
      <c r="Z2361" t="n">
        <v>346</v>
      </c>
      <c r="AA2361" t="n">
        <v>352</v>
      </c>
      <c r="AB2361" t="n">
        <v>4</v>
      </c>
      <c r="AC2361" t="n">
        <v>4</v>
      </c>
      <c r="AD2361" t="n">
        <v>17</v>
      </c>
      <c r="AE2361" t="n">
        <v>17</v>
      </c>
      <c r="AF2361" t="n">
        <v>7</v>
      </c>
      <c r="AG2361" t="n">
        <v>7</v>
      </c>
      <c r="AH2361" t="n">
        <v>4</v>
      </c>
      <c r="AI2361" t="n">
        <v>4</v>
      </c>
      <c r="AJ2361" t="n">
        <v>11</v>
      </c>
      <c r="AK2361" t="n">
        <v>11</v>
      </c>
      <c r="AL2361" t="n">
        <v>3</v>
      </c>
      <c r="AM2361" t="n">
        <v>3</v>
      </c>
      <c r="AN2361" t="n">
        <v>0</v>
      </c>
      <c r="AO2361" t="n">
        <v>0</v>
      </c>
      <c r="AP2361" t="inlineStr">
        <is>
          <t>No</t>
        </is>
      </c>
      <c r="AQ2361" t="inlineStr">
        <is>
          <t>No</t>
        </is>
      </c>
      <c r="AR2361">
        <f>HYPERLINK("http://catalog.hathitrust.org/Record/001259081","HathiTrust Record")</f>
        <v/>
      </c>
      <c r="AS2361">
        <f>HYPERLINK("https://creighton-primo.hosted.exlibrisgroup.com/primo-explore/search?tab=default_tab&amp;search_scope=EVERYTHING&amp;vid=01CRU&amp;lang=en_US&amp;offset=0&amp;query=any,contains,991003558339702656","Catalog Record")</f>
        <v/>
      </c>
      <c r="AT2361">
        <f>HYPERLINK("http://www.worldcat.org/oclc/1127491","WorldCat Record")</f>
        <v/>
      </c>
      <c r="AU2361" t="inlineStr">
        <is>
          <t>4536119540:eng</t>
        </is>
      </c>
      <c r="AV2361" t="inlineStr">
        <is>
          <t>1127491</t>
        </is>
      </c>
      <c r="AW2361" t="inlineStr">
        <is>
          <t>991003558339702656</t>
        </is>
      </c>
      <c r="AX2361" t="inlineStr">
        <is>
          <t>991003558339702656</t>
        </is>
      </c>
      <c r="AY2361" t="inlineStr">
        <is>
          <t>2267159050002656</t>
        </is>
      </c>
      <c r="AZ2361" t="inlineStr">
        <is>
          <t>BOOK</t>
        </is>
      </c>
      <c r="BC2361" t="inlineStr">
        <is>
          <t>32285001984045</t>
        </is>
      </c>
      <c r="BD2361" t="inlineStr">
        <is>
          <t>893246485</t>
        </is>
      </c>
    </row>
    <row r="2362">
      <c r="A2362" t="inlineStr">
        <is>
          <t>No</t>
        </is>
      </c>
      <c r="B2362" t="inlineStr">
        <is>
          <t>DS806 .B85</t>
        </is>
      </c>
      <c r="C2362" t="inlineStr">
        <is>
          <t>0                      DS 0806000B  85</t>
        </is>
      </c>
      <c r="D2362" t="inlineStr">
        <is>
          <t>Japan : profile of a postindustrial power / Ardath W. Burks.</t>
        </is>
      </c>
      <c r="F2362" t="inlineStr">
        <is>
          <t>No</t>
        </is>
      </c>
      <c r="G2362" t="inlineStr">
        <is>
          <t>1</t>
        </is>
      </c>
      <c r="H2362" t="inlineStr">
        <is>
          <t>No</t>
        </is>
      </c>
      <c r="I2362" t="inlineStr">
        <is>
          <t>No</t>
        </is>
      </c>
      <c r="J2362" t="inlineStr">
        <is>
          <t>0</t>
        </is>
      </c>
      <c r="K2362" t="inlineStr">
        <is>
          <t>Burks, Ardath W.</t>
        </is>
      </c>
      <c r="L2362" t="inlineStr">
        <is>
          <t>Boulder, Colo. : Westview Press, 1981.</t>
        </is>
      </c>
      <c r="M2362" t="inlineStr">
        <is>
          <t>1981</t>
        </is>
      </c>
      <c r="O2362" t="inlineStr">
        <is>
          <t>eng</t>
        </is>
      </c>
      <c r="P2362" t="inlineStr">
        <is>
          <t>cou</t>
        </is>
      </c>
      <c r="Q2362" t="inlineStr">
        <is>
          <t>Nations of contemporary Asia</t>
        </is>
      </c>
      <c r="R2362" t="inlineStr">
        <is>
          <t xml:space="preserve">DS </t>
        </is>
      </c>
      <c r="S2362" t="n">
        <v>2</v>
      </c>
      <c r="T2362" t="n">
        <v>2</v>
      </c>
      <c r="U2362" t="inlineStr">
        <is>
          <t>1994-12-11</t>
        </is>
      </c>
      <c r="V2362" t="inlineStr">
        <is>
          <t>1994-12-11</t>
        </is>
      </c>
      <c r="W2362" t="inlineStr">
        <is>
          <t>1990-10-23</t>
        </is>
      </c>
      <c r="X2362" t="inlineStr">
        <is>
          <t>1990-10-23</t>
        </is>
      </c>
      <c r="Y2362" t="n">
        <v>746</v>
      </c>
      <c r="Z2362" t="n">
        <v>621</v>
      </c>
      <c r="AA2362" t="n">
        <v>625</v>
      </c>
      <c r="AB2362" t="n">
        <v>6</v>
      </c>
      <c r="AC2362" t="n">
        <v>6</v>
      </c>
      <c r="AD2362" t="n">
        <v>24</v>
      </c>
      <c r="AE2362" t="n">
        <v>24</v>
      </c>
      <c r="AF2362" t="n">
        <v>8</v>
      </c>
      <c r="AG2362" t="n">
        <v>8</v>
      </c>
      <c r="AH2362" t="n">
        <v>5</v>
      </c>
      <c r="AI2362" t="n">
        <v>5</v>
      </c>
      <c r="AJ2362" t="n">
        <v>14</v>
      </c>
      <c r="AK2362" t="n">
        <v>14</v>
      </c>
      <c r="AL2362" t="n">
        <v>5</v>
      </c>
      <c r="AM2362" t="n">
        <v>5</v>
      </c>
      <c r="AN2362" t="n">
        <v>0</v>
      </c>
      <c r="AO2362" t="n">
        <v>0</v>
      </c>
      <c r="AP2362" t="inlineStr">
        <is>
          <t>No</t>
        </is>
      </c>
      <c r="AQ2362" t="inlineStr">
        <is>
          <t>Yes</t>
        </is>
      </c>
      <c r="AR2362">
        <f>HYPERLINK("http://catalog.hathitrust.org/Record/000129512","HathiTrust Record")</f>
        <v/>
      </c>
      <c r="AS2362">
        <f>HYPERLINK("https://creighton-primo.hosted.exlibrisgroup.com/primo-explore/search?tab=default_tab&amp;search_scope=EVERYTHING&amp;vid=01CRU&amp;lang=en_US&amp;offset=0&amp;query=any,contains,991004948529702656","Catalog Record")</f>
        <v/>
      </c>
      <c r="AT2362">
        <f>HYPERLINK("http://www.worldcat.org/oclc/6223369","WorldCat Record")</f>
        <v/>
      </c>
      <c r="AU2362" t="inlineStr">
        <is>
          <t>3071233:eng</t>
        </is>
      </c>
      <c r="AV2362" t="inlineStr">
        <is>
          <t>6223369</t>
        </is>
      </c>
      <c r="AW2362" t="inlineStr">
        <is>
          <t>991004948529702656</t>
        </is>
      </c>
      <c r="AX2362" t="inlineStr">
        <is>
          <t>991004948529702656</t>
        </is>
      </c>
      <c r="AY2362" t="inlineStr">
        <is>
          <t>2268494540002656</t>
        </is>
      </c>
      <c r="AZ2362" t="inlineStr">
        <is>
          <t>BOOK</t>
        </is>
      </c>
      <c r="BB2362" t="inlineStr">
        <is>
          <t>9780865310407</t>
        </is>
      </c>
      <c r="BC2362" t="inlineStr">
        <is>
          <t>32285000339522</t>
        </is>
      </c>
      <c r="BD2362" t="inlineStr">
        <is>
          <t>893436949</t>
        </is>
      </c>
    </row>
    <row r="2363">
      <c r="A2363" t="inlineStr">
        <is>
          <t>No</t>
        </is>
      </c>
      <c r="B2363" t="inlineStr">
        <is>
          <t>DS806 .I58 v..., pt...</t>
        </is>
      </c>
      <c r="C2363" t="inlineStr">
        <is>
          <t>0                      DS 0806000I  58                                                      v..., pt...</t>
        </is>
      </c>
      <c r="D2363" t="inlineStr">
        <is>
          <t>An Introductory bibliography for Japanese studies.</t>
        </is>
      </c>
      <c r="E2363" t="inlineStr">
        <is>
          <t>V.1 PT.2</t>
        </is>
      </c>
      <c r="F2363" t="inlineStr">
        <is>
          <t>No</t>
        </is>
      </c>
      <c r="G2363" t="inlineStr">
        <is>
          <t>1</t>
        </is>
      </c>
      <c r="H2363" t="inlineStr">
        <is>
          <t>No</t>
        </is>
      </c>
      <c r="I2363" t="inlineStr">
        <is>
          <t>No</t>
        </is>
      </c>
      <c r="J2363" t="inlineStr">
        <is>
          <t>0</t>
        </is>
      </c>
      <c r="L2363" t="inlineStr">
        <is>
          <t>Tokyo : University of Tokyo Press ; Portland, Or. : distributed by International Scholarly Book Services, inc., 1974-</t>
        </is>
      </c>
      <c r="M2363" t="inlineStr">
        <is>
          <t>1974</t>
        </is>
      </c>
      <c r="O2363" t="inlineStr">
        <is>
          <t>eng</t>
        </is>
      </c>
      <c r="P2363" t="inlineStr">
        <is>
          <t xml:space="preserve">ja </t>
        </is>
      </c>
      <c r="R2363" t="inlineStr">
        <is>
          <t xml:space="preserve">DS </t>
        </is>
      </c>
      <c r="S2363" t="n">
        <v>1</v>
      </c>
      <c r="T2363" t="n">
        <v>1</v>
      </c>
      <c r="U2363" t="inlineStr">
        <is>
          <t>1994-11-27</t>
        </is>
      </c>
      <c r="V2363" t="inlineStr">
        <is>
          <t>1994-11-27</t>
        </is>
      </c>
      <c r="W2363" t="inlineStr">
        <is>
          <t>1990-10-23</t>
        </is>
      </c>
      <c r="X2363" t="inlineStr">
        <is>
          <t>1990-10-23</t>
        </is>
      </c>
      <c r="Y2363" t="n">
        <v>189</v>
      </c>
      <c r="Z2363" t="n">
        <v>135</v>
      </c>
      <c r="AA2363" t="n">
        <v>137</v>
      </c>
      <c r="AB2363" t="n">
        <v>2</v>
      </c>
      <c r="AC2363" t="n">
        <v>2</v>
      </c>
      <c r="AD2363" t="n">
        <v>6</v>
      </c>
      <c r="AE2363" t="n">
        <v>6</v>
      </c>
      <c r="AF2363" t="n">
        <v>1</v>
      </c>
      <c r="AG2363" t="n">
        <v>1</v>
      </c>
      <c r="AH2363" t="n">
        <v>2</v>
      </c>
      <c r="AI2363" t="n">
        <v>2</v>
      </c>
      <c r="AJ2363" t="n">
        <v>4</v>
      </c>
      <c r="AK2363" t="n">
        <v>4</v>
      </c>
      <c r="AL2363" t="n">
        <v>1</v>
      </c>
      <c r="AM2363" t="n">
        <v>1</v>
      </c>
      <c r="AN2363" t="n">
        <v>0</v>
      </c>
      <c r="AO2363" t="n">
        <v>0</v>
      </c>
      <c r="AP2363" t="inlineStr">
        <is>
          <t>No</t>
        </is>
      </c>
      <c r="AQ2363" t="inlineStr">
        <is>
          <t>Yes</t>
        </is>
      </c>
      <c r="AR2363">
        <f>HYPERLINK("http://catalog.hathitrust.org/Record/009053289","HathiTrust Record")</f>
        <v/>
      </c>
      <c r="AS2363">
        <f>HYPERLINK("https://creighton-primo.hosted.exlibrisgroup.com/primo-explore/search?tab=default_tab&amp;search_scope=EVERYTHING&amp;vid=01CRU&amp;lang=en_US&amp;offset=0&amp;query=any,contains,991003858909702656","Catalog Record")</f>
        <v/>
      </c>
      <c r="AT2363">
        <f>HYPERLINK("http://www.worldcat.org/oclc/44663262","WorldCat Record")</f>
        <v/>
      </c>
      <c r="AU2363" t="inlineStr">
        <is>
          <t>10792293731:eng</t>
        </is>
      </c>
      <c r="AV2363" t="inlineStr">
        <is>
          <t>44663262</t>
        </is>
      </c>
      <c r="AW2363" t="inlineStr">
        <is>
          <t>991003858909702656</t>
        </is>
      </c>
      <c r="AX2363" t="inlineStr">
        <is>
          <t>991003858909702656</t>
        </is>
      </c>
      <c r="AY2363" t="inlineStr">
        <is>
          <t>2266612610002656</t>
        </is>
      </c>
      <c r="AZ2363" t="inlineStr">
        <is>
          <t>BOOK</t>
        </is>
      </c>
      <c r="BC2363" t="inlineStr">
        <is>
          <t>32285000339530</t>
        </is>
      </c>
      <c r="BD2363" t="inlineStr">
        <is>
          <t>893900457</t>
        </is>
      </c>
    </row>
    <row r="2364">
      <c r="A2364" t="inlineStr">
        <is>
          <t>No</t>
        </is>
      </c>
      <c r="B2364" t="inlineStr">
        <is>
          <t>DS806 .J16</t>
        </is>
      </c>
      <c r="C2364" t="inlineStr">
        <is>
          <t>0                      DS 0806000J  16</t>
        </is>
      </c>
      <c r="D2364" t="inlineStr">
        <is>
          <t>Japan and its world : two centuries of change / Marius B. Jansen.</t>
        </is>
      </c>
      <c r="F2364" t="inlineStr">
        <is>
          <t>No</t>
        </is>
      </c>
      <c r="G2364" t="inlineStr">
        <is>
          <t>1</t>
        </is>
      </c>
      <c r="H2364" t="inlineStr">
        <is>
          <t>No</t>
        </is>
      </c>
      <c r="I2364" t="inlineStr">
        <is>
          <t>No</t>
        </is>
      </c>
      <c r="J2364" t="inlineStr">
        <is>
          <t>0</t>
        </is>
      </c>
      <c r="K2364" t="inlineStr">
        <is>
          <t>Jansen, Marius B.</t>
        </is>
      </c>
      <c r="L2364" t="inlineStr">
        <is>
          <t>Princeton, N.J. : Princeton University Press, c1980.</t>
        </is>
      </c>
      <c r="M2364" t="inlineStr">
        <is>
          <t>1980</t>
        </is>
      </c>
      <c r="O2364" t="inlineStr">
        <is>
          <t>eng</t>
        </is>
      </c>
      <c r="P2364" t="inlineStr">
        <is>
          <t>nju</t>
        </is>
      </c>
      <c r="Q2364" t="inlineStr">
        <is>
          <t>The Brown and Haley lectures ; 1975</t>
        </is>
      </c>
      <c r="R2364" t="inlineStr">
        <is>
          <t xml:space="preserve">DS </t>
        </is>
      </c>
      <c r="S2364" t="n">
        <v>8</v>
      </c>
      <c r="T2364" t="n">
        <v>8</v>
      </c>
      <c r="U2364" t="inlineStr">
        <is>
          <t>2005-12-03</t>
        </is>
      </c>
      <c r="V2364" t="inlineStr">
        <is>
          <t>2005-12-03</t>
        </is>
      </c>
      <c r="W2364" t="inlineStr">
        <is>
          <t>1990-10-23</t>
        </is>
      </c>
      <c r="X2364" t="inlineStr">
        <is>
          <t>1990-10-23</t>
        </is>
      </c>
      <c r="Y2364" t="n">
        <v>883</v>
      </c>
      <c r="Z2364" t="n">
        <v>713</v>
      </c>
      <c r="AA2364" t="n">
        <v>760</v>
      </c>
      <c r="AB2364" t="n">
        <v>5</v>
      </c>
      <c r="AC2364" t="n">
        <v>5</v>
      </c>
      <c r="AD2364" t="n">
        <v>29</v>
      </c>
      <c r="AE2364" t="n">
        <v>29</v>
      </c>
      <c r="AF2364" t="n">
        <v>10</v>
      </c>
      <c r="AG2364" t="n">
        <v>10</v>
      </c>
      <c r="AH2364" t="n">
        <v>8</v>
      </c>
      <c r="AI2364" t="n">
        <v>8</v>
      </c>
      <c r="AJ2364" t="n">
        <v>17</v>
      </c>
      <c r="AK2364" t="n">
        <v>17</v>
      </c>
      <c r="AL2364" t="n">
        <v>4</v>
      </c>
      <c r="AM2364" t="n">
        <v>4</v>
      </c>
      <c r="AN2364" t="n">
        <v>0</v>
      </c>
      <c r="AO2364" t="n">
        <v>0</v>
      </c>
      <c r="AP2364" t="inlineStr">
        <is>
          <t>No</t>
        </is>
      </c>
      <c r="AQ2364" t="inlineStr">
        <is>
          <t>No</t>
        </is>
      </c>
      <c r="AS2364">
        <f>HYPERLINK("https://creighton-primo.hosted.exlibrisgroup.com/primo-explore/search?tab=default_tab&amp;search_scope=EVERYTHING&amp;vid=01CRU&amp;lang=en_US&amp;offset=0&amp;query=any,contains,991005039419702656","Catalog Record")</f>
        <v/>
      </c>
      <c r="AT2364">
        <f>HYPERLINK("http://www.worldcat.org/oclc/6788082","WorldCat Record")</f>
        <v/>
      </c>
      <c r="AU2364" t="inlineStr">
        <is>
          <t>56700391:eng</t>
        </is>
      </c>
      <c r="AV2364" t="inlineStr">
        <is>
          <t>6788082</t>
        </is>
      </c>
      <c r="AW2364" t="inlineStr">
        <is>
          <t>991005039419702656</t>
        </is>
      </c>
      <c r="AX2364" t="inlineStr">
        <is>
          <t>991005039419702656</t>
        </is>
      </c>
      <c r="AY2364" t="inlineStr">
        <is>
          <t>2262001150002656</t>
        </is>
      </c>
      <c r="AZ2364" t="inlineStr">
        <is>
          <t>BOOK</t>
        </is>
      </c>
      <c r="BB2364" t="inlineStr">
        <is>
          <t>9780691053103</t>
        </is>
      </c>
      <c r="BC2364" t="inlineStr">
        <is>
          <t>32285000339548</t>
        </is>
      </c>
      <c r="BD2364" t="inlineStr">
        <is>
          <t>893782939</t>
        </is>
      </c>
    </row>
    <row r="2365">
      <c r="A2365" t="inlineStr">
        <is>
          <t>No</t>
        </is>
      </c>
      <c r="B2365" t="inlineStr">
        <is>
          <t>DS806 .K385 2005</t>
        </is>
      </c>
      <c r="C2365" t="inlineStr">
        <is>
          <t>0                      DS 0806000K  385         2005</t>
        </is>
      </c>
      <c r="D2365" t="inlineStr">
        <is>
          <t>Japan in the 21st century : environment, economy, and society = Nij*uisseiki no Nihon / Pradyumna P. Karan ; cartography by Dick Gilbreath.</t>
        </is>
      </c>
      <c r="F2365" t="inlineStr">
        <is>
          <t>No</t>
        </is>
      </c>
      <c r="G2365" t="inlineStr">
        <is>
          <t>1</t>
        </is>
      </c>
      <c r="H2365" t="inlineStr">
        <is>
          <t>No</t>
        </is>
      </c>
      <c r="I2365" t="inlineStr">
        <is>
          <t>No</t>
        </is>
      </c>
      <c r="J2365" t="inlineStr">
        <is>
          <t>0</t>
        </is>
      </c>
      <c r="K2365" t="inlineStr">
        <is>
          <t>Karan, Pradyumna P. (Pradyumna Prasad)</t>
        </is>
      </c>
      <c r="L2365" t="inlineStr">
        <is>
          <t>Lexington : University Press of Kentucky, 2005.</t>
        </is>
      </c>
      <c r="M2365" t="inlineStr">
        <is>
          <t>2005</t>
        </is>
      </c>
      <c r="O2365" t="inlineStr">
        <is>
          <t>eng</t>
        </is>
      </c>
      <c r="P2365" t="inlineStr">
        <is>
          <t>kyu</t>
        </is>
      </c>
      <c r="R2365" t="inlineStr">
        <is>
          <t xml:space="preserve">DS </t>
        </is>
      </c>
      <c r="S2365" t="n">
        <v>5</v>
      </c>
      <c r="T2365" t="n">
        <v>5</v>
      </c>
      <c r="U2365" t="inlineStr">
        <is>
          <t>2009-03-24</t>
        </is>
      </c>
      <c r="V2365" t="inlineStr">
        <is>
          <t>2009-03-24</t>
        </is>
      </c>
      <c r="W2365" t="inlineStr">
        <is>
          <t>2006-07-31</t>
        </is>
      </c>
      <c r="X2365" t="inlineStr">
        <is>
          <t>2006-07-31</t>
        </is>
      </c>
      <c r="Y2365" t="n">
        <v>787</v>
      </c>
      <c r="Z2365" t="n">
        <v>677</v>
      </c>
      <c r="AA2365" t="n">
        <v>1178</v>
      </c>
      <c r="AB2365" t="n">
        <v>3</v>
      </c>
      <c r="AC2365" t="n">
        <v>5</v>
      </c>
      <c r="AD2365" t="n">
        <v>29</v>
      </c>
      <c r="AE2365" t="n">
        <v>37</v>
      </c>
      <c r="AF2365" t="n">
        <v>15</v>
      </c>
      <c r="AG2365" t="n">
        <v>19</v>
      </c>
      <c r="AH2365" t="n">
        <v>7</v>
      </c>
      <c r="AI2365" t="n">
        <v>8</v>
      </c>
      <c r="AJ2365" t="n">
        <v>14</v>
      </c>
      <c r="AK2365" t="n">
        <v>17</v>
      </c>
      <c r="AL2365" t="n">
        <v>2</v>
      </c>
      <c r="AM2365" t="n">
        <v>4</v>
      </c>
      <c r="AN2365" t="n">
        <v>0</v>
      </c>
      <c r="AO2365" t="n">
        <v>0</v>
      </c>
      <c r="AP2365" t="inlineStr">
        <is>
          <t>No</t>
        </is>
      </c>
      <c r="AQ2365" t="inlineStr">
        <is>
          <t>Yes</t>
        </is>
      </c>
      <c r="AR2365">
        <f>HYPERLINK("http://catalog.hathitrust.org/Record/009928577","HathiTrust Record")</f>
        <v/>
      </c>
      <c r="AS2365">
        <f>HYPERLINK("https://creighton-primo.hosted.exlibrisgroup.com/primo-explore/search?tab=default_tab&amp;search_scope=EVERYTHING&amp;vid=01CRU&amp;lang=en_US&amp;offset=0&amp;query=any,contains,991004856849702656","Catalog Record")</f>
        <v/>
      </c>
      <c r="AT2365">
        <f>HYPERLINK("http://www.worldcat.org/oclc/56422090","WorldCat Record")</f>
        <v/>
      </c>
      <c r="AU2365" t="inlineStr">
        <is>
          <t>973337737:eng</t>
        </is>
      </c>
      <c r="AV2365" t="inlineStr">
        <is>
          <t>56422090</t>
        </is>
      </c>
      <c r="AW2365" t="inlineStr">
        <is>
          <t>991004856849702656</t>
        </is>
      </c>
      <c r="AX2365" t="inlineStr">
        <is>
          <t>991004856849702656</t>
        </is>
      </c>
      <c r="AY2365" t="inlineStr">
        <is>
          <t>2258860500002656</t>
        </is>
      </c>
      <c r="AZ2365" t="inlineStr">
        <is>
          <t>BOOK</t>
        </is>
      </c>
      <c r="BB2365" t="inlineStr">
        <is>
          <t>9780813123424</t>
        </is>
      </c>
      <c r="BC2365" t="inlineStr">
        <is>
          <t>32285005197917</t>
        </is>
      </c>
      <c r="BD2365" t="inlineStr">
        <is>
          <t>893536245</t>
        </is>
      </c>
    </row>
    <row r="2366">
      <c r="A2366" t="inlineStr">
        <is>
          <t>No</t>
        </is>
      </c>
      <c r="B2366" t="inlineStr">
        <is>
          <t>DS806 .P37 1982</t>
        </is>
      </c>
      <c r="C2366" t="inlineStr">
        <is>
          <t>0                      DS 0806000P  37          1982</t>
        </is>
      </c>
      <c r="D2366" t="inlineStr">
        <is>
          <t>Encounter with Japan / by Herbert Passin.</t>
        </is>
      </c>
      <c r="F2366" t="inlineStr">
        <is>
          <t>No</t>
        </is>
      </c>
      <c r="G2366" t="inlineStr">
        <is>
          <t>1</t>
        </is>
      </c>
      <c r="H2366" t="inlineStr">
        <is>
          <t>No</t>
        </is>
      </c>
      <c r="I2366" t="inlineStr">
        <is>
          <t>No</t>
        </is>
      </c>
      <c r="J2366" t="inlineStr">
        <is>
          <t>0</t>
        </is>
      </c>
      <c r="K2366" t="inlineStr">
        <is>
          <t>Passin, Herbert, 1916-2003.</t>
        </is>
      </c>
      <c r="L2366" t="inlineStr">
        <is>
          <t>Tokyo ; New York : Kodansha International Ltd., c1982.</t>
        </is>
      </c>
      <c r="M2366" t="inlineStr">
        <is>
          <t>1982</t>
        </is>
      </c>
      <c r="N2366" t="inlineStr">
        <is>
          <t>First ed.</t>
        </is>
      </c>
      <c r="O2366" t="inlineStr">
        <is>
          <t>eng</t>
        </is>
      </c>
      <c r="P2366" t="inlineStr">
        <is>
          <t xml:space="preserve">ja </t>
        </is>
      </c>
      <c r="R2366" t="inlineStr">
        <is>
          <t xml:space="preserve">DS </t>
        </is>
      </c>
      <c r="S2366" t="n">
        <v>4</v>
      </c>
      <c r="T2366" t="n">
        <v>4</v>
      </c>
      <c r="U2366" t="inlineStr">
        <is>
          <t>2005-03-02</t>
        </is>
      </c>
      <c r="V2366" t="inlineStr">
        <is>
          <t>2005-03-02</t>
        </is>
      </c>
      <c r="W2366" t="inlineStr">
        <is>
          <t>1990-10-23</t>
        </is>
      </c>
      <c r="X2366" t="inlineStr">
        <is>
          <t>1990-10-23</t>
        </is>
      </c>
      <c r="Y2366" t="n">
        <v>278</v>
      </c>
      <c r="Z2366" t="n">
        <v>222</v>
      </c>
      <c r="AA2366" t="n">
        <v>224</v>
      </c>
      <c r="AB2366" t="n">
        <v>2</v>
      </c>
      <c r="AC2366" t="n">
        <v>2</v>
      </c>
      <c r="AD2366" t="n">
        <v>9</v>
      </c>
      <c r="AE2366" t="n">
        <v>9</v>
      </c>
      <c r="AF2366" t="n">
        <v>3</v>
      </c>
      <c r="AG2366" t="n">
        <v>3</v>
      </c>
      <c r="AH2366" t="n">
        <v>3</v>
      </c>
      <c r="AI2366" t="n">
        <v>3</v>
      </c>
      <c r="AJ2366" t="n">
        <v>4</v>
      </c>
      <c r="AK2366" t="n">
        <v>4</v>
      </c>
      <c r="AL2366" t="n">
        <v>1</v>
      </c>
      <c r="AM2366" t="n">
        <v>1</v>
      </c>
      <c r="AN2366" t="n">
        <v>0</v>
      </c>
      <c r="AO2366" t="n">
        <v>0</v>
      </c>
      <c r="AP2366" t="inlineStr">
        <is>
          <t>No</t>
        </is>
      </c>
      <c r="AQ2366" t="inlineStr">
        <is>
          <t>Yes</t>
        </is>
      </c>
      <c r="AR2366">
        <f>HYPERLINK("http://catalog.hathitrust.org/Record/000574034","HathiTrust Record")</f>
        <v/>
      </c>
      <c r="AS2366">
        <f>HYPERLINK("https://creighton-primo.hosted.exlibrisgroup.com/primo-explore/search?tab=default_tab&amp;search_scope=EVERYTHING&amp;vid=01CRU&amp;lang=en_US&amp;offset=0&amp;query=any,contains,991000189589702656","Catalog Record")</f>
        <v/>
      </c>
      <c r="AT2366">
        <f>HYPERLINK("http://www.worldcat.org/oclc/9410629","WorldCat Record")</f>
        <v/>
      </c>
      <c r="AU2366" t="inlineStr">
        <is>
          <t>29918329:eng</t>
        </is>
      </c>
      <c r="AV2366" t="inlineStr">
        <is>
          <t>9410629</t>
        </is>
      </c>
      <c r="AW2366" t="inlineStr">
        <is>
          <t>991000189589702656</t>
        </is>
      </c>
      <c r="AX2366" t="inlineStr">
        <is>
          <t>991000189589702656</t>
        </is>
      </c>
      <c r="AY2366" t="inlineStr">
        <is>
          <t>2260581790002656</t>
        </is>
      </c>
      <c r="AZ2366" t="inlineStr">
        <is>
          <t>BOOK</t>
        </is>
      </c>
      <c r="BB2366" t="inlineStr">
        <is>
          <t>9780870115455</t>
        </is>
      </c>
      <c r="BC2366" t="inlineStr">
        <is>
          <t>32285000339555</t>
        </is>
      </c>
      <c r="BD2366" t="inlineStr">
        <is>
          <t>893496019</t>
        </is>
      </c>
    </row>
    <row r="2367">
      <c r="A2367" t="inlineStr">
        <is>
          <t>No</t>
        </is>
      </c>
      <c r="B2367" t="inlineStr">
        <is>
          <t>DS806 .R35</t>
        </is>
      </c>
      <c r="C2367" t="inlineStr">
        <is>
          <t>0                      DS 0806000R  35</t>
        </is>
      </c>
      <c r="D2367" t="inlineStr">
        <is>
          <t>The Japanese / Edwin O. Reischauer. --</t>
        </is>
      </c>
      <c r="F2367" t="inlineStr">
        <is>
          <t>No</t>
        </is>
      </c>
      <c r="G2367" t="inlineStr">
        <is>
          <t>1</t>
        </is>
      </c>
      <c r="H2367" t="inlineStr">
        <is>
          <t>No</t>
        </is>
      </c>
      <c r="I2367" t="inlineStr">
        <is>
          <t>No</t>
        </is>
      </c>
      <c r="J2367" t="inlineStr">
        <is>
          <t>0</t>
        </is>
      </c>
      <c r="K2367" t="inlineStr">
        <is>
          <t>Reischauer, Edwin O. (Edwin Oldfather), 1910-1990.</t>
        </is>
      </c>
      <c r="L2367" t="inlineStr">
        <is>
          <t>Cambridge, Mass. : Belknap Press, 1977.</t>
        </is>
      </c>
      <c r="M2367" t="inlineStr">
        <is>
          <t>1977</t>
        </is>
      </c>
      <c r="O2367" t="inlineStr">
        <is>
          <t>eng</t>
        </is>
      </c>
      <c r="P2367" t="inlineStr">
        <is>
          <t>mau</t>
        </is>
      </c>
      <c r="R2367" t="inlineStr">
        <is>
          <t xml:space="preserve">DS </t>
        </is>
      </c>
      <c r="S2367" t="n">
        <v>10</v>
      </c>
      <c r="T2367" t="n">
        <v>10</v>
      </c>
      <c r="U2367" t="inlineStr">
        <is>
          <t>1995-11-08</t>
        </is>
      </c>
      <c r="V2367" t="inlineStr">
        <is>
          <t>1995-11-08</t>
        </is>
      </c>
      <c r="W2367" t="inlineStr">
        <is>
          <t>1990-03-28</t>
        </is>
      </c>
      <c r="X2367" t="inlineStr">
        <is>
          <t>1990-03-28</t>
        </is>
      </c>
      <c r="Y2367" t="n">
        <v>1821</v>
      </c>
      <c r="Z2367" t="n">
        <v>1620</v>
      </c>
      <c r="AA2367" t="n">
        <v>1786</v>
      </c>
      <c r="AB2367" t="n">
        <v>17</v>
      </c>
      <c r="AC2367" t="n">
        <v>17</v>
      </c>
      <c r="AD2367" t="n">
        <v>50</v>
      </c>
      <c r="AE2367" t="n">
        <v>55</v>
      </c>
      <c r="AF2367" t="n">
        <v>19</v>
      </c>
      <c r="AG2367" t="n">
        <v>23</v>
      </c>
      <c r="AH2367" t="n">
        <v>9</v>
      </c>
      <c r="AI2367" t="n">
        <v>9</v>
      </c>
      <c r="AJ2367" t="n">
        <v>22</v>
      </c>
      <c r="AK2367" t="n">
        <v>24</v>
      </c>
      <c r="AL2367" t="n">
        <v>11</v>
      </c>
      <c r="AM2367" t="n">
        <v>11</v>
      </c>
      <c r="AN2367" t="n">
        <v>0</v>
      </c>
      <c r="AO2367" t="n">
        <v>1</v>
      </c>
      <c r="AP2367" t="inlineStr">
        <is>
          <t>No</t>
        </is>
      </c>
      <c r="AQ2367" t="inlineStr">
        <is>
          <t>Yes</t>
        </is>
      </c>
      <c r="AR2367">
        <f>HYPERLINK("http://catalog.hathitrust.org/Record/000169653","HathiTrust Record")</f>
        <v/>
      </c>
      <c r="AS2367">
        <f>HYPERLINK("https://creighton-primo.hosted.exlibrisgroup.com/primo-explore/search?tab=default_tab&amp;search_scope=EVERYTHING&amp;vid=01CRU&amp;lang=en_US&amp;offset=0&amp;query=any,contains,991004201739702656","Catalog Record")</f>
        <v/>
      </c>
      <c r="AT2367">
        <f>HYPERLINK("http://www.worldcat.org/oclc/2655444","WorldCat Record")</f>
        <v/>
      </c>
      <c r="AU2367" t="inlineStr">
        <is>
          <t>54618877:eng</t>
        </is>
      </c>
      <c r="AV2367" t="inlineStr">
        <is>
          <t>2655444</t>
        </is>
      </c>
      <c r="AW2367" t="inlineStr">
        <is>
          <t>991004201739702656</t>
        </is>
      </c>
      <c r="AX2367" t="inlineStr">
        <is>
          <t>991004201739702656</t>
        </is>
      </c>
      <c r="AY2367" t="inlineStr">
        <is>
          <t>2256415140002656</t>
        </is>
      </c>
      <c r="AZ2367" t="inlineStr">
        <is>
          <t>BOOK</t>
        </is>
      </c>
      <c r="BB2367" t="inlineStr">
        <is>
          <t>9780674471764</t>
        </is>
      </c>
      <c r="BC2367" t="inlineStr">
        <is>
          <t>32285000094333</t>
        </is>
      </c>
      <c r="BD2367" t="inlineStr">
        <is>
          <t>893411244</t>
        </is>
      </c>
    </row>
    <row r="2368">
      <c r="A2368" t="inlineStr">
        <is>
          <t>No</t>
        </is>
      </c>
      <c r="B2368" t="inlineStr">
        <is>
          <t>DS806 .R65 2001</t>
        </is>
      </c>
      <c r="C2368" t="inlineStr">
        <is>
          <t>0                      DS 0806000R  65          2001</t>
        </is>
      </c>
      <c r="D2368" t="inlineStr">
        <is>
          <t>A collector's guide to books on Japan in English : a select list of over 2500 titles / compiled and annotated by Joseph Rogala.</t>
        </is>
      </c>
      <c r="F2368" t="inlineStr">
        <is>
          <t>No</t>
        </is>
      </c>
      <c r="G2368" t="inlineStr">
        <is>
          <t>1</t>
        </is>
      </c>
      <c r="H2368" t="inlineStr">
        <is>
          <t>No</t>
        </is>
      </c>
      <c r="I2368" t="inlineStr">
        <is>
          <t>No</t>
        </is>
      </c>
      <c r="J2368" t="inlineStr">
        <is>
          <t>0</t>
        </is>
      </c>
      <c r="K2368" t="inlineStr">
        <is>
          <t>Rogala, Jozef.</t>
        </is>
      </c>
      <c r="L2368" t="inlineStr">
        <is>
          <t>Richmond, Surrey : Japan Library, 2001.</t>
        </is>
      </c>
      <c r="M2368" t="inlineStr">
        <is>
          <t>2001</t>
        </is>
      </c>
      <c r="O2368" t="inlineStr">
        <is>
          <t>eng</t>
        </is>
      </c>
      <c r="P2368" t="inlineStr">
        <is>
          <t>enk</t>
        </is>
      </c>
      <c r="R2368" t="inlineStr">
        <is>
          <t xml:space="preserve">DS </t>
        </is>
      </c>
      <c r="S2368" t="n">
        <v>2</v>
      </c>
      <c r="T2368" t="n">
        <v>2</v>
      </c>
      <c r="U2368" t="inlineStr">
        <is>
          <t>2001-05-16</t>
        </is>
      </c>
      <c r="V2368" t="inlineStr">
        <is>
          <t>2001-05-16</t>
        </is>
      </c>
      <c r="W2368" t="inlineStr">
        <is>
          <t>2001-04-19</t>
        </is>
      </c>
      <c r="X2368" t="inlineStr">
        <is>
          <t>2001-04-19</t>
        </is>
      </c>
      <c r="Y2368" t="n">
        <v>131</v>
      </c>
      <c r="Z2368" t="n">
        <v>91</v>
      </c>
      <c r="AA2368" t="n">
        <v>113</v>
      </c>
      <c r="AB2368" t="n">
        <v>2</v>
      </c>
      <c r="AC2368" t="n">
        <v>2</v>
      </c>
      <c r="AD2368" t="n">
        <v>2</v>
      </c>
      <c r="AE2368" t="n">
        <v>2</v>
      </c>
      <c r="AF2368" t="n">
        <v>0</v>
      </c>
      <c r="AG2368" t="n">
        <v>0</v>
      </c>
      <c r="AH2368" t="n">
        <v>0</v>
      </c>
      <c r="AI2368" t="n">
        <v>0</v>
      </c>
      <c r="AJ2368" t="n">
        <v>1</v>
      </c>
      <c r="AK2368" t="n">
        <v>1</v>
      </c>
      <c r="AL2368" t="n">
        <v>1</v>
      </c>
      <c r="AM2368" t="n">
        <v>1</v>
      </c>
      <c r="AN2368" t="n">
        <v>0</v>
      </c>
      <c r="AO2368" t="n">
        <v>0</v>
      </c>
      <c r="AP2368" t="inlineStr">
        <is>
          <t>No</t>
        </is>
      </c>
      <c r="AQ2368" t="inlineStr">
        <is>
          <t>No</t>
        </is>
      </c>
      <c r="AS2368">
        <f>HYPERLINK("https://creighton-primo.hosted.exlibrisgroup.com/primo-explore/search?tab=default_tab&amp;search_scope=EVERYTHING&amp;vid=01CRU&amp;lang=en_US&amp;offset=0&amp;query=any,contains,991003453389702656","Catalog Record")</f>
        <v/>
      </c>
      <c r="AT2368">
        <f>HYPERLINK("http://www.worldcat.org/oclc/42579480","WorldCat Record")</f>
        <v/>
      </c>
      <c r="AU2368" t="inlineStr">
        <is>
          <t>795241491:eng</t>
        </is>
      </c>
      <c r="AV2368" t="inlineStr">
        <is>
          <t>42579480</t>
        </is>
      </c>
      <c r="AW2368" t="inlineStr">
        <is>
          <t>991003453389702656</t>
        </is>
      </c>
      <c r="AX2368" t="inlineStr">
        <is>
          <t>991003453389702656</t>
        </is>
      </c>
      <c r="AY2368" t="inlineStr">
        <is>
          <t>2263918340002656</t>
        </is>
      </c>
      <c r="AZ2368" t="inlineStr">
        <is>
          <t>BOOK</t>
        </is>
      </c>
      <c r="BB2368" t="inlineStr">
        <is>
          <t>9781873410905</t>
        </is>
      </c>
      <c r="BC2368" t="inlineStr">
        <is>
          <t>32285004309075</t>
        </is>
      </c>
      <c r="BD2368" t="inlineStr">
        <is>
          <t>893342561</t>
        </is>
      </c>
    </row>
    <row r="2369">
      <c r="A2369" t="inlineStr">
        <is>
          <t>No</t>
        </is>
      </c>
      <c r="B2369" t="inlineStr">
        <is>
          <t>DS806 .S4</t>
        </is>
      </c>
      <c r="C2369" t="inlineStr">
        <is>
          <t>0                      DS 0806000S  4</t>
        </is>
      </c>
      <c r="D2369" t="inlineStr">
        <is>
          <t>Japan / by Edward Seidensticker and the editors of Life.</t>
        </is>
      </c>
      <c r="F2369" t="inlineStr">
        <is>
          <t>No</t>
        </is>
      </c>
      <c r="G2369" t="inlineStr">
        <is>
          <t>1</t>
        </is>
      </c>
      <c r="H2369" t="inlineStr">
        <is>
          <t>No</t>
        </is>
      </c>
      <c r="I2369" t="inlineStr">
        <is>
          <t>No</t>
        </is>
      </c>
      <c r="J2369" t="inlineStr">
        <is>
          <t>0</t>
        </is>
      </c>
      <c r="K2369" t="inlineStr">
        <is>
          <t>Seidensticker, Edward, 1921-2007.</t>
        </is>
      </c>
      <c r="L2369" t="inlineStr">
        <is>
          <t>New York : Time, inc., 1961.</t>
        </is>
      </c>
      <c r="M2369" t="inlineStr">
        <is>
          <t>1961</t>
        </is>
      </c>
      <c r="O2369" t="inlineStr">
        <is>
          <t>eng</t>
        </is>
      </c>
      <c r="P2369" t="inlineStr">
        <is>
          <t>nyu</t>
        </is>
      </c>
      <c r="Q2369" t="inlineStr">
        <is>
          <t>Life world library</t>
        </is>
      </c>
      <c r="R2369" t="inlineStr">
        <is>
          <t xml:space="preserve">DS </t>
        </is>
      </c>
      <c r="S2369" t="n">
        <v>7</v>
      </c>
      <c r="T2369" t="n">
        <v>7</v>
      </c>
      <c r="U2369" t="inlineStr">
        <is>
          <t>1994-07-07</t>
        </is>
      </c>
      <c r="V2369" t="inlineStr">
        <is>
          <t>1994-07-07</t>
        </is>
      </c>
      <c r="W2369" t="inlineStr">
        <is>
          <t>1993-05-04</t>
        </is>
      </c>
      <c r="X2369" t="inlineStr">
        <is>
          <t>1993-05-04</t>
        </is>
      </c>
      <c r="Y2369" t="n">
        <v>946</v>
      </c>
      <c r="Z2369" t="n">
        <v>917</v>
      </c>
      <c r="AA2369" t="n">
        <v>1233</v>
      </c>
      <c r="AB2369" t="n">
        <v>6</v>
      </c>
      <c r="AC2369" t="n">
        <v>8</v>
      </c>
      <c r="AD2369" t="n">
        <v>17</v>
      </c>
      <c r="AE2369" t="n">
        <v>28</v>
      </c>
      <c r="AF2369" t="n">
        <v>7</v>
      </c>
      <c r="AG2369" t="n">
        <v>14</v>
      </c>
      <c r="AH2369" t="n">
        <v>2</v>
      </c>
      <c r="AI2369" t="n">
        <v>5</v>
      </c>
      <c r="AJ2369" t="n">
        <v>10</v>
      </c>
      <c r="AK2369" t="n">
        <v>14</v>
      </c>
      <c r="AL2369" t="n">
        <v>4</v>
      </c>
      <c r="AM2369" t="n">
        <v>4</v>
      </c>
      <c r="AN2369" t="n">
        <v>0</v>
      </c>
      <c r="AO2369" t="n">
        <v>0</v>
      </c>
      <c r="AP2369" t="inlineStr">
        <is>
          <t>No</t>
        </is>
      </c>
      <c r="AQ2369" t="inlineStr">
        <is>
          <t>Yes</t>
        </is>
      </c>
      <c r="AR2369">
        <f>HYPERLINK("http://catalog.hathitrust.org/Record/001259094","HathiTrust Record")</f>
        <v/>
      </c>
      <c r="AS2369">
        <f>HYPERLINK("https://creighton-primo.hosted.exlibrisgroup.com/primo-explore/search?tab=default_tab&amp;search_scope=EVERYTHING&amp;vid=01CRU&amp;lang=en_US&amp;offset=0&amp;query=any,contains,991003213699702656","Catalog Record")</f>
        <v/>
      </c>
      <c r="AT2369">
        <f>HYPERLINK("http://www.worldcat.org/oclc/740096","WorldCat Record")</f>
        <v/>
      </c>
      <c r="AU2369" t="inlineStr">
        <is>
          <t>112856641:eng</t>
        </is>
      </c>
      <c r="AV2369" t="inlineStr">
        <is>
          <t>740096</t>
        </is>
      </c>
      <c r="AW2369" t="inlineStr">
        <is>
          <t>991003213699702656</t>
        </is>
      </c>
      <c r="AX2369" t="inlineStr">
        <is>
          <t>991003213699702656</t>
        </is>
      </c>
      <c r="AY2369" t="inlineStr">
        <is>
          <t>2272503750002656</t>
        </is>
      </c>
      <c r="AZ2369" t="inlineStr">
        <is>
          <t>BOOK</t>
        </is>
      </c>
      <c r="BC2369" t="inlineStr">
        <is>
          <t>32285001633139</t>
        </is>
      </c>
      <c r="BD2369" t="inlineStr">
        <is>
          <t>893623258</t>
        </is>
      </c>
    </row>
    <row r="2370">
      <c r="A2370" t="inlineStr">
        <is>
          <t>No</t>
        </is>
      </c>
      <c r="B2370" t="inlineStr">
        <is>
          <t>DS806 .T298 1988</t>
        </is>
      </c>
      <c r="C2370" t="inlineStr">
        <is>
          <t>0                      DS 0806000T  298         1988</t>
        </is>
      </c>
      <c r="D2370" t="inlineStr">
        <is>
          <t>The Japanese : a major exploration of modern Japan / Peter Tasker.</t>
        </is>
      </c>
      <c r="F2370" t="inlineStr">
        <is>
          <t>No</t>
        </is>
      </c>
      <c r="G2370" t="inlineStr">
        <is>
          <t>1</t>
        </is>
      </c>
      <c r="H2370" t="inlineStr">
        <is>
          <t>No</t>
        </is>
      </c>
      <c r="I2370" t="inlineStr">
        <is>
          <t>No</t>
        </is>
      </c>
      <c r="J2370" t="inlineStr">
        <is>
          <t>0</t>
        </is>
      </c>
      <c r="K2370" t="inlineStr">
        <is>
          <t>Tasker, Peter.</t>
        </is>
      </c>
      <c r="L2370" t="inlineStr">
        <is>
          <t>New York : Dutton, 1988, c1987.</t>
        </is>
      </c>
      <c r="M2370" t="inlineStr">
        <is>
          <t>1988</t>
        </is>
      </c>
      <c r="N2370" t="inlineStr">
        <is>
          <t>1st American ed.</t>
        </is>
      </c>
      <c r="O2370" t="inlineStr">
        <is>
          <t>eng</t>
        </is>
      </c>
      <c r="P2370" t="inlineStr">
        <is>
          <t>nyu</t>
        </is>
      </c>
      <c r="R2370" t="inlineStr">
        <is>
          <t xml:space="preserve">DS </t>
        </is>
      </c>
      <c r="S2370" t="n">
        <v>6</v>
      </c>
      <c r="T2370" t="n">
        <v>6</v>
      </c>
      <c r="U2370" t="inlineStr">
        <is>
          <t>1996-04-22</t>
        </is>
      </c>
      <c r="V2370" t="inlineStr">
        <is>
          <t>1996-04-22</t>
        </is>
      </c>
      <c r="W2370" t="inlineStr">
        <is>
          <t>1990-10-23</t>
        </is>
      </c>
      <c r="X2370" t="inlineStr">
        <is>
          <t>1990-10-23</t>
        </is>
      </c>
      <c r="Y2370" t="n">
        <v>668</v>
      </c>
      <c r="Z2370" t="n">
        <v>615</v>
      </c>
      <c r="AA2370" t="n">
        <v>631</v>
      </c>
      <c r="AB2370" t="n">
        <v>5</v>
      </c>
      <c r="AC2370" t="n">
        <v>5</v>
      </c>
      <c r="AD2370" t="n">
        <v>20</v>
      </c>
      <c r="AE2370" t="n">
        <v>22</v>
      </c>
      <c r="AF2370" t="n">
        <v>11</v>
      </c>
      <c r="AG2370" t="n">
        <v>12</v>
      </c>
      <c r="AH2370" t="n">
        <v>2</v>
      </c>
      <c r="AI2370" t="n">
        <v>3</v>
      </c>
      <c r="AJ2370" t="n">
        <v>11</v>
      </c>
      <c r="AK2370" t="n">
        <v>11</v>
      </c>
      <c r="AL2370" t="n">
        <v>3</v>
      </c>
      <c r="AM2370" t="n">
        <v>3</v>
      </c>
      <c r="AN2370" t="n">
        <v>0</v>
      </c>
      <c r="AO2370" t="n">
        <v>0</v>
      </c>
      <c r="AP2370" t="inlineStr">
        <is>
          <t>No</t>
        </is>
      </c>
      <c r="AQ2370" t="inlineStr">
        <is>
          <t>Yes</t>
        </is>
      </c>
      <c r="AR2370">
        <f>HYPERLINK("http://catalog.hathitrust.org/Record/007167369","HathiTrust Record")</f>
        <v/>
      </c>
      <c r="AS2370">
        <f>HYPERLINK("https://creighton-primo.hosted.exlibrisgroup.com/primo-explore/search?tab=default_tab&amp;search_scope=EVERYTHING&amp;vid=01CRU&amp;lang=en_US&amp;offset=0&amp;query=any,contains,991001165929702656","Catalog Record")</f>
        <v/>
      </c>
      <c r="AT2370">
        <f>HYPERLINK("http://www.worldcat.org/oclc/16923391","WorldCat Record")</f>
        <v/>
      </c>
      <c r="AU2370" t="inlineStr">
        <is>
          <t>689278578:eng</t>
        </is>
      </c>
      <c r="AV2370" t="inlineStr">
        <is>
          <t>16923391</t>
        </is>
      </c>
      <c r="AW2370" t="inlineStr">
        <is>
          <t>991001165929702656</t>
        </is>
      </c>
      <c r="AX2370" t="inlineStr">
        <is>
          <t>991001165929702656</t>
        </is>
      </c>
      <c r="AY2370" t="inlineStr">
        <is>
          <t>2269677700002656</t>
        </is>
      </c>
      <c r="AZ2370" t="inlineStr">
        <is>
          <t>BOOK</t>
        </is>
      </c>
      <c r="BB2370" t="inlineStr">
        <is>
          <t>9780525246756</t>
        </is>
      </c>
      <c r="BC2370" t="inlineStr">
        <is>
          <t>32285000339563</t>
        </is>
      </c>
      <c r="BD2370" t="inlineStr">
        <is>
          <t>893696518</t>
        </is>
      </c>
    </row>
    <row r="2371">
      <c r="A2371" t="inlineStr">
        <is>
          <t>No</t>
        </is>
      </c>
      <c r="B2371" t="inlineStr">
        <is>
          <t>DS806.3 .S35</t>
        </is>
      </c>
      <c r="C2371" t="inlineStr">
        <is>
          <t>0                      DS 0806300S  35</t>
        </is>
      </c>
      <c r="D2371" t="inlineStr">
        <is>
          <t>Castles in Japan / by Morton S. Schmorleitz.</t>
        </is>
      </c>
      <c r="F2371" t="inlineStr">
        <is>
          <t>No</t>
        </is>
      </c>
      <c r="G2371" t="inlineStr">
        <is>
          <t>1</t>
        </is>
      </c>
      <c r="H2371" t="inlineStr">
        <is>
          <t>No</t>
        </is>
      </c>
      <c r="I2371" t="inlineStr">
        <is>
          <t>No</t>
        </is>
      </c>
      <c r="J2371" t="inlineStr">
        <is>
          <t>0</t>
        </is>
      </c>
      <c r="K2371" t="inlineStr">
        <is>
          <t>Schmorleitz, Morton S.</t>
        </is>
      </c>
      <c r="L2371" t="inlineStr">
        <is>
          <t>Rutland, Vt. : C. E. Tuttle Co., 1974.</t>
        </is>
      </c>
      <c r="M2371" t="inlineStr">
        <is>
          <t>1974</t>
        </is>
      </c>
      <c r="O2371" t="inlineStr">
        <is>
          <t>eng</t>
        </is>
      </c>
      <c r="P2371" t="inlineStr">
        <is>
          <t>vtu</t>
        </is>
      </c>
      <c r="R2371" t="inlineStr">
        <is>
          <t xml:space="preserve">DS </t>
        </is>
      </c>
      <c r="S2371" t="n">
        <v>4</v>
      </c>
      <c r="T2371" t="n">
        <v>4</v>
      </c>
      <c r="U2371" t="inlineStr">
        <is>
          <t>2001-02-08</t>
        </is>
      </c>
      <c r="V2371" t="inlineStr">
        <is>
          <t>2001-02-08</t>
        </is>
      </c>
      <c r="W2371" t="inlineStr">
        <is>
          <t>1990-10-29</t>
        </is>
      </c>
      <c r="X2371" t="inlineStr">
        <is>
          <t>1990-10-29</t>
        </is>
      </c>
      <c r="Y2371" t="n">
        <v>237</v>
      </c>
      <c r="Z2371" t="n">
        <v>202</v>
      </c>
      <c r="AA2371" t="n">
        <v>236</v>
      </c>
      <c r="AB2371" t="n">
        <v>2</v>
      </c>
      <c r="AC2371" t="n">
        <v>3</v>
      </c>
      <c r="AD2371" t="n">
        <v>8</v>
      </c>
      <c r="AE2371" t="n">
        <v>10</v>
      </c>
      <c r="AF2371" t="n">
        <v>3</v>
      </c>
      <c r="AG2371" t="n">
        <v>4</v>
      </c>
      <c r="AH2371" t="n">
        <v>3</v>
      </c>
      <c r="AI2371" t="n">
        <v>3</v>
      </c>
      <c r="AJ2371" t="n">
        <v>5</v>
      </c>
      <c r="AK2371" t="n">
        <v>5</v>
      </c>
      <c r="AL2371" t="n">
        <v>1</v>
      </c>
      <c r="AM2371" t="n">
        <v>2</v>
      </c>
      <c r="AN2371" t="n">
        <v>0</v>
      </c>
      <c r="AO2371" t="n">
        <v>0</v>
      </c>
      <c r="AP2371" t="inlineStr">
        <is>
          <t>No</t>
        </is>
      </c>
      <c r="AQ2371" t="inlineStr">
        <is>
          <t>Yes</t>
        </is>
      </c>
      <c r="AR2371">
        <f>HYPERLINK("http://catalog.hathitrust.org/Record/001259102","HathiTrust Record")</f>
        <v/>
      </c>
      <c r="AS2371">
        <f>HYPERLINK("https://creighton-primo.hosted.exlibrisgroup.com/primo-explore/search?tab=default_tab&amp;search_scope=EVERYTHING&amp;vid=01CRU&amp;lang=en_US&amp;offset=0&amp;query=any,contains,991003645429702656","Catalog Record")</f>
        <v/>
      </c>
      <c r="AT2371">
        <f>HYPERLINK("http://www.worldcat.org/oclc/1245889","WorldCat Record")</f>
        <v/>
      </c>
      <c r="AU2371" t="inlineStr">
        <is>
          <t>2153636:eng</t>
        </is>
      </c>
      <c r="AV2371" t="inlineStr">
        <is>
          <t>1245889</t>
        </is>
      </c>
      <c r="AW2371" t="inlineStr">
        <is>
          <t>991003645429702656</t>
        </is>
      </c>
      <c r="AX2371" t="inlineStr">
        <is>
          <t>991003645429702656</t>
        </is>
      </c>
      <c r="AY2371" t="inlineStr">
        <is>
          <t>2260406860002656</t>
        </is>
      </c>
      <c r="AZ2371" t="inlineStr">
        <is>
          <t>BOOK</t>
        </is>
      </c>
      <c r="BB2371" t="inlineStr">
        <is>
          <t>9780804811026</t>
        </is>
      </c>
      <c r="BC2371" t="inlineStr">
        <is>
          <t>32285000339597</t>
        </is>
      </c>
      <c r="BD2371" t="inlineStr">
        <is>
          <t>893686768</t>
        </is>
      </c>
    </row>
    <row r="2372">
      <c r="A2372" t="inlineStr">
        <is>
          <t>No</t>
        </is>
      </c>
      <c r="B2372" t="inlineStr">
        <is>
          <t>DS808 .C6</t>
        </is>
      </c>
      <c r="C2372" t="inlineStr">
        <is>
          <t>0                      DS 0808000C  6</t>
        </is>
      </c>
      <c r="D2372" t="inlineStr">
        <is>
          <t>They came to Japan; an anthology of European reports on Japan, 1543-1640.</t>
        </is>
      </c>
      <c r="F2372" t="inlineStr">
        <is>
          <t>No</t>
        </is>
      </c>
      <c r="G2372" t="inlineStr">
        <is>
          <t>1</t>
        </is>
      </c>
      <c r="H2372" t="inlineStr">
        <is>
          <t>No</t>
        </is>
      </c>
      <c r="I2372" t="inlineStr">
        <is>
          <t>No</t>
        </is>
      </c>
      <c r="J2372" t="inlineStr">
        <is>
          <t>0</t>
        </is>
      </c>
      <c r="K2372" t="inlineStr">
        <is>
          <t>Cooper, Michael, 1930-2018 editor.</t>
        </is>
      </c>
      <c r="L2372" t="inlineStr">
        <is>
          <t>Berkeley, University of California Press, 1965.</t>
        </is>
      </c>
      <c r="M2372" t="inlineStr">
        <is>
          <t>1965</t>
        </is>
      </c>
      <c r="O2372" t="inlineStr">
        <is>
          <t>eng</t>
        </is>
      </c>
      <c r="P2372" t="inlineStr">
        <is>
          <t>cau</t>
        </is>
      </c>
      <c r="Q2372" t="inlineStr">
        <is>
          <t>Publications of the Center for Japanese and Korean Studies</t>
        </is>
      </c>
      <c r="R2372" t="inlineStr">
        <is>
          <t xml:space="preserve">DS </t>
        </is>
      </c>
      <c r="S2372" t="n">
        <v>1</v>
      </c>
      <c r="T2372" t="n">
        <v>1</v>
      </c>
      <c r="U2372" t="inlineStr">
        <is>
          <t>2005-04-09</t>
        </is>
      </c>
      <c r="V2372" t="inlineStr">
        <is>
          <t>2005-04-09</t>
        </is>
      </c>
      <c r="W2372" t="inlineStr">
        <is>
          <t>1996-08-12</t>
        </is>
      </c>
      <c r="X2372" t="inlineStr">
        <is>
          <t>1996-08-12</t>
        </is>
      </c>
      <c r="Y2372" t="n">
        <v>786</v>
      </c>
      <c r="Z2372" t="n">
        <v>694</v>
      </c>
      <c r="AA2372" t="n">
        <v>839</v>
      </c>
      <c r="AB2372" t="n">
        <v>8</v>
      </c>
      <c r="AC2372" t="n">
        <v>11</v>
      </c>
      <c r="AD2372" t="n">
        <v>37</v>
      </c>
      <c r="AE2372" t="n">
        <v>47</v>
      </c>
      <c r="AF2372" t="n">
        <v>13</v>
      </c>
      <c r="AG2372" t="n">
        <v>18</v>
      </c>
      <c r="AH2372" t="n">
        <v>9</v>
      </c>
      <c r="AI2372" t="n">
        <v>10</v>
      </c>
      <c r="AJ2372" t="n">
        <v>18</v>
      </c>
      <c r="AK2372" t="n">
        <v>21</v>
      </c>
      <c r="AL2372" t="n">
        <v>7</v>
      </c>
      <c r="AM2372" t="n">
        <v>10</v>
      </c>
      <c r="AN2372" t="n">
        <v>0</v>
      </c>
      <c r="AO2372" t="n">
        <v>0</v>
      </c>
      <c r="AP2372" t="inlineStr">
        <is>
          <t>No</t>
        </is>
      </c>
      <c r="AQ2372" t="inlineStr">
        <is>
          <t>Yes</t>
        </is>
      </c>
      <c r="AR2372">
        <f>HYPERLINK("http://catalog.hathitrust.org/Record/001259103","HathiTrust Record")</f>
        <v/>
      </c>
      <c r="AS2372">
        <f>HYPERLINK("https://creighton-primo.hosted.exlibrisgroup.com/primo-explore/search?tab=default_tab&amp;search_scope=EVERYTHING&amp;vid=01CRU&amp;lang=en_US&amp;offset=0&amp;query=any,contains,991002872049702656","Catalog Record")</f>
        <v/>
      </c>
      <c r="AT2372">
        <f>HYPERLINK("http://www.worldcat.org/oclc/500169","WorldCat Record")</f>
        <v/>
      </c>
      <c r="AU2372" t="inlineStr">
        <is>
          <t>794978427:eng</t>
        </is>
      </c>
      <c r="AV2372" t="inlineStr">
        <is>
          <t>500169</t>
        </is>
      </c>
      <c r="AW2372" t="inlineStr">
        <is>
          <t>991002872049702656</t>
        </is>
      </c>
      <c r="AX2372" t="inlineStr">
        <is>
          <t>991002872049702656</t>
        </is>
      </c>
      <c r="AY2372" t="inlineStr">
        <is>
          <t>2255134340002656</t>
        </is>
      </c>
      <c r="AZ2372" t="inlineStr">
        <is>
          <t>BOOK</t>
        </is>
      </c>
      <c r="BC2372" t="inlineStr">
        <is>
          <t>32285002274222</t>
        </is>
      </c>
      <c r="BD2372" t="inlineStr">
        <is>
          <t>893517861</t>
        </is>
      </c>
    </row>
    <row r="2373">
      <c r="A2373" t="inlineStr">
        <is>
          <t>No</t>
        </is>
      </c>
      <c r="B2373" t="inlineStr">
        <is>
          <t>DS809 .F84 1982</t>
        </is>
      </c>
      <c r="C2373" t="inlineStr">
        <is>
          <t>0                      DS 0809000F  84          1982</t>
        </is>
      </c>
      <c r="D2373" t="inlineStr">
        <is>
          <t>A diplomat's wife in Japan : sketches at the turn of the century / Mary Crawford Fraser ; edited by Hugh Cortazzi.</t>
        </is>
      </c>
      <c r="F2373" t="inlineStr">
        <is>
          <t>No</t>
        </is>
      </c>
      <c r="G2373" t="inlineStr">
        <is>
          <t>1</t>
        </is>
      </c>
      <c r="H2373" t="inlineStr">
        <is>
          <t>No</t>
        </is>
      </c>
      <c r="I2373" t="inlineStr">
        <is>
          <t>No</t>
        </is>
      </c>
      <c r="J2373" t="inlineStr">
        <is>
          <t>0</t>
        </is>
      </c>
      <c r="K2373" t="inlineStr">
        <is>
          <t>Fraser, Hugh, Mrs., -1922.</t>
        </is>
      </c>
      <c r="L2373" t="inlineStr">
        <is>
          <t>New York : Weatherhill, 1982.</t>
        </is>
      </c>
      <c r="M2373" t="inlineStr">
        <is>
          <t>1982</t>
        </is>
      </c>
      <c r="N2373" t="inlineStr">
        <is>
          <t>1st ed.</t>
        </is>
      </c>
      <c r="O2373" t="inlineStr">
        <is>
          <t>eng</t>
        </is>
      </c>
      <c r="P2373" t="inlineStr">
        <is>
          <t>nyu</t>
        </is>
      </c>
      <c r="R2373" t="inlineStr">
        <is>
          <t xml:space="preserve">DS </t>
        </is>
      </c>
      <c r="S2373" t="n">
        <v>3</v>
      </c>
      <c r="T2373" t="n">
        <v>3</v>
      </c>
      <c r="U2373" t="inlineStr">
        <is>
          <t>2007-05-04</t>
        </is>
      </c>
      <c r="V2373" t="inlineStr">
        <is>
          <t>2007-05-04</t>
        </is>
      </c>
      <c r="W2373" t="inlineStr">
        <is>
          <t>2002-01-14</t>
        </is>
      </c>
      <c r="X2373" t="inlineStr">
        <is>
          <t>2002-01-14</t>
        </is>
      </c>
      <c r="Y2373" t="n">
        <v>457</v>
      </c>
      <c r="Z2373" t="n">
        <v>358</v>
      </c>
      <c r="AA2373" t="n">
        <v>360</v>
      </c>
      <c r="AB2373" t="n">
        <v>3</v>
      </c>
      <c r="AC2373" t="n">
        <v>3</v>
      </c>
      <c r="AD2373" t="n">
        <v>7</v>
      </c>
      <c r="AE2373" t="n">
        <v>7</v>
      </c>
      <c r="AF2373" t="n">
        <v>1</v>
      </c>
      <c r="AG2373" t="n">
        <v>1</v>
      </c>
      <c r="AH2373" t="n">
        <v>1</v>
      </c>
      <c r="AI2373" t="n">
        <v>1</v>
      </c>
      <c r="AJ2373" t="n">
        <v>5</v>
      </c>
      <c r="AK2373" t="n">
        <v>5</v>
      </c>
      <c r="AL2373" t="n">
        <v>2</v>
      </c>
      <c r="AM2373" t="n">
        <v>2</v>
      </c>
      <c r="AN2373" t="n">
        <v>0</v>
      </c>
      <c r="AO2373" t="n">
        <v>0</v>
      </c>
      <c r="AP2373" t="inlineStr">
        <is>
          <t>No</t>
        </is>
      </c>
      <c r="AQ2373" t="inlineStr">
        <is>
          <t>Yes</t>
        </is>
      </c>
      <c r="AR2373">
        <f>HYPERLINK("http://catalog.hathitrust.org/Record/005789514","HathiTrust Record")</f>
        <v/>
      </c>
      <c r="AS2373">
        <f>HYPERLINK("https://creighton-primo.hosted.exlibrisgroup.com/primo-explore/search?tab=default_tab&amp;search_scope=EVERYTHING&amp;vid=01CRU&amp;lang=en_US&amp;offset=0&amp;query=any,contains,991003687449702656","Catalog Record")</f>
        <v/>
      </c>
      <c r="AT2373">
        <f>HYPERLINK("http://www.worldcat.org/oclc/8222775","WorldCat Record")</f>
        <v/>
      </c>
      <c r="AU2373" t="inlineStr">
        <is>
          <t>144008207:eng</t>
        </is>
      </c>
      <c r="AV2373" t="inlineStr">
        <is>
          <t>8222775</t>
        </is>
      </c>
      <c r="AW2373" t="inlineStr">
        <is>
          <t>991003687449702656</t>
        </is>
      </c>
      <c r="AX2373" t="inlineStr">
        <is>
          <t>991003687449702656</t>
        </is>
      </c>
      <c r="AY2373" t="inlineStr">
        <is>
          <t>2266787250002656</t>
        </is>
      </c>
      <c r="AZ2373" t="inlineStr">
        <is>
          <t>BOOK</t>
        </is>
      </c>
      <c r="BB2373" t="inlineStr">
        <is>
          <t>9780834801721</t>
        </is>
      </c>
      <c r="BC2373" t="inlineStr">
        <is>
          <t>32285004448592</t>
        </is>
      </c>
      <c r="BD2373" t="inlineStr">
        <is>
          <t>893535577</t>
        </is>
      </c>
    </row>
    <row r="2374">
      <c r="A2374" t="inlineStr">
        <is>
          <t>No</t>
        </is>
      </c>
      <c r="B2374" t="inlineStr">
        <is>
          <t>DS809 .H18 1992</t>
        </is>
      </c>
      <c r="C2374" t="inlineStr">
        <is>
          <t>0                      DS 0809000H  18          1992</t>
        </is>
      </c>
      <c r="D2374" t="inlineStr">
        <is>
          <t>Japan through American eyes : the journal of Francis Hall, Kanagawa and Yokohama, 1859-1866 / edited and annotated by F.G. Notehelfer.</t>
        </is>
      </c>
      <c r="F2374" t="inlineStr">
        <is>
          <t>No</t>
        </is>
      </c>
      <c r="G2374" t="inlineStr">
        <is>
          <t>1</t>
        </is>
      </c>
      <c r="H2374" t="inlineStr">
        <is>
          <t>No</t>
        </is>
      </c>
      <c r="I2374" t="inlineStr">
        <is>
          <t>No</t>
        </is>
      </c>
      <c r="J2374" t="inlineStr">
        <is>
          <t>0</t>
        </is>
      </c>
      <c r="K2374" t="inlineStr">
        <is>
          <t>Hall, Francis.</t>
        </is>
      </c>
      <c r="L2374" t="inlineStr">
        <is>
          <t>Princeton, N.J. : Princeton University Press, c1992.</t>
        </is>
      </c>
      <c r="M2374" t="inlineStr">
        <is>
          <t>1992</t>
        </is>
      </c>
      <c r="O2374" t="inlineStr">
        <is>
          <t>eng</t>
        </is>
      </c>
      <c r="P2374" t="inlineStr">
        <is>
          <t>nju</t>
        </is>
      </c>
      <c r="R2374" t="inlineStr">
        <is>
          <t xml:space="preserve">DS </t>
        </is>
      </c>
      <c r="S2374" t="n">
        <v>3</v>
      </c>
      <c r="T2374" t="n">
        <v>3</v>
      </c>
      <c r="U2374" t="inlineStr">
        <is>
          <t>2006-04-13</t>
        </is>
      </c>
      <c r="V2374" t="inlineStr">
        <is>
          <t>2006-04-13</t>
        </is>
      </c>
      <c r="W2374" t="inlineStr">
        <is>
          <t>1996-04-23</t>
        </is>
      </c>
      <c r="X2374" t="inlineStr">
        <is>
          <t>1996-04-23</t>
        </is>
      </c>
      <c r="Y2374" t="n">
        <v>477</v>
      </c>
      <c r="Z2374" t="n">
        <v>390</v>
      </c>
      <c r="AA2374" t="n">
        <v>397</v>
      </c>
      <c r="AB2374" t="n">
        <v>4</v>
      </c>
      <c r="AC2374" t="n">
        <v>4</v>
      </c>
      <c r="AD2374" t="n">
        <v>17</v>
      </c>
      <c r="AE2374" t="n">
        <v>17</v>
      </c>
      <c r="AF2374" t="n">
        <v>7</v>
      </c>
      <c r="AG2374" t="n">
        <v>7</v>
      </c>
      <c r="AH2374" t="n">
        <v>3</v>
      </c>
      <c r="AI2374" t="n">
        <v>3</v>
      </c>
      <c r="AJ2374" t="n">
        <v>10</v>
      </c>
      <c r="AK2374" t="n">
        <v>10</v>
      </c>
      <c r="AL2374" t="n">
        <v>3</v>
      </c>
      <c r="AM2374" t="n">
        <v>3</v>
      </c>
      <c r="AN2374" t="n">
        <v>0</v>
      </c>
      <c r="AO2374" t="n">
        <v>0</v>
      </c>
      <c r="AP2374" t="inlineStr">
        <is>
          <t>No</t>
        </is>
      </c>
      <c r="AQ2374" t="inlineStr">
        <is>
          <t>No</t>
        </is>
      </c>
      <c r="AS2374">
        <f>HYPERLINK("https://creighton-primo.hosted.exlibrisgroup.com/primo-explore/search?tab=default_tab&amp;search_scope=EVERYTHING&amp;vid=01CRU&amp;lang=en_US&amp;offset=0&amp;query=any,contains,991001947889702656","Catalog Record")</f>
        <v/>
      </c>
      <c r="AT2374">
        <f>HYPERLINK("http://www.worldcat.org/oclc/24627694","WorldCat Record")</f>
        <v/>
      </c>
      <c r="AU2374" t="inlineStr">
        <is>
          <t>889748517:eng</t>
        </is>
      </c>
      <c r="AV2374" t="inlineStr">
        <is>
          <t>24627694</t>
        </is>
      </c>
      <c r="AW2374" t="inlineStr">
        <is>
          <t>991001947889702656</t>
        </is>
      </c>
      <c r="AX2374" t="inlineStr">
        <is>
          <t>991001947889702656</t>
        </is>
      </c>
      <c r="AY2374" t="inlineStr">
        <is>
          <t>2261618120002656</t>
        </is>
      </c>
      <c r="AZ2374" t="inlineStr">
        <is>
          <t>BOOK</t>
        </is>
      </c>
      <c r="BB2374" t="inlineStr">
        <is>
          <t>9780691031811</t>
        </is>
      </c>
      <c r="BC2374" t="inlineStr">
        <is>
          <t>32285002156338</t>
        </is>
      </c>
      <c r="BD2374" t="inlineStr">
        <is>
          <t>893791868</t>
        </is>
      </c>
    </row>
    <row r="2375">
      <c r="A2375" t="inlineStr">
        <is>
          <t>No</t>
        </is>
      </c>
      <c r="B2375" t="inlineStr">
        <is>
          <t>DS809 .H43 1976</t>
        </is>
      </c>
      <c r="C2375" t="inlineStr">
        <is>
          <t>0                      DS 0809000H  43          1976</t>
        </is>
      </c>
      <c r="D2375" t="inlineStr">
        <is>
          <t>Glimpses of unfamiliar Japan / by Lafcadio Hearn.</t>
        </is>
      </c>
      <c r="F2375" t="inlineStr">
        <is>
          <t>No</t>
        </is>
      </c>
      <c r="G2375" t="inlineStr">
        <is>
          <t>1</t>
        </is>
      </c>
      <c r="H2375" t="inlineStr">
        <is>
          <t>No</t>
        </is>
      </c>
      <c r="I2375" t="inlineStr">
        <is>
          <t>No</t>
        </is>
      </c>
      <c r="J2375" t="inlineStr">
        <is>
          <t>0</t>
        </is>
      </c>
      <c r="K2375" t="inlineStr">
        <is>
          <t>Hearn, Lafcadio, 1850-1904.</t>
        </is>
      </c>
      <c r="L2375" t="inlineStr">
        <is>
          <t>Rutland, Vt. : C. E. Tuttle Co., 1976, 1981 printing.</t>
        </is>
      </c>
      <c r="M2375" t="inlineStr">
        <is>
          <t>1976</t>
        </is>
      </c>
      <c r="O2375" t="inlineStr">
        <is>
          <t>eng</t>
        </is>
      </c>
      <c r="P2375" t="inlineStr">
        <is>
          <t>vtu</t>
        </is>
      </c>
      <c r="R2375" t="inlineStr">
        <is>
          <t xml:space="preserve">DS </t>
        </is>
      </c>
      <c r="S2375" t="n">
        <v>2</v>
      </c>
      <c r="T2375" t="n">
        <v>2</v>
      </c>
      <c r="U2375" t="inlineStr">
        <is>
          <t>1992-11-07</t>
        </is>
      </c>
      <c r="V2375" t="inlineStr">
        <is>
          <t>1992-11-07</t>
        </is>
      </c>
      <c r="W2375" t="inlineStr">
        <is>
          <t>1990-10-29</t>
        </is>
      </c>
      <c r="X2375" t="inlineStr">
        <is>
          <t>1990-10-29</t>
        </is>
      </c>
      <c r="Y2375" t="n">
        <v>138</v>
      </c>
      <c r="Z2375" t="n">
        <v>97</v>
      </c>
      <c r="AA2375" t="n">
        <v>826</v>
      </c>
      <c r="AB2375" t="n">
        <v>2</v>
      </c>
      <c r="AC2375" t="n">
        <v>8</v>
      </c>
      <c r="AD2375" t="n">
        <v>5</v>
      </c>
      <c r="AE2375" t="n">
        <v>37</v>
      </c>
      <c r="AF2375" t="n">
        <v>2</v>
      </c>
      <c r="AG2375" t="n">
        <v>14</v>
      </c>
      <c r="AH2375" t="n">
        <v>3</v>
      </c>
      <c r="AI2375" t="n">
        <v>8</v>
      </c>
      <c r="AJ2375" t="n">
        <v>2</v>
      </c>
      <c r="AK2375" t="n">
        <v>20</v>
      </c>
      <c r="AL2375" t="n">
        <v>1</v>
      </c>
      <c r="AM2375" t="n">
        <v>6</v>
      </c>
      <c r="AN2375" t="n">
        <v>0</v>
      </c>
      <c r="AO2375" t="n">
        <v>0</v>
      </c>
      <c r="AP2375" t="inlineStr">
        <is>
          <t>No</t>
        </is>
      </c>
      <c r="AQ2375" t="inlineStr">
        <is>
          <t>Yes</t>
        </is>
      </c>
      <c r="AR2375">
        <f>HYPERLINK("http://catalog.hathitrust.org/Record/101806605","HathiTrust Record")</f>
        <v/>
      </c>
      <c r="AS2375">
        <f>HYPERLINK("https://creighton-primo.hosted.exlibrisgroup.com/primo-explore/search?tab=default_tab&amp;search_scope=EVERYTHING&amp;vid=01CRU&amp;lang=en_US&amp;offset=0&amp;query=any,contains,991004386619702656","Catalog Record")</f>
        <v/>
      </c>
      <c r="AT2375">
        <f>HYPERLINK("http://www.worldcat.org/oclc/3242352","WorldCat Record")</f>
        <v/>
      </c>
      <c r="AU2375" t="inlineStr">
        <is>
          <t>460078:eng</t>
        </is>
      </c>
      <c r="AV2375" t="inlineStr">
        <is>
          <t>3242352</t>
        </is>
      </c>
      <c r="AW2375" t="inlineStr">
        <is>
          <t>991004386619702656</t>
        </is>
      </c>
      <c r="AX2375" t="inlineStr">
        <is>
          <t>991004386619702656</t>
        </is>
      </c>
      <c r="AY2375" t="inlineStr">
        <is>
          <t>2272044990002656</t>
        </is>
      </c>
      <c r="AZ2375" t="inlineStr">
        <is>
          <t>BOOK</t>
        </is>
      </c>
      <c r="BB2375" t="inlineStr">
        <is>
          <t>9780804811453</t>
        </is>
      </c>
      <c r="BC2375" t="inlineStr">
        <is>
          <t>32285000339605</t>
        </is>
      </c>
      <c r="BD2375" t="inlineStr">
        <is>
          <t>893628135</t>
        </is>
      </c>
    </row>
    <row r="2376">
      <c r="A2376" t="inlineStr">
        <is>
          <t>No</t>
        </is>
      </c>
      <c r="B2376" t="inlineStr">
        <is>
          <t>DS809 .M28 1973</t>
        </is>
      </c>
      <c r="C2376" t="inlineStr">
        <is>
          <t>0                      DS 0809000M  28          1973</t>
        </is>
      </c>
      <c r="D2376" t="inlineStr">
        <is>
          <t>Manners and customs of the Japanese, in the nineteenth century : from the accounts of Dutch residents in Japan and from the German work of Philipp Franz von Siebold / with an introd. to the new ed. by Terence Barrow.</t>
        </is>
      </c>
      <c r="F2376" t="inlineStr">
        <is>
          <t>No</t>
        </is>
      </c>
      <c r="G2376" t="inlineStr">
        <is>
          <t>1</t>
        </is>
      </c>
      <c r="H2376" t="inlineStr">
        <is>
          <t>No</t>
        </is>
      </c>
      <c r="I2376" t="inlineStr">
        <is>
          <t>No</t>
        </is>
      </c>
      <c r="J2376" t="inlineStr">
        <is>
          <t>0</t>
        </is>
      </c>
      <c r="L2376" t="inlineStr">
        <is>
          <t>Rutland, Vt. : C. E. Tuttle Co., c1973, 1981 printing.</t>
        </is>
      </c>
      <c r="M2376" t="inlineStr">
        <is>
          <t>1973</t>
        </is>
      </c>
      <c r="O2376" t="inlineStr">
        <is>
          <t>eng</t>
        </is>
      </c>
      <c r="P2376" t="inlineStr">
        <is>
          <t>vtu</t>
        </is>
      </c>
      <c r="Q2376" t="inlineStr">
        <is>
          <t>Tut books. H</t>
        </is>
      </c>
      <c r="R2376" t="inlineStr">
        <is>
          <t xml:space="preserve">DS </t>
        </is>
      </c>
      <c r="S2376" t="n">
        <v>12</v>
      </c>
      <c r="T2376" t="n">
        <v>12</v>
      </c>
      <c r="U2376" t="inlineStr">
        <is>
          <t>2006-10-12</t>
        </is>
      </c>
      <c r="V2376" t="inlineStr">
        <is>
          <t>2006-10-12</t>
        </is>
      </c>
      <c r="W2376" t="inlineStr">
        <is>
          <t>1990-10-29</t>
        </is>
      </c>
      <c r="X2376" t="inlineStr">
        <is>
          <t>1990-10-29</t>
        </is>
      </c>
      <c r="Y2376" t="n">
        <v>271</v>
      </c>
      <c r="Z2376" t="n">
        <v>207</v>
      </c>
      <c r="AA2376" t="n">
        <v>222</v>
      </c>
      <c r="AB2376" t="n">
        <v>1</v>
      </c>
      <c r="AC2376" t="n">
        <v>1</v>
      </c>
      <c r="AD2376" t="n">
        <v>7</v>
      </c>
      <c r="AE2376" t="n">
        <v>7</v>
      </c>
      <c r="AF2376" t="n">
        <v>4</v>
      </c>
      <c r="AG2376" t="n">
        <v>4</v>
      </c>
      <c r="AH2376" t="n">
        <v>2</v>
      </c>
      <c r="AI2376" t="n">
        <v>2</v>
      </c>
      <c r="AJ2376" t="n">
        <v>4</v>
      </c>
      <c r="AK2376" t="n">
        <v>4</v>
      </c>
      <c r="AL2376" t="n">
        <v>0</v>
      </c>
      <c r="AM2376" t="n">
        <v>0</v>
      </c>
      <c r="AN2376" t="n">
        <v>0</v>
      </c>
      <c r="AO2376" t="n">
        <v>0</v>
      </c>
      <c r="AP2376" t="inlineStr">
        <is>
          <t>No</t>
        </is>
      </c>
      <c r="AQ2376" t="inlineStr">
        <is>
          <t>Yes</t>
        </is>
      </c>
      <c r="AR2376">
        <f>HYPERLINK("http://catalog.hathitrust.org/Record/007114441","HathiTrust Record")</f>
        <v/>
      </c>
      <c r="AS2376">
        <f>HYPERLINK("https://creighton-primo.hosted.exlibrisgroup.com/primo-explore/search?tab=default_tab&amp;search_scope=EVERYTHING&amp;vid=01CRU&amp;lang=en_US&amp;offset=0&amp;query=any,contains,991003085939702656","Catalog Record")</f>
        <v/>
      </c>
      <c r="AT2376">
        <f>HYPERLINK("http://www.worldcat.org/oclc/636365","WorldCat Record")</f>
        <v/>
      </c>
      <c r="AU2376" t="inlineStr">
        <is>
          <t>350615169:eng</t>
        </is>
      </c>
      <c r="AV2376" t="inlineStr">
        <is>
          <t>636365</t>
        </is>
      </c>
      <c r="AW2376" t="inlineStr">
        <is>
          <t>991003085939702656</t>
        </is>
      </c>
      <c r="AX2376" t="inlineStr">
        <is>
          <t>991003085939702656</t>
        </is>
      </c>
      <c r="AY2376" t="inlineStr">
        <is>
          <t>2255302020002656</t>
        </is>
      </c>
      <c r="AZ2376" t="inlineStr">
        <is>
          <t>BOOK</t>
        </is>
      </c>
      <c r="BB2376" t="inlineStr">
        <is>
          <t>9780804810814</t>
        </is>
      </c>
      <c r="BC2376" t="inlineStr">
        <is>
          <t>32285000339613</t>
        </is>
      </c>
      <c r="BD2376" t="inlineStr">
        <is>
          <t>893348329</t>
        </is>
      </c>
    </row>
    <row r="2377">
      <c r="A2377" t="inlineStr">
        <is>
          <t>No</t>
        </is>
      </c>
      <c r="B2377" t="inlineStr">
        <is>
          <t>DS81 .A8513 1996</t>
        </is>
      </c>
      <c r="C2377" t="inlineStr">
        <is>
          <t>0                      DS 0081000A  8513        1996</t>
        </is>
      </c>
      <c r="D2377" t="inlineStr">
        <is>
          <t>The Phoenicians and the West : politics, colonies, and trade / María Eugenia Aubet ; translated from the Spanish by Mary Turton.</t>
        </is>
      </c>
      <c r="F2377" t="inlineStr">
        <is>
          <t>No</t>
        </is>
      </c>
      <c r="G2377" t="inlineStr">
        <is>
          <t>1</t>
        </is>
      </c>
      <c r="H2377" t="inlineStr">
        <is>
          <t>No</t>
        </is>
      </c>
      <c r="I2377" t="inlineStr">
        <is>
          <t>No</t>
        </is>
      </c>
      <c r="J2377" t="inlineStr">
        <is>
          <t>0</t>
        </is>
      </c>
      <c r="K2377" t="inlineStr">
        <is>
          <t>Aubet, María Eugenia.</t>
        </is>
      </c>
      <c r="L2377" t="inlineStr">
        <is>
          <t>Cambridge [England] ; New York : Cambridge University Press, 1996, c1993.</t>
        </is>
      </c>
      <c r="M2377" t="inlineStr">
        <is>
          <t>1996</t>
        </is>
      </c>
      <c r="N2377" t="inlineStr">
        <is>
          <t>1st pbk. ed.</t>
        </is>
      </c>
      <c r="O2377" t="inlineStr">
        <is>
          <t>eng</t>
        </is>
      </c>
      <c r="P2377" t="inlineStr">
        <is>
          <t>nyu</t>
        </is>
      </c>
      <c r="R2377" t="inlineStr">
        <is>
          <t xml:space="preserve">DS </t>
        </is>
      </c>
      <c r="S2377" t="n">
        <v>7</v>
      </c>
      <c r="T2377" t="n">
        <v>7</v>
      </c>
      <c r="U2377" t="inlineStr">
        <is>
          <t>2010-09-07</t>
        </is>
      </c>
      <c r="V2377" t="inlineStr">
        <is>
          <t>2010-09-07</t>
        </is>
      </c>
      <c r="W2377" t="inlineStr">
        <is>
          <t>1997-05-06</t>
        </is>
      </c>
      <c r="X2377" t="inlineStr">
        <is>
          <t>1997-05-06</t>
        </is>
      </c>
      <c r="Y2377" t="n">
        <v>422</v>
      </c>
      <c r="Z2377" t="n">
        <v>295</v>
      </c>
      <c r="AA2377" t="n">
        <v>429</v>
      </c>
      <c r="AB2377" t="n">
        <v>4</v>
      </c>
      <c r="AC2377" t="n">
        <v>4</v>
      </c>
      <c r="AD2377" t="n">
        <v>15</v>
      </c>
      <c r="AE2377" t="n">
        <v>22</v>
      </c>
      <c r="AF2377" t="n">
        <v>5</v>
      </c>
      <c r="AG2377" t="n">
        <v>8</v>
      </c>
      <c r="AH2377" t="n">
        <v>2</v>
      </c>
      <c r="AI2377" t="n">
        <v>5</v>
      </c>
      <c r="AJ2377" t="n">
        <v>10</v>
      </c>
      <c r="AK2377" t="n">
        <v>15</v>
      </c>
      <c r="AL2377" t="n">
        <v>3</v>
      </c>
      <c r="AM2377" t="n">
        <v>3</v>
      </c>
      <c r="AN2377" t="n">
        <v>0</v>
      </c>
      <c r="AO2377" t="n">
        <v>0</v>
      </c>
      <c r="AP2377" t="inlineStr">
        <is>
          <t>No</t>
        </is>
      </c>
      <c r="AQ2377" t="inlineStr">
        <is>
          <t>No</t>
        </is>
      </c>
      <c r="AS2377">
        <f>HYPERLINK("https://creighton-primo.hosted.exlibrisgroup.com/primo-explore/search?tab=default_tab&amp;search_scope=EVERYTHING&amp;vid=01CRU&amp;lang=en_US&amp;offset=0&amp;query=any,contains,991001998449702656","Catalog Record")</f>
        <v/>
      </c>
      <c r="AT2377">
        <f>HYPERLINK("http://www.worldcat.org/oclc/25409347","WorldCat Record")</f>
        <v/>
      </c>
      <c r="AU2377" t="inlineStr">
        <is>
          <t>20394302:eng</t>
        </is>
      </c>
      <c r="AV2377" t="inlineStr">
        <is>
          <t>25409347</t>
        </is>
      </c>
      <c r="AW2377" t="inlineStr">
        <is>
          <t>991001998449702656</t>
        </is>
      </c>
      <c r="AX2377" t="inlineStr">
        <is>
          <t>991001998449702656</t>
        </is>
      </c>
      <c r="AY2377" t="inlineStr">
        <is>
          <t>2266715630002656</t>
        </is>
      </c>
      <c r="AZ2377" t="inlineStr">
        <is>
          <t>BOOK</t>
        </is>
      </c>
      <c r="BB2377" t="inlineStr">
        <is>
          <t>9780521411417</t>
        </is>
      </c>
      <c r="BC2377" t="inlineStr">
        <is>
          <t>32285002544384</t>
        </is>
      </c>
      <c r="BD2377" t="inlineStr">
        <is>
          <t>893866674</t>
        </is>
      </c>
    </row>
    <row r="2378">
      <c r="A2378" t="inlineStr">
        <is>
          <t>No</t>
        </is>
      </c>
      <c r="B2378" t="inlineStr">
        <is>
          <t>DS81 .H3</t>
        </is>
      </c>
      <c r="C2378" t="inlineStr">
        <is>
          <t>0                      DS 0081000H  3</t>
        </is>
      </c>
      <c r="D2378" t="inlineStr">
        <is>
          <t>The Phoenicians.</t>
        </is>
      </c>
      <c r="F2378" t="inlineStr">
        <is>
          <t>No</t>
        </is>
      </c>
      <c r="G2378" t="inlineStr">
        <is>
          <t>1</t>
        </is>
      </c>
      <c r="H2378" t="inlineStr">
        <is>
          <t>No</t>
        </is>
      </c>
      <c r="I2378" t="inlineStr">
        <is>
          <t>No</t>
        </is>
      </c>
      <c r="J2378" t="inlineStr">
        <is>
          <t>0</t>
        </is>
      </c>
      <c r="K2378" t="inlineStr">
        <is>
          <t>Harden, Donald B. (Donald Benjamin)</t>
        </is>
      </c>
      <c r="L2378" t="inlineStr">
        <is>
          <t>London : Thames and Hudson, [1963]</t>
        </is>
      </c>
      <c r="M2378" t="inlineStr">
        <is>
          <t>1963</t>
        </is>
      </c>
      <c r="N2378" t="inlineStr">
        <is>
          <t>[Rev. ed.]</t>
        </is>
      </c>
      <c r="O2378" t="inlineStr">
        <is>
          <t>eng</t>
        </is>
      </c>
      <c r="P2378" t="inlineStr">
        <is>
          <t>enk</t>
        </is>
      </c>
      <c r="Q2378" t="inlineStr">
        <is>
          <t>Ancient peoples and places, 26</t>
        </is>
      </c>
      <c r="R2378" t="inlineStr">
        <is>
          <t xml:space="preserve">DS </t>
        </is>
      </c>
      <c r="S2378" t="n">
        <v>6</v>
      </c>
      <c r="T2378" t="n">
        <v>6</v>
      </c>
      <c r="U2378" t="inlineStr">
        <is>
          <t>2010-09-07</t>
        </is>
      </c>
      <c r="V2378" t="inlineStr">
        <is>
          <t>2010-09-07</t>
        </is>
      </c>
      <c r="W2378" t="inlineStr">
        <is>
          <t>1994-06-29</t>
        </is>
      </c>
      <c r="X2378" t="inlineStr">
        <is>
          <t>1994-06-29</t>
        </is>
      </c>
      <c r="Y2378" t="n">
        <v>119</v>
      </c>
      <c r="Z2378" t="n">
        <v>40</v>
      </c>
      <c r="AA2378" t="n">
        <v>1205</v>
      </c>
      <c r="AB2378" t="n">
        <v>1</v>
      </c>
      <c r="AC2378" t="n">
        <v>9</v>
      </c>
      <c r="AD2378" t="n">
        <v>0</v>
      </c>
      <c r="AE2378" t="n">
        <v>44</v>
      </c>
      <c r="AF2378" t="n">
        <v>0</v>
      </c>
      <c r="AG2378" t="n">
        <v>20</v>
      </c>
      <c r="AH2378" t="n">
        <v>0</v>
      </c>
      <c r="AI2378" t="n">
        <v>8</v>
      </c>
      <c r="AJ2378" t="n">
        <v>0</v>
      </c>
      <c r="AK2378" t="n">
        <v>21</v>
      </c>
      <c r="AL2378" t="n">
        <v>0</v>
      </c>
      <c r="AM2378" t="n">
        <v>6</v>
      </c>
      <c r="AN2378" t="n">
        <v>0</v>
      </c>
      <c r="AO2378" t="n">
        <v>0</v>
      </c>
      <c r="AP2378" t="inlineStr">
        <is>
          <t>No</t>
        </is>
      </c>
      <c r="AQ2378" t="inlineStr">
        <is>
          <t>No</t>
        </is>
      </c>
      <c r="AS2378">
        <f>HYPERLINK("https://creighton-primo.hosted.exlibrisgroup.com/primo-explore/search?tab=default_tab&amp;search_scope=EVERYTHING&amp;vid=01CRU&amp;lang=en_US&amp;offset=0&amp;query=any,contains,991003901959702656","Catalog Record")</f>
        <v/>
      </c>
      <c r="AT2378">
        <f>HYPERLINK("http://www.worldcat.org/oclc/1827303","WorldCat Record")</f>
        <v/>
      </c>
      <c r="AU2378" t="inlineStr">
        <is>
          <t>8914062095:eng</t>
        </is>
      </c>
      <c r="AV2378" t="inlineStr">
        <is>
          <t>1827303</t>
        </is>
      </c>
      <c r="AW2378" t="inlineStr">
        <is>
          <t>991003901959702656</t>
        </is>
      </c>
      <c r="AX2378" t="inlineStr">
        <is>
          <t>991003901959702656</t>
        </is>
      </c>
      <c r="AY2378" t="inlineStr">
        <is>
          <t>2259187640002656</t>
        </is>
      </c>
      <c r="AZ2378" t="inlineStr">
        <is>
          <t>BOOK</t>
        </is>
      </c>
      <c r="BC2378" t="inlineStr">
        <is>
          <t>32285001929925</t>
        </is>
      </c>
      <c r="BD2378" t="inlineStr">
        <is>
          <t>893506131</t>
        </is>
      </c>
    </row>
    <row r="2379">
      <c r="A2379" t="inlineStr">
        <is>
          <t>No</t>
        </is>
      </c>
      <c r="B2379" t="inlineStr">
        <is>
          <t>DS81 .H413 1975</t>
        </is>
      </c>
      <c r="C2379" t="inlineStr">
        <is>
          <t>0                      DS 0081000H  413         1975</t>
        </is>
      </c>
      <c r="D2379" t="inlineStr">
        <is>
          <t>The Phoenicians : the Purple Empire of the ancient world / Gerhard Herm ; translated by Caroline Hillier.</t>
        </is>
      </c>
      <c r="F2379" t="inlineStr">
        <is>
          <t>No</t>
        </is>
      </c>
      <c r="G2379" t="inlineStr">
        <is>
          <t>1</t>
        </is>
      </c>
      <c r="H2379" t="inlineStr">
        <is>
          <t>No</t>
        </is>
      </c>
      <c r="I2379" t="inlineStr">
        <is>
          <t>No</t>
        </is>
      </c>
      <c r="J2379" t="inlineStr">
        <is>
          <t>0</t>
        </is>
      </c>
      <c r="K2379" t="inlineStr">
        <is>
          <t>Herm, Gerhard, 1931-</t>
        </is>
      </c>
      <c r="L2379" t="inlineStr">
        <is>
          <t>New York : Morrow, 1975.</t>
        </is>
      </c>
      <c r="M2379" t="inlineStr">
        <is>
          <t>1975</t>
        </is>
      </c>
      <c r="O2379" t="inlineStr">
        <is>
          <t>eng</t>
        </is>
      </c>
      <c r="P2379" t="inlineStr">
        <is>
          <t>nyu</t>
        </is>
      </c>
      <c r="R2379" t="inlineStr">
        <is>
          <t xml:space="preserve">DS </t>
        </is>
      </c>
      <c r="S2379" t="n">
        <v>3</v>
      </c>
      <c r="T2379" t="n">
        <v>3</v>
      </c>
      <c r="U2379" t="inlineStr">
        <is>
          <t>2010-09-07</t>
        </is>
      </c>
      <c r="V2379" t="inlineStr">
        <is>
          <t>2010-09-07</t>
        </is>
      </c>
      <c r="W2379" t="inlineStr">
        <is>
          <t>1997-02-24</t>
        </is>
      </c>
      <c r="X2379" t="inlineStr">
        <is>
          <t>1997-02-24</t>
        </is>
      </c>
      <c r="Y2379" t="n">
        <v>1223</v>
      </c>
      <c r="Z2379" t="n">
        <v>1172</v>
      </c>
      <c r="AA2379" t="n">
        <v>1226</v>
      </c>
      <c r="AB2379" t="n">
        <v>13</v>
      </c>
      <c r="AC2379" t="n">
        <v>13</v>
      </c>
      <c r="AD2379" t="n">
        <v>39</v>
      </c>
      <c r="AE2379" t="n">
        <v>40</v>
      </c>
      <c r="AF2379" t="n">
        <v>15</v>
      </c>
      <c r="AG2379" t="n">
        <v>15</v>
      </c>
      <c r="AH2379" t="n">
        <v>8</v>
      </c>
      <c r="AI2379" t="n">
        <v>9</v>
      </c>
      <c r="AJ2379" t="n">
        <v>15</v>
      </c>
      <c r="AK2379" t="n">
        <v>15</v>
      </c>
      <c r="AL2379" t="n">
        <v>9</v>
      </c>
      <c r="AM2379" t="n">
        <v>9</v>
      </c>
      <c r="AN2379" t="n">
        <v>0</v>
      </c>
      <c r="AO2379" t="n">
        <v>0</v>
      </c>
      <c r="AP2379" t="inlineStr">
        <is>
          <t>No</t>
        </is>
      </c>
      <c r="AQ2379" t="inlineStr">
        <is>
          <t>Yes</t>
        </is>
      </c>
      <c r="AR2379">
        <f>HYPERLINK("http://catalog.hathitrust.org/Record/000038825","HathiTrust Record")</f>
        <v/>
      </c>
      <c r="AS2379">
        <f>HYPERLINK("https://creighton-primo.hosted.exlibrisgroup.com/primo-explore/search?tab=default_tab&amp;search_scope=EVERYTHING&amp;vid=01CRU&amp;lang=en_US&amp;offset=0&amp;query=any,contains,991003792039702656","Catalog Record")</f>
        <v/>
      </c>
      <c r="AT2379">
        <f>HYPERLINK("http://www.worldcat.org/oclc/1511125","WorldCat Record")</f>
        <v/>
      </c>
      <c r="AU2379" t="inlineStr">
        <is>
          <t>3901086503:eng</t>
        </is>
      </c>
      <c r="AV2379" t="inlineStr">
        <is>
          <t>1511125</t>
        </is>
      </c>
      <c r="AW2379" t="inlineStr">
        <is>
          <t>991003792039702656</t>
        </is>
      </c>
      <c r="AX2379" t="inlineStr">
        <is>
          <t>991003792039702656</t>
        </is>
      </c>
      <c r="AY2379" t="inlineStr">
        <is>
          <t>2261760980002656</t>
        </is>
      </c>
      <c r="AZ2379" t="inlineStr">
        <is>
          <t>BOOK</t>
        </is>
      </c>
      <c r="BB2379" t="inlineStr">
        <is>
          <t>9780688029081</t>
        </is>
      </c>
      <c r="BC2379" t="inlineStr">
        <is>
          <t>32285002460342</t>
        </is>
      </c>
      <c r="BD2379" t="inlineStr">
        <is>
          <t>893506000</t>
        </is>
      </c>
    </row>
    <row r="2380">
      <c r="A2380" t="inlineStr">
        <is>
          <t>No</t>
        </is>
      </c>
      <c r="B2380" t="inlineStr">
        <is>
          <t>DS810 .N6</t>
        </is>
      </c>
      <c r="C2380" t="inlineStr">
        <is>
          <t>0                      DS 0810000N  6</t>
        </is>
      </c>
      <c r="D2380" t="inlineStr">
        <is>
          <t>The Japanese nation; its land, its people, and its life, with special consideration to its relations with the United States, by Inazo Nitobé ...</t>
        </is>
      </c>
      <c r="F2380" t="inlineStr">
        <is>
          <t>No</t>
        </is>
      </c>
      <c r="G2380" t="inlineStr">
        <is>
          <t>1</t>
        </is>
      </c>
      <c r="H2380" t="inlineStr">
        <is>
          <t>No</t>
        </is>
      </c>
      <c r="I2380" t="inlineStr">
        <is>
          <t>No</t>
        </is>
      </c>
      <c r="J2380" t="inlineStr">
        <is>
          <t>0</t>
        </is>
      </c>
      <c r="K2380" t="inlineStr">
        <is>
          <t>Nitobe, Inazō, 1862-1933.</t>
        </is>
      </c>
      <c r="L2380" t="inlineStr">
        <is>
          <t>New York, London, G. P. Putnam's Sons, 1912.</t>
        </is>
      </c>
      <c r="M2380" t="inlineStr">
        <is>
          <t>1912</t>
        </is>
      </c>
      <c r="O2380" t="inlineStr">
        <is>
          <t>eng</t>
        </is>
      </c>
      <c r="P2380" t="inlineStr">
        <is>
          <t>nyu</t>
        </is>
      </c>
      <c r="R2380" t="inlineStr">
        <is>
          <t xml:space="preserve">DS </t>
        </is>
      </c>
      <c r="S2380" t="n">
        <v>5</v>
      </c>
      <c r="T2380" t="n">
        <v>5</v>
      </c>
      <c r="U2380" t="inlineStr">
        <is>
          <t>2005-12-03</t>
        </is>
      </c>
      <c r="V2380" t="inlineStr">
        <is>
          <t>2005-12-03</t>
        </is>
      </c>
      <c r="W2380" t="inlineStr">
        <is>
          <t>1997-03-17</t>
        </is>
      </c>
      <c r="X2380" t="inlineStr">
        <is>
          <t>1997-03-17</t>
        </is>
      </c>
      <c r="Y2380" t="n">
        <v>374</v>
      </c>
      <c r="Z2380" t="n">
        <v>337</v>
      </c>
      <c r="AA2380" t="n">
        <v>410</v>
      </c>
      <c r="AB2380" t="n">
        <v>5</v>
      </c>
      <c r="AC2380" t="n">
        <v>5</v>
      </c>
      <c r="AD2380" t="n">
        <v>19</v>
      </c>
      <c r="AE2380" t="n">
        <v>22</v>
      </c>
      <c r="AF2380" t="n">
        <v>6</v>
      </c>
      <c r="AG2380" t="n">
        <v>7</v>
      </c>
      <c r="AH2380" t="n">
        <v>3</v>
      </c>
      <c r="AI2380" t="n">
        <v>5</v>
      </c>
      <c r="AJ2380" t="n">
        <v>8</v>
      </c>
      <c r="AK2380" t="n">
        <v>9</v>
      </c>
      <c r="AL2380" t="n">
        <v>4</v>
      </c>
      <c r="AM2380" t="n">
        <v>4</v>
      </c>
      <c r="AN2380" t="n">
        <v>0</v>
      </c>
      <c r="AO2380" t="n">
        <v>0</v>
      </c>
      <c r="AP2380" t="inlineStr">
        <is>
          <t>Yes</t>
        </is>
      </c>
      <c r="AQ2380" t="inlineStr">
        <is>
          <t>No</t>
        </is>
      </c>
      <c r="AR2380">
        <f>HYPERLINK("http://catalog.hathitrust.org/Record/001259092","HathiTrust Record")</f>
        <v/>
      </c>
      <c r="AS2380">
        <f>HYPERLINK("https://creighton-primo.hosted.exlibrisgroup.com/primo-explore/search?tab=default_tab&amp;search_scope=EVERYTHING&amp;vid=01CRU&amp;lang=en_US&amp;offset=0&amp;query=any,contains,991003782599702656","Catalog Record")</f>
        <v/>
      </c>
      <c r="AT2380">
        <f>HYPERLINK("http://www.worldcat.org/oclc/1496867","WorldCat Record")</f>
        <v/>
      </c>
      <c r="AU2380" t="inlineStr">
        <is>
          <t>2426180:eng</t>
        </is>
      </c>
      <c r="AV2380" t="inlineStr">
        <is>
          <t>1496867</t>
        </is>
      </c>
      <c r="AW2380" t="inlineStr">
        <is>
          <t>991003782599702656</t>
        </is>
      </c>
      <c r="AX2380" t="inlineStr">
        <is>
          <t>991003782599702656</t>
        </is>
      </c>
      <c r="AY2380" t="inlineStr">
        <is>
          <t>2267642250002656</t>
        </is>
      </c>
      <c r="AZ2380" t="inlineStr">
        <is>
          <t>BOOK</t>
        </is>
      </c>
      <c r="BC2380" t="inlineStr">
        <is>
          <t>32285002449840</t>
        </is>
      </c>
      <c r="BD2380" t="inlineStr">
        <is>
          <t>893711795</t>
        </is>
      </c>
    </row>
    <row r="2381">
      <c r="A2381" t="inlineStr">
        <is>
          <t>No</t>
        </is>
      </c>
      <c r="B2381" t="inlineStr">
        <is>
          <t>DS811 .A8</t>
        </is>
      </c>
      <c r="C2381" t="inlineStr">
        <is>
          <t>0                      DS 0811000A  8</t>
        </is>
      </c>
      <c r="D2381" t="inlineStr">
        <is>
          <t>Japan and Zen [by] Betty and Van Meter Ames.</t>
        </is>
      </c>
      <c r="F2381" t="inlineStr">
        <is>
          <t>No</t>
        </is>
      </c>
      <c r="G2381" t="inlineStr">
        <is>
          <t>1</t>
        </is>
      </c>
      <c r="H2381" t="inlineStr">
        <is>
          <t>No</t>
        </is>
      </c>
      <c r="I2381" t="inlineStr">
        <is>
          <t>No</t>
        </is>
      </c>
      <c r="J2381" t="inlineStr">
        <is>
          <t>0</t>
        </is>
      </c>
      <c r="K2381" t="inlineStr">
        <is>
          <t>Ames, Betty.</t>
        </is>
      </c>
      <c r="L2381" t="inlineStr">
        <is>
          <t>Cincinnati, University of Cincinnati [1961]</t>
        </is>
      </c>
      <c r="M2381" t="inlineStr">
        <is>
          <t>1961</t>
        </is>
      </c>
      <c r="O2381" t="inlineStr">
        <is>
          <t>eng</t>
        </is>
      </c>
      <c r="P2381" t="inlineStr">
        <is>
          <t>ohu</t>
        </is>
      </c>
      <c r="Q2381" t="inlineStr">
        <is>
          <t>University of Cincinnati. Occasional papers, no. 1</t>
        </is>
      </c>
      <c r="R2381" t="inlineStr">
        <is>
          <t xml:space="preserve">DS </t>
        </is>
      </c>
      <c r="S2381" t="n">
        <v>1</v>
      </c>
      <c r="T2381" t="n">
        <v>1</v>
      </c>
      <c r="U2381" t="inlineStr">
        <is>
          <t>2004-11-07</t>
        </is>
      </c>
      <c r="V2381" t="inlineStr">
        <is>
          <t>2004-11-07</t>
        </is>
      </c>
      <c r="W2381" t="inlineStr">
        <is>
          <t>1997-03-17</t>
        </is>
      </c>
      <c r="X2381" t="inlineStr">
        <is>
          <t>1997-03-17</t>
        </is>
      </c>
      <c r="Y2381" t="n">
        <v>281</v>
      </c>
      <c r="Z2381" t="n">
        <v>271</v>
      </c>
      <c r="AA2381" t="n">
        <v>273</v>
      </c>
      <c r="AB2381" t="n">
        <v>3</v>
      </c>
      <c r="AC2381" t="n">
        <v>3</v>
      </c>
      <c r="AD2381" t="n">
        <v>21</v>
      </c>
      <c r="AE2381" t="n">
        <v>21</v>
      </c>
      <c r="AF2381" t="n">
        <v>9</v>
      </c>
      <c r="AG2381" t="n">
        <v>9</v>
      </c>
      <c r="AH2381" t="n">
        <v>3</v>
      </c>
      <c r="AI2381" t="n">
        <v>3</v>
      </c>
      <c r="AJ2381" t="n">
        <v>12</v>
      </c>
      <c r="AK2381" t="n">
        <v>12</v>
      </c>
      <c r="AL2381" t="n">
        <v>2</v>
      </c>
      <c r="AM2381" t="n">
        <v>2</v>
      </c>
      <c r="AN2381" t="n">
        <v>0</v>
      </c>
      <c r="AO2381" t="n">
        <v>0</v>
      </c>
      <c r="AP2381" t="inlineStr">
        <is>
          <t>No</t>
        </is>
      </c>
      <c r="AQ2381" t="inlineStr">
        <is>
          <t>No</t>
        </is>
      </c>
      <c r="AR2381">
        <f>HYPERLINK("http://catalog.hathitrust.org/Record/002369616","HathiTrust Record")</f>
        <v/>
      </c>
      <c r="AS2381">
        <f>HYPERLINK("https://creighton-primo.hosted.exlibrisgroup.com/primo-explore/search?tab=default_tab&amp;search_scope=EVERYTHING&amp;vid=01CRU&amp;lang=en_US&amp;offset=0&amp;query=any,contains,991003874019702656","Catalog Record")</f>
        <v/>
      </c>
      <c r="AT2381">
        <f>HYPERLINK("http://www.worldcat.org/oclc/1701319","WorldCat Record")</f>
        <v/>
      </c>
      <c r="AU2381" t="inlineStr">
        <is>
          <t>2522768:eng</t>
        </is>
      </c>
      <c r="AV2381" t="inlineStr">
        <is>
          <t>1701319</t>
        </is>
      </c>
      <c r="AW2381" t="inlineStr">
        <is>
          <t>991003874019702656</t>
        </is>
      </c>
      <c r="AX2381" t="inlineStr">
        <is>
          <t>991003874019702656</t>
        </is>
      </c>
      <c r="AY2381" t="inlineStr">
        <is>
          <t>2269891060002656</t>
        </is>
      </c>
      <c r="AZ2381" t="inlineStr">
        <is>
          <t>BOOK</t>
        </is>
      </c>
      <c r="BC2381" t="inlineStr">
        <is>
          <t>32285002449857</t>
        </is>
      </c>
      <c r="BD2381" t="inlineStr">
        <is>
          <t>893423076</t>
        </is>
      </c>
    </row>
    <row r="2382">
      <c r="A2382" t="inlineStr">
        <is>
          <t>No</t>
        </is>
      </c>
      <c r="B2382" t="inlineStr">
        <is>
          <t>DS811 .D34</t>
        </is>
      </c>
      <c r="C2382" t="inlineStr">
        <is>
          <t>0                      DS 0811000D  34</t>
        </is>
      </c>
      <c r="D2382" t="inlineStr">
        <is>
          <t>Faces of Japan / Bob Davis ; introd. by Murray Sayle.</t>
        </is>
      </c>
      <c r="F2382" t="inlineStr">
        <is>
          <t>No</t>
        </is>
      </c>
      <c r="G2382" t="inlineStr">
        <is>
          <t>1</t>
        </is>
      </c>
      <c r="H2382" t="inlineStr">
        <is>
          <t>No</t>
        </is>
      </c>
      <c r="I2382" t="inlineStr">
        <is>
          <t>No</t>
        </is>
      </c>
      <c r="J2382" t="inlineStr">
        <is>
          <t>0</t>
        </is>
      </c>
      <c r="K2382" t="inlineStr">
        <is>
          <t>Davis, Bob, 1944-</t>
        </is>
      </c>
      <c r="L2382" t="inlineStr">
        <is>
          <t>Tokyo ; New York : Kodansha International, 1978.</t>
        </is>
      </c>
      <c r="M2382" t="inlineStr">
        <is>
          <t>1978</t>
        </is>
      </c>
      <c r="O2382" t="inlineStr">
        <is>
          <t>eng</t>
        </is>
      </c>
      <c r="P2382" t="inlineStr">
        <is>
          <t xml:space="preserve">ja </t>
        </is>
      </c>
      <c r="R2382" t="inlineStr">
        <is>
          <t xml:space="preserve">DS </t>
        </is>
      </c>
      <c r="S2382" t="n">
        <v>4</v>
      </c>
      <c r="T2382" t="n">
        <v>4</v>
      </c>
      <c r="U2382" t="inlineStr">
        <is>
          <t>2005-11-27</t>
        </is>
      </c>
      <c r="V2382" t="inlineStr">
        <is>
          <t>2005-11-27</t>
        </is>
      </c>
      <c r="W2382" t="inlineStr">
        <is>
          <t>1991-06-28</t>
        </is>
      </c>
      <c r="X2382" t="inlineStr">
        <is>
          <t>1991-06-28</t>
        </is>
      </c>
      <c r="Y2382" t="n">
        <v>226</v>
      </c>
      <c r="Z2382" t="n">
        <v>183</v>
      </c>
      <c r="AA2382" t="n">
        <v>186</v>
      </c>
      <c r="AB2382" t="n">
        <v>1</v>
      </c>
      <c r="AC2382" t="n">
        <v>1</v>
      </c>
      <c r="AD2382" t="n">
        <v>2</v>
      </c>
      <c r="AE2382" t="n">
        <v>2</v>
      </c>
      <c r="AF2382" t="n">
        <v>0</v>
      </c>
      <c r="AG2382" t="n">
        <v>0</v>
      </c>
      <c r="AH2382" t="n">
        <v>1</v>
      </c>
      <c r="AI2382" t="n">
        <v>1</v>
      </c>
      <c r="AJ2382" t="n">
        <v>2</v>
      </c>
      <c r="AK2382" t="n">
        <v>2</v>
      </c>
      <c r="AL2382" t="n">
        <v>0</v>
      </c>
      <c r="AM2382" t="n">
        <v>0</v>
      </c>
      <c r="AN2382" t="n">
        <v>0</v>
      </c>
      <c r="AO2382" t="n">
        <v>0</v>
      </c>
      <c r="AP2382" t="inlineStr">
        <is>
          <t>No</t>
        </is>
      </c>
      <c r="AQ2382" t="inlineStr">
        <is>
          <t>Yes</t>
        </is>
      </c>
      <c r="AR2382">
        <f>HYPERLINK("http://catalog.hathitrust.org/Record/000259423","HathiTrust Record")</f>
        <v/>
      </c>
      <c r="AS2382">
        <f>HYPERLINK("https://creighton-primo.hosted.exlibrisgroup.com/primo-explore/search?tab=default_tab&amp;search_scope=EVERYTHING&amp;vid=01CRU&amp;lang=en_US&amp;offset=0&amp;query=any,contains,991004689099702656","Catalog Record")</f>
        <v/>
      </c>
      <c r="AT2382">
        <f>HYPERLINK("http://www.worldcat.org/oclc/4597053","WorldCat Record")</f>
        <v/>
      </c>
      <c r="AU2382" t="inlineStr">
        <is>
          <t>7178223:eng</t>
        </is>
      </c>
      <c r="AV2382" t="inlineStr">
        <is>
          <t>4597053</t>
        </is>
      </c>
      <c r="AW2382" t="inlineStr">
        <is>
          <t>991004689099702656</t>
        </is>
      </c>
      <c r="AX2382" t="inlineStr">
        <is>
          <t>991004689099702656</t>
        </is>
      </c>
      <c r="AY2382" t="inlineStr">
        <is>
          <t>2268853810002656</t>
        </is>
      </c>
      <c r="AZ2382" t="inlineStr">
        <is>
          <t>BOOK</t>
        </is>
      </c>
      <c r="BB2382" t="inlineStr">
        <is>
          <t>9780870113383</t>
        </is>
      </c>
      <c r="BC2382" t="inlineStr">
        <is>
          <t>32285000672534</t>
        </is>
      </c>
      <c r="BD2382" t="inlineStr">
        <is>
          <t>893700544</t>
        </is>
      </c>
    </row>
    <row r="2383">
      <c r="A2383" t="inlineStr">
        <is>
          <t>No</t>
        </is>
      </c>
      <c r="B2383" t="inlineStr">
        <is>
          <t>DS811 .I58</t>
        </is>
      </c>
      <c r="C2383" t="inlineStr">
        <is>
          <t>0                      DS 0811000I  58</t>
        </is>
      </c>
      <c r="D2383" t="inlineStr">
        <is>
          <t>Introducing Japan / text by Donald Richie ; foreword by Edwin O. Reischauer.</t>
        </is>
      </c>
      <c r="F2383" t="inlineStr">
        <is>
          <t>No</t>
        </is>
      </c>
      <c r="G2383" t="inlineStr">
        <is>
          <t>1</t>
        </is>
      </c>
      <c r="H2383" t="inlineStr">
        <is>
          <t>No</t>
        </is>
      </c>
      <c r="I2383" t="inlineStr">
        <is>
          <t>No</t>
        </is>
      </c>
      <c r="J2383" t="inlineStr">
        <is>
          <t>0</t>
        </is>
      </c>
      <c r="L2383" t="inlineStr">
        <is>
          <t>Tokyo ; New York : Kodansha International, c1978.</t>
        </is>
      </c>
      <c r="M2383" t="inlineStr">
        <is>
          <t>1978</t>
        </is>
      </c>
      <c r="N2383" t="inlineStr">
        <is>
          <t>1st ed.</t>
        </is>
      </c>
      <c r="O2383" t="inlineStr">
        <is>
          <t>eng</t>
        </is>
      </c>
      <c r="P2383" t="inlineStr">
        <is>
          <t xml:space="preserve">xx </t>
        </is>
      </c>
      <c r="R2383" t="inlineStr">
        <is>
          <t xml:space="preserve">DS </t>
        </is>
      </c>
      <c r="S2383" t="n">
        <v>7</v>
      </c>
      <c r="T2383" t="n">
        <v>7</v>
      </c>
      <c r="U2383" t="inlineStr">
        <is>
          <t>2006-12-06</t>
        </is>
      </c>
      <c r="V2383" t="inlineStr">
        <is>
          <t>2006-12-06</t>
        </is>
      </c>
      <c r="W2383" t="inlineStr">
        <is>
          <t>1990-10-29</t>
        </is>
      </c>
      <c r="X2383" t="inlineStr">
        <is>
          <t>1990-10-29</t>
        </is>
      </c>
      <c r="Y2383" t="n">
        <v>491</v>
      </c>
      <c r="Z2383" t="n">
        <v>426</v>
      </c>
      <c r="AA2383" t="n">
        <v>714</v>
      </c>
      <c r="AB2383" t="n">
        <v>5</v>
      </c>
      <c r="AC2383" t="n">
        <v>7</v>
      </c>
      <c r="AD2383" t="n">
        <v>7</v>
      </c>
      <c r="AE2383" t="n">
        <v>11</v>
      </c>
      <c r="AF2383" t="n">
        <v>3</v>
      </c>
      <c r="AG2383" t="n">
        <v>5</v>
      </c>
      <c r="AH2383" t="n">
        <v>2</v>
      </c>
      <c r="AI2383" t="n">
        <v>2</v>
      </c>
      <c r="AJ2383" t="n">
        <v>3</v>
      </c>
      <c r="AK2383" t="n">
        <v>5</v>
      </c>
      <c r="AL2383" t="n">
        <v>2</v>
      </c>
      <c r="AM2383" t="n">
        <v>2</v>
      </c>
      <c r="AN2383" t="n">
        <v>0</v>
      </c>
      <c r="AO2383" t="n">
        <v>0</v>
      </c>
      <c r="AP2383" t="inlineStr">
        <is>
          <t>No</t>
        </is>
      </c>
      <c r="AQ2383" t="inlineStr">
        <is>
          <t>No</t>
        </is>
      </c>
      <c r="AS2383">
        <f>HYPERLINK("https://creighton-primo.hosted.exlibrisgroup.com/primo-explore/search?tab=default_tab&amp;search_scope=EVERYTHING&amp;vid=01CRU&amp;lang=en_US&amp;offset=0&amp;query=any,contains,991004569589702656","Catalog Record")</f>
        <v/>
      </c>
      <c r="AT2383">
        <f>HYPERLINK("http://www.worldcat.org/oclc/4210923","WorldCat Record")</f>
        <v/>
      </c>
      <c r="AU2383" t="inlineStr">
        <is>
          <t>962177:eng</t>
        </is>
      </c>
      <c r="AV2383" t="inlineStr">
        <is>
          <t>4210923</t>
        </is>
      </c>
      <c r="AW2383" t="inlineStr">
        <is>
          <t>991004569589702656</t>
        </is>
      </c>
      <c r="AX2383" t="inlineStr">
        <is>
          <t>991004569589702656</t>
        </is>
      </c>
      <c r="AY2383" t="inlineStr">
        <is>
          <t>2268170200002656</t>
        </is>
      </c>
      <c r="AZ2383" t="inlineStr">
        <is>
          <t>BOOK</t>
        </is>
      </c>
      <c r="BB2383" t="inlineStr">
        <is>
          <t>9780870113086</t>
        </is>
      </c>
      <c r="BC2383" t="inlineStr">
        <is>
          <t>32285000339654</t>
        </is>
      </c>
      <c r="BD2383" t="inlineStr">
        <is>
          <t>893869867</t>
        </is>
      </c>
    </row>
    <row r="2384">
      <c r="A2384" t="inlineStr">
        <is>
          <t>No</t>
        </is>
      </c>
      <c r="B2384" t="inlineStr">
        <is>
          <t>DS811 .P34 1982</t>
        </is>
      </c>
      <c r="C2384" t="inlineStr">
        <is>
          <t>0                      DS 0811000P  34          1982</t>
        </is>
      </c>
      <c r="D2384" t="inlineStr">
        <is>
          <t>"How do you think Japan?" : photographs of a foreign resident / by James D. Paffrath ; edited by Christine Paffrath.</t>
        </is>
      </c>
      <c r="F2384" t="inlineStr">
        <is>
          <t>No</t>
        </is>
      </c>
      <c r="G2384" t="inlineStr">
        <is>
          <t>1</t>
        </is>
      </c>
      <c r="H2384" t="inlineStr">
        <is>
          <t>No</t>
        </is>
      </c>
      <c r="I2384" t="inlineStr">
        <is>
          <t>No</t>
        </is>
      </c>
      <c r="J2384" t="inlineStr">
        <is>
          <t>0</t>
        </is>
      </c>
      <c r="K2384" t="inlineStr">
        <is>
          <t>Paffrath, James D.</t>
        </is>
      </c>
      <c r="L2384" t="inlineStr">
        <is>
          <t>Davis, Calif. : JP Publications, 1982.</t>
        </is>
      </c>
      <c r="M2384" t="inlineStr">
        <is>
          <t>1982</t>
        </is>
      </c>
      <c r="O2384" t="inlineStr">
        <is>
          <t>eng</t>
        </is>
      </c>
      <c r="P2384" t="inlineStr">
        <is>
          <t>cau</t>
        </is>
      </c>
      <c r="R2384" t="inlineStr">
        <is>
          <t xml:space="preserve">DS </t>
        </is>
      </c>
      <c r="S2384" t="n">
        <v>6</v>
      </c>
      <c r="T2384" t="n">
        <v>6</v>
      </c>
      <c r="U2384" t="inlineStr">
        <is>
          <t>2005-11-27</t>
        </is>
      </c>
      <c r="V2384" t="inlineStr">
        <is>
          <t>2005-11-27</t>
        </is>
      </c>
      <c r="W2384" t="inlineStr">
        <is>
          <t>1990-10-29</t>
        </is>
      </c>
      <c r="X2384" t="inlineStr">
        <is>
          <t>1990-10-29</t>
        </is>
      </c>
      <c r="Y2384" t="n">
        <v>10</v>
      </c>
      <c r="Z2384" t="n">
        <v>10</v>
      </c>
      <c r="AA2384" t="n">
        <v>15</v>
      </c>
      <c r="AB2384" t="n">
        <v>1</v>
      </c>
      <c r="AC2384" t="n">
        <v>1</v>
      </c>
      <c r="AD2384" t="n">
        <v>0</v>
      </c>
      <c r="AE2384" t="n">
        <v>0</v>
      </c>
      <c r="AF2384" t="n">
        <v>0</v>
      </c>
      <c r="AG2384" t="n">
        <v>0</v>
      </c>
      <c r="AH2384" t="n">
        <v>0</v>
      </c>
      <c r="AI2384" t="n">
        <v>0</v>
      </c>
      <c r="AJ2384" t="n">
        <v>0</v>
      </c>
      <c r="AK2384" t="n">
        <v>0</v>
      </c>
      <c r="AL2384" t="n">
        <v>0</v>
      </c>
      <c r="AM2384" t="n">
        <v>0</v>
      </c>
      <c r="AN2384" t="n">
        <v>0</v>
      </c>
      <c r="AO2384" t="n">
        <v>0</v>
      </c>
      <c r="AP2384" t="inlineStr">
        <is>
          <t>No</t>
        </is>
      </c>
      <c r="AQ2384" t="inlineStr">
        <is>
          <t>No</t>
        </is>
      </c>
      <c r="AS2384">
        <f>HYPERLINK("https://creighton-primo.hosted.exlibrisgroup.com/primo-explore/search?tab=default_tab&amp;search_scope=EVERYTHING&amp;vid=01CRU&amp;lang=en_US&amp;offset=0&amp;query=any,contains,991000230419702656","Catalog Record")</f>
        <v/>
      </c>
      <c r="AT2384">
        <f>HYPERLINK("http://www.worldcat.org/oclc/9636960","WorldCat Record")</f>
        <v/>
      </c>
      <c r="AU2384" t="inlineStr">
        <is>
          <t>43548897:eng</t>
        </is>
      </c>
      <c r="AV2384" t="inlineStr">
        <is>
          <t>9636960</t>
        </is>
      </c>
      <c r="AW2384" t="inlineStr">
        <is>
          <t>991000230419702656</t>
        </is>
      </c>
      <c r="AX2384" t="inlineStr">
        <is>
          <t>991000230419702656</t>
        </is>
      </c>
      <c r="AY2384" t="inlineStr">
        <is>
          <t>2270411360002656</t>
        </is>
      </c>
      <c r="AZ2384" t="inlineStr">
        <is>
          <t>BOOK</t>
        </is>
      </c>
      <c r="BB2384" t="inlineStr">
        <is>
          <t>9780910703017</t>
        </is>
      </c>
      <c r="BC2384" t="inlineStr">
        <is>
          <t>32285000339639</t>
        </is>
      </c>
      <c r="BD2384" t="inlineStr">
        <is>
          <t>893777800</t>
        </is>
      </c>
    </row>
    <row r="2385">
      <c r="A2385" t="inlineStr">
        <is>
          <t>No</t>
        </is>
      </c>
      <c r="B2385" t="inlineStr">
        <is>
          <t>DS811 .T72</t>
        </is>
      </c>
      <c r="C2385" t="inlineStr">
        <is>
          <t>0                      DS 0811000T  72</t>
        </is>
      </c>
      <c r="D2385" t="inlineStr">
        <is>
          <t>Japan : a geography / Glenn T. Trewartha.</t>
        </is>
      </c>
      <c r="F2385" t="inlineStr">
        <is>
          <t>No</t>
        </is>
      </c>
      <c r="G2385" t="inlineStr">
        <is>
          <t>1</t>
        </is>
      </c>
      <c r="H2385" t="inlineStr">
        <is>
          <t>No</t>
        </is>
      </c>
      <c r="I2385" t="inlineStr">
        <is>
          <t>No</t>
        </is>
      </c>
      <c r="J2385" t="inlineStr">
        <is>
          <t>0</t>
        </is>
      </c>
      <c r="K2385" t="inlineStr">
        <is>
          <t>Trewartha, Glenn Thomas, 1896-1984.</t>
        </is>
      </c>
      <c r="L2385" t="inlineStr">
        <is>
          <t>Madison : University of Wisconsin, 1965.</t>
        </is>
      </c>
      <c r="M2385" t="inlineStr">
        <is>
          <t>1965</t>
        </is>
      </c>
      <c r="O2385" t="inlineStr">
        <is>
          <t>eng</t>
        </is>
      </c>
      <c r="P2385" t="inlineStr">
        <is>
          <t>wiu</t>
        </is>
      </c>
      <c r="R2385" t="inlineStr">
        <is>
          <t xml:space="preserve">DS </t>
        </is>
      </c>
      <c r="S2385" t="n">
        <v>5</v>
      </c>
      <c r="T2385" t="n">
        <v>5</v>
      </c>
      <c r="U2385" t="inlineStr">
        <is>
          <t>2000-02-29</t>
        </is>
      </c>
      <c r="V2385" t="inlineStr">
        <is>
          <t>2000-02-29</t>
        </is>
      </c>
      <c r="W2385" t="inlineStr">
        <is>
          <t>1994-12-20</t>
        </is>
      </c>
      <c r="X2385" t="inlineStr">
        <is>
          <t>1994-12-20</t>
        </is>
      </c>
      <c r="Y2385" t="n">
        <v>1109</v>
      </c>
      <c r="Z2385" t="n">
        <v>974</v>
      </c>
      <c r="AA2385" t="n">
        <v>1034</v>
      </c>
      <c r="AB2385" t="n">
        <v>10</v>
      </c>
      <c r="AC2385" t="n">
        <v>10</v>
      </c>
      <c r="AD2385" t="n">
        <v>41</v>
      </c>
      <c r="AE2385" t="n">
        <v>41</v>
      </c>
      <c r="AF2385" t="n">
        <v>17</v>
      </c>
      <c r="AG2385" t="n">
        <v>17</v>
      </c>
      <c r="AH2385" t="n">
        <v>8</v>
      </c>
      <c r="AI2385" t="n">
        <v>8</v>
      </c>
      <c r="AJ2385" t="n">
        <v>16</v>
      </c>
      <c r="AK2385" t="n">
        <v>16</v>
      </c>
      <c r="AL2385" t="n">
        <v>9</v>
      </c>
      <c r="AM2385" t="n">
        <v>9</v>
      </c>
      <c r="AN2385" t="n">
        <v>0</v>
      </c>
      <c r="AO2385" t="n">
        <v>0</v>
      </c>
      <c r="AP2385" t="inlineStr">
        <is>
          <t>No</t>
        </is>
      </c>
      <c r="AQ2385" t="inlineStr">
        <is>
          <t>Yes</t>
        </is>
      </c>
      <c r="AR2385">
        <f>HYPERLINK("http://catalog.hathitrust.org/Record/001259181","HathiTrust Record")</f>
        <v/>
      </c>
      <c r="AS2385">
        <f>HYPERLINK("https://creighton-primo.hosted.exlibrisgroup.com/primo-explore/search?tab=default_tab&amp;search_scope=EVERYTHING&amp;vid=01CRU&amp;lang=en_US&amp;offset=0&amp;query=any,contains,991001228359702656","Catalog Record")</f>
        <v/>
      </c>
      <c r="AT2385">
        <f>HYPERLINK("http://www.worldcat.org/oclc/17516778","WorldCat Record")</f>
        <v/>
      </c>
      <c r="AU2385" t="inlineStr">
        <is>
          <t>3901138552:eng</t>
        </is>
      </c>
      <c r="AV2385" t="inlineStr">
        <is>
          <t>17516778</t>
        </is>
      </c>
      <c r="AW2385" t="inlineStr">
        <is>
          <t>991001228359702656</t>
        </is>
      </c>
      <c r="AX2385" t="inlineStr">
        <is>
          <t>991001228359702656</t>
        </is>
      </c>
      <c r="AY2385" t="inlineStr">
        <is>
          <t>2270463360002656</t>
        </is>
      </c>
      <c r="AZ2385" t="inlineStr">
        <is>
          <t>BOOK</t>
        </is>
      </c>
      <c r="BB2385" t="inlineStr">
        <is>
          <t>9780299034405</t>
        </is>
      </c>
      <c r="BC2385" t="inlineStr">
        <is>
          <t>32285001984920</t>
        </is>
      </c>
      <c r="BD2385" t="inlineStr">
        <is>
          <t>893438985</t>
        </is>
      </c>
    </row>
    <row r="2386">
      <c r="A2386" t="inlineStr">
        <is>
          <t>No</t>
        </is>
      </c>
      <c r="B2386" t="inlineStr">
        <is>
          <t>DS812 .S47 1994</t>
        </is>
      </c>
      <c r="C2386" t="inlineStr">
        <is>
          <t>0                      DS 0812000S  47          1994</t>
        </is>
      </c>
      <c r="D2386" t="inlineStr">
        <is>
          <t>The old sow in the back room : an Englishwoman in Japan / Harriet Sergeant.</t>
        </is>
      </c>
      <c r="F2386" t="inlineStr">
        <is>
          <t>No</t>
        </is>
      </c>
      <c r="G2386" t="inlineStr">
        <is>
          <t>1</t>
        </is>
      </c>
      <c r="H2386" t="inlineStr">
        <is>
          <t>No</t>
        </is>
      </c>
      <c r="I2386" t="inlineStr">
        <is>
          <t>No</t>
        </is>
      </c>
      <c r="J2386" t="inlineStr">
        <is>
          <t>0</t>
        </is>
      </c>
      <c r="K2386" t="inlineStr">
        <is>
          <t>Sergeant, Harriet.</t>
        </is>
      </c>
      <c r="L2386" t="inlineStr">
        <is>
          <t>London : John Murray, 1994.</t>
        </is>
      </c>
      <c r="M2386" t="inlineStr">
        <is>
          <t>1994</t>
        </is>
      </c>
      <c r="O2386" t="inlineStr">
        <is>
          <t>eng</t>
        </is>
      </c>
      <c r="P2386" t="inlineStr">
        <is>
          <t>enk</t>
        </is>
      </c>
      <c r="R2386" t="inlineStr">
        <is>
          <t xml:space="preserve">DS </t>
        </is>
      </c>
      <c r="S2386" t="n">
        <v>3</v>
      </c>
      <c r="T2386" t="n">
        <v>3</v>
      </c>
      <c r="U2386" t="inlineStr">
        <is>
          <t>1999-04-22</t>
        </is>
      </c>
      <c r="V2386" t="inlineStr">
        <is>
          <t>1999-04-22</t>
        </is>
      </c>
      <c r="W2386" t="inlineStr">
        <is>
          <t>1996-02-16</t>
        </is>
      </c>
      <c r="X2386" t="inlineStr">
        <is>
          <t>1996-02-16</t>
        </is>
      </c>
      <c r="Y2386" t="n">
        <v>207</v>
      </c>
      <c r="Z2386" t="n">
        <v>140</v>
      </c>
      <c r="AA2386" t="n">
        <v>145</v>
      </c>
      <c r="AB2386" t="n">
        <v>1</v>
      </c>
      <c r="AC2386" t="n">
        <v>1</v>
      </c>
      <c r="AD2386" t="n">
        <v>2</v>
      </c>
      <c r="AE2386" t="n">
        <v>2</v>
      </c>
      <c r="AF2386" t="n">
        <v>1</v>
      </c>
      <c r="AG2386" t="n">
        <v>1</v>
      </c>
      <c r="AH2386" t="n">
        <v>0</v>
      </c>
      <c r="AI2386" t="n">
        <v>0</v>
      </c>
      <c r="AJ2386" t="n">
        <v>2</v>
      </c>
      <c r="AK2386" t="n">
        <v>2</v>
      </c>
      <c r="AL2386" t="n">
        <v>0</v>
      </c>
      <c r="AM2386" t="n">
        <v>0</v>
      </c>
      <c r="AN2386" t="n">
        <v>0</v>
      </c>
      <c r="AO2386" t="n">
        <v>0</v>
      </c>
      <c r="AP2386" t="inlineStr">
        <is>
          <t>No</t>
        </is>
      </c>
      <c r="AQ2386" t="inlineStr">
        <is>
          <t>No</t>
        </is>
      </c>
      <c r="AS2386">
        <f>HYPERLINK("https://creighton-primo.hosted.exlibrisgroup.com/primo-explore/search?tab=default_tab&amp;search_scope=EVERYTHING&amp;vid=01CRU&amp;lang=en_US&amp;offset=0&amp;query=any,contains,991002398169702656","Catalog Record")</f>
        <v/>
      </c>
      <c r="AT2386">
        <f>HYPERLINK("http://www.worldcat.org/oclc/41713050","WorldCat Record")</f>
        <v/>
      </c>
      <c r="AU2386" t="inlineStr">
        <is>
          <t>837030064:eng</t>
        </is>
      </c>
      <c r="AV2386" t="inlineStr">
        <is>
          <t>41713050</t>
        </is>
      </c>
      <c r="AW2386" t="inlineStr">
        <is>
          <t>991002398169702656</t>
        </is>
      </c>
      <c r="AX2386" t="inlineStr">
        <is>
          <t>991002398169702656</t>
        </is>
      </c>
      <c r="AY2386" t="inlineStr">
        <is>
          <t>2271764680002656</t>
        </is>
      </c>
      <c r="AZ2386" t="inlineStr">
        <is>
          <t>BOOK</t>
        </is>
      </c>
      <c r="BB2386" t="inlineStr">
        <is>
          <t>9780719551734</t>
        </is>
      </c>
      <c r="BC2386" t="inlineStr">
        <is>
          <t>32285002136322</t>
        </is>
      </c>
      <c r="BD2386" t="inlineStr">
        <is>
          <t>893886224</t>
        </is>
      </c>
    </row>
    <row r="2387">
      <c r="A2387" t="inlineStr">
        <is>
          <t>No</t>
        </is>
      </c>
      <c r="B2387" t="inlineStr">
        <is>
          <t>DS815 .E677 1996</t>
        </is>
      </c>
      <c r="C2387" t="inlineStr">
        <is>
          <t>0                      DS 0815000E  677         1996</t>
        </is>
      </c>
      <c r="D2387" t="inlineStr">
        <is>
          <t>Mitch Epstein, Fire, water, wind : photographs from Tenri = Mitsuchi Epusutain shashinshū, Tenri / foreword by Tenrikyo Doyusha ; afterword by Mitch Epstein.</t>
        </is>
      </c>
      <c r="F2387" t="inlineStr">
        <is>
          <t>No</t>
        </is>
      </c>
      <c r="G2387" t="inlineStr">
        <is>
          <t>1</t>
        </is>
      </c>
      <c r="H2387" t="inlineStr">
        <is>
          <t>No</t>
        </is>
      </c>
      <c r="I2387" t="inlineStr">
        <is>
          <t>No</t>
        </is>
      </c>
      <c r="J2387" t="inlineStr">
        <is>
          <t>0</t>
        </is>
      </c>
      <c r="K2387" t="inlineStr">
        <is>
          <t>Epstein, Mitch, 1952-</t>
        </is>
      </c>
      <c r="L2387" t="inlineStr">
        <is>
          <t>[Tenri-shi] : Tenrikyo Doyusha, 1996.</t>
        </is>
      </c>
      <c r="M2387" t="inlineStr">
        <is>
          <t>1996</t>
        </is>
      </c>
      <c r="O2387" t="inlineStr">
        <is>
          <t>eng</t>
        </is>
      </c>
      <c r="P2387" t="inlineStr">
        <is>
          <t xml:space="preserve">ja </t>
        </is>
      </c>
      <c r="R2387" t="inlineStr">
        <is>
          <t xml:space="preserve">DS </t>
        </is>
      </c>
      <c r="S2387" t="n">
        <v>4</v>
      </c>
      <c r="T2387" t="n">
        <v>4</v>
      </c>
      <c r="U2387" t="inlineStr">
        <is>
          <t>2006-12-06</t>
        </is>
      </c>
      <c r="V2387" t="inlineStr">
        <is>
          <t>2006-12-06</t>
        </is>
      </c>
      <c r="W2387" t="inlineStr">
        <is>
          <t>1998-05-12</t>
        </is>
      </c>
      <c r="X2387" t="inlineStr">
        <is>
          <t>1998-05-12</t>
        </is>
      </c>
      <c r="Y2387" t="n">
        <v>109</v>
      </c>
      <c r="Z2387" t="n">
        <v>101</v>
      </c>
      <c r="AA2387" t="n">
        <v>103</v>
      </c>
      <c r="AB2387" t="n">
        <v>2</v>
      </c>
      <c r="AC2387" t="n">
        <v>2</v>
      </c>
      <c r="AD2387" t="n">
        <v>6</v>
      </c>
      <c r="AE2387" t="n">
        <v>6</v>
      </c>
      <c r="AF2387" t="n">
        <v>2</v>
      </c>
      <c r="AG2387" t="n">
        <v>2</v>
      </c>
      <c r="AH2387" t="n">
        <v>2</v>
      </c>
      <c r="AI2387" t="n">
        <v>2</v>
      </c>
      <c r="AJ2387" t="n">
        <v>3</v>
      </c>
      <c r="AK2387" t="n">
        <v>3</v>
      </c>
      <c r="AL2387" t="n">
        <v>1</v>
      </c>
      <c r="AM2387" t="n">
        <v>1</v>
      </c>
      <c r="AN2387" t="n">
        <v>0</v>
      </c>
      <c r="AO2387" t="n">
        <v>0</v>
      </c>
      <c r="AP2387" t="inlineStr">
        <is>
          <t>No</t>
        </is>
      </c>
      <c r="AQ2387" t="inlineStr">
        <is>
          <t>Yes</t>
        </is>
      </c>
      <c r="AR2387">
        <f>HYPERLINK("http://catalog.hathitrust.org/Record/003345990","HathiTrust Record")</f>
        <v/>
      </c>
      <c r="AS2387">
        <f>HYPERLINK("https://creighton-primo.hosted.exlibrisgroup.com/primo-explore/search?tab=default_tab&amp;search_scope=EVERYTHING&amp;vid=01CRU&amp;lang=en_US&amp;offset=0&amp;query=any,contains,991002711319702656","Catalog Record")</f>
        <v/>
      </c>
      <c r="AT2387">
        <f>HYPERLINK("http://www.worldcat.org/oclc/35554502","WorldCat Record")</f>
        <v/>
      </c>
      <c r="AU2387" t="inlineStr">
        <is>
          <t>230545434:eng</t>
        </is>
      </c>
      <c r="AV2387" t="inlineStr">
        <is>
          <t>35554502</t>
        </is>
      </c>
      <c r="AW2387" t="inlineStr">
        <is>
          <t>991002711319702656</t>
        </is>
      </c>
      <c r="AX2387" t="inlineStr">
        <is>
          <t>991002711319702656</t>
        </is>
      </c>
      <c r="AY2387" t="inlineStr">
        <is>
          <t>2255995490002656</t>
        </is>
      </c>
      <c r="AZ2387" t="inlineStr">
        <is>
          <t>BOOK</t>
        </is>
      </c>
      <c r="BB2387" t="inlineStr">
        <is>
          <t>9784807303717</t>
        </is>
      </c>
      <c r="BC2387" t="inlineStr">
        <is>
          <t>32285003408357</t>
        </is>
      </c>
      <c r="BD2387" t="inlineStr">
        <is>
          <t>893440420</t>
        </is>
      </c>
    </row>
    <row r="2388">
      <c r="A2388" t="inlineStr">
        <is>
          <t>No</t>
        </is>
      </c>
      <c r="B2388" t="inlineStr">
        <is>
          <t>DS815 .M8 1971</t>
        </is>
      </c>
      <c r="C2388" t="inlineStr">
        <is>
          <t>0                      DS 0815000M  8           1971</t>
        </is>
      </c>
      <c r="D2388" t="inlineStr">
        <is>
          <t>Prehistoric Japan / Neil Gordon Munro.</t>
        </is>
      </c>
      <c r="F2388" t="inlineStr">
        <is>
          <t>No</t>
        </is>
      </c>
      <c r="G2388" t="inlineStr">
        <is>
          <t>1</t>
        </is>
      </c>
      <c r="H2388" t="inlineStr">
        <is>
          <t>No</t>
        </is>
      </c>
      <c r="I2388" t="inlineStr">
        <is>
          <t>No</t>
        </is>
      </c>
      <c r="J2388" t="inlineStr">
        <is>
          <t>0</t>
        </is>
      </c>
      <c r="K2388" t="inlineStr">
        <is>
          <t>Munro, Neil Gordon, 1863-1942.</t>
        </is>
      </c>
      <c r="L2388" t="inlineStr">
        <is>
          <t>New York : Johnson Reprint Corp., 1971.</t>
        </is>
      </c>
      <c r="M2388" t="inlineStr">
        <is>
          <t>1971</t>
        </is>
      </c>
      <c r="O2388" t="inlineStr">
        <is>
          <t>eng</t>
        </is>
      </c>
      <c r="P2388" t="inlineStr">
        <is>
          <t>nyu</t>
        </is>
      </c>
      <c r="R2388" t="inlineStr">
        <is>
          <t xml:space="preserve">DS </t>
        </is>
      </c>
      <c r="S2388" t="n">
        <v>3</v>
      </c>
      <c r="T2388" t="n">
        <v>3</v>
      </c>
      <c r="U2388" t="inlineStr">
        <is>
          <t>1996-11-12</t>
        </is>
      </c>
      <c r="V2388" t="inlineStr">
        <is>
          <t>1996-11-12</t>
        </is>
      </c>
      <c r="W2388" t="inlineStr">
        <is>
          <t>1990-10-29</t>
        </is>
      </c>
      <c r="X2388" t="inlineStr">
        <is>
          <t>1990-10-29</t>
        </is>
      </c>
      <c r="Y2388" t="n">
        <v>107</v>
      </c>
      <c r="Z2388" t="n">
        <v>95</v>
      </c>
      <c r="AA2388" t="n">
        <v>190</v>
      </c>
      <c r="AB2388" t="n">
        <v>2</v>
      </c>
      <c r="AC2388" t="n">
        <v>3</v>
      </c>
      <c r="AD2388" t="n">
        <v>4</v>
      </c>
      <c r="AE2388" t="n">
        <v>6</v>
      </c>
      <c r="AF2388" t="n">
        <v>0</v>
      </c>
      <c r="AG2388" t="n">
        <v>0</v>
      </c>
      <c r="AH2388" t="n">
        <v>1</v>
      </c>
      <c r="AI2388" t="n">
        <v>1</v>
      </c>
      <c r="AJ2388" t="n">
        <v>3</v>
      </c>
      <c r="AK2388" t="n">
        <v>4</v>
      </c>
      <c r="AL2388" t="n">
        <v>1</v>
      </c>
      <c r="AM2388" t="n">
        <v>2</v>
      </c>
      <c r="AN2388" t="n">
        <v>0</v>
      </c>
      <c r="AO2388" t="n">
        <v>0</v>
      </c>
      <c r="AP2388" t="inlineStr">
        <is>
          <t>No</t>
        </is>
      </c>
      <c r="AQ2388" t="inlineStr">
        <is>
          <t>Yes</t>
        </is>
      </c>
      <c r="AR2388">
        <f>HYPERLINK("http://catalog.hathitrust.org/Record/006035341","HathiTrust Record")</f>
        <v/>
      </c>
      <c r="AS2388">
        <f>HYPERLINK("https://creighton-primo.hosted.exlibrisgroup.com/primo-explore/search?tab=default_tab&amp;search_scope=EVERYTHING&amp;vid=01CRU&amp;lang=en_US&amp;offset=0&amp;query=any,contains,991002273039702656","Catalog Record")</f>
        <v/>
      </c>
      <c r="AT2388">
        <f>HYPERLINK("http://www.worldcat.org/oclc/309063","WorldCat Record")</f>
        <v/>
      </c>
      <c r="AU2388" t="inlineStr">
        <is>
          <t>1083429:eng</t>
        </is>
      </c>
      <c r="AV2388" t="inlineStr">
        <is>
          <t>309063</t>
        </is>
      </c>
      <c r="AW2388" t="inlineStr">
        <is>
          <t>991002273039702656</t>
        </is>
      </c>
      <c r="AX2388" t="inlineStr">
        <is>
          <t>991002273039702656</t>
        </is>
      </c>
      <c r="AY2388" t="inlineStr">
        <is>
          <t>2264704080002656</t>
        </is>
      </c>
      <c r="AZ2388" t="inlineStr">
        <is>
          <t>BOOK</t>
        </is>
      </c>
      <c r="BC2388" t="inlineStr">
        <is>
          <t>32285000339647</t>
        </is>
      </c>
      <c r="BD2388" t="inlineStr">
        <is>
          <t>893421148</t>
        </is>
      </c>
    </row>
    <row r="2389">
      <c r="A2389" t="inlineStr">
        <is>
          <t>No</t>
        </is>
      </c>
      <c r="B2389" t="inlineStr">
        <is>
          <t>DS821 .B46 1954</t>
        </is>
      </c>
      <c r="C2389" t="inlineStr">
        <is>
          <t>0                      DS 0821000B  46          1954</t>
        </is>
      </c>
      <c r="D2389" t="inlineStr">
        <is>
          <t>The chrysanthemum and the sword : patterns of Japanese culture / by Ruth Benedict.</t>
        </is>
      </c>
      <c r="F2389" t="inlineStr">
        <is>
          <t>No</t>
        </is>
      </c>
      <c r="G2389" t="inlineStr">
        <is>
          <t>1</t>
        </is>
      </c>
      <c r="H2389" t="inlineStr">
        <is>
          <t>No</t>
        </is>
      </c>
      <c r="I2389" t="inlineStr">
        <is>
          <t>No</t>
        </is>
      </c>
      <c r="J2389" t="inlineStr">
        <is>
          <t>0</t>
        </is>
      </c>
      <c r="K2389" t="inlineStr">
        <is>
          <t>Benedict, Ruth, 1887-1948.</t>
        </is>
      </c>
      <c r="L2389" t="inlineStr">
        <is>
          <t>Rutland, Vt. ; Tokyo : C.E. Tuttle, 1954, c1946, 1981 printing.</t>
        </is>
      </c>
      <c r="M2389" t="inlineStr">
        <is>
          <t>1973</t>
        </is>
      </c>
      <c r="N2389" t="inlineStr">
        <is>
          <t>1st Tuttle ed.</t>
        </is>
      </c>
      <c r="O2389" t="inlineStr">
        <is>
          <t>eng</t>
        </is>
      </c>
      <c r="P2389" t="inlineStr">
        <is>
          <t xml:space="preserve">xx </t>
        </is>
      </c>
      <c r="R2389" t="inlineStr">
        <is>
          <t xml:space="preserve">DS </t>
        </is>
      </c>
      <c r="S2389" t="n">
        <v>6</v>
      </c>
      <c r="T2389" t="n">
        <v>6</v>
      </c>
      <c r="U2389" t="inlineStr">
        <is>
          <t>1996-05-13</t>
        </is>
      </c>
      <c r="V2389" t="inlineStr">
        <is>
          <t>1996-05-13</t>
        </is>
      </c>
      <c r="W2389" t="inlineStr">
        <is>
          <t>1990-02-13</t>
        </is>
      </c>
      <c r="X2389" t="inlineStr">
        <is>
          <t>1990-02-13</t>
        </is>
      </c>
      <c r="Y2389" t="n">
        <v>25</v>
      </c>
      <c r="Z2389" t="n">
        <v>15</v>
      </c>
      <c r="AA2389" t="n">
        <v>2334</v>
      </c>
      <c r="AB2389" t="n">
        <v>1</v>
      </c>
      <c r="AC2389" t="n">
        <v>15</v>
      </c>
      <c r="AD2389" t="n">
        <v>0</v>
      </c>
      <c r="AE2389" t="n">
        <v>64</v>
      </c>
      <c r="AF2389" t="n">
        <v>0</v>
      </c>
      <c r="AG2389" t="n">
        <v>26</v>
      </c>
      <c r="AH2389" t="n">
        <v>0</v>
      </c>
      <c r="AI2389" t="n">
        <v>11</v>
      </c>
      <c r="AJ2389" t="n">
        <v>0</v>
      </c>
      <c r="AK2389" t="n">
        <v>27</v>
      </c>
      <c r="AL2389" t="n">
        <v>0</v>
      </c>
      <c r="AM2389" t="n">
        <v>13</v>
      </c>
      <c r="AN2389" t="n">
        <v>0</v>
      </c>
      <c r="AO2389" t="n">
        <v>1</v>
      </c>
      <c r="AP2389" t="inlineStr">
        <is>
          <t>No</t>
        </is>
      </c>
      <c r="AQ2389" t="inlineStr">
        <is>
          <t>Yes</t>
        </is>
      </c>
      <c r="AR2389">
        <f>HYPERLINK("http://catalog.hathitrust.org/Record/102066531","HathiTrust Record")</f>
        <v/>
      </c>
      <c r="AS2389">
        <f>HYPERLINK("https://creighton-primo.hosted.exlibrisgroup.com/primo-explore/search?tab=default_tab&amp;search_scope=EVERYTHING&amp;vid=01CRU&amp;lang=en_US&amp;offset=0&amp;query=any,contains,991003923849702656","Catalog Record")</f>
        <v/>
      </c>
      <c r="AT2389">
        <f>HYPERLINK("http://www.worldcat.org/oclc/1878123","WorldCat Record")</f>
        <v/>
      </c>
      <c r="AU2389" t="inlineStr">
        <is>
          <t>3943280230:eng</t>
        </is>
      </c>
      <c r="AV2389" t="inlineStr">
        <is>
          <t>1878123</t>
        </is>
      </c>
      <c r="AW2389" t="inlineStr">
        <is>
          <t>991003923849702656</t>
        </is>
      </c>
      <c r="AX2389" t="inlineStr">
        <is>
          <t>991003923849702656</t>
        </is>
      </c>
      <c r="AY2389" t="inlineStr">
        <is>
          <t>2260249380002656</t>
        </is>
      </c>
      <c r="AZ2389" t="inlineStr">
        <is>
          <t>BOOK</t>
        </is>
      </c>
      <c r="BC2389" t="inlineStr">
        <is>
          <t>32285000050608</t>
        </is>
      </c>
      <c r="BD2389" t="inlineStr">
        <is>
          <t>893240793</t>
        </is>
      </c>
    </row>
    <row r="2390">
      <c r="A2390" t="inlineStr">
        <is>
          <t>No</t>
        </is>
      </c>
      <c r="B2390" t="inlineStr">
        <is>
          <t>DS821 .B796 1984</t>
        </is>
      </c>
      <c r="C2390" t="inlineStr">
        <is>
          <t>0                      DS 0821000B  796         1984</t>
        </is>
      </c>
      <c r="D2390" t="inlineStr">
        <is>
          <t>Behind the mask : on sexual demons, sacred mothers, transvestites, gangsters, drifters and other Japanese cultural heroes / Ian Buruma.</t>
        </is>
      </c>
      <c r="F2390" t="inlineStr">
        <is>
          <t>No</t>
        </is>
      </c>
      <c r="G2390" t="inlineStr">
        <is>
          <t>1</t>
        </is>
      </c>
      <c r="H2390" t="inlineStr">
        <is>
          <t>No</t>
        </is>
      </c>
      <c r="I2390" t="inlineStr">
        <is>
          <t>No</t>
        </is>
      </c>
      <c r="J2390" t="inlineStr">
        <is>
          <t>0</t>
        </is>
      </c>
      <c r="K2390" t="inlineStr">
        <is>
          <t>Buruma, Ian.</t>
        </is>
      </c>
      <c r="L2390" t="inlineStr">
        <is>
          <t>New York : Pantheon Books, c1984.</t>
        </is>
      </c>
      <c r="M2390" t="inlineStr">
        <is>
          <t>1984</t>
        </is>
      </c>
      <c r="N2390" t="inlineStr">
        <is>
          <t>1st American ed.</t>
        </is>
      </c>
      <c r="O2390" t="inlineStr">
        <is>
          <t>eng</t>
        </is>
      </c>
      <c r="P2390" t="inlineStr">
        <is>
          <t>nyu</t>
        </is>
      </c>
      <c r="R2390" t="inlineStr">
        <is>
          <t xml:space="preserve">DS </t>
        </is>
      </c>
      <c r="S2390" t="n">
        <v>1</v>
      </c>
      <c r="T2390" t="n">
        <v>1</v>
      </c>
      <c r="U2390" t="inlineStr">
        <is>
          <t>2007-05-23</t>
        </is>
      </c>
      <c r="V2390" t="inlineStr">
        <is>
          <t>2007-05-23</t>
        </is>
      </c>
      <c r="W2390" t="inlineStr">
        <is>
          <t>2007-05-23</t>
        </is>
      </c>
      <c r="X2390" t="inlineStr">
        <is>
          <t>2007-05-23</t>
        </is>
      </c>
      <c r="Y2390" t="n">
        <v>382</v>
      </c>
      <c r="Z2390" t="n">
        <v>348</v>
      </c>
      <c r="AA2390" t="n">
        <v>558</v>
      </c>
      <c r="AB2390" t="n">
        <v>3</v>
      </c>
      <c r="AC2390" t="n">
        <v>5</v>
      </c>
      <c r="AD2390" t="n">
        <v>12</v>
      </c>
      <c r="AE2390" t="n">
        <v>23</v>
      </c>
      <c r="AF2390" t="n">
        <v>4</v>
      </c>
      <c r="AG2390" t="n">
        <v>12</v>
      </c>
      <c r="AH2390" t="n">
        <v>4</v>
      </c>
      <c r="AI2390" t="n">
        <v>4</v>
      </c>
      <c r="AJ2390" t="n">
        <v>7</v>
      </c>
      <c r="AK2390" t="n">
        <v>13</v>
      </c>
      <c r="AL2390" t="n">
        <v>2</v>
      </c>
      <c r="AM2390" t="n">
        <v>3</v>
      </c>
      <c r="AN2390" t="n">
        <v>0</v>
      </c>
      <c r="AO2390" t="n">
        <v>0</v>
      </c>
      <c r="AP2390" t="inlineStr">
        <is>
          <t>No</t>
        </is>
      </c>
      <c r="AQ2390" t="inlineStr">
        <is>
          <t>Yes</t>
        </is>
      </c>
      <c r="AR2390">
        <f>HYPERLINK("http://catalog.hathitrust.org/Record/007118978","HathiTrust Record")</f>
        <v/>
      </c>
      <c r="AS2390">
        <f>HYPERLINK("https://creighton-primo.hosted.exlibrisgroup.com/primo-explore/search?tab=default_tab&amp;search_scope=EVERYTHING&amp;vid=01CRU&amp;lang=en_US&amp;offset=0&amp;query=any,contains,991005081329702656","Catalog Record")</f>
        <v/>
      </c>
      <c r="AT2390">
        <f>HYPERLINK("http://www.worldcat.org/oclc/10207702","WorldCat Record")</f>
        <v/>
      </c>
      <c r="AU2390" t="inlineStr">
        <is>
          <t>2840656493:eng</t>
        </is>
      </c>
      <c r="AV2390" t="inlineStr">
        <is>
          <t>10207702</t>
        </is>
      </c>
      <c r="AW2390" t="inlineStr">
        <is>
          <t>991005081329702656</t>
        </is>
      </c>
      <c r="AX2390" t="inlineStr">
        <is>
          <t>991005081329702656</t>
        </is>
      </c>
      <c r="AY2390" t="inlineStr">
        <is>
          <t>2265092060002656</t>
        </is>
      </c>
      <c r="AZ2390" t="inlineStr">
        <is>
          <t>BOOK</t>
        </is>
      </c>
      <c r="BB2390" t="inlineStr">
        <is>
          <t>9780394537757</t>
        </is>
      </c>
      <c r="BC2390" t="inlineStr">
        <is>
          <t>32285005313555</t>
        </is>
      </c>
      <c r="BD2390" t="inlineStr">
        <is>
          <t>893443371</t>
        </is>
      </c>
    </row>
    <row r="2391">
      <c r="A2391" t="inlineStr">
        <is>
          <t>No</t>
        </is>
      </c>
      <c r="B2391" t="inlineStr">
        <is>
          <t>DS821 .C587 1983</t>
        </is>
      </c>
      <c r="C2391" t="inlineStr">
        <is>
          <t>0                      DS 0821000C  587         1983</t>
        </is>
      </c>
      <c r="D2391" t="inlineStr">
        <is>
          <t>The Japanese mind : the Goliath explained / Robert C. Christopher.</t>
        </is>
      </c>
      <c r="F2391" t="inlineStr">
        <is>
          <t>No</t>
        </is>
      </c>
      <c r="G2391" t="inlineStr">
        <is>
          <t>1</t>
        </is>
      </c>
      <c r="H2391" t="inlineStr">
        <is>
          <t>No</t>
        </is>
      </c>
      <c r="I2391" t="inlineStr">
        <is>
          <t>No</t>
        </is>
      </c>
      <c r="J2391" t="inlineStr">
        <is>
          <t>0</t>
        </is>
      </c>
      <c r="K2391" t="inlineStr">
        <is>
          <t>Christopher, Robert C., 1924-1992.</t>
        </is>
      </c>
      <c r="L2391" t="inlineStr">
        <is>
          <t>New York : Linden Press/Simon &amp; Schuster, 1983.</t>
        </is>
      </c>
      <c r="M2391" t="inlineStr">
        <is>
          <t>1983</t>
        </is>
      </c>
      <c r="O2391" t="inlineStr">
        <is>
          <t>eng</t>
        </is>
      </c>
      <c r="P2391" t="inlineStr">
        <is>
          <t>nyu</t>
        </is>
      </c>
      <c r="R2391" t="inlineStr">
        <is>
          <t xml:space="preserve">DS </t>
        </is>
      </c>
      <c r="S2391" t="n">
        <v>5</v>
      </c>
      <c r="T2391" t="n">
        <v>5</v>
      </c>
      <c r="U2391" t="inlineStr">
        <is>
          <t>1994-11-04</t>
        </is>
      </c>
      <c r="V2391" t="inlineStr">
        <is>
          <t>1994-11-04</t>
        </is>
      </c>
      <c r="W2391" t="inlineStr">
        <is>
          <t>1990-02-12</t>
        </is>
      </c>
      <c r="X2391" t="inlineStr">
        <is>
          <t>1990-02-12</t>
        </is>
      </c>
      <c r="Y2391" t="n">
        <v>1540</v>
      </c>
      <c r="Z2391" t="n">
        <v>1404</v>
      </c>
      <c r="AA2391" t="n">
        <v>1657</v>
      </c>
      <c r="AB2391" t="n">
        <v>5</v>
      </c>
      <c r="AC2391" t="n">
        <v>10</v>
      </c>
      <c r="AD2391" t="n">
        <v>37</v>
      </c>
      <c r="AE2391" t="n">
        <v>48</v>
      </c>
      <c r="AF2391" t="n">
        <v>18</v>
      </c>
      <c r="AG2391" t="n">
        <v>23</v>
      </c>
      <c r="AH2391" t="n">
        <v>7</v>
      </c>
      <c r="AI2391" t="n">
        <v>9</v>
      </c>
      <c r="AJ2391" t="n">
        <v>19</v>
      </c>
      <c r="AK2391" t="n">
        <v>23</v>
      </c>
      <c r="AL2391" t="n">
        <v>3</v>
      </c>
      <c r="AM2391" t="n">
        <v>6</v>
      </c>
      <c r="AN2391" t="n">
        <v>0</v>
      </c>
      <c r="AO2391" t="n">
        <v>0</v>
      </c>
      <c r="AP2391" t="inlineStr">
        <is>
          <t>No</t>
        </is>
      </c>
      <c r="AQ2391" t="inlineStr">
        <is>
          <t>Yes</t>
        </is>
      </c>
      <c r="AR2391">
        <f>HYPERLINK("http://catalog.hathitrust.org/Record/000234682","HathiTrust Record")</f>
        <v/>
      </c>
      <c r="AS2391">
        <f>HYPERLINK("https://creighton-primo.hosted.exlibrisgroup.com/primo-explore/search?tab=default_tab&amp;search_scope=EVERYTHING&amp;vid=01CRU&amp;lang=en_US&amp;offset=0&amp;query=any,contains,991000144999702656","Catalog Record")</f>
        <v/>
      </c>
      <c r="AT2391">
        <f>HYPERLINK("http://www.worldcat.org/oclc/9193926","WorldCat Record")</f>
        <v/>
      </c>
      <c r="AU2391" t="inlineStr">
        <is>
          <t>3852780:eng</t>
        </is>
      </c>
      <c r="AV2391" t="inlineStr">
        <is>
          <t>9193926</t>
        </is>
      </c>
      <c r="AW2391" t="inlineStr">
        <is>
          <t>991000144999702656</t>
        </is>
      </c>
      <c r="AX2391" t="inlineStr">
        <is>
          <t>991000144999702656</t>
        </is>
      </c>
      <c r="AY2391" t="inlineStr">
        <is>
          <t>2267922550002656</t>
        </is>
      </c>
      <c r="AZ2391" t="inlineStr">
        <is>
          <t>BOOK</t>
        </is>
      </c>
      <c r="BB2391" t="inlineStr">
        <is>
          <t>9780671449476</t>
        </is>
      </c>
      <c r="BC2391" t="inlineStr">
        <is>
          <t>32285000045814</t>
        </is>
      </c>
      <c r="BD2391" t="inlineStr">
        <is>
          <t>893351444</t>
        </is>
      </c>
    </row>
    <row r="2392">
      <c r="A2392" t="inlineStr">
        <is>
          <t>No</t>
        </is>
      </c>
      <c r="B2392" t="inlineStr">
        <is>
          <t>DS821 .C59 1978</t>
        </is>
      </c>
      <c r="C2392" t="inlineStr">
        <is>
          <t>0                      DS 0821000C  59          1978</t>
        </is>
      </c>
      <c r="D2392" t="inlineStr">
        <is>
          <t>Japanese and Americans : cultural parallels and paradoxes / by Charles Grinnell Cleaver.</t>
        </is>
      </c>
      <c r="F2392" t="inlineStr">
        <is>
          <t>No</t>
        </is>
      </c>
      <c r="G2392" t="inlineStr">
        <is>
          <t>1</t>
        </is>
      </c>
      <c r="H2392" t="inlineStr">
        <is>
          <t>No</t>
        </is>
      </c>
      <c r="I2392" t="inlineStr">
        <is>
          <t>No</t>
        </is>
      </c>
      <c r="J2392" t="inlineStr">
        <is>
          <t>0</t>
        </is>
      </c>
      <c r="K2392" t="inlineStr">
        <is>
          <t>Cleaver, Charles Grinnell.</t>
        </is>
      </c>
      <c r="L2392" t="inlineStr">
        <is>
          <t>Tokyo : C. E. Tuttle, 1978</t>
        </is>
      </c>
      <c r="M2392" t="inlineStr">
        <is>
          <t>1978</t>
        </is>
      </c>
      <c r="N2392" t="inlineStr">
        <is>
          <t>1st Tuttle ed.</t>
        </is>
      </c>
      <c r="O2392" t="inlineStr">
        <is>
          <t>eng</t>
        </is>
      </c>
      <c r="P2392" t="inlineStr">
        <is>
          <t xml:space="preserve">ja </t>
        </is>
      </c>
      <c r="Q2392" t="inlineStr">
        <is>
          <t>Tut books</t>
        </is>
      </c>
      <c r="R2392" t="inlineStr">
        <is>
          <t xml:space="preserve">DS </t>
        </is>
      </c>
      <c r="S2392" t="n">
        <v>8</v>
      </c>
      <c r="T2392" t="n">
        <v>8</v>
      </c>
      <c r="U2392" t="inlineStr">
        <is>
          <t>1997-04-17</t>
        </is>
      </c>
      <c r="V2392" t="inlineStr">
        <is>
          <t>1997-04-17</t>
        </is>
      </c>
      <c r="W2392" t="inlineStr">
        <is>
          <t>1990-04-04</t>
        </is>
      </c>
      <c r="X2392" t="inlineStr">
        <is>
          <t>1990-04-04</t>
        </is>
      </c>
      <c r="Y2392" t="n">
        <v>35</v>
      </c>
      <c r="Z2392" t="n">
        <v>22</v>
      </c>
      <c r="AA2392" t="n">
        <v>899</v>
      </c>
      <c r="AB2392" t="n">
        <v>1</v>
      </c>
      <c r="AC2392" t="n">
        <v>8</v>
      </c>
      <c r="AD2392" t="n">
        <v>3</v>
      </c>
      <c r="AE2392" t="n">
        <v>44</v>
      </c>
      <c r="AF2392" t="n">
        <v>3</v>
      </c>
      <c r="AG2392" t="n">
        <v>19</v>
      </c>
      <c r="AH2392" t="n">
        <v>0</v>
      </c>
      <c r="AI2392" t="n">
        <v>9</v>
      </c>
      <c r="AJ2392" t="n">
        <v>1</v>
      </c>
      <c r="AK2392" t="n">
        <v>18</v>
      </c>
      <c r="AL2392" t="n">
        <v>0</v>
      </c>
      <c r="AM2392" t="n">
        <v>7</v>
      </c>
      <c r="AN2392" t="n">
        <v>0</v>
      </c>
      <c r="AO2392" t="n">
        <v>1</v>
      </c>
      <c r="AP2392" t="inlineStr">
        <is>
          <t>No</t>
        </is>
      </c>
      <c r="AQ2392" t="inlineStr">
        <is>
          <t>No</t>
        </is>
      </c>
      <c r="AS2392">
        <f>HYPERLINK("https://creighton-primo.hosted.exlibrisgroup.com/primo-explore/search?tab=default_tab&amp;search_scope=EVERYTHING&amp;vid=01CRU&amp;lang=en_US&amp;offset=0&amp;query=any,contains,991005201019702656","Catalog Record")</f>
        <v/>
      </c>
      <c r="AT2392">
        <f>HYPERLINK("http://www.worldcat.org/oclc/8078082","WorldCat Record")</f>
        <v/>
      </c>
      <c r="AU2392" t="inlineStr">
        <is>
          <t>803194899:eng</t>
        </is>
      </c>
      <c r="AV2392" t="inlineStr">
        <is>
          <t>8078082</t>
        </is>
      </c>
      <c r="AW2392" t="inlineStr">
        <is>
          <t>991005201019702656</t>
        </is>
      </c>
      <c r="AX2392" t="inlineStr">
        <is>
          <t>991005201019702656</t>
        </is>
      </c>
      <c r="AY2392" t="inlineStr">
        <is>
          <t>2257583960002656</t>
        </is>
      </c>
      <c r="AZ2392" t="inlineStr">
        <is>
          <t>BOOK</t>
        </is>
      </c>
      <c r="BC2392" t="inlineStr">
        <is>
          <t>32285000109479</t>
        </is>
      </c>
      <c r="BD2392" t="inlineStr">
        <is>
          <t>893326354</t>
        </is>
      </c>
    </row>
    <row r="2393">
      <c r="A2393" t="inlineStr">
        <is>
          <t>No</t>
        </is>
      </c>
      <c r="B2393" t="inlineStr">
        <is>
          <t>DS821 .C62 1988</t>
        </is>
      </c>
      <c r="C2393" t="inlineStr">
        <is>
          <t>0                      DS 0821000C  62          1988</t>
        </is>
      </c>
      <c r="D2393" t="inlineStr">
        <is>
          <t>Cultural atlas of Japan / by Martin Collcutt, Marius Jansen, and Isao Kumakura.</t>
        </is>
      </c>
      <c r="F2393" t="inlineStr">
        <is>
          <t>No</t>
        </is>
      </c>
      <c r="G2393" t="inlineStr">
        <is>
          <t>1</t>
        </is>
      </c>
      <c r="H2393" t="inlineStr">
        <is>
          <t>No</t>
        </is>
      </c>
      <c r="I2393" t="inlineStr">
        <is>
          <t>No</t>
        </is>
      </c>
      <c r="J2393" t="inlineStr">
        <is>
          <t>0</t>
        </is>
      </c>
      <c r="K2393" t="inlineStr">
        <is>
          <t>Collcutt, Martin, 1939-</t>
        </is>
      </c>
      <c r="L2393" t="inlineStr">
        <is>
          <t>New York : Facts on File, 1988.</t>
        </is>
      </c>
      <c r="M2393" t="inlineStr">
        <is>
          <t>1988</t>
        </is>
      </c>
      <c r="O2393" t="inlineStr">
        <is>
          <t>eng</t>
        </is>
      </c>
      <c r="P2393" t="inlineStr">
        <is>
          <t>nyu</t>
        </is>
      </c>
      <c r="R2393" t="inlineStr">
        <is>
          <t xml:space="preserve">DS </t>
        </is>
      </c>
      <c r="S2393" t="n">
        <v>5</v>
      </c>
      <c r="T2393" t="n">
        <v>5</v>
      </c>
      <c r="U2393" t="inlineStr">
        <is>
          <t>2009-02-04</t>
        </is>
      </c>
      <c r="V2393" t="inlineStr">
        <is>
          <t>2009-02-04</t>
        </is>
      </c>
      <c r="W2393" t="inlineStr">
        <is>
          <t>1999-01-19</t>
        </is>
      </c>
      <c r="X2393" t="inlineStr">
        <is>
          <t>1999-01-19</t>
        </is>
      </c>
      <c r="Y2393" t="n">
        <v>1577</v>
      </c>
      <c r="Z2393" t="n">
        <v>1403</v>
      </c>
      <c r="AA2393" t="n">
        <v>1452</v>
      </c>
      <c r="AB2393" t="n">
        <v>16</v>
      </c>
      <c r="AC2393" t="n">
        <v>16</v>
      </c>
      <c r="AD2393" t="n">
        <v>42</v>
      </c>
      <c r="AE2393" t="n">
        <v>42</v>
      </c>
      <c r="AF2393" t="n">
        <v>14</v>
      </c>
      <c r="AG2393" t="n">
        <v>14</v>
      </c>
      <c r="AH2393" t="n">
        <v>8</v>
      </c>
      <c r="AI2393" t="n">
        <v>8</v>
      </c>
      <c r="AJ2393" t="n">
        <v>16</v>
      </c>
      <c r="AK2393" t="n">
        <v>16</v>
      </c>
      <c r="AL2393" t="n">
        <v>11</v>
      </c>
      <c r="AM2393" t="n">
        <v>11</v>
      </c>
      <c r="AN2393" t="n">
        <v>0</v>
      </c>
      <c r="AO2393" t="n">
        <v>0</v>
      </c>
      <c r="AP2393" t="inlineStr">
        <is>
          <t>No</t>
        </is>
      </c>
      <c r="AQ2393" t="inlineStr">
        <is>
          <t>No</t>
        </is>
      </c>
      <c r="AS2393">
        <f>HYPERLINK("https://creighton-primo.hosted.exlibrisgroup.com/primo-explore/search?tab=default_tab&amp;search_scope=EVERYTHING&amp;vid=01CRU&amp;lang=en_US&amp;offset=0&amp;query=any,contains,991001236869702656","Catalog Record")</f>
        <v/>
      </c>
      <c r="AT2393">
        <f>HYPERLINK("http://www.worldcat.org/oclc/17551659","WorldCat Record")</f>
        <v/>
      </c>
      <c r="AU2393" t="inlineStr">
        <is>
          <t>6444355:eng</t>
        </is>
      </c>
      <c r="AV2393" t="inlineStr">
        <is>
          <t>17551659</t>
        </is>
      </c>
      <c r="AW2393" t="inlineStr">
        <is>
          <t>991001236869702656</t>
        </is>
      </c>
      <c r="AX2393" t="inlineStr">
        <is>
          <t>991001236869702656</t>
        </is>
      </c>
      <c r="AY2393" t="inlineStr">
        <is>
          <t>2263312580002656</t>
        </is>
      </c>
      <c r="AZ2393" t="inlineStr">
        <is>
          <t>BOOK</t>
        </is>
      </c>
      <c r="BB2393" t="inlineStr">
        <is>
          <t>9780816019274</t>
        </is>
      </c>
      <c r="BC2393" t="inlineStr">
        <is>
          <t>32285003513594</t>
        </is>
      </c>
      <c r="BD2393" t="inlineStr">
        <is>
          <t>893715289</t>
        </is>
      </c>
    </row>
    <row r="2394">
      <c r="A2394" t="inlineStr">
        <is>
          <t>No</t>
        </is>
      </c>
      <c r="B2394" t="inlineStr">
        <is>
          <t>DS821 .C633 1984</t>
        </is>
      </c>
      <c r="C2394" t="inlineStr">
        <is>
          <t>0                      DS 0821000C  633         1984</t>
        </is>
      </c>
      <c r="D2394" t="inlineStr">
        <is>
          <t>With respect to the Japanese : a guide for Americans / John C. Condon ; foreword by Kohei Gōshi.</t>
        </is>
      </c>
      <c r="F2394" t="inlineStr">
        <is>
          <t>No</t>
        </is>
      </c>
      <c r="G2394" t="inlineStr">
        <is>
          <t>1</t>
        </is>
      </c>
      <c r="H2394" t="inlineStr">
        <is>
          <t>No</t>
        </is>
      </c>
      <c r="I2394" t="inlineStr">
        <is>
          <t>No</t>
        </is>
      </c>
      <c r="J2394" t="inlineStr">
        <is>
          <t>0</t>
        </is>
      </c>
      <c r="K2394" t="inlineStr">
        <is>
          <t>Condon, John C.</t>
        </is>
      </c>
      <c r="L2394" t="inlineStr">
        <is>
          <t>Yarmouth, Me. : Intercultural Press, c1984.</t>
        </is>
      </c>
      <c r="M2394" t="inlineStr">
        <is>
          <t>1984</t>
        </is>
      </c>
      <c r="O2394" t="inlineStr">
        <is>
          <t>eng</t>
        </is>
      </c>
      <c r="P2394" t="inlineStr">
        <is>
          <t>meu</t>
        </is>
      </c>
      <c r="Q2394" t="inlineStr">
        <is>
          <t>InterAct series</t>
        </is>
      </c>
      <c r="R2394" t="inlineStr">
        <is>
          <t xml:space="preserve">DS </t>
        </is>
      </c>
      <c r="S2394" t="n">
        <v>23</v>
      </c>
      <c r="T2394" t="n">
        <v>23</v>
      </c>
      <c r="U2394" t="inlineStr">
        <is>
          <t>1998-05-06</t>
        </is>
      </c>
      <c r="V2394" t="inlineStr">
        <is>
          <t>1998-05-06</t>
        </is>
      </c>
      <c r="W2394" t="inlineStr">
        <is>
          <t>1992-11-30</t>
        </is>
      </c>
      <c r="X2394" t="inlineStr">
        <is>
          <t>1992-11-30</t>
        </is>
      </c>
      <c r="Y2394" t="n">
        <v>803</v>
      </c>
      <c r="Z2394" t="n">
        <v>723</v>
      </c>
      <c r="AA2394" t="n">
        <v>995</v>
      </c>
      <c r="AB2394" t="n">
        <v>7</v>
      </c>
      <c r="AC2394" t="n">
        <v>8</v>
      </c>
      <c r="AD2394" t="n">
        <v>31</v>
      </c>
      <c r="AE2394" t="n">
        <v>33</v>
      </c>
      <c r="AF2394" t="n">
        <v>14</v>
      </c>
      <c r="AG2394" t="n">
        <v>15</v>
      </c>
      <c r="AH2394" t="n">
        <v>5</v>
      </c>
      <c r="AI2394" t="n">
        <v>5</v>
      </c>
      <c r="AJ2394" t="n">
        <v>13</v>
      </c>
      <c r="AK2394" t="n">
        <v>14</v>
      </c>
      <c r="AL2394" t="n">
        <v>5</v>
      </c>
      <c r="AM2394" t="n">
        <v>6</v>
      </c>
      <c r="AN2394" t="n">
        <v>1</v>
      </c>
      <c r="AO2394" t="n">
        <v>1</v>
      </c>
      <c r="AP2394" t="inlineStr">
        <is>
          <t>No</t>
        </is>
      </c>
      <c r="AQ2394" t="inlineStr">
        <is>
          <t>Yes</t>
        </is>
      </c>
      <c r="AR2394">
        <f>HYPERLINK("http://catalog.hathitrust.org/Record/007173643","HathiTrust Record")</f>
        <v/>
      </c>
      <c r="AS2394">
        <f>HYPERLINK("https://creighton-primo.hosted.exlibrisgroup.com/primo-explore/search?tab=default_tab&amp;search_scope=EVERYTHING&amp;vid=01CRU&amp;lang=en_US&amp;offset=0&amp;query=any,contains,991000544229702656","Catalog Record")</f>
        <v/>
      </c>
      <c r="AT2394">
        <f>HYPERLINK("http://www.worldcat.org/oclc/11504809","WorldCat Record")</f>
        <v/>
      </c>
      <c r="AU2394" t="inlineStr">
        <is>
          <t>4095444408:eng</t>
        </is>
      </c>
      <c r="AV2394" t="inlineStr">
        <is>
          <t>11504809</t>
        </is>
      </c>
      <c r="AW2394" t="inlineStr">
        <is>
          <t>991000544229702656</t>
        </is>
      </c>
      <c r="AX2394" t="inlineStr">
        <is>
          <t>991000544229702656</t>
        </is>
      </c>
      <c r="AY2394" t="inlineStr">
        <is>
          <t>2270238070002656</t>
        </is>
      </c>
      <c r="AZ2394" t="inlineStr">
        <is>
          <t>BOOK</t>
        </is>
      </c>
      <c r="BB2394" t="inlineStr">
        <is>
          <t>9780933662490</t>
        </is>
      </c>
      <c r="BC2394" t="inlineStr">
        <is>
          <t>32285001400497</t>
        </is>
      </c>
      <c r="BD2394" t="inlineStr">
        <is>
          <t>893601844</t>
        </is>
      </c>
    </row>
    <row r="2395">
      <c r="A2395" t="inlineStr">
        <is>
          <t>No</t>
        </is>
      </c>
      <c r="B2395" t="inlineStr">
        <is>
          <t>DS821 .D38 1983</t>
        </is>
      </c>
      <c r="C2395" t="inlineStr">
        <is>
          <t>0                      DS 0821000D  38          1983</t>
        </is>
      </c>
      <c r="D2395" t="inlineStr">
        <is>
          <t>The Dawns of tradition.</t>
        </is>
      </c>
      <c r="F2395" t="inlineStr">
        <is>
          <t>No</t>
        </is>
      </c>
      <c r="G2395" t="inlineStr">
        <is>
          <t>1</t>
        </is>
      </c>
      <c r="H2395" t="inlineStr">
        <is>
          <t>No</t>
        </is>
      </c>
      <c r="I2395" t="inlineStr">
        <is>
          <t>No</t>
        </is>
      </c>
      <c r="J2395" t="inlineStr">
        <is>
          <t>0</t>
        </is>
      </c>
      <c r="L2395" t="inlineStr">
        <is>
          <t>[S.l.] : Nissan Motor Co., 1983</t>
        </is>
      </c>
      <c r="M2395" t="inlineStr">
        <is>
          <t>1983</t>
        </is>
      </c>
      <c r="O2395" t="inlineStr">
        <is>
          <t>eng</t>
        </is>
      </c>
      <c r="P2395" t="inlineStr">
        <is>
          <t xml:space="preserve">ja </t>
        </is>
      </c>
      <c r="R2395" t="inlineStr">
        <is>
          <t xml:space="preserve">DS </t>
        </is>
      </c>
      <c r="S2395" t="n">
        <v>8</v>
      </c>
      <c r="T2395" t="n">
        <v>8</v>
      </c>
      <c r="U2395" t="inlineStr">
        <is>
          <t>2000-11-26</t>
        </is>
      </c>
      <c r="V2395" t="inlineStr">
        <is>
          <t>2000-11-26</t>
        </is>
      </c>
      <c r="W2395" t="inlineStr">
        <is>
          <t>1990-04-04</t>
        </is>
      </c>
      <c r="X2395" t="inlineStr">
        <is>
          <t>1990-04-04</t>
        </is>
      </c>
      <c r="Y2395" t="n">
        <v>596</v>
      </c>
      <c r="Z2395" t="n">
        <v>506</v>
      </c>
      <c r="AA2395" t="n">
        <v>511</v>
      </c>
      <c r="AB2395" t="n">
        <v>6</v>
      </c>
      <c r="AC2395" t="n">
        <v>6</v>
      </c>
      <c r="AD2395" t="n">
        <v>18</v>
      </c>
      <c r="AE2395" t="n">
        <v>18</v>
      </c>
      <c r="AF2395" t="n">
        <v>5</v>
      </c>
      <c r="AG2395" t="n">
        <v>5</v>
      </c>
      <c r="AH2395" t="n">
        <v>7</v>
      </c>
      <c r="AI2395" t="n">
        <v>7</v>
      </c>
      <c r="AJ2395" t="n">
        <v>6</v>
      </c>
      <c r="AK2395" t="n">
        <v>6</v>
      </c>
      <c r="AL2395" t="n">
        <v>4</v>
      </c>
      <c r="AM2395" t="n">
        <v>4</v>
      </c>
      <c r="AN2395" t="n">
        <v>0</v>
      </c>
      <c r="AO2395" t="n">
        <v>0</v>
      </c>
      <c r="AP2395" t="inlineStr">
        <is>
          <t>No</t>
        </is>
      </c>
      <c r="AQ2395" t="inlineStr">
        <is>
          <t>Yes</t>
        </is>
      </c>
      <c r="AR2395">
        <f>HYPERLINK("http://catalog.hathitrust.org/Record/000166901","HathiTrust Record")</f>
        <v/>
      </c>
      <c r="AS2395">
        <f>HYPERLINK("https://creighton-primo.hosted.exlibrisgroup.com/primo-explore/search?tab=default_tab&amp;search_scope=EVERYTHING&amp;vid=01CRU&amp;lang=en_US&amp;offset=0&amp;query=any,contains,991000340169702656","Catalog Record")</f>
        <v/>
      </c>
      <c r="AT2395">
        <f>HYPERLINK("http://www.worldcat.org/oclc/11089818","WorldCat Record")</f>
        <v/>
      </c>
      <c r="AU2395" t="inlineStr">
        <is>
          <t>9490267021:eng</t>
        </is>
      </c>
      <c r="AV2395" t="inlineStr">
        <is>
          <t>11089818</t>
        </is>
      </c>
      <c r="AW2395" t="inlineStr">
        <is>
          <t>991000340169702656</t>
        </is>
      </c>
      <c r="AX2395" t="inlineStr">
        <is>
          <t>991000340169702656</t>
        </is>
      </c>
      <c r="AY2395" t="inlineStr">
        <is>
          <t>2261057180002656</t>
        </is>
      </c>
      <c r="AZ2395" t="inlineStr">
        <is>
          <t>BOOK</t>
        </is>
      </c>
      <c r="BC2395" t="inlineStr">
        <is>
          <t>32285000109487</t>
        </is>
      </c>
      <c r="BD2395" t="inlineStr">
        <is>
          <t>893320975</t>
        </is>
      </c>
    </row>
    <row r="2396">
      <c r="A2396" t="inlineStr">
        <is>
          <t>No</t>
        </is>
      </c>
      <c r="B2396" t="inlineStr">
        <is>
          <t>DS821 .E49 1996</t>
        </is>
      </c>
      <c r="C2396" t="inlineStr">
        <is>
          <t>0                      DS 0821000E  49          1996</t>
        </is>
      </c>
      <c r="D2396" t="inlineStr">
        <is>
          <t>Japanese civilization : a comparative view / S.N. Eisenstadt.</t>
        </is>
      </c>
      <c r="F2396" t="inlineStr">
        <is>
          <t>No</t>
        </is>
      </c>
      <c r="G2396" t="inlineStr">
        <is>
          <t>1</t>
        </is>
      </c>
      <c r="H2396" t="inlineStr">
        <is>
          <t>No</t>
        </is>
      </c>
      <c r="I2396" t="inlineStr">
        <is>
          <t>No</t>
        </is>
      </c>
      <c r="J2396" t="inlineStr">
        <is>
          <t>0</t>
        </is>
      </c>
      <c r="K2396" t="inlineStr">
        <is>
          <t>Eisenstadt, S. N. (Shmuel Noah), 1923-2010.</t>
        </is>
      </c>
      <c r="L2396" t="inlineStr">
        <is>
          <t>Chicago and London : The University of Chicago Press, 1996.</t>
        </is>
      </c>
      <c r="M2396" t="inlineStr">
        <is>
          <t>1996</t>
        </is>
      </c>
      <c r="O2396" t="inlineStr">
        <is>
          <t>eng</t>
        </is>
      </c>
      <c r="P2396" t="inlineStr">
        <is>
          <t>ilu</t>
        </is>
      </c>
      <c r="R2396" t="inlineStr">
        <is>
          <t xml:space="preserve">DS </t>
        </is>
      </c>
      <c r="S2396" t="n">
        <v>7</v>
      </c>
      <c r="T2396" t="n">
        <v>7</v>
      </c>
      <c r="U2396" t="inlineStr">
        <is>
          <t>2000-12-06</t>
        </is>
      </c>
      <c r="V2396" t="inlineStr">
        <is>
          <t>2000-12-06</t>
        </is>
      </c>
      <c r="W2396" t="inlineStr">
        <is>
          <t>1997-04-28</t>
        </is>
      </c>
      <c r="X2396" t="inlineStr">
        <is>
          <t>1997-04-28</t>
        </is>
      </c>
      <c r="Y2396" t="n">
        <v>698</v>
      </c>
      <c r="Z2396" t="n">
        <v>545</v>
      </c>
      <c r="AA2396" t="n">
        <v>545</v>
      </c>
      <c r="AB2396" t="n">
        <v>6</v>
      </c>
      <c r="AC2396" t="n">
        <v>6</v>
      </c>
      <c r="AD2396" t="n">
        <v>31</v>
      </c>
      <c r="AE2396" t="n">
        <v>31</v>
      </c>
      <c r="AF2396" t="n">
        <v>9</v>
      </c>
      <c r="AG2396" t="n">
        <v>9</v>
      </c>
      <c r="AH2396" t="n">
        <v>8</v>
      </c>
      <c r="AI2396" t="n">
        <v>8</v>
      </c>
      <c r="AJ2396" t="n">
        <v>16</v>
      </c>
      <c r="AK2396" t="n">
        <v>16</v>
      </c>
      <c r="AL2396" t="n">
        <v>5</v>
      </c>
      <c r="AM2396" t="n">
        <v>5</v>
      </c>
      <c r="AN2396" t="n">
        <v>0</v>
      </c>
      <c r="AO2396" t="n">
        <v>0</v>
      </c>
      <c r="AP2396" t="inlineStr">
        <is>
          <t>No</t>
        </is>
      </c>
      <c r="AQ2396" t="inlineStr">
        <is>
          <t>No</t>
        </is>
      </c>
      <c r="AS2396">
        <f>HYPERLINK("https://creighton-primo.hosted.exlibrisgroup.com/primo-explore/search?tab=default_tab&amp;search_scope=EVERYTHING&amp;vid=01CRU&amp;lang=en_US&amp;offset=0&amp;query=any,contains,991002607529702656","Catalog Record")</f>
        <v/>
      </c>
      <c r="AT2396">
        <f>HYPERLINK("http://www.worldcat.org/oclc/34150660","WorldCat Record")</f>
        <v/>
      </c>
      <c r="AU2396" t="inlineStr">
        <is>
          <t>476903998:eng</t>
        </is>
      </c>
      <c r="AV2396" t="inlineStr">
        <is>
          <t>34150660</t>
        </is>
      </c>
      <c r="AW2396" t="inlineStr">
        <is>
          <t>991002607529702656</t>
        </is>
      </c>
      <c r="AX2396" t="inlineStr">
        <is>
          <t>991002607529702656</t>
        </is>
      </c>
      <c r="AY2396" t="inlineStr">
        <is>
          <t>2260026350002656</t>
        </is>
      </c>
      <c r="AZ2396" t="inlineStr">
        <is>
          <t>BOOK</t>
        </is>
      </c>
      <c r="BB2396" t="inlineStr">
        <is>
          <t>9780226195575</t>
        </is>
      </c>
      <c r="BC2396" t="inlineStr">
        <is>
          <t>32285002541554</t>
        </is>
      </c>
      <c r="BD2396" t="inlineStr">
        <is>
          <t>893892759</t>
        </is>
      </c>
    </row>
    <row r="2397">
      <c r="A2397" t="inlineStr">
        <is>
          <t>No</t>
        </is>
      </c>
      <c r="B2397" t="inlineStr">
        <is>
          <t>DS821 .G513 1979</t>
        </is>
      </c>
      <c r="C2397" t="inlineStr">
        <is>
          <t>0                      DS 0821000G  513         1979</t>
        </is>
      </c>
      <c r="D2397" t="inlineStr">
        <is>
          <t>Japan : the fragile superpower / by Frank Gibney.</t>
        </is>
      </c>
      <c r="F2397" t="inlineStr">
        <is>
          <t>No</t>
        </is>
      </c>
      <c r="G2397" t="inlineStr">
        <is>
          <t>1</t>
        </is>
      </c>
      <c r="H2397" t="inlineStr">
        <is>
          <t>No</t>
        </is>
      </c>
      <c r="I2397" t="inlineStr">
        <is>
          <t>No</t>
        </is>
      </c>
      <c r="J2397" t="inlineStr">
        <is>
          <t>0</t>
        </is>
      </c>
      <c r="K2397" t="inlineStr">
        <is>
          <t>Gibney, Frank, 1924-2006.</t>
        </is>
      </c>
      <c r="L2397" t="inlineStr">
        <is>
          <t>Tokyo : Charles E. Tuttle, 1979</t>
        </is>
      </c>
      <c r="M2397" t="inlineStr">
        <is>
          <t>1979</t>
        </is>
      </c>
      <c r="N2397" t="inlineStr">
        <is>
          <t>Rev. ed.</t>
        </is>
      </c>
      <c r="O2397" t="inlineStr">
        <is>
          <t>eng</t>
        </is>
      </c>
      <c r="P2397" t="inlineStr">
        <is>
          <t xml:space="preserve">ja </t>
        </is>
      </c>
      <c r="Q2397" t="inlineStr">
        <is>
          <t>Tut books</t>
        </is>
      </c>
      <c r="R2397" t="inlineStr">
        <is>
          <t xml:space="preserve">DS </t>
        </is>
      </c>
      <c r="S2397" t="n">
        <v>9</v>
      </c>
      <c r="T2397" t="n">
        <v>9</v>
      </c>
      <c r="U2397" t="inlineStr">
        <is>
          <t>2005-09-26</t>
        </is>
      </c>
      <c r="V2397" t="inlineStr">
        <is>
          <t>2005-09-26</t>
        </is>
      </c>
      <c r="W2397" t="inlineStr">
        <is>
          <t>1990-10-29</t>
        </is>
      </c>
      <c r="X2397" t="inlineStr">
        <is>
          <t>1990-10-29</t>
        </is>
      </c>
      <c r="Y2397" t="n">
        <v>18</v>
      </c>
      <c r="Z2397" t="n">
        <v>7</v>
      </c>
      <c r="AA2397" t="n">
        <v>1043</v>
      </c>
      <c r="AB2397" t="n">
        <v>1</v>
      </c>
      <c r="AC2397" t="n">
        <v>9</v>
      </c>
      <c r="AD2397" t="n">
        <v>0</v>
      </c>
      <c r="AE2397" t="n">
        <v>36</v>
      </c>
      <c r="AF2397" t="n">
        <v>0</v>
      </c>
      <c r="AG2397" t="n">
        <v>12</v>
      </c>
      <c r="AH2397" t="n">
        <v>0</v>
      </c>
      <c r="AI2397" t="n">
        <v>9</v>
      </c>
      <c r="AJ2397" t="n">
        <v>0</v>
      </c>
      <c r="AK2397" t="n">
        <v>18</v>
      </c>
      <c r="AL2397" t="n">
        <v>0</v>
      </c>
      <c r="AM2397" t="n">
        <v>6</v>
      </c>
      <c r="AN2397" t="n">
        <v>0</v>
      </c>
      <c r="AO2397" t="n">
        <v>0</v>
      </c>
      <c r="AP2397" t="inlineStr">
        <is>
          <t>No</t>
        </is>
      </c>
      <c r="AQ2397" t="inlineStr">
        <is>
          <t>No</t>
        </is>
      </c>
      <c r="AS2397">
        <f>HYPERLINK("https://creighton-primo.hosted.exlibrisgroup.com/primo-explore/search?tab=default_tab&amp;search_scope=EVERYTHING&amp;vid=01CRU&amp;lang=en_US&amp;offset=0&amp;query=any,contains,991005200609702656","Catalog Record")</f>
        <v/>
      </c>
      <c r="AT2397">
        <f>HYPERLINK("http://www.worldcat.org/oclc/8071308","WorldCat Record")</f>
        <v/>
      </c>
      <c r="AU2397" t="inlineStr">
        <is>
          <t>50824859:eng</t>
        </is>
      </c>
      <c r="AV2397" t="inlineStr">
        <is>
          <t>8071308</t>
        </is>
      </c>
      <c r="AW2397" t="inlineStr">
        <is>
          <t>991005200609702656</t>
        </is>
      </c>
      <c r="AX2397" t="inlineStr">
        <is>
          <t>991005200609702656</t>
        </is>
      </c>
      <c r="AY2397" t="inlineStr">
        <is>
          <t>2254865780002656</t>
        </is>
      </c>
      <c r="AZ2397" t="inlineStr">
        <is>
          <t>BOOK</t>
        </is>
      </c>
      <c r="BC2397" t="inlineStr">
        <is>
          <t>32285000339696</t>
        </is>
      </c>
      <c r="BD2397" t="inlineStr">
        <is>
          <t>893533351</t>
        </is>
      </c>
    </row>
    <row r="2398">
      <c r="A2398" t="inlineStr">
        <is>
          <t>No</t>
        </is>
      </c>
      <c r="B2398" t="inlineStr">
        <is>
          <t>DS821 .G85</t>
        </is>
      </c>
      <c r="C2398" t="inlineStr">
        <is>
          <t>0                      DS 0821000G  85</t>
        </is>
      </c>
      <c r="D2398" t="inlineStr">
        <is>
          <t>Guides to Japanese culture / [edited by Murakami Hyôe and Edward G. Seidensticker].</t>
        </is>
      </c>
      <c r="F2398" t="inlineStr">
        <is>
          <t>No</t>
        </is>
      </c>
      <c r="G2398" t="inlineStr">
        <is>
          <t>1</t>
        </is>
      </c>
      <c r="H2398" t="inlineStr">
        <is>
          <t>No</t>
        </is>
      </c>
      <c r="I2398" t="inlineStr">
        <is>
          <t>No</t>
        </is>
      </c>
      <c r="J2398" t="inlineStr">
        <is>
          <t>0</t>
        </is>
      </c>
      <c r="L2398" t="inlineStr">
        <is>
          <t>Tokyo : Japan Culture Institute ; Elmsford, N.Y. : distributor, Japan Publications Trading Co., 1977.</t>
        </is>
      </c>
      <c r="M2398" t="inlineStr">
        <is>
          <t>1977</t>
        </is>
      </c>
      <c r="O2398" t="inlineStr">
        <is>
          <t>eng</t>
        </is>
      </c>
      <c r="P2398" t="inlineStr">
        <is>
          <t xml:space="preserve">ja </t>
        </is>
      </c>
      <c r="R2398" t="inlineStr">
        <is>
          <t xml:space="preserve">DS </t>
        </is>
      </c>
      <c r="S2398" t="n">
        <v>13</v>
      </c>
      <c r="T2398" t="n">
        <v>13</v>
      </c>
      <c r="U2398" t="inlineStr">
        <is>
          <t>2000-11-26</t>
        </is>
      </c>
      <c r="V2398" t="inlineStr">
        <is>
          <t>2000-11-26</t>
        </is>
      </c>
      <c r="W2398" t="inlineStr">
        <is>
          <t>1990-10-29</t>
        </is>
      </c>
      <c r="X2398" t="inlineStr">
        <is>
          <t>1990-10-29</t>
        </is>
      </c>
      <c r="Y2398" t="n">
        <v>416</v>
      </c>
      <c r="Z2398" t="n">
        <v>320</v>
      </c>
      <c r="AA2398" t="n">
        <v>322</v>
      </c>
      <c r="AB2398" t="n">
        <v>3</v>
      </c>
      <c r="AC2398" t="n">
        <v>3</v>
      </c>
      <c r="AD2398" t="n">
        <v>7</v>
      </c>
      <c r="AE2398" t="n">
        <v>7</v>
      </c>
      <c r="AF2398" t="n">
        <v>1</v>
      </c>
      <c r="AG2398" t="n">
        <v>1</v>
      </c>
      <c r="AH2398" t="n">
        <v>3</v>
      </c>
      <c r="AI2398" t="n">
        <v>3</v>
      </c>
      <c r="AJ2398" t="n">
        <v>2</v>
      </c>
      <c r="AK2398" t="n">
        <v>2</v>
      </c>
      <c r="AL2398" t="n">
        <v>2</v>
      </c>
      <c r="AM2398" t="n">
        <v>2</v>
      </c>
      <c r="AN2398" t="n">
        <v>0</v>
      </c>
      <c r="AO2398" t="n">
        <v>0</v>
      </c>
      <c r="AP2398" t="inlineStr">
        <is>
          <t>No</t>
        </is>
      </c>
      <c r="AQ2398" t="inlineStr">
        <is>
          <t>Yes</t>
        </is>
      </c>
      <c r="AR2398">
        <f>HYPERLINK("http://catalog.hathitrust.org/Record/007072517","HathiTrust Record")</f>
        <v/>
      </c>
      <c r="AS2398">
        <f>HYPERLINK("https://creighton-primo.hosted.exlibrisgroup.com/primo-explore/search?tab=default_tab&amp;search_scope=EVERYTHING&amp;vid=01CRU&amp;lang=en_US&amp;offset=0&amp;query=any,contains,991004284879702656","Catalog Record")</f>
        <v/>
      </c>
      <c r="AT2398">
        <f>HYPERLINK("http://www.worldcat.org/oclc/2921873","WorldCat Record")</f>
        <v/>
      </c>
      <c r="AU2398" t="inlineStr">
        <is>
          <t>346808313:eng</t>
        </is>
      </c>
      <c r="AV2398" t="inlineStr">
        <is>
          <t>2921873</t>
        </is>
      </c>
      <c r="AW2398" t="inlineStr">
        <is>
          <t>991004284879702656</t>
        </is>
      </c>
      <c r="AX2398" t="inlineStr">
        <is>
          <t>991004284879702656</t>
        </is>
      </c>
      <c r="AY2398" t="inlineStr">
        <is>
          <t>2264925420002656</t>
        </is>
      </c>
      <c r="AZ2398" t="inlineStr">
        <is>
          <t>BOOK</t>
        </is>
      </c>
      <c r="BB2398" t="inlineStr">
        <is>
          <t>9780870404030</t>
        </is>
      </c>
      <c r="BC2398" t="inlineStr">
        <is>
          <t>32285000339704</t>
        </is>
      </c>
      <c r="BD2398" t="inlineStr">
        <is>
          <t>893775852</t>
        </is>
      </c>
    </row>
    <row r="2399">
      <c r="A2399" t="inlineStr">
        <is>
          <t>No</t>
        </is>
      </c>
      <c r="B2399" t="inlineStr">
        <is>
          <t>DS821 .H3413 1982</t>
        </is>
      </c>
      <c r="C2399" t="inlineStr">
        <is>
          <t>0                      DS 0821000H  3413        1982</t>
        </is>
      </c>
      <c r="D2399" t="inlineStr">
        <is>
          <t>The Japanese character : a cultural profile / Nyozekan Hasegawa ; translated by John Bester.</t>
        </is>
      </c>
      <c r="F2399" t="inlineStr">
        <is>
          <t>No</t>
        </is>
      </c>
      <c r="G2399" t="inlineStr">
        <is>
          <t>1</t>
        </is>
      </c>
      <c r="H2399" t="inlineStr">
        <is>
          <t>No</t>
        </is>
      </c>
      <c r="I2399" t="inlineStr">
        <is>
          <t>No</t>
        </is>
      </c>
      <c r="J2399" t="inlineStr">
        <is>
          <t>0</t>
        </is>
      </c>
      <c r="K2399" t="inlineStr">
        <is>
          <t>Hasegawa, Nyozekan, 1875-1969.</t>
        </is>
      </c>
      <c r="L2399" t="inlineStr">
        <is>
          <t>Tokyo ; New York : Kodansha International, 1982, c1965.</t>
        </is>
      </c>
      <c r="M2399" t="inlineStr">
        <is>
          <t>1982</t>
        </is>
      </c>
      <c r="N2399" t="inlineStr">
        <is>
          <t>1st paperback ed.</t>
        </is>
      </c>
      <c r="O2399" t="inlineStr">
        <is>
          <t>eng</t>
        </is>
      </c>
      <c r="P2399" t="inlineStr">
        <is>
          <t>nyu</t>
        </is>
      </c>
      <c r="R2399" t="inlineStr">
        <is>
          <t xml:space="preserve">DS </t>
        </is>
      </c>
      <c r="S2399" t="n">
        <v>9</v>
      </c>
      <c r="T2399" t="n">
        <v>9</v>
      </c>
      <c r="U2399" t="inlineStr">
        <is>
          <t>1997-04-17</t>
        </is>
      </c>
      <c r="V2399" t="inlineStr">
        <is>
          <t>1997-04-17</t>
        </is>
      </c>
      <c r="W2399" t="inlineStr">
        <is>
          <t>1991-06-28</t>
        </is>
      </c>
      <c r="X2399" t="inlineStr">
        <is>
          <t>1991-06-28</t>
        </is>
      </c>
      <c r="Y2399" t="n">
        <v>68</v>
      </c>
      <c r="Z2399" t="n">
        <v>55</v>
      </c>
      <c r="AA2399" t="n">
        <v>418</v>
      </c>
      <c r="AB2399" t="n">
        <v>1</v>
      </c>
      <c r="AC2399" t="n">
        <v>4</v>
      </c>
      <c r="AD2399" t="n">
        <v>1</v>
      </c>
      <c r="AE2399" t="n">
        <v>15</v>
      </c>
      <c r="AF2399" t="n">
        <v>1</v>
      </c>
      <c r="AG2399" t="n">
        <v>3</v>
      </c>
      <c r="AH2399" t="n">
        <v>0</v>
      </c>
      <c r="AI2399" t="n">
        <v>4</v>
      </c>
      <c r="AJ2399" t="n">
        <v>0</v>
      </c>
      <c r="AK2399" t="n">
        <v>8</v>
      </c>
      <c r="AL2399" t="n">
        <v>0</v>
      </c>
      <c r="AM2399" t="n">
        <v>3</v>
      </c>
      <c r="AN2399" t="n">
        <v>0</v>
      </c>
      <c r="AO2399" t="n">
        <v>0</v>
      </c>
      <c r="AP2399" t="inlineStr">
        <is>
          <t>No</t>
        </is>
      </c>
      <c r="AQ2399" t="inlineStr">
        <is>
          <t>No</t>
        </is>
      </c>
      <c r="AS2399">
        <f>HYPERLINK("https://creighton-primo.hosted.exlibrisgroup.com/primo-explore/search?tab=default_tab&amp;search_scope=EVERYTHING&amp;vid=01CRU&amp;lang=en_US&amp;offset=0&amp;query=any,contains,991000111069702656","Catalog Record")</f>
        <v/>
      </c>
      <c r="AT2399">
        <f>HYPERLINK("http://www.worldcat.org/oclc/9002132","WorldCat Record")</f>
        <v/>
      </c>
      <c r="AU2399" t="inlineStr">
        <is>
          <t>1762831:eng</t>
        </is>
      </c>
      <c r="AV2399" t="inlineStr">
        <is>
          <t>9002132</t>
        </is>
      </c>
      <c r="AW2399" t="inlineStr">
        <is>
          <t>991000111069702656</t>
        </is>
      </c>
      <c r="AX2399" t="inlineStr">
        <is>
          <t>991000111069702656</t>
        </is>
      </c>
      <c r="AY2399" t="inlineStr">
        <is>
          <t>2258616290002656</t>
        </is>
      </c>
      <c r="AZ2399" t="inlineStr">
        <is>
          <t>BOOK</t>
        </is>
      </c>
      <c r="BB2399" t="inlineStr">
        <is>
          <t>9780870115172</t>
        </is>
      </c>
      <c r="BC2399" t="inlineStr">
        <is>
          <t>32285000672542</t>
        </is>
      </c>
      <c r="BD2399" t="inlineStr">
        <is>
          <t>893595284</t>
        </is>
      </c>
    </row>
    <row r="2400">
      <c r="A2400" t="inlineStr">
        <is>
          <t>No</t>
        </is>
      </c>
      <c r="B2400" t="inlineStr">
        <is>
          <t>DS821 .H8126</t>
        </is>
      </c>
      <c r="C2400" t="inlineStr">
        <is>
          <t>0                      DS 0821000H  8126</t>
        </is>
      </c>
      <c r="D2400" t="inlineStr">
        <is>
          <t>Zen culture / Thomas Hoover.</t>
        </is>
      </c>
      <c r="F2400" t="inlineStr">
        <is>
          <t>No</t>
        </is>
      </c>
      <c r="G2400" t="inlineStr">
        <is>
          <t>1</t>
        </is>
      </c>
      <c r="H2400" t="inlineStr">
        <is>
          <t>No</t>
        </is>
      </c>
      <c r="I2400" t="inlineStr">
        <is>
          <t>No</t>
        </is>
      </c>
      <c r="J2400" t="inlineStr">
        <is>
          <t>0</t>
        </is>
      </c>
      <c r="K2400" t="inlineStr">
        <is>
          <t>Hoover, Thomas, 1941-</t>
        </is>
      </c>
      <c r="L2400" t="inlineStr">
        <is>
          <t>New York : Random House, c1977.</t>
        </is>
      </c>
      <c r="M2400" t="inlineStr">
        <is>
          <t>1977</t>
        </is>
      </c>
      <c r="N2400" t="inlineStr">
        <is>
          <t>1st ed.</t>
        </is>
      </c>
      <c r="O2400" t="inlineStr">
        <is>
          <t>eng</t>
        </is>
      </c>
      <c r="P2400" t="inlineStr">
        <is>
          <t>nyu</t>
        </is>
      </c>
      <c r="R2400" t="inlineStr">
        <is>
          <t xml:space="preserve">DS </t>
        </is>
      </c>
      <c r="S2400" t="n">
        <v>19</v>
      </c>
      <c r="T2400" t="n">
        <v>19</v>
      </c>
      <c r="U2400" t="inlineStr">
        <is>
          <t>2006-04-25</t>
        </is>
      </c>
      <c r="V2400" t="inlineStr">
        <is>
          <t>2006-04-25</t>
        </is>
      </c>
      <c r="W2400" t="inlineStr">
        <is>
          <t>1994-04-27</t>
        </is>
      </c>
      <c r="X2400" t="inlineStr">
        <is>
          <t>1994-04-27</t>
        </is>
      </c>
      <c r="Y2400" t="n">
        <v>743</v>
      </c>
      <c r="Z2400" t="n">
        <v>663</v>
      </c>
      <c r="AA2400" t="n">
        <v>736</v>
      </c>
      <c r="AB2400" t="n">
        <v>5</v>
      </c>
      <c r="AC2400" t="n">
        <v>5</v>
      </c>
      <c r="AD2400" t="n">
        <v>24</v>
      </c>
      <c r="AE2400" t="n">
        <v>26</v>
      </c>
      <c r="AF2400" t="n">
        <v>10</v>
      </c>
      <c r="AG2400" t="n">
        <v>11</v>
      </c>
      <c r="AH2400" t="n">
        <v>5</v>
      </c>
      <c r="AI2400" t="n">
        <v>5</v>
      </c>
      <c r="AJ2400" t="n">
        <v>12</v>
      </c>
      <c r="AK2400" t="n">
        <v>13</v>
      </c>
      <c r="AL2400" t="n">
        <v>3</v>
      </c>
      <c r="AM2400" t="n">
        <v>3</v>
      </c>
      <c r="AN2400" t="n">
        <v>0</v>
      </c>
      <c r="AO2400" t="n">
        <v>0</v>
      </c>
      <c r="AP2400" t="inlineStr">
        <is>
          <t>No</t>
        </is>
      </c>
      <c r="AQ2400" t="inlineStr">
        <is>
          <t>No</t>
        </is>
      </c>
      <c r="AS2400">
        <f>HYPERLINK("https://creighton-primo.hosted.exlibrisgroup.com/primo-explore/search?tab=default_tab&amp;search_scope=EVERYTHING&amp;vid=01CRU&amp;lang=en_US&amp;offset=0&amp;query=any,contains,991004176199702656","Catalog Record")</f>
        <v/>
      </c>
      <c r="AT2400">
        <f>HYPERLINK("http://www.worldcat.org/oclc/2597139","WorldCat Record")</f>
        <v/>
      </c>
      <c r="AU2400" t="inlineStr">
        <is>
          <t>60752129:eng</t>
        </is>
      </c>
      <c r="AV2400" t="inlineStr">
        <is>
          <t>2597139</t>
        </is>
      </c>
      <c r="AW2400" t="inlineStr">
        <is>
          <t>991004176199702656</t>
        </is>
      </c>
      <c r="AX2400" t="inlineStr">
        <is>
          <t>991004176199702656</t>
        </is>
      </c>
      <c r="AY2400" t="inlineStr">
        <is>
          <t>2268701090002656</t>
        </is>
      </c>
      <c r="AZ2400" t="inlineStr">
        <is>
          <t>BOOK</t>
        </is>
      </c>
      <c r="BB2400" t="inlineStr">
        <is>
          <t>9780394410722</t>
        </is>
      </c>
      <c r="BC2400" t="inlineStr">
        <is>
          <t>32285001893667</t>
        </is>
      </c>
      <c r="BD2400" t="inlineStr">
        <is>
          <t>893894661</t>
        </is>
      </c>
    </row>
    <row r="2401">
      <c r="A2401" t="inlineStr">
        <is>
          <t>No</t>
        </is>
      </c>
      <c r="B2401" t="inlineStr">
        <is>
          <t>DS821 .H92 1980</t>
        </is>
      </c>
      <c r="C2401" t="inlineStr">
        <is>
          <t>0                      DS 0821000H  92          1980</t>
        </is>
      </c>
      <c r="D2401" t="inlineStr">
        <is>
          <t>A Hundred more things Japanese / [edited by Murakami Hyoe and Donald Richie].</t>
        </is>
      </c>
      <c r="F2401" t="inlineStr">
        <is>
          <t>No</t>
        </is>
      </c>
      <c r="G2401" t="inlineStr">
        <is>
          <t>1</t>
        </is>
      </c>
      <c r="H2401" t="inlineStr">
        <is>
          <t>No</t>
        </is>
      </c>
      <c r="I2401" t="inlineStr">
        <is>
          <t>No</t>
        </is>
      </c>
      <c r="J2401" t="inlineStr">
        <is>
          <t>0</t>
        </is>
      </c>
      <c r="L2401" t="inlineStr">
        <is>
          <t>Tokyo : Japan Culture Institute, c1980.</t>
        </is>
      </c>
      <c r="M2401" t="inlineStr">
        <is>
          <t>1980</t>
        </is>
      </c>
      <c r="O2401" t="inlineStr">
        <is>
          <t>eng</t>
        </is>
      </c>
      <c r="P2401" t="inlineStr">
        <is>
          <t xml:space="preserve">ja </t>
        </is>
      </c>
      <c r="R2401" t="inlineStr">
        <is>
          <t xml:space="preserve">DS </t>
        </is>
      </c>
      <c r="S2401" t="n">
        <v>7</v>
      </c>
      <c r="T2401" t="n">
        <v>7</v>
      </c>
      <c r="U2401" t="inlineStr">
        <is>
          <t>2004-12-03</t>
        </is>
      </c>
      <c r="V2401" t="inlineStr">
        <is>
          <t>2004-12-03</t>
        </is>
      </c>
      <c r="W2401" t="inlineStr">
        <is>
          <t>1990-10-29</t>
        </is>
      </c>
      <c r="X2401" t="inlineStr">
        <is>
          <t>1990-10-29</t>
        </is>
      </c>
      <c r="Y2401" t="n">
        <v>295</v>
      </c>
      <c r="Z2401" t="n">
        <v>252</v>
      </c>
      <c r="AA2401" t="n">
        <v>258</v>
      </c>
      <c r="AB2401" t="n">
        <v>4</v>
      </c>
      <c r="AC2401" t="n">
        <v>4</v>
      </c>
      <c r="AD2401" t="n">
        <v>6</v>
      </c>
      <c r="AE2401" t="n">
        <v>6</v>
      </c>
      <c r="AF2401" t="n">
        <v>0</v>
      </c>
      <c r="AG2401" t="n">
        <v>0</v>
      </c>
      <c r="AH2401" t="n">
        <v>2</v>
      </c>
      <c r="AI2401" t="n">
        <v>2</v>
      </c>
      <c r="AJ2401" t="n">
        <v>2</v>
      </c>
      <c r="AK2401" t="n">
        <v>2</v>
      </c>
      <c r="AL2401" t="n">
        <v>3</v>
      </c>
      <c r="AM2401" t="n">
        <v>3</v>
      </c>
      <c r="AN2401" t="n">
        <v>0</v>
      </c>
      <c r="AO2401" t="n">
        <v>0</v>
      </c>
      <c r="AP2401" t="inlineStr">
        <is>
          <t>No</t>
        </is>
      </c>
      <c r="AQ2401" t="inlineStr">
        <is>
          <t>Yes</t>
        </is>
      </c>
      <c r="AR2401">
        <f>HYPERLINK("http://catalog.hathitrust.org/Record/003197185","HathiTrust Record")</f>
        <v/>
      </c>
      <c r="AS2401">
        <f>HYPERLINK("https://creighton-primo.hosted.exlibrisgroup.com/primo-explore/search?tab=default_tab&amp;search_scope=EVERYTHING&amp;vid=01CRU&amp;lang=en_US&amp;offset=0&amp;query=any,contains,991005077019702656","Catalog Record")</f>
        <v/>
      </c>
      <c r="AT2401">
        <f>HYPERLINK("http://www.worldcat.org/oclc/7133178","WorldCat Record")</f>
        <v/>
      </c>
      <c r="AU2401" t="inlineStr">
        <is>
          <t>54422468:eng</t>
        </is>
      </c>
      <c r="AV2401" t="inlineStr">
        <is>
          <t>7133178</t>
        </is>
      </c>
      <c r="AW2401" t="inlineStr">
        <is>
          <t>991005077019702656</t>
        </is>
      </c>
      <c r="AX2401" t="inlineStr">
        <is>
          <t>991005077019702656</t>
        </is>
      </c>
      <c r="AY2401" t="inlineStr">
        <is>
          <t>2265224830002656</t>
        </is>
      </c>
      <c r="AZ2401" t="inlineStr">
        <is>
          <t>BOOK</t>
        </is>
      </c>
      <c r="BB2401" t="inlineStr">
        <is>
          <t>9780870404726</t>
        </is>
      </c>
      <c r="BC2401" t="inlineStr">
        <is>
          <t>32285000339712</t>
        </is>
      </c>
      <c r="BD2401" t="inlineStr">
        <is>
          <t>893883296</t>
        </is>
      </c>
    </row>
    <row r="2402">
      <c r="A2402" t="inlineStr">
        <is>
          <t>No</t>
        </is>
      </c>
      <c r="B2402" t="inlineStr">
        <is>
          <t>DS821 .H921</t>
        </is>
      </c>
      <c r="C2402" t="inlineStr">
        <is>
          <t>0                      DS 0821000H  921</t>
        </is>
      </c>
      <c r="D2402" t="inlineStr">
        <is>
          <t>A Hundred things Japanese / [edited by Japan Culture Institute].</t>
        </is>
      </c>
      <c r="F2402" t="inlineStr">
        <is>
          <t>No</t>
        </is>
      </c>
      <c r="G2402" t="inlineStr">
        <is>
          <t>1</t>
        </is>
      </c>
      <c r="H2402" t="inlineStr">
        <is>
          <t>No</t>
        </is>
      </c>
      <c r="I2402" t="inlineStr">
        <is>
          <t>No</t>
        </is>
      </c>
      <c r="J2402" t="inlineStr">
        <is>
          <t>0</t>
        </is>
      </c>
      <c r="L2402" t="inlineStr">
        <is>
          <t>Tokyo : Japan Culture Institute, 1975, 1978 printing.</t>
        </is>
      </c>
      <c r="M2402" t="inlineStr">
        <is>
          <t>1975</t>
        </is>
      </c>
      <c r="O2402" t="inlineStr">
        <is>
          <t>eng</t>
        </is>
      </c>
      <c r="P2402" t="inlineStr">
        <is>
          <t xml:space="preserve">ja </t>
        </is>
      </c>
      <c r="R2402" t="inlineStr">
        <is>
          <t xml:space="preserve">DS </t>
        </is>
      </c>
      <c r="S2402" t="n">
        <v>11</v>
      </c>
      <c r="T2402" t="n">
        <v>11</v>
      </c>
      <c r="U2402" t="inlineStr">
        <is>
          <t>1998-05-06</t>
        </is>
      </c>
      <c r="V2402" t="inlineStr">
        <is>
          <t>1998-05-06</t>
        </is>
      </c>
      <c r="W2402" t="inlineStr">
        <is>
          <t>1990-10-29</t>
        </is>
      </c>
      <c r="X2402" t="inlineStr">
        <is>
          <t>1990-10-29</t>
        </is>
      </c>
      <c r="Y2402" t="n">
        <v>407</v>
      </c>
      <c r="Z2402" t="n">
        <v>319</v>
      </c>
      <c r="AA2402" t="n">
        <v>329</v>
      </c>
      <c r="AB2402" t="n">
        <v>5</v>
      </c>
      <c r="AC2402" t="n">
        <v>5</v>
      </c>
      <c r="AD2402" t="n">
        <v>9</v>
      </c>
      <c r="AE2402" t="n">
        <v>9</v>
      </c>
      <c r="AF2402" t="n">
        <v>3</v>
      </c>
      <c r="AG2402" t="n">
        <v>3</v>
      </c>
      <c r="AH2402" t="n">
        <v>1</v>
      </c>
      <c r="AI2402" t="n">
        <v>1</v>
      </c>
      <c r="AJ2402" t="n">
        <v>4</v>
      </c>
      <c r="AK2402" t="n">
        <v>4</v>
      </c>
      <c r="AL2402" t="n">
        <v>4</v>
      </c>
      <c r="AM2402" t="n">
        <v>4</v>
      </c>
      <c r="AN2402" t="n">
        <v>0</v>
      </c>
      <c r="AO2402" t="n">
        <v>0</v>
      </c>
      <c r="AP2402" t="inlineStr">
        <is>
          <t>No</t>
        </is>
      </c>
      <c r="AQ2402" t="inlineStr">
        <is>
          <t>No</t>
        </is>
      </c>
      <c r="AS2402">
        <f>HYPERLINK("https://creighton-primo.hosted.exlibrisgroup.com/primo-explore/search?tab=default_tab&amp;search_scope=EVERYTHING&amp;vid=01CRU&amp;lang=en_US&amp;offset=0&amp;query=any,contains,991003939679702656","Catalog Record")</f>
        <v/>
      </c>
      <c r="AT2402">
        <f>HYPERLINK("http://www.worldcat.org/oclc/1926335","WorldCat Record")</f>
        <v/>
      </c>
      <c r="AU2402" t="inlineStr">
        <is>
          <t>481117466:eng</t>
        </is>
      </c>
      <c r="AV2402" t="inlineStr">
        <is>
          <t>1926335</t>
        </is>
      </c>
      <c r="AW2402" t="inlineStr">
        <is>
          <t>991003939679702656</t>
        </is>
      </c>
      <c r="AX2402" t="inlineStr">
        <is>
          <t>991003939679702656</t>
        </is>
      </c>
      <c r="AY2402" t="inlineStr">
        <is>
          <t>2255811030002656</t>
        </is>
      </c>
      <c r="AZ2402" t="inlineStr">
        <is>
          <t>BOOK</t>
        </is>
      </c>
      <c r="BB2402" t="inlineStr">
        <is>
          <t>9780870403644</t>
        </is>
      </c>
      <c r="BC2402" t="inlineStr">
        <is>
          <t>32285000339720</t>
        </is>
      </c>
      <c r="BD2402" t="inlineStr">
        <is>
          <t>893775408</t>
        </is>
      </c>
    </row>
    <row r="2403">
      <c r="A2403" t="inlineStr">
        <is>
          <t>No</t>
        </is>
      </c>
      <c r="B2403" t="inlineStr">
        <is>
          <t>DS821 .I437 2005</t>
        </is>
      </c>
      <c r="C2403" t="inlineStr">
        <is>
          <t>0                      DS 0821000I  437         2005</t>
        </is>
      </c>
      <c r="D2403" t="inlineStr">
        <is>
          <t>Bonds of civility : aesthetic networks and the political origins of Japanese culture / Eiko Ikegami.</t>
        </is>
      </c>
      <c r="F2403" t="inlineStr">
        <is>
          <t>No</t>
        </is>
      </c>
      <c r="G2403" t="inlineStr">
        <is>
          <t>1</t>
        </is>
      </c>
      <c r="H2403" t="inlineStr">
        <is>
          <t>No</t>
        </is>
      </c>
      <c r="I2403" t="inlineStr">
        <is>
          <t>No</t>
        </is>
      </c>
      <c r="J2403" t="inlineStr">
        <is>
          <t>0</t>
        </is>
      </c>
      <c r="K2403" t="inlineStr">
        <is>
          <t>Ikegami, Eiko.</t>
        </is>
      </c>
      <c r="L2403" t="inlineStr">
        <is>
          <t>Cambridge, UK ; New York : Cambridge University Press, 2005.</t>
        </is>
      </c>
      <c r="M2403" t="inlineStr">
        <is>
          <t>2005</t>
        </is>
      </c>
      <c r="O2403" t="inlineStr">
        <is>
          <t>eng</t>
        </is>
      </c>
      <c r="P2403" t="inlineStr">
        <is>
          <t>enk</t>
        </is>
      </c>
      <c r="Q2403" t="inlineStr">
        <is>
          <t>Structural analysis in the social sciences</t>
        </is>
      </c>
      <c r="R2403" t="inlineStr">
        <is>
          <t xml:space="preserve">DS </t>
        </is>
      </c>
      <c r="S2403" t="n">
        <v>1</v>
      </c>
      <c r="T2403" t="n">
        <v>1</v>
      </c>
      <c r="U2403" t="inlineStr">
        <is>
          <t>2006-11-13</t>
        </is>
      </c>
      <c r="V2403" t="inlineStr">
        <is>
          <t>2006-11-13</t>
        </is>
      </c>
      <c r="W2403" t="inlineStr">
        <is>
          <t>2006-11-13</t>
        </is>
      </c>
      <c r="X2403" t="inlineStr">
        <is>
          <t>2006-11-13</t>
        </is>
      </c>
      <c r="Y2403" t="n">
        <v>440</v>
      </c>
      <c r="Z2403" t="n">
        <v>333</v>
      </c>
      <c r="AA2403" t="n">
        <v>334</v>
      </c>
      <c r="AB2403" t="n">
        <v>2</v>
      </c>
      <c r="AC2403" t="n">
        <v>2</v>
      </c>
      <c r="AD2403" t="n">
        <v>22</v>
      </c>
      <c r="AE2403" t="n">
        <v>22</v>
      </c>
      <c r="AF2403" t="n">
        <v>10</v>
      </c>
      <c r="AG2403" t="n">
        <v>10</v>
      </c>
      <c r="AH2403" t="n">
        <v>7</v>
      </c>
      <c r="AI2403" t="n">
        <v>7</v>
      </c>
      <c r="AJ2403" t="n">
        <v>12</v>
      </c>
      <c r="AK2403" t="n">
        <v>12</v>
      </c>
      <c r="AL2403" t="n">
        <v>1</v>
      </c>
      <c r="AM2403" t="n">
        <v>1</v>
      </c>
      <c r="AN2403" t="n">
        <v>0</v>
      </c>
      <c r="AO2403" t="n">
        <v>0</v>
      </c>
      <c r="AP2403" t="inlineStr">
        <is>
          <t>No</t>
        </is>
      </c>
      <c r="AQ2403" t="inlineStr">
        <is>
          <t>No</t>
        </is>
      </c>
      <c r="AS2403">
        <f>HYPERLINK("https://creighton-primo.hosted.exlibrisgroup.com/primo-explore/search?tab=default_tab&amp;search_scope=EVERYTHING&amp;vid=01CRU&amp;lang=en_US&amp;offset=0&amp;query=any,contains,991004958919702656","Catalog Record")</f>
        <v/>
      </c>
      <c r="AT2403">
        <f>HYPERLINK("http://www.worldcat.org/oclc/54774925","WorldCat Record")</f>
        <v/>
      </c>
      <c r="AU2403" t="inlineStr">
        <is>
          <t>865284274:eng</t>
        </is>
      </c>
      <c r="AV2403" t="inlineStr">
        <is>
          <t>54774925</t>
        </is>
      </c>
      <c r="AW2403" t="inlineStr">
        <is>
          <t>991004958919702656</t>
        </is>
      </c>
      <c r="AX2403" t="inlineStr">
        <is>
          <t>991004958919702656</t>
        </is>
      </c>
      <c r="AY2403" t="inlineStr">
        <is>
          <t>2255102500002656</t>
        </is>
      </c>
      <c r="AZ2403" t="inlineStr">
        <is>
          <t>BOOK</t>
        </is>
      </c>
      <c r="BB2403" t="inlineStr">
        <is>
          <t>9780521601153</t>
        </is>
      </c>
      <c r="BC2403" t="inlineStr">
        <is>
          <t>32285005238976</t>
        </is>
      </c>
      <c r="BD2403" t="inlineStr">
        <is>
          <t>893889476</t>
        </is>
      </c>
    </row>
    <row r="2404">
      <c r="A2404" t="inlineStr">
        <is>
          <t>No</t>
        </is>
      </c>
      <c r="B2404" t="inlineStr">
        <is>
          <t>DS821 .I569 2008</t>
        </is>
      </c>
      <c r="C2404" t="inlineStr">
        <is>
          <t>0                      DS 0821000I  569         2008</t>
        </is>
      </c>
      <c r="D2404" t="inlineStr">
        <is>
          <t>Evanescence and form : an introduction to Japanese culture / Charles Shiro Inouye.</t>
        </is>
      </c>
      <c r="F2404" t="inlineStr">
        <is>
          <t>No</t>
        </is>
      </c>
      <c r="G2404" t="inlineStr">
        <is>
          <t>1</t>
        </is>
      </c>
      <c r="H2404" t="inlineStr">
        <is>
          <t>No</t>
        </is>
      </c>
      <c r="I2404" t="inlineStr">
        <is>
          <t>No</t>
        </is>
      </c>
      <c r="J2404" t="inlineStr">
        <is>
          <t>0</t>
        </is>
      </c>
      <c r="K2404" t="inlineStr">
        <is>
          <t>Inouye, Charles Shirō.</t>
        </is>
      </c>
      <c r="L2404" t="inlineStr">
        <is>
          <t>New York : Palgrave Macmillan, 2008.</t>
        </is>
      </c>
      <c r="M2404" t="inlineStr">
        <is>
          <t>2008</t>
        </is>
      </c>
      <c r="N2404" t="inlineStr">
        <is>
          <t>1st ed.</t>
        </is>
      </c>
      <c r="O2404" t="inlineStr">
        <is>
          <t>eng</t>
        </is>
      </c>
      <c r="P2404" t="inlineStr">
        <is>
          <t>nyu</t>
        </is>
      </c>
      <c r="R2404" t="inlineStr">
        <is>
          <t xml:space="preserve">DS </t>
        </is>
      </c>
      <c r="S2404" t="n">
        <v>3</v>
      </c>
      <c r="T2404" t="n">
        <v>3</v>
      </c>
      <c r="U2404" t="inlineStr">
        <is>
          <t>2010-03-05</t>
        </is>
      </c>
      <c r="V2404" t="inlineStr">
        <is>
          <t>2010-03-05</t>
        </is>
      </c>
      <c r="W2404" t="inlineStr">
        <is>
          <t>2010-02-03</t>
        </is>
      </c>
      <c r="X2404" t="inlineStr">
        <is>
          <t>2010-02-03</t>
        </is>
      </c>
      <c r="Y2404" t="n">
        <v>357</v>
      </c>
      <c r="Z2404" t="n">
        <v>293</v>
      </c>
      <c r="AA2404" t="n">
        <v>330</v>
      </c>
      <c r="AB2404" t="n">
        <v>3</v>
      </c>
      <c r="AC2404" t="n">
        <v>3</v>
      </c>
      <c r="AD2404" t="n">
        <v>12</v>
      </c>
      <c r="AE2404" t="n">
        <v>15</v>
      </c>
      <c r="AF2404" t="n">
        <v>5</v>
      </c>
      <c r="AG2404" t="n">
        <v>8</v>
      </c>
      <c r="AH2404" t="n">
        <v>2</v>
      </c>
      <c r="AI2404" t="n">
        <v>3</v>
      </c>
      <c r="AJ2404" t="n">
        <v>6</v>
      </c>
      <c r="AK2404" t="n">
        <v>8</v>
      </c>
      <c r="AL2404" t="n">
        <v>2</v>
      </c>
      <c r="AM2404" t="n">
        <v>2</v>
      </c>
      <c r="AN2404" t="n">
        <v>0</v>
      </c>
      <c r="AO2404" t="n">
        <v>0</v>
      </c>
      <c r="AP2404" t="inlineStr">
        <is>
          <t>No</t>
        </is>
      </c>
      <c r="AQ2404" t="inlineStr">
        <is>
          <t>No</t>
        </is>
      </c>
      <c r="AS2404">
        <f>HYPERLINK("https://creighton-primo.hosted.exlibrisgroup.com/primo-explore/search?tab=default_tab&amp;search_scope=EVERYTHING&amp;vid=01CRU&amp;lang=en_US&amp;offset=0&amp;query=any,contains,991005358469702656","Catalog Record")</f>
        <v/>
      </c>
      <c r="AT2404">
        <f>HYPERLINK("http://www.worldcat.org/oclc/191898195","WorldCat Record")</f>
        <v/>
      </c>
      <c r="AU2404" t="inlineStr">
        <is>
          <t>803414967:eng</t>
        </is>
      </c>
      <c r="AV2404" t="inlineStr">
        <is>
          <t>191898195</t>
        </is>
      </c>
      <c r="AW2404" t="inlineStr">
        <is>
          <t>991005358469702656</t>
        </is>
      </c>
      <c r="AX2404" t="inlineStr">
        <is>
          <t>991005358469702656</t>
        </is>
      </c>
      <c r="AY2404" t="inlineStr">
        <is>
          <t>2257443110002656</t>
        </is>
      </c>
      <c r="AZ2404" t="inlineStr">
        <is>
          <t>BOOK</t>
        </is>
      </c>
      <c r="BB2404" t="inlineStr">
        <is>
          <t>9781403967053</t>
        </is>
      </c>
      <c r="BC2404" t="inlineStr">
        <is>
          <t>32285005571301</t>
        </is>
      </c>
      <c r="BD2404" t="inlineStr">
        <is>
          <t>893236713</t>
        </is>
      </c>
    </row>
    <row r="2405">
      <c r="A2405" t="inlineStr">
        <is>
          <t>No</t>
        </is>
      </c>
      <c r="B2405" t="inlineStr">
        <is>
          <t>DS821 .I7213 1974b</t>
        </is>
      </c>
      <c r="C2405" t="inlineStr">
        <is>
          <t>0                      DS 0821000I  7213        1974b</t>
        </is>
      </c>
      <c r="D2405" t="inlineStr">
        <is>
          <t>Japanese culture; a study of origins and characteristics. Translated by Teruko Kachi.</t>
        </is>
      </c>
      <c r="F2405" t="inlineStr">
        <is>
          <t>No</t>
        </is>
      </c>
      <c r="G2405" t="inlineStr">
        <is>
          <t>1</t>
        </is>
      </c>
      <c r="H2405" t="inlineStr">
        <is>
          <t>No</t>
        </is>
      </c>
      <c r="I2405" t="inlineStr">
        <is>
          <t>No</t>
        </is>
      </c>
      <c r="J2405" t="inlineStr">
        <is>
          <t>0</t>
        </is>
      </c>
      <c r="K2405" t="inlineStr">
        <is>
          <t>Ishida, Eiichirō, 1903-1968.</t>
        </is>
      </c>
      <c r="L2405" t="inlineStr">
        <is>
          <t>Honolulu, University Press of Hawaii [1974]</t>
        </is>
      </c>
      <c r="M2405" t="inlineStr">
        <is>
          <t>1974</t>
        </is>
      </c>
      <c r="O2405" t="inlineStr">
        <is>
          <t>eng</t>
        </is>
      </c>
      <c r="P2405" t="inlineStr">
        <is>
          <t>hiu</t>
        </is>
      </c>
      <c r="R2405" t="inlineStr">
        <is>
          <t xml:space="preserve">DS </t>
        </is>
      </c>
      <c r="S2405" t="n">
        <v>22</v>
      </c>
      <c r="T2405" t="n">
        <v>22</v>
      </c>
      <c r="U2405" t="inlineStr">
        <is>
          <t>2005-09-14</t>
        </is>
      </c>
      <c r="V2405" t="inlineStr">
        <is>
          <t>2005-09-14</t>
        </is>
      </c>
      <c r="W2405" t="inlineStr">
        <is>
          <t>1992-02-26</t>
        </is>
      </c>
      <c r="X2405" t="inlineStr">
        <is>
          <t>1992-02-26</t>
        </is>
      </c>
      <c r="Y2405" t="n">
        <v>432</v>
      </c>
      <c r="Z2405" t="n">
        <v>371</v>
      </c>
      <c r="AA2405" t="n">
        <v>450</v>
      </c>
      <c r="AB2405" t="n">
        <v>4</v>
      </c>
      <c r="AC2405" t="n">
        <v>5</v>
      </c>
      <c r="AD2405" t="n">
        <v>22</v>
      </c>
      <c r="AE2405" t="n">
        <v>24</v>
      </c>
      <c r="AF2405" t="n">
        <v>9</v>
      </c>
      <c r="AG2405" t="n">
        <v>10</v>
      </c>
      <c r="AH2405" t="n">
        <v>5</v>
      </c>
      <c r="AI2405" t="n">
        <v>5</v>
      </c>
      <c r="AJ2405" t="n">
        <v>10</v>
      </c>
      <c r="AK2405" t="n">
        <v>10</v>
      </c>
      <c r="AL2405" t="n">
        <v>3</v>
      </c>
      <c r="AM2405" t="n">
        <v>4</v>
      </c>
      <c r="AN2405" t="n">
        <v>0</v>
      </c>
      <c r="AO2405" t="n">
        <v>0</v>
      </c>
      <c r="AP2405" t="inlineStr">
        <is>
          <t>No</t>
        </is>
      </c>
      <c r="AQ2405" t="inlineStr">
        <is>
          <t>Yes</t>
        </is>
      </c>
      <c r="AR2405">
        <f>HYPERLINK("http://catalog.hathitrust.org/Record/001259226","HathiTrust Record")</f>
        <v/>
      </c>
      <c r="AS2405">
        <f>HYPERLINK("https://creighton-primo.hosted.exlibrisgroup.com/primo-explore/search?tab=default_tab&amp;search_scope=EVERYTHING&amp;vid=01CRU&amp;lang=en_US&amp;offset=0&amp;query=any,contains,991003462209702656","Catalog Record")</f>
        <v/>
      </c>
      <c r="AT2405">
        <f>HYPERLINK("http://www.worldcat.org/oclc/1004041","WorldCat Record")</f>
        <v/>
      </c>
      <c r="AU2405" t="inlineStr">
        <is>
          <t>3900993077:eng</t>
        </is>
      </c>
      <c r="AV2405" t="inlineStr">
        <is>
          <t>1004041</t>
        </is>
      </c>
      <c r="AW2405" t="inlineStr">
        <is>
          <t>991003462209702656</t>
        </is>
      </c>
      <c r="AX2405" t="inlineStr">
        <is>
          <t>991003462209702656</t>
        </is>
      </c>
      <c r="AY2405" t="inlineStr">
        <is>
          <t>2254828090002656</t>
        </is>
      </c>
      <c r="AZ2405" t="inlineStr">
        <is>
          <t>BOOK</t>
        </is>
      </c>
      <c r="BB2405" t="inlineStr">
        <is>
          <t>9780824803254</t>
        </is>
      </c>
      <c r="BC2405" t="inlineStr">
        <is>
          <t>32285000948694</t>
        </is>
      </c>
      <c r="BD2405" t="inlineStr">
        <is>
          <t>893793621</t>
        </is>
      </c>
    </row>
    <row r="2406">
      <c r="A2406" t="inlineStr">
        <is>
          <t>No</t>
        </is>
      </c>
      <c r="B2406" t="inlineStr">
        <is>
          <t>DS821 .J334</t>
        </is>
      </c>
      <c r="C2406" t="inlineStr">
        <is>
          <t>0                      DS 0821000J  334</t>
        </is>
      </c>
      <c r="D2406" t="inlineStr">
        <is>
          <t>Changing Japanese attitudes toward modernization / edited by Marius B. Jansen. Contributors: Robert N. Bellah [and others].</t>
        </is>
      </c>
      <c r="F2406" t="inlineStr">
        <is>
          <t>No</t>
        </is>
      </c>
      <c r="G2406" t="inlineStr">
        <is>
          <t>1</t>
        </is>
      </c>
      <c r="H2406" t="inlineStr">
        <is>
          <t>No</t>
        </is>
      </c>
      <c r="I2406" t="inlineStr">
        <is>
          <t>No</t>
        </is>
      </c>
      <c r="J2406" t="inlineStr">
        <is>
          <t>0</t>
        </is>
      </c>
      <c r="K2406" t="inlineStr">
        <is>
          <t>Jansen, Marius B. editor.</t>
        </is>
      </c>
      <c r="L2406" t="inlineStr">
        <is>
          <t>Princeton, N. J. : Princeton University Press, c1965, 1972 printing.</t>
        </is>
      </c>
      <c r="M2406" t="inlineStr">
        <is>
          <t>1965</t>
        </is>
      </c>
      <c r="O2406" t="inlineStr">
        <is>
          <t>eng</t>
        </is>
      </c>
      <c r="P2406" t="inlineStr">
        <is>
          <t>___</t>
        </is>
      </c>
      <c r="R2406" t="inlineStr">
        <is>
          <t xml:space="preserve">DS </t>
        </is>
      </c>
      <c r="S2406" t="n">
        <v>9</v>
      </c>
      <c r="T2406" t="n">
        <v>9</v>
      </c>
      <c r="U2406" t="inlineStr">
        <is>
          <t>2005-12-15</t>
        </is>
      </c>
      <c r="V2406" t="inlineStr">
        <is>
          <t>2005-12-15</t>
        </is>
      </c>
      <c r="W2406" t="inlineStr">
        <is>
          <t>1990-10-29</t>
        </is>
      </c>
      <c r="X2406" t="inlineStr">
        <is>
          <t>1990-10-29</t>
        </is>
      </c>
      <c r="Y2406" t="n">
        <v>930</v>
      </c>
      <c r="Z2406" t="n">
        <v>756</v>
      </c>
      <c r="AA2406" t="n">
        <v>883</v>
      </c>
      <c r="AB2406" t="n">
        <v>6</v>
      </c>
      <c r="AC2406" t="n">
        <v>6</v>
      </c>
      <c r="AD2406" t="n">
        <v>43</v>
      </c>
      <c r="AE2406" t="n">
        <v>45</v>
      </c>
      <c r="AF2406" t="n">
        <v>18</v>
      </c>
      <c r="AG2406" t="n">
        <v>20</v>
      </c>
      <c r="AH2406" t="n">
        <v>11</v>
      </c>
      <c r="AI2406" t="n">
        <v>11</v>
      </c>
      <c r="AJ2406" t="n">
        <v>21</v>
      </c>
      <c r="AK2406" t="n">
        <v>21</v>
      </c>
      <c r="AL2406" t="n">
        <v>5</v>
      </c>
      <c r="AM2406" t="n">
        <v>5</v>
      </c>
      <c r="AN2406" t="n">
        <v>1</v>
      </c>
      <c r="AO2406" t="n">
        <v>1</v>
      </c>
      <c r="AP2406" t="inlineStr">
        <is>
          <t>No</t>
        </is>
      </c>
      <c r="AQ2406" t="inlineStr">
        <is>
          <t>No</t>
        </is>
      </c>
      <c r="AS2406">
        <f>HYPERLINK("https://creighton-primo.hosted.exlibrisgroup.com/primo-explore/search?tab=default_tab&amp;search_scope=EVERYTHING&amp;vid=01CRU&amp;lang=en_US&amp;offset=0&amp;query=any,contains,991002001409702656","Catalog Record")</f>
        <v/>
      </c>
      <c r="AT2406">
        <f>HYPERLINK("http://www.worldcat.org/oclc/256428","WorldCat Record")</f>
        <v/>
      </c>
      <c r="AU2406" t="inlineStr">
        <is>
          <t>365497186:eng</t>
        </is>
      </c>
      <c r="AV2406" t="inlineStr">
        <is>
          <t>256428</t>
        </is>
      </c>
      <c r="AW2406" t="inlineStr">
        <is>
          <t>991002001409702656</t>
        </is>
      </c>
      <c r="AX2406" t="inlineStr">
        <is>
          <t>991002001409702656</t>
        </is>
      </c>
      <c r="AY2406" t="inlineStr">
        <is>
          <t>2272307310002656</t>
        </is>
      </c>
      <c r="AZ2406" t="inlineStr">
        <is>
          <t>BOOK</t>
        </is>
      </c>
      <c r="BC2406" t="inlineStr">
        <is>
          <t>32285000339738</t>
        </is>
      </c>
      <c r="BD2406" t="inlineStr">
        <is>
          <t>893866681</t>
        </is>
      </c>
    </row>
    <row r="2407">
      <c r="A2407" t="inlineStr">
        <is>
          <t>No</t>
        </is>
      </c>
      <c r="B2407" t="inlineStr">
        <is>
          <t>DS821 .J347 1973</t>
        </is>
      </c>
      <c r="C2407" t="inlineStr">
        <is>
          <t>0                      DS 0821000J  347         1973</t>
        </is>
      </c>
      <c r="D2407" t="inlineStr">
        <is>
          <t>Japan's cultural history : a perspective / by Yutaka Tazawa ... [et al.].</t>
        </is>
      </c>
      <c r="F2407" t="inlineStr">
        <is>
          <t>No</t>
        </is>
      </c>
      <c r="G2407" t="inlineStr">
        <is>
          <t>1</t>
        </is>
      </c>
      <c r="H2407" t="inlineStr">
        <is>
          <t>No</t>
        </is>
      </c>
      <c r="I2407" t="inlineStr">
        <is>
          <t>No</t>
        </is>
      </c>
      <c r="J2407" t="inlineStr">
        <is>
          <t>0</t>
        </is>
      </c>
      <c r="L2407" t="inlineStr">
        <is>
          <t>[Tokyo] : Ministry of Foreign Affairs, 1973.</t>
        </is>
      </c>
      <c r="M2407" t="inlineStr">
        <is>
          <t>1973</t>
        </is>
      </c>
      <c r="O2407" t="inlineStr">
        <is>
          <t>eng</t>
        </is>
      </c>
      <c r="P2407" t="inlineStr">
        <is>
          <t xml:space="preserve">ja </t>
        </is>
      </c>
      <c r="R2407" t="inlineStr">
        <is>
          <t xml:space="preserve">DS </t>
        </is>
      </c>
      <c r="S2407" t="n">
        <v>5</v>
      </c>
      <c r="T2407" t="n">
        <v>5</v>
      </c>
      <c r="U2407" t="inlineStr">
        <is>
          <t>2005-11-16</t>
        </is>
      </c>
      <c r="V2407" t="inlineStr">
        <is>
          <t>2005-11-16</t>
        </is>
      </c>
      <c r="W2407" t="inlineStr">
        <is>
          <t>1998-09-23</t>
        </is>
      </c>
      <c r="X2407" t="inlineStr">
        <is>
          <t>1998-09-23</t>
        </is>
      </c>
      <c r="Y2407" t="n">
        <v>552</v>
      </c>
      <c r="Z2407" t="n">
        <v>383</v>
      </c>
      <c r="AA2407" t="n">
        <v>389</v>
      </c>
      <c r="AB2407" t="n">
        <v>6</v>
      </c>
      <c r="AC2407" t="n">
        <v>6</v>
      </c>
      <c r="AD2407" t="n">
        <v>14</v>
      </c>
      <c r="AE2407" t="n">
        <v>14</v>
      </c>
      <c r="AF2407" t="n">
        <v>5</v>
      </c>
      <c r="AG2407" t="n">
        <v>5</v>
      </c>
      <c r="AH2407" t="n">
        <v>1</v>
      </c>
      <c r="AI2407" t="n">
        <v>1</v>
      </c>
      <c r="AJ2407" t="n">
        <v>8</v>
      </c>
      <c r="AK2407" t="n">
        <v>8</v>
      </c>
      <c r="AL2407" t="n">
        <v>4</v>
      </c>
      <c r="AM2407" t="n">
        <v>4</v>
      </c>
      <c r="AN2407" t="n">
        <v>0</v>
      </c>
      <c r="AO2407" t="n">
        <v>0</v>
      </c>
      <c r="AP2407" t="inlineStr">
        <is>
          <t>No</t>
        </is>
      </c>
      <c r="AQ2407" t="inlineStr">
        <is>
          <t>No</t>
        </is>
      </c>
      <c r="AS2407">
        <f>HYPERLINK("https://creighton-primo.hosted.exlibrisgroup.com/primo-explore/search?tab=default_tab&amp;search_scope=EVERYTHING&amp;vid=01CRU&amp;lang=en_US&amp;offset=0&amp;query=any,contains,991004426129702656","Catalog Record")</f>
        <v/>
      </c>
      <c r="AT2407">
        <f>HYPERLINK("http://www.worldcat.org/oclc/3397499","WorldCat Record")</f>
        <v/>
      </c>
      <c r="AU2407" t="inlineStr">
        <is>
          <t>899569663:eng</t>
        </is>
      </c>
      <c r="AV2407" t="inlineStr">
        <is>
          <t>3397499</t>
        </is>
      </c>
      <c r="AW2407" t="inlineStr">
        <is>
          <t>991004426129702656</t>
        </is>
      </c>
      <c r="AX2407" t="inlineStr">
        <is>
          <t>991004426129702656</t>
        </is>
      </c>
      <c r="AY2407" t="inlineStr">
        <is>
          <t>2270318250002656</t>
        </is>
      </c>
      <c r="AZ2407" t="inlineStr">
        <is>
          <t>BOOK</t>
        </is>
      </c>
      <c r="BC2407" t="inlineStr">
        <is>
          <t>32285003470597</t>
        </is>
      </c>
      <c r="BD2407" t="inlineStr">
        <is>
          <t>893618653</t>
        </is>
      </c>
    </row>
    <row r="2408">
      <c r="A2408" t="inlineStr">
        <is>
          <t>No</t>
        </is>
      </c>
      <c r="B2408" t="inlineStr">
        <is>
          <t>DS821 .K8 1983</t>
        </is>
      </c>
      <c r="C2408" t="inlineStr">
        <is>
          <t>0                      DS 0821000K  8           1983</t>
        </is>
      </c>
      <c r="D2408" t="inlineStr">
        <is>
          <t>Japan and Western civilization : essays on comparative culture / Kuwabara Takeo ; edited by Katō Hidetoshi ; translated by Kano Tsutomu and Patricia Murray.</t>
        </is>
      </c>
      <c r="F2408" t="inlineStr">
        <is>
          <t>No</t>
        </is>
      </c>
      <c r="G2408" t="inlineStr">
        <is>
          <t>1</t>
        </is>
      </c>
      <c r="H2408" t="inlineStr">
        <is>
          <t>No</t>
        </is>
      </c>
      <c r="I2408" t="inlineStr">
        <is>
          <t>No</t>
        </is>
      </c>
      <c r="J2408" t="inlineStr">
        <is>
          <t>0</t>
        </is>
      </c>
      <c r="K2408" t="inlineStr">
        <is>
          <t>Kuwabara, Takeo, 1904-1988.</t>
        </is>
      </c>
      <c r="L2408" t="inlineStr">
        <is>
          <t>Tokyo : University of Tokyo Press, 1983.</t>
        </is>
      </c>
      <c r="M2408" t="inlineStr">
        <is>
          <t>1983</t>
        </is>
      </c>
      <c r="O2408" t="inlineStr">
        <is>
          <t>eng</t>
        </is>
      </c>
      <c r="P2408" t="inlineStr">
        <is>
          <t xml:space="preserve">ja </t>
        </is>
      </c>
      <c r="R2408" t="inlineStr">
        <is>
          <t xml:space="preserve">DS </t>
        </is>
      </c>
      <c r="S2408" t="n">
        <v>4</v>
      </c>
      <c r="T2408" t="n">
        <v>4</v>
      </c>
      <c r="U2408" t="inlineStr">
        <is>
          <t>2006-11-27</t>
        </is>
      </c>
      <c r="V2408" t="inlineStr">
        <is>
          <t>2006-11-27</t>
        </is>
      </c>
      <c r="W2408" t="inlineStr">
        <is>
          <t>1990-10-29</t>
        </is>
      </c>
      <c r="X2408" t="inlineStr">
        <is>
          <t>1990-10-29</t>
        </is>
      </c>
      <c r="Y2408" t="n">
        <v>475</v>
      </c>
      <c r="Z2408" t="n">
        <v>369</v>
      </c>
      <c r="AA2408" t="n">
        <v>371</v>
      </c>
      <c r="AB2408" t="n">
        <v>5</v>
      </c>
      <c r="AC2408" t="n">
        <v>5</v>
      </c>
      <c r="AD2408" t="n">
        <v>25</v>
      </c>
      <c r="AE2408" t="n">
        <v>25</v>
      </c>
      <c r="AF2408" t="n">
        <v>11</v>
      </c>
      <c r="AG2408" t="n">
        <v>11</v>
      </c>
      <c r="AH2408" t="n">
        <v>7</v>
      </c>
      <c r="AI2408" t="n">
        <v>7</v>
      </c>
      <c r="AJ2408" t="n">
        <v>9</v>
      </c>
      <c r="AK2408" t="n">
        <v>9</v>
      </c>
      <c r="AL2408" t="n">
        <v>3</v>
      </c>
      <c r="AM2408" t="n">
        <v>3</v>
      </c>
      <c r="AN2408" t="n">
        <v>0</v>
      </c>
      <c r="AO2408" t="n">
        <v>0</v>
      </c>
      <c r="AP2408" t="inlineStr">
        <is>
          <t>No</t>
        </is>
      </c>
      <c r="AQ2408" t="inlineStr">
        <is>
          <t>Yes</t>
        </is>
      </c>
      <c r="AR2408">
        <f>HYPERLINK("http://catalog.hathitrust.org/Record/000209593","HathiTrust Record")</f>
        <v/>
      </c>
      <c r="AS2408">
        <f>HYPERLINK("https://creighton-primo.hosted.exlibrisgroup.com/primo-explore/search?tab=default_tab&amp;search_scope=EVERYTHING&amp;vid=01CRU&amp;lang=en_US&amp;offset=0&amp;query=any,contains,991000381359702656","Catalog Record")</f>
        <v/>
      </c>
      <c r="AT2408">
        <f>HYPERLINK("http://www.worldcat.org/oclc/10494614","WorldCat Record")</f>
        <v/>
      </c>
      <c r="AU2408" t="inlineStr">
        <is>
          <t>224863388:eng</t>
        </is>
      </c>
      <c r="AV2408" t="inlineStr">
        <is>
          <t>10494614</t>
        </is>
      </c>
      <c r="AW2408" t="inlineStr">
        <is>
          <t>991000381359702656</t>
        </is>
      </c>
      <c r="AX2408" t="inlineStr">
        <is>
          <t>991000381359702656</t>
        </is>
      </c>
      <c r="AY2408" t="inlineStr">
        <is>
          <t>2261292600002656</t>
        </is>
      </c>
      <c r="AZ2408" t="inlineStr">
        <is>
          <t>BOOK</t>
        </is>
      </c>
      <c r="BB2408" t="inlineStr">
        <is>
          <t>9780860083382</t>
        </is>
      </c>
      <c r="BC2408" t="inlineStr">
        <is>
          <t>32285000339753</t>
        </is>
      </c>
      <c r="BD2408" t="inlineStr">
        <is>
          <t>893620422</t>
        </is>
      </c>
    </row>
    <row r="2409">
      <c r="A2409" t="inlineStr">
        <is>
          <t>No</t>
        </is>
      </c>
      <c r="B2409" t="inlineStr">
        <is>
          <t>DS821 .L345</t>
        </is>
      </c>
      <c r="C2409" t="inlineStr">
        <is>
          <t>0                      DS 0821000L  345</t>
        </is>
      </c>
      <c r="D2409" t="inlineStr">
        <is>
          <t>Japanese culture and behavior : selected readings / edited by Takie Sugiyama Lebra and William P. Lebra.</t>
        </is>
      </c>
      <c r="F2409" t="inlineStr">
        <is>
          <t>No</t>
        </is>
      </c>
      <c r="G2409" t="inlineStr">
        <is>
          <t>1</t>
        </is>
      </c>
      <c r="H2409" t="inlineStr">
        <is>
          <t>No</t>
        </is>
      </c>
      <c r="I2409" t="inlineStr">
        <is>
          <t>No</t>
        </is>
      </c>
      <c r="J2409" t="inlineStr">
        <is>
          <t>0</t>
        </is>
      </c>
      <c r="K2409" t="inlineStr">
        <is>
          <t>Lebra, Takie Sugiyama, 1930-, compiler.</t>
        </is>
      </c>
      <c r="L2409" t="inlineStr">
        <is>
          <t>Honolulu : University Press of Hawaii, c1974, 1979 printing.</t>
        </is>
      </c>
      <c r="M2409" t="inlineStr">
        <is>
          <t>1974</t>
        </is>
      </c>
      <c r="O2409" t="inlineStr">
        <is>
          <t>eng</t>
        </is>
      </c>
      <c r="P2409" t="inlineStr">
        <is>
          <t>hiu</t>
        </is>
      </c>
      <c r="R2409" t="inlineStr">
        <is>
          <t xml:space="preserve">DS </t>
        </is>
      </c>
      <c r="S2409" t="n">
        <v>21</v>
      </c>
      <c r="T2409" t="n">
        <v>21</v>
      </c>
      <c r="U2409" t="inlineStr">
        <is>
          <t>2005-09-14</t>
        </is>
      </c>
      <c r="V2409" t="inlineStr">
        <is>
          <t>2005-09-14</t>
        </is>
      </c>
      <c r="W2409" t="inlineStr">
        <is>
          <t>1995-11-28</t>
        </is>
      </c>
      <c r="X2409" t="inlineStr">
        <is>
          <t>1995-11-28</t>
        </is>
      </c>
      <c r="Y2409" t="n">
        <v>552</v>
      </c>
      <c r="Z2409" t="n">
        <v>436</v>
      </c>
      <c r="AA2409" t="n">
        <v>1140</v>
      </c>
      <c r="AB2409" t="n">
        <v>4</v>
      </c>
      <c r="AC2409" t="n">
        <v>8</v>
      </c>
      <c r="AD2409" t="n">
        <v>17</v>
      </c>
      <c r="AE2409" t="n">
        <v>38</v>
      </c>
      <c r="AF2409" t="n">
        <v>4</v>
      </c>
      <c r="AG2409" t="n">
        <v>17</v>
      </c>
      <c r="AH2409" t="n">
        <v>6</v>
      </c>
      <c r="AI2409" t="n">
        <v>9</v>
      </c>
      <c r="AJ2409" t="n">
        <v>9</v>
      </c>
      <c r="AK2409" t="n">
        <v>15</v>
      </c>
      <c r="AL2409" t="n">
        <v>3</v>
      </c>
      <c r="AM2409" t="n">
        <v>7</v>
      </c>
      <c r="AN2409" t="n">
        <v>0</v>
      </c>
      <c r="AO2409" t="n">
        <v>0</v>
      </c>
      <c r="AP2409" t="inlineStr">
        <is>
          <t>No</t>
        </is>
      </c>
      <c r="AQ2409" t="inlineStr">
        <is>
          <t>Yes</t>
        </is>
      </c>
      <c r="AR2409">
        <f>HYPERLINK("http://catalog.hathitrust.org/Record/000026169","HathiTrust Record")</f>
        <v/>
      </c>
      <c r="AS2409">
        <f>HYPERLINK("https://creighton-primo.hosted.exlibrisgroup.com/primo-explore/search?tab=default_tab&amp;search_scope=EVERYTHING&amp;vid=01CRU&amp;lang=en_US&amp;offset=0&amp;query=any,contains,991003514789702656","Catalog Record")</f>
        <v/>
      </c>
      <c r="AT2409">
        <f>HYPERLINK("http://www.worldcat.org/oclc/1071585","WorldCat Record")</f>
        <v/>
      </c>
      <c r="AU2409" t="inlineStr">
        <is>
          <t>147111962:eng</t>
        </is>
      </c>
      <c r="AV2409" t="inlineStr">
        <is>
          <t>1071585</t>
        </is>
      </c>
      <c r="AW2409" t="inlineStr">
        <is>
          <t>991003514789702656</t>
        </is>
      </c>
      <c r="AX2409" t="inlineStr">
        <is>
          <t>991003514789702656</t>
        </is>
      </c>
      <c r="AY2409" t="inlineStr">
        <is>
          <t>2256763920002656</t>
        </is>
      </c>
      <c r="AZ2409" t="inlineStr">
        <is>
          <t>BOOK</t>
        </is>
      </c>
      <c r="BC2409" t="inlineStr">
        <is>
          <t>32285002120151</t>
        </is>
      </c>
      <c r="BD2409" t="inlineStr">
        <is>
          <t>893805851</t>
        </is>
      </c>
    </row>
    <row r="2410">
      <c r="A2410" t="inlineStr">
        <is>
          <t>No</t>
        </is>
      </c>
      <c r="B2410" t="inlineStr">
        <is>
          <t>DS821 .M373</t>
        </is>
      </c>
      <c r="C2410" t="inlineStr">
        <is>
          <t>0                      DS 0821000M  373</t>
        </is>
      </c>
      <c r="D2410" t="inlineStr">
        <is>
          <t>On life and nature in Japan / Iwao Matsuhara. Illustrated by Tatsua Yamasaki.</t>
        </is>
      </c>
      <c r="F2410" t="inlineStr">
        <is>
          <t>No</t>
        </is>
      </c>
      <c r="G2410" t="inlineStr">
        <is>
          <t>1</t>
        </is>
      </c>
      <c r="H2410" t="inlineStr">
        <is>
          <t>No</t>
        </is>
      </c>
      <c r="I2410" t="inlineStr">
        <is>
          <t>No</t>
        </is>
      </c>
      <c r="J2410" t="inlineStr">
        <is>
          <t>0</t>
        </is>
      </c>
      <c r="K2410" t="inlineStr">
        <is>
          <t>Matsuhara, Iwao.</t>
        </is>
      </c>
      <c r="L2410" t="inlineStr">
        <is>
          <t>[Tokyo] : Hokuseido Press, 1964.</t>
        </is>
      </c>
      <c r="M2410" t="inlineStr">
        <is>
          <t>1964</t>
        </is>
      </c>
      <c r="O2410" t="inlineStr">
        <is>
          <t>eng</t>
        </is>
      </c>
      <c r="P2410" t="inlineStr">
        <is>
          <t xml:space="preserve">ja </t>
        </is>
      </c>
      <c r="R2410" t="inlineStr">
        <is>
          <t xml:space="preserve">DS </t>
        </is>
      </c>
      <c r="S2410" t="n">
        <v>2</v>
      </c>
      <c r="T2410" t="n">
        <v>2</v>
      </c>
      <c r="U2410" t="inlineStr">
        <is>
          <t>1995-09-29</t>
        </is>
      </c>
      <c r="V2410" t="inlineStr">
        <is>
          <t>1995-09-29</t>
        </is>
      </c>
      <c r="W2410" t="inlineStr">
        <is>
          <t>1990-10-29</t>
        </is>
      </c>
      <c r="X2410" t="inlineStr">
        <is>
          <t>1990-10-29</t>
        </is>
      </c>
      <c r="Y2410" t="n">
        <v>117</v>
      </c>
      <c r="Z2410" t="n">
        <v>87</v>
      </c>
      <c r="AA2410" t="n">
        <v>87</v>
      </c>
      <c r="AB2410" t="n">
        <v>1</v>
      </c>
      <c r="AC2410" t="n">
        <v>1</v>
      </c>
      <c r="AD2410" t="n">
        <v>2</v>
      </c>
      <c r="AE2410" t="n">
        <v>2</v>
      </c>
      <c r="AF2410" t="n">
        <v>1</v>
      </c>
      <c r="AG2410" t="n">
        <v>1</v>
      </c>
      <c r="AH2410" t="n">
        <v>1</v>
      </c>
      <c r="AI2410" t="n">
        <v>1</v>
      </c>
      <c r="AJ2410" t="n">
        <v>2</v>
      </c>
      <c r="AK2410" t="n">
        <v>2</v>
      </c>
      <c r="AL2410" t="n">
        <v>0</v>
      </c>
      <c r="AM2410" t="n">
        <v>0</v>
      </c>
      <c r="AN2410" t="n">
        <v>0</v>
      </c>
      <c r="AO2410" t="n">
        <v>0</v>
      </c>
      <c r="AP2410" t="inlineStr">
        <is>
          <t>No</t>
        </is>
      </c>
      <c r="AQ2410" t="inlineStr">
        <is>
          <t>No</t>
        </is>
      </c>
      <c r="AS2410">
        <f>HYPERLINK("https://creighton-primo.hosted.exlibrisgroup.com/primo-explore/search?tab=default_tab&amp;search_scope=EVERYTHING&amp;vid=01CRU&amp;lang=en_US&amp;offset=0&amp;query=any,contains,991003398959702656","Catalog Record")</f>
        <v/>
      </c>
      <c r="AT2410">
        <f>HYPERLINK("http://www.worldcat.org/oclc/938523","WorldCat Record")</f>
        <v/>
      </c>
      <c r="AU2410" t="inlineStr">
        <is>
          <t>350958641:eng</t>
        </is>
      </c>
      <c r="AV2410" t="inlineStr">
        <is>
          <t>938523</t>
        </is>
      </c>
      <c r="AW2410" t="inlineStr">
        <is>
          <t>991003398959702656</t>
        </is>
      </c>
      <c r="AX2410" t="inlineStr">
        <is>
          <t>991003398959702656</t>
        </is>
      </c>
      <c r="AY2410" t="inlineStr">
        <is>
          <t>2262859880002656</t>
        </is>
      </c>
      <c r="AZ2410" t="inlineStr">
        <is>
          <t>BOOK</t>
        </is>
      </c>
      <c r="BC2410" t="inlineStr">
        <is>
          <t>32285000339779</t>
        </is>
      </c>
      <c r="BD2410" t="inlineStr">
        <is>
          <t>893686516</t>
        </is>
      </c>
    </row>
    <row r="2411">
      <c r="A2411" t="inlineStr">
        <is>
          <t>No</t>
        </is>
      </c>
      <c r="B2411" t="inlineStr">
        <is>
          <t>DS821 .N86</t>
        </is>
      </c>
      <c r="C2411" t="inlineStr">
        <is>
          <t>0                      DS 0821000N  86</t>
        </is>
      </c>
      <c r="D2411" t="inlineStr">
        <is>
          <t>Changing Japan.</t>
        </is>
      </c>
      <c r="F2411" t="inlineStr">
        <is>
          <t>No</t>
        </is>
      </c>
      <c r="G2411" t="inlineStr">
        <is>
          <t>1</t>
        </is>
      </c>
      <c r="H2411" t="inlineStr">
        <is>
          <t>No</t>
        </is>
      </c>
      <c r="I2411" t="inlineStr">
        <is>
          <t>No</t>
        </is>
      </c>
      <c r="J2411" t="inlineStr">
        <is>
          <t>0</t>
        </is>
      </c>
      <c r="K2411" t="inlineStr">
        <is>
          <t>Norbeck, Edward, 1915-1991.</t>
        </is>
      </c>
      <c r="L2411" t="inlineStr">
        <is>
          <t>New York : Holt, Rinehart and Winston, [1965]</t>
        </is>
      </c>
      <c r="M2411" t="inlineStr">
        <is>
          <t>1965</t>
        </is>
      </c>
      <c r="O2411" t="inlineStr">
        <is>
          <t>eng</t>
        </is>
      </c>
      <c r="P2411" t="inlineStr">
        <is>
          <t>nyu</t>
        </is>
      </c>
      <c r="Q2411" t="inlineStr">
        <is>
          <t>Case studies in cultural anthropology</t>
        </is>
      </c>
      <c r="R2411" t="inlineStr">
        <is>
          <t xml:space="preserve">DS </t>
        </is>
      </c>
      <c r="S2411" t="n">
        <v>4</v>
      </c>
      <c r="T2411" t="n">
        <v>4</v>
      </c>
      <c r="U2411" t="inlineStr">
        <is>
          <t>2003-11-10</t>
        </is>
      </c>
      <c r="V2411" t="inlineStr">
        <is>
          <t>2003-11-10</t>
        </is>
      </c>
      <c r="W2411" t="inlineStr">
        <is>
          <t>1995-04-11</t>
        </is>
      </c>
      <c r="X2411" t="inlineStr">
        <is>
          <t>1995-04-11</t>
        </is>
      </c>
      <c r="Y2411" t="n">
        <v>772</v>
      </c>
      <c r="Z2411" t="n">
        <v>627</v>
      </c>
      <c r="AA2411" t="n">
        <v>845</v>
      </c>
      <c r="AB2411" t="n">
        <v>3</v>
      </c>
      <c r="AC2411" t="n">
        <v>6</v>
      </c>
      <c r="AD2411" t="n">
        <v>25</v>
      </c>
      <c r="AE2411" t="n">
        <v>30</v>
      </c>
      <c r="AF2411" t="n">
        <v>12</v>
      </c>
      <c r="AG2411" t="n">
        <v>14</v>
      </c>
      <c r="AH2411" t="n">
        <v>5</v>
      </c>
      <c r="AI2411" t="n">
        <v>5</v>
      </c>
      <c r="AJ2411" t="n">
        <v>11</v>
      </c>
      <c r="AK2411" t="n">
        <v>11</v>
      </c>
      <c r="AL2411" t="n">
        <v>2</v>
      </c>
      <c r="AM2411" t="n">
        <v>5</v>
      </c>
      <c r="AN2411" t="n">
        <v>0</v>
      </c>
      <c r="AO2411" t="n">
        <v>0</v>
      </c>
      <c r="AP2411" t="inlineStr">
        <is>
          <t>No</t>
        </is>
      </c>
      <c r="AQ2411" t="inlineStr">
        <is>
          <t>Yes</t>
        </is>
      </c>
      <c r="AR2411">
        <f>HYPERLINK("http://catalog.hathitrust.org/Record/001259250","HathiTrust Record")</f>
        <v/>
      </c>
      <c r="AS2411">
        <f>HYPERLINK("https://creighton-primo.hosted.exlibrisgroup.com/primo-explore/search?tab=default_tab&amp;search_scope=EVERYTHING&amp;vid=01CRU&amp;lang=en_US&amp;offset=0&amp;query=any,contains,991002222699702656","Catalog Record")</f>
        <v/>
      </c>
      <c r="AT2411">
        <f>HYPERLINK("http://www.worldcat.org/oclc/290738","WorldCat Record")</f>
        <v/>
      </c>
      <c r="AU2411" t="inlineStr">
        <is>
          <t>178400923:eng</t>
        </is>
      </c>
      <c r="AV2411" t="inlineStr">
        <is>
          <t>290738</t>
        </is>
      </c>
      <c r="AW2411" t="inlineStr">
        <is>
          <t>991002222699702656</t>
        </is>
      </c>
      <c r="AX2411" t="inlineStr">
        <is>
          <t>991002222699702656</t>
        </is>
      </c>
      <c r="AY2411" t="inlineStr">
        <is>
          <t>2270728790002656</t>
        </is>
      </c>
      <c r="AZ2411" t="inlineStr">
        <is>
          <t>BOOK</t>
        </is>
      </c>
      <c r="BC2411" t="inlineStr">
        <is>
          <t>32285002026390</t>
        </is>
      </c>
      <c r="BD2411" t="inlineStr">
        <is>
          <t>893773365</t>
        </is>
      </c>
    </row>
    <row r="2412">
      <c r="A2412" t="inlineStr">
        <is>
          <t>No</t>
        </is>
      </c>
      <c r="B2412" t="inlineStr">
        <is>
          <t>DS821 .O3627 1989</t>
        </is>
      </c>
      <c r="C2412" t="inlineStr">
        <is>
          <t>0                      DS 0821000O  3627        1989</t>
        </is>
      </c>
      <c r="D2412" t="inlineStr">
        <is>
          <t>The monkey as mirror : symbolic transformations in Japanese history and ritual / Emiko Ohnuki-Tierney.</t>
        </is>
      </c>
      <c r="F2412" t="inlineStr">
        <is>
          <t>No</t>
        </is>
      </c>
      <c r="G2412" t="inlineStr">
        <is>
          <t>1</t>
        </is>
      </c>
      <c r="H2412" t="inlineStr">
        <is>
          <t>No</t>
        </is>
      </c>
      <c r="I2412" t="inlineStr">
        <is>
          <t>No</t>
        </is>
      </c>
      <c r="J2412" t="inlineStr">
        <is>
          <t>0</t>
        </is>
      </c>
      <c r="K2412" t="inlineStr">
        <is>
          <t>Ohnuki-Tierney, Emiko.</t>
        </is>
      </c>
      <c r="L2412" t="inlineStr">
        <is>
          <t>Princeton, N.J. ; Guildford : Princeton University Press, 1989, c1987.</t>
        </is>
      </c>
      <c r="M2412" t="inlineStr">
        <is>
          <t>1989</t>
        </is>
      </c>
      <c r="O2412" t="inlineStr">
        <is>
          <t>eng</t>
        </is>
      </c>
      <c r="P2412" t="inlineStr">
        <is>
          <t>enk</t>
        </is>
      </c>
      <c r="R2412" t="inlineStr">
        <is>
          <t xml:space="preserve">DS </t>
        </is>
      </c>
      <c r="S2412" t="n">
        <v>1</v>
      </c>
      <c r="T2412" t="n">
        <v>1</v>
      </c>
      <c r="U2412" t="inlineStr">
        <is>
          <t>2006-04-25</t>
        </is>
      </c>
      <c r="V2412" t="inlineStr">
        <is>
          <t>2006-04-25</t>
        </is>
      </c>
      <c r="W2412" t="inlineStr">
        <is>
          <t>1999-10-28</t>
        </is>
      </c>
      <c r="X2412" t="inlineStr">
        <is>
          <t>1999-10-28</t>
        </is>
      </c>
      <c r="Y2412" t="n">
        <v>43</v>
      </c>
      <c r="Z2412" t="n">
        <v>25</v>
      </c>
      <c r="AA2412" t="n">
        <v>545</v>
      </c>
      <c r="AB2412" t="n">
        <v>2</v>
      </c>
      <c r="AC2412" t="n">
        <v>3</v>
      </c>
      <c r="AD2412" t="n">
        <v>1</v>
      </c>
      <c r="AE2412" t="n">
        <v>23</v>
      </c>
      <c r="AF2412" t="n">
        <v>0</v>
      </c>
      <c r="AG2412" t="n">
        <v>11</v>
      </c>
      <c r="AH2412" t="n">
        <v>0</v>
      </c>
      <c r="AI2412" t="n">
        <v>6</v>
      </c>
      <c r="AJ2412" t="n">
        <v>0</v>
      </c>
      <c r="AK2412" t="n">
        <v>11</v>
      </c>
      <c r="AL2412" t="n">
        <v>1</v>
      </c>
      <c r="AM2412" t="n">
        <v>2</v>
      </c>
      <c r="AN2412" t="n">
        <v>0</v>
      </c>
      <c r="AO2412" t="n">
        <v>0</v>
      </c>
      <c r="AP2412" t="inlineStr">
        <is>
          <t>No</t>
        </is>
      </c>
      <c r="AQ2412" t="inlineStr">
        <is>
          <t>No</t>
        </is>
      </c>
      <c r="AS2412">
        <f>HYPERLINK("https://creighton-primo.hosted.exlibrisgroup.com/primo-explore/search?tab=default_tab&amp;search_scope=EVERYTHING&amp;vid=01CRU&amp;lang=en_US&amp;offset=0&amp;query=any,contains,991001651779702656","Catalog Record")</f>
        <v/>
      </c>
      <c r="AT2412">
        <f>HYPERLINK("http://www.worldcat.org/oclc/21081580","WorldCat Record")</f>
        <v/>
      </c>
      <c r="AU2412" t="inlineStr">
        <is>
          <t>891791:eng</t>
        </is>
      </c>
      <c r="AV2412" t="inlineStr">
        <is>
          <t>21081580</t>
        </is>
      </c>
      <c r="AW2412" t="inlineStr">
        <is>
          <t>991001651779702656</t>
        </is>
      </c>
      <c r="AX2412" t="inlineStr">
        <is>
          <t>991001651779702656</t>
        </is>
      </c>
      <c r="AY2412" t="inlineStr">
        <is>
          <t>2256669850002656</t>
        </is>
      </c>
      <c r="AZ2412" t="inlineStr">
        <is>
          <t>BOOK</t>
        </is>
      </c>
      <c r="BB2412" t="inlineStr">
        <is>
          <t>9780691028460</t>
        </is>
      </c>
      <c r="BC2412" t="inlineStr">
        <is>
          <t>32285003615464</t>
        </is>
      </c>
      <c r="BD2412" t="inlineStr">
        <is>
          <t>893690753</t>
        </is>
      </c>
    </row>
    <row r="2413">
      <c r="A2413" t="inlineStr">
        <is>
          <t>No</t>
        </is>
      </c>
      <c r="B2413" t="inlineStr">
        <is>
          <t>DS821 .P15 1961ac</t>
        </is>
      </c>
      <c r="C2413" t="inlineStr">
        <is>
          <t>0                      DS 0821000P  15          1961ac</t>
        </is>
      </c>
      <c r="D2413" t="inlineStr">
        <is>
          <t>Japanese culture: its development and characteristics. Edited by Robert J. Smith and Richard K. Beardsley.</t>
        </is>
      </c>
      <c r="F2413" t="inlineStr">
        <is>
          <t>No</t>
        </is>
      </c>
      <c r="G2413" t="inlineStr">
        <is>
          <t>1</t>
        </is>
      </c>
      <c r="H2413" t="inlineStr">
        <is>
          <t>No</t>
        </is>
      </c>
      <c r="I2413" t="inlineStr">
        <is>
          <t>No</t>
        </is>
      </c>
      <c r="J2413" t="inlineStr">
        <is>
          <t>0</t>
        </is>
      </c>
      <c r="K2413" t="inlineStr">
        <is>
          <t>Pacific Science Congress (10th : 1961 : Honolulu, Hawaii)</t>
        </is>
      </c>
      <c r="L2413" t="inlineStr">
        <is>
          <t>Chicago, Aldine Pub. Co. [1963, c1962]</t>
        </is>
      </c>
      <c r="M2413" t="inlineStr">
        <is>
          <t>1963</t>
        </is>
      </c>
      <c r="O2413" t="inlineStr">
        <is>
          <t>eng</t>
        </is>
      </c>
      <c r="P2413" t="inlineStr">
        <is>
          <t>ilu</t>
        </is>
      </c>
      <c r="Q2413" t="inlineStr">
        <is>
          <t>Viking Fund publications in anthropology ; no. 34</t>
        </is>
      </c>
      <c r="R2413" t="inlineStr">
        <is>
          <t xml:space="preserve">DS </t>
        </is>
      </c>
      <c r="S2413" t="n">
        <v>12</v>
      </c>
      <c r="T2413" t="n">
        <v>12</v>
      </c>
      <c r="U2413" t="inlineStr">
        <is>
          <t>1999-03-30</t>
        </is>
      </c>
      <c r="V2413" t="inlineStr">
        <is>
          <t>1999-03-30</t>
        </is>
      </c>
      <c r="W2413" t="inlineStr">
        <is>
          <t>1992-02-26</t>
        </is>
      </c>
      <c r="X2413" t="inlineStr">
        <is>
          <t>1992-02-26</t>
        </is>
      </c>
      <c r="Y2413" t="n">
        <v>509</v>
      </c>
      <c r="Z2413" t="n">
        <v>480</v>
      </c>
      <c r="AA2413" t="n">
        <v>773</v>
      </c>
      <c r="AB2413" t="n">
        <v>7</v>
      </c>
      <c r="AC2413" t="n">
        <v>7</v>
      </c>
      <c r="AD2413" t="n">
        <v>24</v>
      </c>
      <c r="AE2413" t="n">
        <v>38</v>
      </c>
      <c r="AF2413" t="n">
        <v>8</v>
      </c>
      <c r="AG2413" t="n">
        <v>16</v>
      </c>
      <c r="AH2413" t="n">
        <v>4</v>
      </c>
      <c r="AI2413" t="n">
        <v>6</v>
      </c>
      <c r="AJ2413" t="n">
        <v>12</v>
      </c>
      <c r="AK2413" t="n">
        <v>18</v>
      </c>
      <c r="AL2413" t="n">
        <v>6</v>
      </c>
      <c r="AM2413" t="n">
        <v>6</v>
      </c>
      <c r="AN2413" t="n">
        <v>0</v>
      </c>
      <c r="AO2413" t="n">
        <v>0</v>
      </c>
      <c r="AP2413" t="inlineStr">
        <is>
          <t>No</t>
        </is>
      </c>
      <c r="AQ2413" t="inlineStr">
        <is>
          <t>No</t>
        </is>
      </c>
      <c r="AS2413">
        <f>HYPERLINK("https://creighton-primo.hosted.exlibrisgroup.com/primo-explore/search?tab=default_tab&amp;search_scope=EVERYTHING&amp;vid=01CRU&amp;lang=en_US&amp;offset=0&amp;query=any,contains,991002735369702656","Catalog Record")</f>
        <v/>
      </c>
      <c r="AT2413">
        <f>HYPERLINK("http://www.worldcat.org/oclc/419072","WorldCat Record")</f>
        <v/>
      </c>
      <c r="AU2413" t="inlineStr">
        <is>
          <t>118111046:eng</t>
        </is>
      </c>
      <c r="AV2413" t="inlineStr">
        <is>
          <t>419072</t>
        </is>
      </c>
      <c r="AW2413" t="inlineStr">
        <is>
          <t>991002735369702656</t>
        </is>
      </c>
      <c r="AX2413" t="inlineStr">
        <is>
          <t>991002735369702656</t>
        </is>
      </c>
      <c r="AY2413" t="inlineStr">
        <is>
          <t>2261592790002656</t>
        </is>
      </c>
      <c r="AZ2413" t="inlineStr">
        <is>
          <t>BOOK</t>
        </is>
      </c>
      <c r="BC2413" t="inlineStr">
        <is>
          <t>32285000948702</t>
        </is>
      </c>
      <c r="BD2413" t="inlineStr">
        <is>
          <t>893798941</t>
        </is>
      </c>
    </row>
    <row r="2414">
      <c r="A2414" t="inlineStr">
        <is>
          <t>No</t>
        </is>
      </c>
      <c r="B2414" t="inlineStr">
        <is>
          <t>DS821 .S24213 1993</t>
        </is>
      </c>
      <c r="C2414" t="inlineStr">
        <is>
          <t>0                      DS 0821000S  24213       1993</t>
        </is>
      </c>
      <c r="D2414" t="inlineStr">
        <is>
          <t>What is Japan? : contradictions and transformations / Taichi Sakaiya ; translated by Steven Karpa.</t>
        </is>
      </c>
      <c r="F2414" t="inlineStr">
        <is>
          <t>No</t>
        </is>
      </c>
      <c r="G2414" t="inlineStr">
        <is>
          <t>1</t>
        </is>
      </c>
      <c r="H2414" t="inlineStr">
        <is>
          <t>No</t>
        </is>
      </c>
      <c r="I2414" t="inlineStr">
        <is>
          <t>No</t>
        </is>
      </c>
      <c r="J2414" t="inlineStr">
        <is>
          <t>0</t>
        </is>
      </c>
      <c r="K2414" t="inlineStr">
        <is>
          <t>Sakaiya, Taichi, 1935-2019.</t>
        </is>
      </c>
      <c r="L2414" t="inlineStr">
        <is>
          <t>New York : Kodansha International, 1993.</t>
        </is>
      </c>
      <c r="M2414" t="inlineStr">
        <is>
          <t>1993</t>
        </is>
      </c>
      <c r="O2414" t="inlineStr">
        <is>
          <t>eng</t>
        </is>
      </c>
      <c r="P2414" t="inlineStr">
        <is>
          <t>nyu</t>
        </is>
      </c>
      <c r="R2414" t="inlineStr">
        <is>
          <t xml:space="preserve">DS </t>
        </is>
      </c>
      <c r="S2414" t="n">
        <v>5</v>
      </c>
      <c r="T2414" t="n">
        <v>5</v>
      </c>
      <c r="U2414" t="inlineStr">
        <is>
          <t>1995-10-31</t>
        </is>
      </c>
      <c r="V2414" t="inlineStr">
        <is>
          <t>1995-10-31</t>
        </is>
      </c>
      <c r="W2414" t="inlineStr">
        <is>
          <t>1993-08-20</t>
        </is>
      </c>
      <c r="X2414" t="inlineStr">
        <is>
          <t>1993-08-20</t>
        </is>
      </c>
      <c r="Y2414" t="n">
        <v>621</v>
      </c>
      <c r="Z2414" t="n">
        <v>508</v>
      </c>
      <c r="AA2414" t="n">
        <v>532</v>
      </c>
      <c r="AB2414" t="n">
        <v>5</v>
      </c>
      <c r="AC2414" t="n">
        <v>5</v>
      </c>
      <c r="AD2414" t="n">
        <v>21</v>
      </c>
      <c r="AE2414" t="n">
        <v>21</v>
      </c>
      <c r="AF2414" t="n">
        <v>10</v>
      </c>
      <c r="AG2414" t="n">
        <v>10</v>
      </c>
      <c r="AH2414" t="n">
        <v>7</v>
      </c>
      <c r="AI2414" t="n">
        <v>7</v>
      </c>
      <c r="AJ2414" t="n">
        <v>9</v>
      </c>
      <c r="AK2414" t="n">
        <v>9</v>
      </c>
      <c r="AL2414" t="n">
        <v>4</v>
      </c>
      <c r="AM2414" t="n">
        <v>4</v>
      </c>
      <c r="AN2414" t="n">
        <v>0</v>
      </c>
      <c r="AO2414" t="n">
        <v>0</v>
      </c>
      <c r="AP2414" t="inlineStr">
        <is>
          <t>No</t>
        </is>
      </c>
      <c r="AQ2414" t="inlineStr">
        <is>
          <t>Yes</t>
        </is>
      </c>
      <c r="AR2414">
        <f>HYPERLINK("http://catalog.hathitrust.org/Record/007200821","HathiTrust Record")</f>
        <v/>
      </c>
      <c r="AS2414">
        <f>HYPERLINK("https://creighton-primo.hosted.exlibrisgroup.com/primo-explore/search?tab=default_tab&amp;search_scope=EVERYTHING&amp;vid=01CRU&amp;lang=en_US&amp;offset=0&amp;query=any,contains,991002148949702656","Catalog Record")</f>
        <v/>
      </c>
      <c r="AT2414">
        <f>HYPERLINK("http://www.worldcat.org/oclc/27684034","WorldCat Record")</f>
        <v/>
      </c>
      <c r="AU2414" t="inlineStr">
        <is>
          <t>390480:eng</t>
        </is>
      </c>
      <c r="AV2414" t="inlineStr">
        <is>
          <t>27684034</t>
        </is>
      </c>
      <c r="AW2414" t="inlineStr">
        <is>
          <t>991002148949702656</t>
        </is>
      </c>
      <c r="AX2414" t="inlineStr">
        <is>
          <t>991002148949702656</t>
        </is>
      </c>
      <c r="AY2414" t="inlineStr">
        <is>
          <t>2258671260002656</t>
        </is>
      </c>
      <c r="AZ2414" t="inlineStr">
        <is>
          <t>BOOK</t>
        </is>
      </c>
      <c r="BB2414" t="inlineStr">
        <is>
          <t>9781568360010</t>
        </is>
      </c>
      <c r="BC2414" t="inlineStr">
        <is>
          <t>32285001727675</t>
        </is>
      </c>
      <c r="BD2414" t="inlineStr">
        <is>
          <t>893244808</t>
        </is>
      </c>
    </row>
    <row r="2415">
      <c r="A2415" t="inlineStr">
        <is>
          <t>No</t>
        </is>
      </c>
      <c r="B2415" t="inlineStr">
        <is>
          <t>DS821 .S39</t>
        </is>
      </c>
      <c r="C2415" t="inlineStr">
        <is>
          <t>0                      DS 0821000S  39</t>
        </is>
      </c>
      <c r="D2415" t="inlineStr">
        <is>
          <t>The Japanese / by Jack Seward.</t>
        </is>
      </c>
      <c r="F2415" t="inlineStr">
        <is>
          <t>No</t>
        </is>
      </c>
      <c r="G2415" t="inlineStr">
        <is>
          <t>1</t>
        </is>
      </c>
      <c r="H2415" t="inlineStr">
        <is>
          <t>No</t>
        </is>
      </c>
      <c r="I2415" t="inlineStr">
        <is>
          <t>No</t>
        </is>
      </c>
      <c r="J2415" t="inlineStr">
        <is>
          <t>0</t>
        </is>
      </c>
      <c r="K2415" t="inlineStr">
        <is>
          <t>Seward, Jack.</t>
        </is>
      </c>
      <c r="L2415" t="inlineStr">
        <is>
          <t>Tokyo : Lotus Press, 1971, 1980 printing.</t>
        </is>
      </c>
      <c r="M2415" t="inlineStr">
        <is>
          <t>1971</t>
        </is>
      </c>
      <c r="O2415" t="inlineStr">
        <is>
          <t>eng</t>
        </is>
      </c>
      <c r="P2415" t="inlineStr">
        <is>
          <t xml:space="preserve">ja </t>
        </is>
      </c>
      <c r="R2415" t="inlineStr">
        <is>
          <t xml:space="preserve">DS </t>
        </is>
      </c>
      <c r="S2415" t="n">
        <v>15</v>
      </c>
      <c r="T2415" t="n">
        <v>15</v>
      </c>
      <c r="U2415" t="inlineStr">
        <is>
          <t>2005-11-09</t>
        </is>
      </c>
      <c r="V2415" t="inlineStr">
        <is>
          <t>2005-11-09</t>
        </is>
      </c>
      <c r="W2415" t="inlineStr">
        <is>
          <t>1990-06-12</t>
        </is>
      </c>
      <c r="X2415" t="inlineStr">
        <is>
          <t>1990-06-12</t>
        </is>
      </c>
      <c r="Y2415" t="n">
        <v>26</v>
      </c>
      <c r="Z2415" t="n">
        <v>14</v>
      </c>
      <c r="AA2415" t="n">
        <v>547</v>
      </c>
      <c r="AB2415" t="n">
        <v>1</v>
      </c>
      <c r="AC2415" t="n">
        <v>4</v>
      </c>
      <c r="AD2415" t="n">
        <v>0</v>
      </c>
      <c r="AE2415" t="n">
        <v>14</v>
      </c>
      <c r="AF2415" t="n">
        <v>0</v>
      </c>
      <c r="AG2415" t="n">
        <v>3</v>
      </c>
      <c r="AH2415" t="n">
        <v>0</v>
      </c>
      <c r="AI2415" t="n">
        <v>4</v>
      </c>
      <c r="AJ2415" t="n">
        <v>0</v>
      </c>
      <c r="AK2415" t="n">
        <v>11</v>
      </c>
      <c r="AL2415" t="n">
        <v>0</v>
      </c>
      <c r="AM2415" t="n">
        <v>1</v>
      </c>
      <c r="AN2415" t="n">
        <v>0</v>
      </c>
      <c r="AO2415" t="n">
        <v>0</v>
      </c>
      <c r="AP2415" t="inlineStr">
        <is>
          <t>No</t>
        </is>
      </c>
      <c r="AQ2415" t="inlineStr">
        <is>
          <t>No</t>
        </is>
      </c>
      <c r="AS2415">
        <f>HYPERLINK("https://creighton-primo.hosted.exlibrisgroup.com/primo-explore/search?tab=default_tab&amp;search_scope=EVERYTHING&amp;vid=01CRU&amp;lang=en_US&amp;offset=0&amp;query=any,contains,991000796319702656","Catalog Record")</f>
        <v/>
      </c>
      <c r="AT2415">
        <f>HYPERLINK("http://www.worldcat.org/oclc/137268","WorldCat Record")</f>
        <v/>
      </c>
      <c r="AU2415" t="inlineStr">
        <is>
          <t>1289643:eng</t>
        </is>
      </c>
      <c r="AV2415" t="inlineStr">
        <is>
          <t>137268</t>
        </is>
      </c>
      <c r="AW2415" t="inlineStr">
        <is>
          <t>991000796319702656</t>
        </is>
      </c>
      <c r="AX2415" t="inlineStr">
        <is>
          <t>991000796319702656</t>
        </is>
      </c>
      <c r="AY2415" t="inlineStr">
        <is>
          <t>2262118920002656</t>
        </is>
      </c>
      <c r="AZ2415" t="inlineStr">
        <is>
          <t>BOOK</t>
        </is>
      </c>
      <c r="BC2415" t="inlineStr">
        <is>
          <t>32285000190594</t>
        </is>
      </c>
      <c r="BD2415" t="inlineStr">
        <is>
          <t>893784537</t>
        </is>
      </c>
    </row>
    <row r="2416">
      <c r="A2416" t="inlineStr">
        <is>
          <t>No</t>
        </is>
      </c>
      <c r="B2416" t="inlineStr">
        <is>
          <t>DS821 .S57</t>
        </is>
      </c>
      <c r="C2416" t="inlineStr">
        <is>
          <t>0                      DS 0821000S  57</t>
        </is>
      </c>
      <c r="D2416" t="inlineStr">
        <is>
          <t>Japanese character and culture; a book of selected readings.</t>
        </is>
      </c>
      <c r="F2416" t="inlineStr">
        <is>
          <t>No</t>
        </is>
      </c>
      <c r="G2416" t="inlineStr">
        <is>
          <t>1</t>
        </is>
      </c>
      <c r="H2416" t="inlineStr">
        <is>
          <t>No</t>
        </is>
      </c>
      <c r="I2416" t="inlineStr">
        <is>
          <t>No</t>
        </is>
      </c>
      <c r="J2416" t="inlineStr">
        <is>
          <t>0</t>
        </is>
      </c>
      <c r="K2416" t="inlineStr">
        <is>
          <t>Silberman, Bernard S., 1930-, editor.</t>
        </is>
      </c>
      <c r="L2416" t="inlineStr">
        <is>
          <t>Tucson, University of Arizona Press, 1962.</t>
        </is>
      </c>
      <c r="M2416" t="inlineStr">
        <is>
          <t>1962</t>
        </is>
      </c>
      <c r="O2416" t="inlineStr">
        <is>
          <t>eng</t>
        </is>
      </c>
      <c r="P2416" t="inlineStr">
        <is>
          <t>azu</t>
        </is>
      </c>
      <c r="R2416" t="inlineStr">
        <is>
          <t xml:space="preserve">DS </t>
        </is>
      </c>
      <c r="S2416" t="n">
        <v>8</v>
      </c>
      <c r="T2416" t="n">
        <v>8</v>
      </c>
      <c r="U2416" t="inlineStr">
        <is>
          <t>2000-04-10</t>
        </is>
      </c>
      <c r="V2416" t="inlineStr">
        <is>
          <t>2000-04-10</t>
        </is>
      </c>
      <c r="W2416" t="inlineStr">
        <is>
          <t>1992-04-23</t>
        </is>
      </c>
      <c r="X2416" t="inlineStr">
        <is>
          <t>1992-04-23</t>
        </is>
      </c>
      <c r="Y2416" t="n">
        <v>522</v>
      </c>
      <c r="Z2416" t="n">
        <v>454</v>
      </c>
      <c r="AA2416" t="n">
        <v>467</v>
      </c>
      <c r="AB2416" t="n">
        <v>5</v>
      </c>
      <c r="AC2416" t="n">
        <v>5</v>
      </c>
      <c r="AD2416" t="n">
        <v>21</v>
      </c>
      <c r="AE2416" t="n">
        <v>22</v>
      </c>
      <c r="AF2416" t="n">
        <v>9</v>
      </c>
      <c r="AG2416" t="n">
        <v>10</v>
      </c>
      <c r="AH2416" t="n">
        <v>6</v>
      </c>
      <c r="AI2416" t="n">
        <v>6</v>
      </c>
      <c r="AJ2416" t="n">
        <v>9</v>
      </c>
      <c r="AK2416" t="n">
        <v>9</v>
      </c>
      <c r="AL2416" t="n">
        <v>4</v>
      </c>
      <c r="AM2416" t="n">
        <v>4</v>
      </c>
      <c r="AN2416" t="n">
        <v>0</v>
      </c>
      <c r="AO2416" t="n">
        <v>0</v>
      </c>
      <c r="AP2416" t="inlineStr">
        <is>
          <t>No</t>
        </is>
      </c>
      <c r="AQ2416" t="inlineStr">
        <is>
          <t>No</t>
        </is>
      </c>
      <c r="AR2416">
        <f>HYPERLINK("http://catalog.hathitrust.org/Record/001259270","HathiTrust Record")</f>
        <v/>
      </c>
      <c r="AS2416">
        <f>HYPERLINK("https://creighton-primo.hosted.exlibrisgroup.com/primo-explore/search?tab=default_tab&amp;search_scope=EVERYTHING&amp;vid=01CRU&amp;lang=en_US&amp;offset=0&amp;query=any,contains,991002723029702656","Catalog Record")</f>
        <v/>
      </c>
      <c r="AT2416">
        <f>HYPERLINK("http://www.worldcat.org/oclc/413265","WorldCat Record")</f>
        <v/>
      </c>
      <c r="AU2416" t="inlineStr">
        <is>
          <t>146483146:eng</t>
        </is>
      </c>
      <c r="AV2416" t="inlineStr">
        <is>
          <t>413265</t>
        </is>
      </c>
      <c r="AW2416" t="inlineStr">
        <is>
          <t>991002723029702656</t>
        </is>
      </c>
      <c r="AX2416" t="inlineStr">
        <is>
          <t>991002723029702656</t>
        </is>
      </c>
      <c r="AY2416" t="inlineStr">
        <is>
          <t>2268229790002656</t>
        </is>
      </c>
      <c r="AZ2416" t="inlineStr">
        <is>
          <t>BOOK</t>
        </is>
      </c>
      <c r="BC2416" t="inlineStr">
        <is>
          <t>32285001054989</t>
        </is>
      </c>
      <c r="BD2416" t="inlineStr">
        <is>
          <t>893341765</t>
        </is>
      </c>
    </row>
    <row r="2417">
      <c r="A2417" t="inlineStr">
        <is>
          <t>No</t>
        </is>
      </c>
      <c r="B2417" t="inlineStr">
        <is>
          <t>DS821 .S583 1973b</t>
        </is>
      </c>
      <c r="C2417" t="inlineStr">
        <is>
          <t>0                      DS 0821000S  583         1973b</t>
        </is>
      </c>
      <c r="D2417" t="inlineStr">
        <is>
          <t>Mirror, sword and jewel; a study of Japanese characteristics. Introd. by Richard Storry.</t>
        </is>
      </c>
      <c r="F2417" t="inlineStr">
        <is>
          <t>No</t>
        </is>
      </c>
      <c r="G2417" t="inlineStr">
        <is>
          <t>1</t>
        </is>
      </c>
      <c r="H2417" t="inlineStr">
        <is>
          <t>No</t>
        </is>
      </c>
      <c r="I2417" t="inlineStr">
        <is>
          <t>No</t>
        </is>
      </c>
      <c r="J2417" t="inlineStr">
        <is>
          <t>0</t>
        </is>
      </c>
      <c r="K2417" t="inlineStr">
        <is>
          <t>Singer, Kurt, 1886-1962.</t>
        </is>
      </c>
      <c r="L2417" t="inlineStr">
        <is>
          <t>New York, G. Braziller [1973]</t>
        </is>
      </c>
      <c r="M2417" t="inlineStr">
        <is>
          <t>1973</t>
        </is>
      </c>
      <c r="O2417" t="inlineStr">
        <is>
          <t>eng</t>
        </is>
      </c>
      <c r="P2417" t="inlineStr">
        <is>
          <t>nyu</t>
        </is>
      </c>
      <c r="R2417" t="inlineStr">
        <is>
          <t xml:space="preserve">DS </t>
        </is>
      </c>
      <c r="S2417" t="n">
        <v>3</v>
      </c>
      <c r="T2417" t="n">
        <v>3</v>
      </c>
      <c r="U2417" t="inlineStr">
        <is>
          <t>2006-10-12</t>
        </is>
      </c>
      <c r="V2417" t="inlineStr">
        <is>
          <t>2006-10-12</t>
        </is>
      </c>
      <c r="W2417" t="inlineStr">
        <is>
          <t>1997-03-17</t>
        </is>
      </c>
      <c r="X2417" t="inlineStr">
        <is>
          <t>1997-03-17</t>
        </is>
      </c>
      <c r="Y2417" t="n">
        <v>475</v>
      </c>
      <c r="Z2417" t="n">
        <v>448</v>
      </c>
      <c r="AA2417" t="n">
        <v>525</v>
      </c>
      <c r="AB2417" t="n">
        <v>4</v>
      </c>
      <c r="AC2417" t="n">
        <v>4</v>
      </c>
      <c r="AD2417" t="n">
        <v>14</v>
      </c>
      <c r="AE2417" t="n">
        <v>19</v>
      </c>
      <c r="AF2417" t="n">
        <v>4</v>
      </c>
      <c r="AG2417" t="n">
        <v>7</v>
      </c>
      <c r="AH2417" t="n">
        <v>5</v>
      </c>
      <c r="AI2417" t="n">
        <v>5</v>
      </c>
      <c r="AJ2417" t="n">
        <v>5</v>
      </c>
      <c r="AK2417" t="n">
        <v>8</v>
      </c>
      <c r="AL2417" t="n">
        <v>3</v>
      </c>
      <c r="AM2417" t="n">
        <v>3</v>
      </c>
      <c r="AN2417" t="n">
        <v>0</v>
      </c>
      <c r="AO2417" t="n">
        <v>0</v>
      </c>
      <c r="AP2417" t="inlineStr">
        <is>
          <t>No</t>
        </is>
      </c>
      <c r="AQ2417" t="inlineStr">
        <is>
          <t>Yes</t>
        </is>
      </c>
      <c r="AR2417">
        <f>HYPERLINK("http://catalog.hathitrust.org/Record/006255759","HathiTrust Record")</f>
        <v/>
      </c>
      <c r="AS2417">
        <f>HYPERLINK("https://creighton-primo.hosted.exlibrisgroup.com/primo-explore/search?tab=default_tab&amp;search_scope=EVERYTHING&amp;vid=01CRU&amp;lang=en_US&amp;offset=0&amp;query=any,contains,991003074719702656","Catalog Record")</f>
        <v/>
      </c>
      <c r="AT2417">
        <f>HYPERLINK("http://www.worldcat.org/oclc/628011","WorldCat Record")</f>
        <v/>
      </c>
      <c r="AU2417" t="inlineStr">
        <is>
          <t>291629776:eng</t>
        </is>
      </c>
      <c r="AV2417" t="inlineStr">
        <is>
          <t>628011</t>
        </is>
      </c>
      <c r="AW2417" t="inlineStr">
        <is>
          <t>991003074719702656</t>
        </is>
      </c>
      <c r="AX2417" t="inlineStr">
        <is>
          <t>991003074719702656</t>
        </is>
      </c>
      <c r="AY2417" t="inlineStr">
        <is>
          <t>2269334110002656</t>
        </is>
      </c>
      <c r="AZ2417" t="inlineStr">
        <is>
          <t>BOOK</t>
        </is>
      </c>
      <c r="BB2417" t="inlineStr">
        <is>
          <t>9780807606704</t>
        </is>
      </c>
      <c r="BC2417" t="inlineStr">
        <is>
          <t>32285002449949</t>
        </is>
      </c>
      <c r="BD2417" t="inlineStr">
        <is>
          <t>893598241</t>
        </is>
      </c>
    </row>
    <row r="2418">
      <c r="A2418" t="inlineStr">
        <is>
          <t>No</t>
        </is>
      </c>
      <c r="B2418" t="inlineStr">
        <is>
          <t>DS821 .S6424 1997</t>
        </is>
      </c>
      <c r="C2418" t="inlineStr">
        <is>
          <t>0                      DS 0821000S  6424        1997</t>
        </is>
      </c>
      <c r="D2418" t="inlineStr">
        <is>
          <t>Japan : a reinterpretation / Patrick Smith.</t>
        </is>
      </c>
      <c r="F2418" t="inlineStr">
        <is>
          <t>No</t>
        </is>
      </c>
      <c r="G2418" t="inlineStr">
        <is>
          <t>1</t>
        </is>
      </c>
      <c r="H2418" t="inlineStr">
        <is>
          <t>No</t>
        </is>
      </c>
      <c r="I2418" t="inlineStr">
        <is>
          <t>No</t>
        </is>
      </c>
      <c r="J2418" t="inlineStr">
        <is>
          <t>0</t>
        </is>
      </c>
      <c r="K2418" t="inlineStr">
        <is>
          <t>Smith, Patrick (Patrick L.)</t>
        </is>
      </c>
      <c r="L2418" t="inlineStr">
        <is>
          <t>New York : Pantheon Books, c1997.</t>
        </is>
      </c>
      <c r="M2418" t="inlineStr">
        <is>
          <t>1997</t>
        </is>
      </c>
      <c r="N2418" t="inlineStr">
        <is>
          <t>1st ed.</t>
        </is>
      </c>
      <c r="O2418" t="inlineStr">
        <is>
          <t>eng</t>
        </is>
      </c>
      <c r="P2418" t="inlineStr">
        <is>
          <t>nyu</t>
        </is>
      </c>
      <c r="R2418" t="inlineStr">
        <is>
          <t xml:space="preserve">DS </t>
        </is>
      </c>
      <c r="S2418" t="n">
        <v>5</v>
      </c>
      <c r="T2418" t="n">
        <v>5</v>
      </c>
      <c r="U2418" t="inlineStr">
        <is>
          <t>2000-12-06</t>
        </is>
      </c>
      <c r="V2418" t="inlineStr">
        <is>
          <t>2000-12-06</t>
        </is>
      </c>
      <c r="W2418" t="inlineStr">
        <is>
          <t>1997-05-12</t>
        </is>
      </c>
      <c r="X2418" t="inlineStr">
        <is>
          <t>1997-05-12</t>
        </is>
      </c>
      <c r="Y2418" t="n">
        <v>1201</v>
      </c>
      <c r="Z2418" t="n">
        <v>1105</v>
      </c>
      <c r="AA2418" t="n">
        <v>1238</v>
      </c>
      <c r="AB2418" t="n">
        <v>9</v>
      </c>
      <c r="AC2418" t="n">
        <v>9</v>
      </c>
      <c r="AD2418" t="n">
        <v>41</v>
      </c>
      <c r="AE2418" t="n">
        <v>43</v>
      </c>
      <c r="AF2418" t="n">
        <v>16</v>
      </c>
      <c r="AG2418" t="n">
        <v>17</v>
      </c>
      <c r="AH2418" t="n">
        <v>8</v>
      </c>
      <c r="AI2418" t="n">
        <v>8</v>
      </c>
      <c r="AJ2418" t="n">
        <v>21</v>
      </c>
      <c r="AK2418" t="n">
        <v>22</v>
      </c>
      <c r="AL2418" t="n">
        <v>6</v>
      </c>
      <c r="AM2418" t="n">
        <v>6</v>
      </c>
      <c r="AN2418" t="n">
        <v>0</v>
      </c>
      <c r="AO2418" t="n">
        <v>0</v>
      </c>
      <c r="AP2418" t="inlineStr">
        <is>
          <t>No</t>
        </is>
      </c>
      <c r="AQ2418" t="inlineStr">
        <is>
          <t>Yes</t>
        </is>
      </c>
      <c r="AR2418">
        <f>HYPERLINK("http://catalog.hathitrust.org/Record/003146326","HathiTrust Record")</f>
        <v/>
      </c>
      <c r="AS2418">
        <f>HYPERLINK("https://creighton-primo.hosted.exlibrisgroup.com/primo-explore/search?tab=default_tab&amp;search_scope=EVERYTHING&amp;vid=01CRU&amp;lang=en_US&amp;offset=0&amp;query=any,contains,991002730469702656","Catalog Record")</f>
        <v/>
      </c>
      <c r="AT2418">
        <f>HYPERLINK("http://www.worldcat.org/oclc/35814790","WorldCat Record")</f>
        <v/>
      </c>
      <c r="AU2418" t="inlineStr">
        <is>
          <t>37493975:eng</t>
        </is>
      </c>
      <c r="AV2418" t="inlineStr">
        <is>
          <t>35814790</t>
        </is>
      </c>
      <c r="AW2418" t="inlineStr">
        <is>
          <t>991002730469702656</t>
        </is>
      </c>
      <c r="AX2418" t="inlineStr">
        <is>
          <t>991002730469702656</t>
        </is>
      </c>
      <c r="AY2418" t="inlineStr">
        <is>
          <t>2258499380002656</t>
        </is>
      </c>
      <c r="AZ2418" t="inlineStr">
        <is>
          <t>BOOK</t>
        </is>
      </c>
      <c r="BB2418" t="inlineStr">
        <is>
          <t>9780679422310</t>
        </is>
      </c>
      <c r="BC2418" t="inlineStr">
        <is>
          <t>32285002606993</t>
        </is>
      </c>
      <c r="BD2418" t="inlineStr">
        <is>
          <t>893721600</t>
        </is>
      </c>
    </row>
    <row r="2419">
      <c r="A2419" t="inlineStr">
        <is>
          <t>No</t>
        </is>
      </c>
      <c r="B2419" t="inlineStr">
        <is>
          <t>DS821 .T275 1983</t>
        </is>
      </c>
      <c r="C2419" t="inlineStr">
        <is>
          <t>0                      DS 0821000T  275         1983</t>
        </is>
      </c>
      <c r="D2419" t="inlineStr">
        <is>
          <t>Shadows of the Rising Sun : a critical view of the "Japanese miracle" / Jared Taylor.</t>
        </is>
      </c>
      <c r="F2419" t="inlineStr">
        <is>
          <t>No</t>
        </is>
      </c>
      <c r="G2419" t="inlineStr">
        <is>
          <t>1</t>
        </is>
      </c>
      <c r="H2419" t="inlineStr">
        <is>
          <t>No</t>
        </is>
      </c>
      <c r="I2419" t="inlineStr">
        <is>
          <t>No</t>
        </is>
      </c>
      <c r="J2419" t="inlineStr">
        <is>
          <t>0</t>
        </is>
      </c>
      <c r="K2419" t="inlineStr">
        <is>
          <t>Taylor, Jared.</t>
        </is>
      </c>
      <c r="L2419" t="inlineStr">
        <is>
          <t>New York : Morrow, 1983.</t>
        </is>
      </c>
      <c r="M2419" t="inlineStr">
        <is>
          <t>1983</t>
        </is>
      </c>
      <c r="N2419" t="inlineStr">
        <is>
          <t>1st ed.</t>
        </is>
      </c>
      <c r="O2419" t="inlineStr">
        <is>
          <t>eng</t>
        </is>
      </c>
      <c r="P2419" t="inlineStr">
        <is>
          <t>nyu</t>
        </is>
      </c>
      <c r="R2419" t="inlineStr">
        <is>
          <t xml:space="preserve">DS </t>
        </is>
      </c>
      <c r="S2419" t="n">
        <v>5</v>
      </c>
      <c r="T2419" t="n">
        <v>5</v>
      </c>
      <c r="U2419" t="inlineStr">
        <is>
          <t>1994-07-10</t>
        </is>
      </c>
      <c r="V2419" t="inlineStr">
        <is>
          <t>1994-07-10</t>
        </is>
      </c>
      <c r="W2419" t="inlineStr">
        <is>
          <t>1990-02-14</t>
        </is>
      </c>
      <c r="X2419" t="inlineStr">
        <is>
          <t>1990-02-14</t>
        </is>
      </c>
      <c r="Y2419" t="n">
        <v>812</v>
      </c>
      <c r="Z2419" t="n">
        <v>734</v>
      </c>
      <c r="AA2419" t="n">
        <v>896</v>
      </c>
      <c r="AB2419" t="n">
        <v>6</v>
      </c>
      <c r="AC2419" t="n">
        <v>6</v>
      </c>
      <c r="AD2419" t="n">
        <v>21</v>
      </c>
      <c r="AE2419" t="n">
        <v>28</v>
      </c>
      <c r="AF2419" t="n">
        <v>6</v>
      </c>
      <c r="AG2419" t="n">
        <v>10</v>
      </c>
      <c r="AH2419" t="n">
        <v>7</v>
      </c>
      <c r="AI2419" t="n">
        <v>7</v>
      </c>
      <c r="AJ2419" t="n">
        <v>9</v>
      </c>
      <c r="AK2419" t="n">
        <v>12</v>
      </c>
      <c r="AL2419" t="n">
        <v>4</v>
      </c>
      <c r="AM2419" t="n">
        <v>4</v>
      </c>
      <c r="AN2419" t="n">
        <v>0</v>
      </c>
      <c r="AO2419" t="n">
        <v>1</v>
      </c>
      <c r="AP2419" t="inlineStr">
        <is>
          <t>No</t>
        </is>
      </c>
      <c r="AQ2419" t="inlineStr">
        <is>
          <t>Yes</t>
        </is>
      </c>
      <c r="AR2419">
        <f>HYPERLINK("http://catalog.hathitrust.org/Record/000119443","HathiTrust Record")</f>
        <v/>
      </c>
      <c r="AS2419">
        <f>HYPERLINK("https://creighton-primo.hosted.exlibrisgroup.com/primo-explore/search?tab=default_tab&amp;search_scope=EVERYTHING&amp;vid=01CRU&amp;lang=en_US&amp;offset=0&amp;query=any,contains,991000221309702656","Catalog Record")</f>
        <v/>
      </c>
      <c r="AT2419">
        <f>HYPERLINK("http://www.worldcat.org/oclc/9576359","WorldCat Record")</f>
        <v/>
      </c>
      <c r="AU2419" t="inlineStr">
        <is>
          <t>4133862:eng</t>
        </is>
      </c>
      <c r="AV2419" t="inlineStr">
        <is>
          <t>9576359</t>
        </is>
      </c>
      <c r="AW2419" t="inlineStr">
        <is>
          <t>991000221309702656</t>
        </is>
      </c>
      <c r="AX2419" t="inlineStr">
        <is>
          <t>991000221309702656</t>
        </is>
      </c>
      <c r="AY2419" t="inlineStr">
        <is>
          <t>2267703440002656</t>
        </is>
      </c>
      <c r="AZ2419" t="inlineStr">
        <is>
          <t>BOOK</t>
        </is>
      </c>
      <c r="BB2419" t="inlineStr">
        <is>
          <t>9780688024550</t>
        </is>
      </c>
      <c r="BC2419" t="inlineStr">
        <is>
          <t>32285000052984</t>
        </is>
      </c>
      <c r="BD2419" t="inlineStr">
        <is>
          <t>893683254</t>
        </is>
      </c>
    </row>
    <row r="2420">
      <c r="A2420" t="inlineStr">
        <is>
          <t>No</t>
        </is>
      </c>
      <c r="B2420" t="inlineStr">
        <is>
          <t>DS821 .Y27 1950</t>
        </is>
      </c>
      <c r="C2420" t="inlineStr">
        <is>
          <t>0                      DS 0821000Y  27          1950</t>
        </is>
      </c>
      <c r="D2420" t="inlineStr">
        <is>
          <t>We Japanese : being descriptions of many of the customs, manners, ceremonies, festivals, arts and crafts of the Japanese, besides numerous other subjects.</t>
        </is>
      </c>
      <c r="F2420" t="inlineStr">
        <is>
          <t>No</t>
        </is>
      </c>
      <c r="G2420" t="inlineStr">
        <is>
          <t>1</t>
        </is>
      </c>
      <c r="H2420" t="inlineStr">
        <is>
          <t>No</t>
        </is>
      </c>
      <c r="I2420" t="inlineStr">
        <is>
          <t>No</t>
        </is>
      </c>
      <c r="J2420" t="inlineStr">
        <is>
          <t>0</t>
        </is>
      </c>
      <c r="K2420" t="inlineStr">
        <is>
          <t>Yamaguchi, H. S. K., 1882-1944.</t>
        </is>
      </c>
      <c r="L2420" t="inlineStr">
        <is>
          <t>Miyanoshita, Japan : Fujiya Hotel, [1950]</t>
        </is>
      </c>
      <c r="M2420" t="inlineStr">
        <is>
          <t>1950</t>
        </is>
      </c>
      <c r="N2420" t="inlineStr">
        <is>
          <t>[Combined ed.]</t>
        </is>
      </c>
      <c r="O2420" t="inlineStr">
        <is>
          <t>eng</t>
        </is>
      </c>
      <c r="P2420" t="inlineStr">
        <is>
          <t xml:space="preserve">ja </t>
        </is>
      </c>
      <c r="R2420" t="inlineStr">
        <is>
          <t xml:space="preserve">DS </t>
        </is>
      </c>
      <c r="S2420" t="n">
        <v>2</v>
      </c>
      <c r="T2420" t="n">
        <v>2</v>
      </c>
      <c r="U2420" t="inlineStr">
        <is>
          <t>2000-08-23</t>
        </is>
      </c>
      <c r="V2420" t="inlineStr">
        <is>
          <t>2000-08-23</t>
        </is>
      </c>
      <c r="W2420" t="inlineStr">
        <is>
          <t>2000-08-21</t>
        </is>
      </c>
      <c r="X2420" t="inlineStr">
        <is>
          <t>2000-08-21</t>
        </is>
      </c>
      <c r="Y2420" t="n">
        <v>258</v>
      </c>
      <c r="Z2420" t="n">
        <v>233</v>
      </c>
      <c r="AA2420" t="n">
        <v>335</v>
      </c>
      <c r="AB2420" t="n">
        <v>2</v>
      </c>
      <c r="AC2420" t="n">
        <v>2</v>
      </c>
      <c r="AD2420" t="n">
        <v>6</v>
      </c>
      <c r="AE2420" t="n">
        <v>8</v>
      </c>
      <c r="AF2420" t="n">
        <v>2</v>
      </c>
      <c r="AG2420" t="n">
        <v>3</v>
      </c>
      <c r="AH2420" t="n">
        <v>1</v>
      </c>
      <c r="AI2420" t="n">
        <v>2</v>
      </c>
      <c r="AJ2420" t="n">
        <v>4</v>
      </c>
      <c r="AK2420" t="n">
        <v>5</v>
      </c>
      <c r="AL2420" t="n">
        <v>1</v>
      </c>
      <c r="AM2420" t="n">
        <v>1</v>
      </c>
      <c r="AN2420" t="n">
        <v>0</v>
      </c>
      <c r="AO2420" t="n">
        <v>0</v>
      </c>
      <c r="AP2420" t="inlineStr">
        <is>
          <t>No</t>
        </is>
      </c>
      <c r="AQ2420" t="inlineStr">
        <is>
          <t>Yes</t>
        </is>
      </c>
      <c r="AR2420">
        <f>HYPERLINK("http://catalog.hathitrust.org/Record/001267751","HathiTrust Record")</f>
        <v/>
      </c>
      <c r="AS2420">
        <f>HYPERLINK("https://creighton-primo.hosted.exlibrisgroup.com/primo-explore/search?tab=default_tab&amp;search_scope=EVERYTHING&amp;vid=01CRU&amp;lang=en_US&amp;offset=0&amp;query=any,contains,991003269199702656","Catalog Record")</f>
        <v/>
      </c>
      <c r="AT2420">
        <f>HYPERLINK("http://www.worldcat.org/oclc/580559","WorldCat Record")</f>
        <v/>
      </c>
      <c r="AU2420" t="inlineStr">
        <is>
          <t>4922024143:eng</t>
        </is>
      </c>
      <c r="AV2420" t="inlineStr">
        <is>
          <t>580559</t>
        </is>
      </c>
      <c r="AW2420" t="inlineStr">
        <is>
          <t>991003269199702656</t>
        </is>
      </c>
      <c r="AX2420" t="inlineStr">
        <is>
          <t>991003269199702656</t>
        </is>
      </c>
      <c r="AY2420" t="inlineStr">
        <is>
          <t>2272433200002656</t>
        </is>
      </c>
      <c r="AZ2420" t="inlineStr">
        <is>
          <t>BOOK</t>
        </is>
      </c>
      <c r="BC2420" t="inlineStr">
        <is>
          <t>32285003757894</t>
        </is>
      </c>
      <c r="BD2420" t="inlineStr">
        <is>
          <t>893627521</t>
        </is>
      </c>
    </row>
    <row r="2421">
      <c r="A2421" t="inlineStr">
        <is>
          <t>No</t>
        </is>
      </c>
      <c r="B2421" t="inlineStr">
        <is>
          <t>DS822.2 . M355 2000</t>
        </is>
      </c>
      <c r="C2421" t="inlineStr">
        <is>
          <t>0                      DS 0822200M  355         2000</t>
        </is>
      </c>
      <c r="D2421" t="inlineStr">
        <is>
          <t>Japan and China : mutual representations in the modern era / Masuda Wataru ; translated by Joshua A. Fogel.</t>
        </is>
      </c>
      <c r="F2421" t="inlineStr">
        <is>
          <t>No</t>
        </is>
      </c>
      <c r="G2421" t="inlineStr">
        <is>
          <t>1</t>
        </is>
      </c>
      <c r="H2421" t="inlineStr">
        <is>
          <t>No</t>
        </is>
      </c>
      <c r="I2421" t="inlineStr">
        <is>
          <t>No</t>
        </is>
      </c>
      <c r="J2421" t="inlineStr">
        <is>
          <t>0</t>
        </is>
      </c>
      <c r="K2421" t="inlineStr">
        <is>
          <t>Masuda, Wataru, 1903-1977.</t>
        </is>
      </c>
      <c r="L2421" t="inlineStr">
        <is>
          <t>New York, N.Y. : St. Martin's Press, 2000.</t>
        </is>
      </c>
      <c r="M2421" t="inlineStr">
        <is>
          <t>2000</t>
        </is>
      </c>
      <c r="O2421" t="inlineStr">
        <is>
          <t>eng</t>
        </is>
      </c>
      <c r="P2421" t="inlineStr">
        <is>
          <t>nyu</t>
        </is>
      </c>
      <c r="R2421" t="inlineStr">
        <is>
          <t xml:space="preserve">DS </t>
        </is>
      </c>
      <c r="S2421" t="n">
        <v>3</v>
      </c>
      <c r="T2421" t="n">
        <v>3</v>
      </c>
      <c r="U2421" t="inlineStr">
        <is>
          <t>2005-11-21</t>
        </is>
      </c>
      <c r="V2421" t="inlineStr">
        <is>
          <t>2005-11-21</t>
        </is>
      </c>
      <c r="W2421" t="inlineStr">
        <is>
          <t>2002-01-07</t>
        </is>
      </c>
      <c r="X2421" t="inlineStr">
        <is>
          <t>2002-01-07</t>
        </is>
      </c>
      <c r="Y2421" t="n">
        <v>316</v>
      </c>
      <c r="Z2421" t="n">
        <v>282</v>
      </c>
      <c r="AA2421" t="n">
        <v>332</v>
      </c>
      <c r="AB2421" t="n">
        <v>3</v>
      </c>
      <c r="AC2421" t="n">
        <v>4</v>
      </c>
      <c r="AD2421" t="n">
        <v>18</v>
      </c>
      <c r="AE2421" t="n">
        <v>21</v>
      </c>
      <c r="AF2421" t="n">
        <v>6</v>
      </c>
      <c r="AG2421" t="n">
        <v>6</v>
      </c>
      <c r="AH2421" t="n">
        <v>5</v>
      </c>
      <c r="AI2421" t="n">
        <v>7</v>
      </c>
      <c r="AJ2421" t="n">
        <v>9</v>
      </c>
      <c r="AK2421" t="n">
        <v>11</v>
      </c>
      <c r="AL2421" t="n">
        <v>2</v>
      </c>
      <c r="AM2421" t="n">
        <v>3</v>
      </c>
      <c r="AN2421" t="n">
        <v>0</v>
      </c>
      <c r="AO2421" t="n">
        <v>0</v>
      </c>
      <c r="AP2421" t="inlineStr">
        <is>
          <t>No</t>
        </is>
      </c>
      <c r="AQ2421" t="inlineStr">
        <is>
          <t>No</t>
        </is>
      </c>
      <c r="AS2421">
        <f>HYPERLINK("https://creighton-primo.hosted.exlibrisgroup.com/primo-explore/search?tab=default_tab&amp;search_scope=EVERYTHING&amp;vid=01CRU&amp;lang=en_US&amp;offset=0&amp;query=any,contains,991003687249702656","Catalog Record")</f>
        <v/>
      </c>
      <c r="AT2421">
        <f>HYPERLINK("http://www.worldcat.org/oclc/42892295","WorldCat Record")</f>
        <v/>
      </c>
      <c r="AU2421" t="inlineStr">
        <is>
          <t>837016930:eng</t>
        </is>
      </c>
      <c r="AV2421" t="inlineStr">
        <is>
          <t>42892295</t>
        </is>
      </c>
      <c r="AW2421" t="inlineStr">
        <is>
          <t>991003687249702656</t>
        </is>
      </c>
      <c r="AX2421" t="inlineStr">
        <is>
          <t>991003687249702656</t>
        </is>
      </c>
      <c r="AY2421" t="inlineStr">
        <is>
          <t>2271398450002656</t>
        </is>
      </c>
      <c r="AZ2421" t="inlineStr">
        <is>
          <t>BOOK</t>
        </is>
      </c>
      <c r="BB2421" t="inlineStr">
        <is>
          <t>9780312228408</t>
        </is>
      </c>
      <c r="BC2421" t="inlineStr">
        <is>
          <t>32285004446208</t>
        </is>
      </c>
      <c r="BD2421" t="inlineStr">
        <is>
          <t>893330656</t>
        </is>
      </c>
    </row>
    <row r="2422">
      <c r="A2422" t="inlineStr">
        <is>
          <t>No</t>
        </is>
      </c>
      <c r="B2422" t="inlineStr">
        <is>
          <t>DS822.2 .D4 1978</t>
        </is>
      </c>
      <c r="C2422" t="inlineStr">
        <is>
          <t>0                      DS 0822200D  4           1978</t>
        </is>
      </c>
      <c r="D2422" t="inlineStr">
        <is>
          <t>Japan in days of yore / Walter Denning [sic].</t>
        </is>
      </c>
      <c r="F2422" t="inlineStr">
        <is>
          <t>No</t>
        </is>
      </c>
      <c r="G2422" t="inlineStr">
        <is>
          <t>1</t>
        </is>
      </c>
      <c r="H2422" t="inlineStr">
        <is>
          <t>No</t>
        </is>
      </c>
      <c r="I2422" t="inlineStr">
        <is>
          <t>No</t>
        </is>
      </c>
      <c r="J2422" t="inlineStr">
        <is>
          <t>0</t>
        </is>
      </c>
      <c r="K2422" t="inlineStr">
        <is>
          <t>Dening, Walter, 1846-1913.</t>
        </is>
      </c>
      <c r="L2422" t="inlineStr">
        <is>
          <t>London : East-West Publication, 1978.</t>
        </is>
      </c>
      <c r="M2422" t="inlineStr">
        <is>
          <t>1978</t>
        </is>
      </c>
      <c r="O2422" t="inlineStr">
        <is>
          <t>eng</t>
        </is>
      </c>
      <c r="P2422" t="inlineStr">
        <is>
          <t>enk</t>
        </is>
      </c>
      <c r="R2422" t="inlineStr">
        <is>
          <t xml:space="preserve">DS </t>
        </is>
      </c>
      <c r="S2422" t="n">
        <v>2</v>
      </c>
      <c r="T2422" t="n">
        <v>2</v>
      </c>
      <c r="U2422" t="inlineStr">
        <is>
          <t>2007-05-25</t>
        </is>
      </c>
      <c r="V2422" t="inlineStr">
        <is>
          <t>2007-05-25</t>
        </is>
      </c>
      <c r="W2422" t="inlineStr">
        <is>
          <t>1990-10-29</t>
        </is>
      </c>
      <c r="X2422" t="inlineStr">
        <is>
          <t>1990-10-29</t>
        </is>
      </c>
      <c r="Y2422" t="n">
        <v>47</v>
      </c>
      <c r="Z2422" t="n">
        <v>34</v>
      </c>
      <c r="AA2422" t="n">
        <v>41</v>
      </c>
      <c r="AB2422" t="n">
        <v>1</v>
      </c>
      <c r="AC2422" t="n">
        <v>1</v>
      </c>
      <c r="AD2422" t="n">
        <v>0</v>
      </c>
      <c r="AE2422" t="n">
        <v>0</v>
      </c>
      <c r="AF2422" t="n">
        <v>0</v>
      </c>
      <c r="AG2422" t="n">
        <v>0</v>
      </c>
      <c r="AH2422" t="n">
        <v>0</v>
      </c>
      <c r="AI2422" t="n">
        <v>0</v>
      </c>
      <c r="AJ2422" t="n">
        <v>0</v>
      </c>
      <c r="AK2422" t="n">
        <v>0</v>
      </c>
      <c r="AL2422" t="n">
        <v>0</v>
      </c>
      <c r="AM2422" t="n">
        <v>0</v>
      </c>
      <c r="AN2422" t="n">
        <v>0</v>
      </c>
      <c r="AO2422" t="n">
        <v>0</v>
      </c>
      <c r="AP2422" t="inlineStr">
        <is>
          <t>No</t>
        </is>
      </c>
      <c r="AQ2422" t="inlineStr">
        <is>
          <t>Yes</t>
        </is>
      </c>
      <c r="AR2422">
        <f>HYPERLINK("http://catalog.hathitrust.org/Record/100620434","HathiTrust Record")</f>
        <v/>
      </c>
      <c r="AS2422">
        <f>HYPERLINK("https://creighton-primo.hosted.exlibrisgroup.com/primo-explore/search?tab=default_tab&amp;search_scope=EVERYTHING&amp;vid=01CRU&amp;lang=en_US&amp;offset=0&amp;query=any,contains,991004866669702656","Catalog Record")</f>
        <v/>
      </c>
      <c r="AT2422">
        <f>HYPERLINK("http://www.worldcat.org/oclc/5727471","WorldCat Record")</f>
        <v/>
      </c>
      <c r="AU2422" t="inlineStr">
        <is>
          <t>10568093709:eng</t>
        </is>
      </c>
      <c r="AV2422" t="inlineStr">
        <is>
          <t>5727471</t>
        </is>
      </c>
      <c r="AW2422" t="inlineStr">
        <is>
          <t>991004866669702656</t>
        </is>
      </c>
      <c r="AX2422" t="inlineStr">
        <is>
          <t>991004866669702656</t>
        </is>
      </c>
      <c r="AY2422" t="inlineStr">
        <is>
          <t>2263466990002656</t>
        </is>
      </c>
      <c r="AZ2422" t="inlineStr">
        <is>
          <t>BOOK</t>
        </is>
      </c>
      <c r="BB2422" t="inlineStr">
        <is>
          <t>9780856920011</t>
        </is>
      </c>
      <c r="BC2422" t="inlineStr">
        <is>
          <t>32285000339829</t>
        </is>
      </c>
      <c r="BD2422" t="inlineStr">
        <is>
          <t>893520136</t>
        </is>
      </c>
    </row>
    <row r="2423">
      <c r="A2423" t="inlineStr">
        <is>
          <t>No</t>
        </is>
      </c>
      <c r="B2423" t="inlineStr">
        <is>
          <t>DS822.2 .L4 1968</t>
        </is>
      </c>
      <c r="C2423" t="inlineStr">
        <is>
          <t>0                      DS 0822200L  4           1968</t>
        </is>
      </c>
      <c r="D2423" t="inlineStr">
        <is>
          <t>Early Japan / by Jonathan Norton Leonard and the editors of Time-Life Books.</t>
        </is>
      </c>
      <c r="F2423" t="inlineStr">
        <is>
          <t>No</t>
        </is>
      </c>
      <c r="G2423" t="inlineStr">
        <is>
          <t>1</t>
        </is>
      </c>
      <c r="H2423" t="inlineStr">
        <is>
          <t>No</t>
        </is>
      </c>
      <c r="I2423" t="inlineStr">
        <is>
          <t>No</t>
        </is>
      </c>
      <c r="J2423" t="inlineStr">
        <is>
          <t>0</t>
        </is>
      </c>
      <c r="K2423" t="inlineStr">
        <is>
          <t>Leonard, Jonathan Norton, 1903-1975.</t>
        </is>
      </c>
      <c r="L2423" t="inlineStr">
        <is>
          <t>New York : Time-Life Books, [1968]</t>
        </is>
      </c>
      <c r="M2423" t="inlineStr">
        <is>
          <t>1968</t>
        </is>
      </c>
      <c r="O2423" t="inlineStr">
        <is>
          <t>eng</t>
        </is>
      </c>
      <c r="P2423" t="inlineStr">
        <is>
          <t>nyu</t>
        </is>
      </c>
      <c r="Q2423" t="inlineStr">
        <is>
          <t>Great ages of man ; a history of the world's cultures</t>
        </is>
      </c>
      <c r="R2423" t="inlineStr">
        <is>
          <t xml:space="preserve">DS </t>
        </is>
      </c>
      <c r="S2423" t="n">
        <v>9</v>
      </c>
      <c r="T2423" t="n">
        <v>9</v>
      </c>
      <c r="U2423" t="inlineStr">
        <is>
          <t>1999-05-24</t>
        </is>
      </c>
      <c r="V2423" t="inlineStr">
        <is>
          <t>1999-05-24</t>
        </is>
      </c>
      <c r="W2423" t="inlineStr">
        <is>
          <t>1990-10-29</t>
        </is>
      </c>
      <c r="X2423" t="inlineStr">
        <is>
          <t>1990-10-29</t>
        </is>
      </c>
      <c r="Y2423" t="n">
        <v>2151</v>
      </c>
      <c r="Z2423" t="n">
        <v>2032</v>
      </c>
      <c r="AA2423" t="n">
        <v>2231</v>
      </c>
      <c r="AB2423" t="n">
        <v>17</v>
      </c>
      <c r="AC2423" t="n">
        <v>18</v>
      </c>
      <c r="AD2423" t="n">
        <v>35</v>
      </c>
      <c r="AE2423" t="n">
        <v>38</v>
      </c>
      <c r="AF2423" t="n">
        <v>16</v>
      </c>
      <c r="AG2423" t="n">
        <v>18</v>
      </c>
      <c r="AH2423" t="n">
        <v>7</v>
      </c>
      <c r="AI2423" t="n">
        <v>7</v>
      </c>
      <c r="AJ2423" t="n">
        <v>16</v>
      </c>
      <c r="AK2423" t="n">
        <v>17</v>
      </c>
      <c r="AL2423" t="n">
        <v>6</v>
      </c>
      <c r="AM2423" t="n">
        <v>6</v>
      </c>
      <c r="AN2423" t="n">
        <v>0</v>
      </c>
      <c r="AO2423" t="n">
        <v>0</v>
      </c>
      <c r="AP2423" t="inlineStr">
        <is>
          <t>No</t>
        </is>
      </c>
      <c r="AQ2423" t="inlineStr">
        <is>
          <t>No</t>
        </is>
      </c>
      <c r="AS2423">
        <f>HYPERLINK("https://creighton-primo.hosted.exlibrisgroup.com/primo-explore/search?tab=default_tab&amp;search_scope=EVERYTHING&amp;vid=01CRU&amp;lang=en_US&amp;offset=0&amp;query=any,contains,991002739799702656","Catalog Record")</f>
        <v/>
      </c>
      <c r="AT2423">
        <f>HYPERLINK("http://www.worldcat.org/oclc/420668","WorldCat Record")</f>
        <v/>
      </c>
      <c r="AU2423" t="inlineStr">
        <is>
          <t>3916576430:eng</t>
        </is>
      </c>
      <c r="AV2423" t="inlineStr">
        <is>
          <t>420668</t>
        </is>
      </c>
      <c r="AW2423" t="inlineStr">
        <is>
          <t>991002739799702656</t>
        </is>
      </c>
      <c r="AX2423" t="inlineStr">
        <is>
          <t>991002739799702656</t>
        </is>
      </c>
      <c r="AY2423" t="inlineStr">
        <is>
          <t>2270773580002656</t>
        </is>
      </c>
      <c r="AZ2423" t="inlineStr">
        <is>
          <t>BOOK</t>
        </is>
      </c>
      <c r="BC2423" t="inlineStr">
        <is>
          <t>32285000339837</t>
        </is>
      </c>
      <c r="BD2423" t="inlineStr">
        <is>
          <t>893603953</t>
        </is>
      </c>
    </row>
    <row r="2424">
      <c r="A2424" t="inlineStr">
        <is>
          <t>No</t>
        </is>
      </c>
      <c r="B2424" t="inlineStr">
        <is>
          <t>DS822.2 .N558 1997</t>
        </is>
      </c>
      <c r="C2424" t="inlineStr">
        <is>
          <t>0                      DS 0822200N  558         1997</t>
        </is>
      </c>
      <c r="D2424" t="inlineStr">
        <is>
          <t>Edo Culture : daily life and diversions in urban Japan, 1600-1868 / Nishiyama Matsunosuke ; translated and edited by Gerald Groemer.</t>
        </is>
      </c>
      <c r="F2424" t="inlineStr">
        <is>
          <t>No</t>
        </is>
      </c>
      <c r="G2424" t="inlineStr">
        <is>
          <t>1</t>
        </is>
      </c>
      <c r="H2424" t="inlineStr">
        <is>
          <t>No</t>
        </is>
      </c>
      <c r="I2424" t="inlineStr">
        <is>
          <t>No</t>
        </is>
      </c>
      <c r="J2424" t="inlineStr">
        <is>
          <t>0</t>
        </is>
      </c>
      <c r="K2424" t="inlineStr">
        <is>
          <t>Nishiyama, Matsunosuke, 1912-2012.</t>
        </is>
      </c>
      <c r="L2424" t="inlineStr">
        <is>
          <t>Honolulu, HI : University of Hawaiʻi Press, 1997.</t>
        </is>
      </c>
      <c r="M2424" t="inlineStr">
        <is>
          <t>1997</t>
        </is>
      </c>
      <c r="O2424" t="inlineStr">
        <is>
          <t>eng</t>
        </is>
      </c>
      <c r="P2424" t="inlineStr">
        <is>
          <t>hiu</t>
        </is>
      </c>
      <c r="R2424" t="inlineStr">
        <is>
          <t xml:space="preserve">DS </t>
        </is>
      </c>
      <c r="S2424" t="n">
        <v>4</v>
      </c>
      <c r="T2424" t="n">
        <v>4</v>
      </c>
      <c r="U2424" t="inlineStr">
        <is>
          <t>2008-11-03</t>
        </is>
      </c>
      <c r="V2424" t="inlineStr">
        <is>
          <t>2008-11-03</t>
        </is>
      </c>
      <c r="W2424" t="inlineStr">
        <is>
          <t>1999-03-10</t>
        </is>
      </c>
      <c r="X2424" t="inlineStr">
        <is>
          <t>1999-03-10</t>
        </is>
      </c>
      <c r="Y2424" t="n">
        <v>659</v>
      </c>
      <c r="Z2424" t="n">
        <v>513</v>
      </c>
      <c r="AA2424" t="n">
        <v>1130</v>
      </c>
      <c r="AB2424" t="n">
        <v>4</v>
      </c>
      <c r="AC2424" t="n">
        <v>5</v>
      </c>
      <c r="AD2424" t="n">
        <v>33</v>
      </c>
      <c r="AE2424" t="n">
        <v>40</v>
      </c>
      <c r="AF2424" t="n">
        <v>14</v>
      </c>
      <c r="AG2424" t="n">
        <v>19</v>
      </c>
      <c r="AH2424" t="n">
        <v>8</v>
      </c>
      <c r="AI2424" t="n">
        <v>10</v>
      </c>
      <c r="AJ2424" t="n">
        <v>17</v>
      </c>
      <c r="AK2424" t="n">
        <v>18</v>
      </c>
      <c r="AL2424" t="n">
        <v>3</v>
      </c>
      <c r="AM2424" t="n">
        <v>4</v>
      </c>
      <c r="AN2424" t="n">
        <v>0</v>
      </c>
      <c r="AO2424" t="n">
        <v>0</v>
      </c>
      <c r="AP2424" t="inlineStr">
        <is>
          <t>No</t>
        </is>
      </c>
      <c r="AQ2424" t="inlineStr">
        <is>
          <t>Yes</t>
        </is>
      </c>
      <c r="AR2424">
        <f>HYPERLINK("http://catalog.hathitrust.org/Record/003148375","HathiTrust Record")</f>
        <v/>
      </c>
      <c r="AS2424">
        <f>HYPERLINK("https://creighton-primo.hosted.exlibrisgroup.com/primo-explore/search?tab=default_tab&amp;search_scope=EVERYTHING&amp;vid=01CRU&amp;lang=en_US&amp;offset=0&amp;query=any,contains,991002682219702656","Catalog Record")</f>
        <v/>
      </c>
      <c r="AT2424">
        <f>HYPERLINK("http://www.worldcat.org/oclc/35043786","WorldCat Record")</f>
        <v/>
      </c>
      <c r="AU2424" t="inlineStr">
        <is>
          <t>793890184:eng</t>
        </is>
      </c>
      <c r="AV2424" t="inlineStr">
        <is>
          <t>35043786</t>
        </is>
      </c>
      <c r="AW2424" t="inlineStr">
        <is>
          <t>991002682219702656</t>
        </is>
      </c>
      <c r="AX2424" t="inlineStr">
        <is>
          <t>991002682219702656</t>
        </is>
      </c>
      <c r="AY2424" t="inlineStr">
        <is>
          <t>2257392740002656</t>
        </is>
      </c>
      <c r="AZ2424" t="inlineStr">
        <is>
          <t>BOOK</t>
        </is>
      </c>
      <c r="BB2424" t="inlineStr">
        <is>
          <t>9780824817367</t>
        </is>
      </c>
      <c r="BC2424" t="inlineStr">
        <is>
          <t>32285003530366</t>
        </is>
      </c>
      <c r="BD2424" t="inlineStr">
        <is>
          <t>893886576</t>
        </is>
      </c>
    </row>
    <row r="2425">
      <c r="A2425" t="inlineStr">
        <is>
          <t>No</t>
        </is>
      </c>
      <c r="B2425" t="inlineStr">
        <is>
          <t>DS822.2 .R613 1973</t>
        </is>
      </c>
      <c r="C2425" t="inlineStr">
        <is>
          <t>0                      DS 0822200R  613         1973</t>
        </is>
      </c>
      <c r="D2425" t="inlineStr">
        <is>
          <t>This island of Japon: João Rodrigues' account of 16th-century Japan / Translated and edited by Michael Cooper.</t>
        </is>
      </c>
      <c r="F2425" t="inlineStr">
        <is>
          <t>No</t>
        </is>
      </c>
      <c r="G2425" t="inlineStr">
        <is>
          <t>1</t>
        </is>
      </c>
      <c r="H2425" t="inlineStr">
        <is>
          <t>No</t>
        </is>
      </c>
      <c r="I2425" t="inlineStr">
        <is>
          <t>No</t>
        </is>
      </c>
      <c r="J2425" t="inlineStr">
        <is>
          <t>0</t>
        </is>
      </c>
      <c r="K2425" t="inlineStr">
        <is>
          <t>Rodrigues, João, 1558-1633.</t>
        </is>
      </c>
      <c r="L2425" t="inlineStr">
        <is>
          <t>Tokyo : New York : Kodansha International, 1973.</t>
        </is>
      </c>
      <c r="M2425" t="inlineStr">
        <is>
          <t>1973</t>
        </is>
      </c>
      <c r="O2425" t="inlineStr">
        <is>
          <t>eng</t>
        </is>
      </c>
      <c r="P2425" t="inlineStr">
        <is>
          <t xml:space="preserve">ja </t>
        </is>
      </c>
      <c r="R2425" t="inlineStr">
        <is>
          <t xml:space="preserve">DS </t>
        </is>
      </c>
      <c r="S2425" t="n">
        <v>3</v>
      </c>
      <c r="T2425" t="n">
        <v>3</v>
      </c>
      <c r="U2425" t="inlineStr">
        <is>
          <t>1996-06-21</t>
        </is>
      </c>
      <c r="V2425" t="inlineStr">
        <is>
          <t>1996-06-21</t>
        </is>
      </c>
      <c r="W2425" t="inlineStr">
        <is>
          <t>1990-10-29</t>
        </is>
      </c>
      <c r="X2425" t="inlineStr">
        <is>
          <t>1990-10-29</t>
        </is>
      </c>
      <c r="Y2425" t="n">
        <v>473</v>
      </c>
      <c r="Z2425" t="n">
        <v>368</v>
      </c>
      <c r="AA2425" t="n">
        <v>368</v>
      </c>
      <c r="AB2425" t="n">
        <v>3</v>
      </c>
      <c r="AC2425" t="n">
        <v>3</v>
      </c>
      <c r="AD2425" t="n">
        <v>21</v>
      </c>
      <c r="AE2425" t="n">
        <v>21</v>
      </c>
      <c r="AF2425" t="n">
        <v>7</v>
      </c>
      <c r="AG2425" t="n">
        <v>7</v>
      </c>
      <c r="AH2425" t="n">
        <v>6</v>
      </c>
      <c r="AI2425" t="n">
        <v>6</v>
      </c>
      <c r="AJ2425" t="n">
        <v>13</v>
      </c>
      <c r="AK2425" t="n">
        <v>13</v>
      </c>
      <c r="AL2425" t="n">
        <v>2</v>
      </c>
      <c r="AM2425" t="n">
        <v>2</v>
      </c>
      <c r="AN2425" t="n">
        <v>0</v>
      </c>
      <c r="AO2425" t="n">
        <v>0</v>
      </c>
      <c r="AP2425" t="inlineStr">
        <is>
          <t>No</t>
        </is>
      </c>
      <c r="AQ2425" t="inlineStr">
        <is>
          <t>No</t>
        </is>
      </c>
      <c r="AS2425">
        <f>HYPERLINK("https://creighton-primo.hosted.exlibrisgroup.com/primo-explore/search?tab=default_tab&amp;search_scope=EVERYTHING&amp;vid=01CRU&amp;lang=en_US&amp;offset=0&amp;query=any,contains,991003150059702656","Catalog Record")</f>
        <v/>
      </c>
      <c r="AT2425">
        <f>HYPERLINK("http://www.worldcat.org/oclc/689395","WorldCat Record")</f>
        <v/>
      </c>
      <c r="AU2425" t="inlineStr">
        <is>
          <t>2864310688:eng</t>
        </is>
      </c>
      <c r="AV2425" t="inlineStr">
        <is>
          <t>689395</t>
        </is>
      </c>
      <c r="AW2425" t="inlineStr">
        <is>
          <t>991003150059702656</t>
        </is>
      </c>
      <c r="AX2425" t="inlineStr">
        <is>
          <t>991003150059702656</t>
        </is>
      </c>
      <c r="AY2425" t="inlineStr">
        <is>
          <t>2270940250002656</t>
        </is>
      </c>
      <c r="AZ2425" t="inlineStr">
        <is>
          <t>BOOK</t>
        </is>
      </c>
      <c r="BB2425" t="inlineStr">
        <is>
          <t>9780870111945</t>
        </is>
      </c>
      <c r="BC2425" t="inlineStr">
        <is>
          <t>32285000339845</t>
        </is>
      </c>
      <c r="BD2425" t="inlineStr">
        <is>
          <t>893348379</t>
        </is>
      </c>
    </row>
    <row r="2426">
      <c r="A2426" t="inlineStr">
        <is>
          <t>No</t>
        </is>
      </c>
      <c r="B2426" t="inlineStr">
        <is>
          <t>DS822.25 .J36</t>
        </is>
      </c>
      <c r="C2426" t="inlineStr">
        <is>
          <t>0                      DS 0822250J  36</t>
        </is>
      </c>
      <c r="D2426" t="inlineStr">
        <is>
          <t>Japan, a comparative view / edited by Albert M. Craig.</t>
        </is>
      </c>
      <c r="F2426" t="inlineStr">
        <is>
          <t>No</t>
        </is>
      </c>
      <c r="G2426" t="inlineStr">
        <is>
          <t>1</t>
        </is>
      </c>
      <c r="H2426" t="inlineStr">
        <is>
          <t>No</t>
        </is>
      </c>
      <c r="I2426" t="inlineStr">
        <is>
          <t>No</t>
        </is>
      </c>
      <c r="J2426" t="inlineStr">
        <is>
          <t>0</t>
        </is>
      </c>
      <c r="L2426" t="inlineStr">
        <is>
          <t>Princeton, N.J. : Princeton University Press, c1979.</t>
        </is>
      </c>
      <c r="M2426" t="inlineStr">
        <is>
          <t>1979</t>
        </is>
      </c>
      <c r="O2426" t="inlineStr">
        <is>
          <t>eng</t>
        </is>
      </c>
      <c r="P2426" t="inlineStr">
        <is>
          <t>nju</t>
        </is>
      </c>
      <c r="R2426" t="inlineStr">
        <is>
          <t xml:space="preserve">DS </t>
        </is>
      </c>
      <c r="S2426" t="n">
        <v>2</v>
      </c>
      <c r="T2426" t="n">
        <v>2</v>
      </c>
      <c r="U2426" t="inlineStr">
        <is>
          <t>2000-12-06</t>
        </is>
      </c>
      <c r="V2426" t="inlineStr">
        <is>
          <t>2000-12-06</t>
        </is>
      </c>
      <c r="W2426" t="inlineStr">
        <is>
          <t>1990-10-29</t>
        </is>
      </c>
      <c r="X2426" t="inlineStr">
        <is>
          <t>1990-10-29</t>
        </is>
      </c>
      <c r="Y2426" t="n">
        <v>571</v>
      </c>
      <c r="Z2426" t="n">
        <v>419</v>
      </c>
      <c r="AA2426" t="n">
        <v>708</v>
      </c>
      <c r="AB2426" t="n">
        <v>3</v>
      </c>
      <c r="AC2426" t="n">
        <v>5</v>
      </c>
      <c r="AD2426" t="n">
        <v>16</v>
      </c>
      <c r="AE2426" t="n">
        <v>27</v>
      </c>
      <c r="AF2426" t="n">
        <v>5</v>
      </c>
      <c r="AG2426" t="n">
        <v>11</v>
      </c>
      <c r="AH2426" t="n">
        <v>3</v>
      </c>
      <c r="AI2426" t="n">
        <v>7</v>
      </c>
      <c r="AJ2426" t="n">
        <v>10</v>
      </c>
      <c r="AK2426" t="n">
        <v>13</v>
      </c>
      <c r="AL2426" t="n">
        <v>2</v>
      </c>
      <c r="AM2426" t="n">
        <v>3</v>
      </c>
      <c r="AN2426" t="n">
        <v>0</v>
      </c>
      <c r="AO2426" t="n">
        <v>0</v>
      </c>
      <c r="AP2426" t="inlineStr">
        <is>
          <t>No</t>
        </is>
      </c>
      <c r="AQ2426" t="inlineStr">
        <is>
          <t>No</t>
        </is>
      </c>
      <c r="AS2426">
        <f>HYPERLINK("https://creighton-primo.hosted.exlibrisgroup.com/primo-explore/search?tab=default_tab&amp;search_scope=EVERYTHING&amp;vid=01CRU&amp;lang=en_US&amp;offset=0&amp;query=any,contains,991004674679702656","Catalog Record")</f>
        <v/>
      </c>
      <c r="AT2426">
        <f>HYPERLINK("http://www.worldcat.org/oclc/4529743","WorldCat Record")</f>
        <v/>
      </c>
      <c r="AU2426" t="inlineStr">
        <is>
          <t>3943584868:eng</t>
        </is>
      </c>
      <c r="AV2426" t="inlineStr">
        <is>
          <t>4529743</t>
        </is>
      </c>
      <c r="AW2426" t="inlineStr">
        <is>
          <t>991004674679702656</t>
        </is>
      </c>
      <c r="AX2426" t="inlineStr">
        <is>
          <t>991004674679702656</t>
        </is>
      </c>
      <c r="AY2426" t="inlineStr">
        <is>
          <t>2264413660002656</t>
        </is>
      </c>
      <c r="AZ2426" t="inlineStr">
        <is>
          <t>BOOK</t>
        </is>
      </c>
      <c r="BB2426" t="inlineStr">
        <is>
          <t>9780691052717</t>
        </is>
      </c>
      <c r="BC2426" t="inlineStr">
        <is>
          <t>32285000339860</t>
        </is>
      </c>
      <c r="BD2426" t="inlineStr">
        <is>
          <t>893706692</t>
        </is>
      </c>
    </row>
    <row r="2427">
      <c r="A2427" t="inlineStr">
        <is>
          <t>No</t>
        </is>
      </c>
      <c r="B2427" t="inlineStr">
        <is>
          <t>DS822.4 .B45 2000</t>
        </is>
      </c>
      <c r="C2427" t="inlineStr">
        <is>
          <t>0                      DS 0822400B  45          2000</t>
        </is>
      </c>
      <c r="D2427" t="inlineStr">
        <is>
          <t>Being modern in Japan : culture and society from the 1910s to the 1930s / edited by Elise K. Tipton and John Clark.</t>
        </is>
      </c>
      <c r="F2427" t="inlineStr">
        <is>
          <t>No</t>
        </is>
      </c>
      <c r="G2427" t="inlineStr">
        <is>
          <t>1</t>
        </is>
      </c>
      <c r="H2427" t="inlineStr">
        <is>
          <t>No</t>
        </is>
      </c>
      <c r="I2427" t="inlineStr">
        <is>
          <t>No</t>
        </is>
      </c>
      <c r="J2427" t="inlineStr">
        <is>
          <t>0</t>
        </is>
      </c>
      <c r="L2427" t="inlineStr">
        <is>
          <t>Honolulu : University of Hawaii Press, 2000.</t>
        </is>
      </c>
      <c r="M2427" t="inlineStr">
        <is>
          <t>2000</t>
        </is>
      </c>
      <c r="O2427" t="inlineStr">
        <is>
          <t>eng</t>
        </is>
      </c>
      <c r="P2427" t="inlineStr">
        <is>
          <t>hiu</t>
        </is>
      </c>
      <c r="R2427" t="inlineStr">
        <is>
          <t xml:space="preserve">DS </t>
        </is>
      </c>
      <c r="S2427" t="n">
        <v>3</v>
      </c>
      <c r="T2427" t="n">
        <v>3</v>
      </c>
      <c r="U2427" t="inlineStr">
        <is>
          <t>2005-09-14</t>
        </is>
      </c>
      <c r="V2427" t="inlineStr">
        <is>
          <t>2005-09-14</t>
        </is>
      </c>
      <c r="W2427" t="inlineStr">
        <is>
          <t>2002-10-14</t>
        </is>
      </c>
      <c r="X2427" t="inlineStr">
        <is>
          <t>2002-10-14</t>
        </is>
      </c>
      <c r="Y2427" t="n">
        <v>343</v>
      </c>
      <c r="Z2427" t="n">
        <v>270</v>
      </c>
      <c r="AA2427" t="n">
        <v>271</v>
      </c>
      <c r="AB2427" t="n">
        <v>2</v>
      </c>
      <c r="AC2427" t="n">
        <v>2</v>
      </c>
      <c r="AD2427" t="n">
        <v>16</v>
      </c>
      <c r="AE2427" t="n">
        <v>16</v>
      </c>
      <c r="AF2427" t="n">
        <v>5</v>
      </c>
      <c r="AG2427" t="n">
        <v>5</v>
      </c>
      <c r="AH2427" t="n">
        <v>7</v>
      </c>
      <c r="AI2427" t="n">
        <v>7</v>
      </c>
      <c r="AJ2427" t="n">
        <v>9</v>
      </c>
      <c r="AK2427" t="n">
        <v>9</v>
      </c>
      <c r="AL2427" t="n">
        <v>1</v>
      </c>
      <c r="AM2427" t="n">
        <v>1</v>
      </c>
      <c r="AN2427" t="n">
        <v>0</v>
      </c>
      <c r="AO2427" t="n">
        <v>0</v>
      </c>
      <c r="AP2427" t="inlineStr">
        <is>
          <t>No</t>
        </is>
      </c>
      <c r="AQ2427" t="inlineStr">
        <is>
          <t>No</t>
        </is>
      </c>
      <c r="AS2427">
        <f>HYPERLINK("https://creighton-primo.hosted.exlibrisgroup.com/primo-explore/search?tab=default_tab&amp;search_scope=EVERYTHING&amp;vid=01CRU&amp;lang=en_US&amp;offset=0&amp;query=any,contains,991003912299702656","Catalog Record")</f>
        <v/>
      </c>
      <c r="AT2427">
        <f>HYPERLINK("http://www.worldcat.org/oclc/44947406","WorldCat Record")</f>
        <v/>
      </c>
      <c r="AU2427" t="inlineStr">
        <is>
          <t>906404945:eng</t>
        </is>
      </c>
      <c r="AV2427" t="inlineStr">
        <is>
          <t>44947406</t>
        </is>
      </c>
      <c r="AW2427" t="inlineStr">
        <is>
          <t>991003912299702656</t>
        </is>
      </c>
      <c r="AX2427" t="inlineStr">
        <is>
          <t>991003912299702656</t>
        </is>
      </c>
      <c r="AY2427" t="inlineStr">
        <is>
          <t>2268021780002656</t>
        </is>
      </c>
      <c r="AZ2427" t="inlineStr">
        <is>
          <t>BOOK</t>
        </is>
      </c>
      <c r="BB2427" t="inlineStr">
        <is>
          <t>9780824823603</t>
        </is>
      </c>
      <c r="BC2427" t="inlineStr">
        <is>
          <t>32285004654496</t>
        </is>
      </c>
      <c r="BD2427" t="inlineStr">
        <is>
          <t>893519033</t>
        </is>
      </c>
    </row>
    <row r="2428">
      <c r="A2428" t="inlineStr">
        <is>
          <t>No</t>
        </is>
      </c>
      <c r="B2428" t="inlineStr">
        <is>
          <t>DS822.4 .J36 1998</t>
        </is>
      </c>
      <c r="C2428" t="inlineStr">
        <is>
          <t>0                      DS 0822400J  36          1998</t>
        </is>
      </c>
      <c r="D2428" t="inlineStr">
        <is>
          <t>Japan's competing modernities : issues in culture and democracy, 1900-1930 / edited by Sharon A. Minichiello.</t>
        </is>
      </c>
      <c r="F2428" t="inlineStr">
        <is>
          <t>No</t>
        </is>
      </c>
      <c r="G2428" t="inlineStr">
        <is>
          <t>1</t>
        </is>
      </c>
      <c r="H2428" t="inlineStr">
        <is>
          <t>No</t>
        </is>
      </c>
      <c r="I2428" t="inlineStr">
        <is>
          <t>No</t>
        </is>
      </c>
      <c r="J2428" t="inlineStr">
        <is>
          <t>0</t>
        </is>
      </c>
      <c r="L2428" t="inlineStr">
        <is>
          <t>Honolulu, Hawaii : University of Hawaiʻi Press, c1998.</t>
        </is>
      </c>
      <c r="M2428" t="inlineStr">
        <is>
          <t>1998</t>
        </is>
      </c>
      <c r="O2428" t="inlineStr">
        <is>
          <t>eng</t>
        </is>
      </c>
      <c r="P2428" t="inlineStr">
        <is>
          <t>hiu</t>
        </is>
      </c>
      <c r="R2428" t="inlineStr">
        <is>
          <t xml:space="preserve">DS </t>
        </is>
      </c>
      <c r="S2428" t="n">
        <v>4</v>
      </c>
      <c r="T2428" t="n">
        <v>4</v>
      </c>
      <c r="U2428" t="inlineStr">
        <is>
          <t>2010-04-07</t>
        </is>
      </c>
      <c r="V2428" t="inlineStr">
        <is>
          <t>2010-04-07</t>
        </is>
      </c>
      <c r="W2428" t="inlineStr">
        <is>
          <t>2003-04-08</t>
        </is>
      </c>
      <c r="X2428" t="inlineStr">
        <is>
          <t>2003-04-08</t>
        </is>
      </c>
      <c r="Y2428" t="n">
        <v>373</v>
      </c>
      <c r="Z2428" t="n">
        <v>278</v>
      </c>
      <c r="AA2428" t="n">
        <v>1173</v>
      </c>
      <c r="AB2428" t="n">
        <v>3</v>
      </c>
      <c r="AC2428" t="n">
        <v>5</v>
      </c>
      <c r="AD2428" t="n">
        <v>18</v>
      </c>
      <c r="AE2428" t="n">
        <v>32</v>
      </c>
      <c r="AF2428" t="n">
        <v>4</v>
      </c>
      <c r="AG2428" t="n">
        <v>13</v>
      </c>
      <c r="AH2428" t="n">
        <v>6</v>
      </c>
      <c r="AI2428" t="n">
        <v>9</v>
      </c>
      <c r="AJ2428" t="n">
        <v>9</v>
      </c>
      <c r="AK2428" t="n">
        <v>15</v>
      </c>
      <c r="AL2428" t="n">
        <v>2</v>
      </c>
      <c r="AM2428" t="n">
        <v>4</v>
      </c>
      <c r="AN2428" t="n">
        <v>0</v>
      </c>
      <c r="AO2428" t="n">
        <v>0</v>
      </c>
      <c r="AP2428" t="inlineStr">
        <is>
          <t>No</t>
        </is>
      </c>
      <c r="AQ2428" t="inlineStr">
        <is>
          <t>No</t>
        </is>
      </c>
      <c r="AS2428">
        <f>HYPERLINK("https://creighton-primo.hosted.exlibrisgroup.com/primo-explore/search?tab=default_tab&amp;search_scope=EVERYTHING&amp;vid=01CRU&amp;lang=en_US&amp;offset=0&amp;query=any,contains,991003997329702656","Catalog Record")</f>
        <v/>
      </c>
      <c r="AT2428">
        <f>HYPERLINK("http://www.worldcat.org/oclc/38732036","WorldCat Record")</f>
        <v/>
      </c>
      <c r="AU2428" t="inlineStr">
        <is>
          <t>793846193:eng</t>
        </is>
      </c>
      <c r="AV2428" t="inlineStr">
        <is>
          <t>38732036</t>
        </is>
      </c>
      <c r="AW2428" t="inlineStr">
        <is>
          <t>991003997329702656</t>
        </is>
      </c>
      <c r="AX2428" t="inlineStr">
        <is>
          <t>991003997329702656</t>
        </is>
      </c>
      <c r="AY2428" t="inlineStr">
        <is>
          <t>2270079170002656</t>
        </is>
      </c>
      <c r="AZ2428" t="inlineStr">
        <is>
          <t>BOOK</t>
        </is>
      </c>
      <c r="BB2428" t="inlineStr">
        <is>
          <t>9780824819316</t>
        </is>
      </c>
      <c r="BC2428" t="inlineStr">
        <is>
          <t>32285004740402</t>
        </is>
      </c>
      <c r="BD2428" t="inlineStr">
        <is>
          <t>893605514</t>
        </is>
      </c>
    </row>
    <row r="2429">
      <c r="A2429" t="inlineStr">
        <is>
          <t>No</t>
        </is>
      </c>
      <c r="B2429" t="inlineStr">
        <is>
          <t>DS822.4 .N64 1987</t>
        </is>
      </c>
      <c r="C2429" t="inlineStr">
        <is>
          <t>0                      DS 0822400N  64          1987</t>
        </is>
      </c>
      <c r="D2429" t="inlineStr">
        <is>
          <t>Liberalism in modern Japan : Ishibashi Tanzan and his teachers, 1905-1960 / Sharon H. Nolte.</t>
        </is>
      </c>
      <c r="F2429" t="inlineStr">
        <is>
          <t>No</t>
        </is>
      </c>
      <c r="G2429" t="inlineStr">
        <is>
          <t>1</t>
        </is>
      </c>
      <c r="H2429" t="inlineStr">
        <is>
          <t>No</t>
        </is>
      </c>
      <c r="I2429" t="inlineStr">
        <is>
          <t>No</t>
        </is>
      </c>
      <c r="J2429" t="inlineStr">
        <is>
          <t>0</t>
        </is>
      </c>
      <c r="K2429" t="inlineStr">
        <is>
          <t>Nolte, Sharon H.</t>
        </is>
      </c>
      <c r="L2429" t="inlineStr">
        <is>
          <t>Berkeley : University of California Press, c1987.</t>
        </is>
      </c>
      <c r="M2429" t="inlineStr">
        <is>
          <t>1986</t>
        </is>
      </c>
      <c r="O2429" t="inlineStr">
        <is>
          <t>eng</t>
        </is>
      </c>
      <c r="P2429" t="inlineStr">
        <is>
          <t>cau</t>
        </is>
      </c>
      <c r="R2429" t="inlineStr">
        <is>
          <t xml:space="preserve">DS </t>
        </is>
      </c>
      <c r="S2429" t="n">
        <v>2</v>
      </c>
      <c r="T2429" t="n">
        <v>2</v>
      </c>
      <c r="U2429" t="inlineStr">
        <is>
          <t>1999-04-19</t>
        </is>
      </c>
      <c r="V2429" t="inlineStr">
        <is>
          <t>1999-04-19</t>
        </is>
      </c>
      <c r="W2429" t="inlineStr">
        <is>
          <t>1990-10-29</t>
        </is>
      </c>
      <c r="X2429" t="inlineStr">
        <is>
          <t>1990-10-29</t>
        </is>
      </c>
      <c r="Y2429" t="n">
        <v>408</v>
      </c>
      <c r="Z2429" t="n">
        <v>307</v>
      </c>
      <c r="AA2429" t="n">
        <v>320</v>
      </c>
      <c r="AB2429" t="n">
        <v>4</v>
      </c>
      <c r="AC2429" t="n">
        <v>4</v>
      </c>
      <c r="AD2429" t="n">
        <v>21</v>
      </c>
      <c r="AE2429" t="n">
        <v>21</v>
      </c>
      <c r="AF2429" t="n">
        <v>6</v>
      </c>
      <c r="AG2429" t="n">
        <v>6</v>
      </c>
      <c r="AH2429" t="n">
        <v>7</v>
      </c>
      <c r="AI2429" t="n">
        <v>7</v>
      </c>
      <c r="AJ2429" t="n">
        <v>12</v>
      </c>
      <c r="AK2429" t="n">
        <v>12</v>
      </c>
      <c r="AL2429" t="n">
        <v>3</v>
      </c>
      <c r="AM2429" t="n">
        <v>3</v>
      </c>
      <c r="AN2429" t="n">
        <v>0</v>
      </c>
      <c r="AO2429" t="n">
        <v>0</v>
      </c>
      <c r="AP2429" t="inlineStr">
        <is>
          <t>No</t>
        </is>
      </c>
      <c r="AQ2429" t="inlineStr">
        <is>
          <t>No</t>
        </is>
      </c>
      <c r="AS2429">
        <f>HYPERLINK("https://creighton-primo.hosted.exlibrisgroup.com/primo-explore/search?tab=default_tab&amp;search_scope=EVERYTHING&amp;vid=01CRU&amp;lang=en_US&amp;offset=0&amp;query=any,contains,991000725159702656","Catalog Record")</f>
        <v/>
      </c>
      <c r="AT2429">
        <f>HYPERLINK("http://www.worldcat.org/oclc/12694021","WorldCat Record")</f>
        <v/>
      </c>
      <c r="AU2429" t="inlineStr">
        <is>
          <t>836674504:eng</t>
        </is>
      </c>
      <c r="AV2429" t="inlineStr">
        <is>
          <t>12694021</t>
        </is>
      </c>
      <c r="AW2429" t="inlineStr">
        <is>
          <t>991000725159702656</t>
        </is>
      </c>
      <c r="AX2429" t="inlineStr">
        <is>
          <t>991000725159702656</t>
        </is>
      </c>
      <c r="AY2429" t="inlineStr">
        <is>
          <t>2255772050002656</t>
        </is>
      </c>
      <c r="AZ2429" t="inlineStr">
        <is>
          <t>BOOK</t>
        </is>
      </c>
      <c r="BB2429" t="inlineStr">
        <is>
          <t>9780520057074</t>
        </is>
      </c>
      <c r="BC2429" t="inlineStr">
        <is>
          <t>32285000339886</t>
        </is>
      </c>
      <c r="BD2429" t="inlineStr">
        <is>
          <t>893602011</t>
        </is>
      </c>
    </row>
    <row r="2430">
      <c r="A2430" t="inlineStr">
        <is>
          <t>No</t>
        </is>
      </c>
      <c r="B2430" t="inlineStr">
        <is>
          <t>DS822.5 .E43 1993</t>
        </is>
      </c>
      <c r="C2430" t="inlineStr">
        <is>
          <t>0                      DS 0822500E  43          1993</t>
        </is>
      </c>
      <c r="D2430" t="inlineStr">
        <is>
          <t>Following the brush : an American encounter with classical Japanese culture / John Elder.</t>
        </is>
      </c>
      <c r="F2430" t="inlineStr">
        <is>
          <t>No</t>
        </is>
      </c>
      <c r="G2430" t="inlineStr">
        <is>
          <t>1</t>
        </is>
      </c>
      <c r="H2430" t="inlineStr">
        <is>
          <t>No</t>
        </is>
      </c>
      <c r="I2430" t="inlineStr">
        <is>
          <t>No</t>
        </is>
      </c>
      <c r="J2430" t="inlineStr">
        <is>
          <t>0</t>
        </is>
      </c>
      <c r="K2430" t="inlineStr">
        <is>
          <t>Elder, John, 1947-</t>
        </is>
      </c>
      <c r="L2430" t="inlineStr">
        <is>
          <t>Boston : Beacon Press, c1993.</t>
        </is>
      </c>
      <c r="M2430" t="inlineStr">
        <is>
          <t>1993</t>
        </is>
      </c>
      <c r="O2430" t="inlineStr">
        <is>
          <t>eng</t>
        </is>
      </c>
      <c r="P2430" t="inlineStr">
        <is>
          <t>mau</t>
        </is>
      </c>
      <c r="R2430" t="inlineStr">
        <is>
          <t xml:space="preserve">DS </t>
        </is>
      </c>
      <c r="S2430" t="n">
        <v>2</v>
      </c>
      <c r="T2430" t="n">
        <v>2</v>
      </c>
      <c r="U2430" t="inlineStr">
        <is>
          <t>1993-09-03</t>
        </is>
      </c>
      <c r="V2430" t="inlineStr">
        <is>
          <t>1993-09-03</t>
        </is>
      </c>
      <c r="W2430" t="inlineStr">
        <is>
          <t>1993-07-12</t>
        </is>
      </c>
      <c r="X2430" t="inlineStr">
        <is>
          <t>1993-07-12</t>
        </is>
      </c>
      <c r="Y2430" t="n">
        <v>297</v>
      </c>
      <c r="Z2430" t="n">
        <v>277</v>
      </c>
      <c r="AA2430" t="n">
        <v>290</v>
      </c>
      <c r="AB2430" t="n">
        <v>2</v>
      </c>
      <c r="AC2430" t="n">
        <v>2</v>
      </c>
      <c r="AD2430" t="n">
        <v>7</v>
      </c>
      <c r="AE2430" t="n">
        <v>7</v>
      </c>
      <c r="AF2430" t="n">
        <v>2</v>
      </c>
      <c r="AG2430" t="n">
        <v>2</v>
      </c>
      <c r="AH2430" t="n">
        <v>1</v>
      </c>
      <c r="AI2430" t="n">
        <v>1</v>
      </c>
      <c r="AJ2430" t="n">
        <v>5</v>
      </c>
      <c r="AK2430" t="n">
        <v>5</v>
      </c>
      <c r="AL2430" t="n">
        <v>1</v>
      </c>
      <c r="AM2430" t="n">
        <v>1</v>
      </c>
      <c r="AN2430" t="n">
        <v>0</v>
      </c>
      <c r="AO2430" t="n">
        <v>0</v>
      </c>
      <c r="AP2430" t="inlineStr">
        <is>
          <t>No</t>
        </is>
      </c>
      <c r="AQ2430" t="inlineStr">
        <is>
          <t>Yes</t>
        </is>
      </c>
      <c r="AR2430">
        <f>HYPERLINK("http://catalog.hathitrust.org/Record/002600620","HathiTrust Record")</f>
        <v/>
      </c>
      <c r="AS2430">
        <f>HYPERLINK("https://creighton-primo.hosted.exlibrisgroup.com/primo-explore/search?tab=default_tab&amp;search_scope=EVERYTHING&amp;vid=01CRU&amp;lang=en_US&amp;offset=0&amp;query=any,contains,991002020999702656","Catalog Record")</f>
        <v/>
      </c>
      <c r="AT2430">
        <f>HYPERLINK("http://www.worldcat.org/oclc/25709819","WorldCat Record")</f>
        <v/>
      </c>
      <c r="AU2430" t="inlineStr">
        <is>
          <t>371424259:eng</t>
        </is>
      </c>
      <c r="AV2430" t="inlineStr">
        <is>
          <t>25709819</t>
        </is>
      </c>
      <c r="AW2430" t="inlineStr">
        <is>
          <t>991002020999702656</t>
        </is>
      </c>
      <c r="AX2430" t="inlineStr">
        <is>
          <t>991002020999702656</t>
        </is>
      </c>
      <c r="AY2430" t="inlineStr">
        <is>
          <t>2259783870002656</t>
        </is>
      </c>
      <c r="AZ2430" t="inlineStr">
        <is>
          <t>BOOK</t>
        </is>
      </c>
      <c r="BB2430" t="inlineStr">
        <is>
          <t>9780807059067</t>
        </is>
      </c>
      <c r="BC2430" t="inlineStr">
        <is>
          <t>32285001702249</t>
        </is>
      </c>
      <c r="BD2430" t="inlineStr">
        <is>
          <t>893516806</t>
        </is>
      </c>
    </row>
    <row r="2431">
      <c r="A2431" t="inlineStr">
        <is>
          <t>No</t>
        </is>
      </c>
      <c r="B2431" t="inlineStr">
        <is>
          <t>DS822.5 .F53 1983</t>
        </is>
      </c>
      <c r="C2431" t="inlineStr">
        <is>
          <t>0                      DS 0822500F  53          1983</t>
        </is>
      </c>
      <c r="D2431" t="inlineStr">
        <is>
          <t>From bonsai to Levi's : when West meets East, an insider's surprising account of how the Japanese live / George Fields.</t>
        </is>
      </c>
      <c r="F2431" t="inlineStr">
        <is>
          <t>No</t>
        </is>
      </c>
      <c r="G2431" t="inlineStr">
        <is>
          <t>1</t>
        </is>
      </c>
      <c r="H2431" t="inlineStr">
        <is>
          <t>No</t>
        </is>
      </c>
      <c r="I2431" t="inlineStr">
        <is>
          <t>No</t>
        </is>
      </c>
      <c r="J2431" t="inlineStr">
        <is>
          <t>0</t>
        </is>
      </c>
      <c r="K2431" t="inlineStr">
        <is>
          <t>Fields, George, 1928-</t>
        </is>
      </c>
      <c r="L2431" t="inlineStr">
        <is>
          <t>New York : Macmillan, c1983.</t>
        </is>
      </c>
      <c r="M2431" t="inlineStr">
        <is>
          <t>1983</t>
        </is>
      </c>
      <c r="O2431" t="inlineStr">
        <is>
          <t>eng</t>
        </is>
      </c>
      <c r="P2431" t="inlineStr">
        <is>
          <t>nyu</t>
        </is>
      </c>
      <c r="R2431" t="inlineStr">
        <is>
          <t xml:space="preserve">DS </t>
        </is>
      </c>
      <c r="S2431" t="n">
        <v>3</v>
      </c>
      <c r="T2431" t="n">
        <v>3</v>
      </c>
      <c r="U2431" t="inlineStr">
        <is>
          <t>2000-03-26</t>
        </is>
      </c>
      <c r="V2431" t="inlineStr">
        <is>
          <t>2000-03-26</t>
        </is>
      </c>
      <c r="W2431" t="inlineStr">
        <is>
          <t>1990-10-29</t>
        </is>
      </c>
      <c r="X2431" t="inlineStr">
        <is>
          <t>1990-10-29</t>
        </is>
      </c>
      <c r="Y2431" t="n">
        <v>699</v>
      </c>
      <c r="Z2431" t="n">
        <v>625</v>
      </c>
      <c r="AA2431" t="n">
        <v>724</v>
      </c>
      <c r="AB2431" t="n">
        <v>1</v>
      </c>
      <c r="AC2431" t="n">
        <v>2</v>
      </c>
      <c r="AD2431" t="n">
        <v>13</v>
      </c>
      <c r="AE2431" t="n">
        <v>20</v>
      </c>
      <c r="AF2431" t="n">
        <v>6</v>
      </c>
      <c r="AG2431" t="n">
        <v>7</v>
      </c>
      <c r="AH2431" t="n">
        <v>2</v>
      </c>
      <c r="AI2431" t="n">
        <v>5</v>
      </c>
      <c r="AJ2431" t="n">
        <v>6</v>
      </c>
      <c r="AK2431" t="n">
        <v>10</v>
      </c>
      <c r="AL2431" t="n">
        <v>0</v>
      </c>
      <c r="AM2431" t="n">
        <v>1</v>
      </c>
      <c r="AN2431" t="n">
        <v>0</v>
      </c>
      <c r="AO2431" t="n">
        <v>0</v>
      </c>
      <c r="AP2431" t="inlineStr">
        <is>
          <t>No</t>
        </is>
      </c>
      <c r="AQ2431" t="inlineStr">
        <is>
          <t>Yes</t>
        </is>
      </c>
      <c r="AR2431">
        <f>HYPERLINK("http://catalog.hathitrust.org/Record/000240788","HathiTrust Record")</f>
        <v/>
      </c>
      <c r="AS2431">
        <f>HYPERLINK("https://creighton-primo.hosted.exlibrisgroup.com/primo-explore/search?tab=default_tab&amp;search_scope=EVERYTHING&amp;vid=01CRU&amp;lang=en_US&amp;offset=0&amp;query=any,contains,991000308439702656","Catalog Record")</f>
        <v/>
      </c>
      <c r="AT2431">
        <f>HYPERLINK("http://www.worldcat.org/oclc/10072895","WorldCat Record")</f>
        <v/>
      </c>
      <c r="AU2431" t="inlineStr">
        <is>
          <t>3225735:eng</t>
        </is>
      </c>
      <c r="AV2431" t="inlineStr">
        <is>
          <t>10072895</t>
        </is>
      </c>
      <c r="AW2431" t="inlineStr">
        <is>
          <t>991000308439702656</t>
        </is>
      </c>
      <c r="AX2431" t="inlineStr">
        <is>
          <t>991000308439702656</t>
        </is>
      </c>
      <c r="AY2431" t="inlineStr">
        <is>
          <t>2263550850002656</t>
        </is>
      </c>
      <c r="AZ2431" t="inlineStr">
        <is>
          <t>BOOK</t>
        </is>
      </c>
      <c r="BB2431" t="inlineStr">
        <is>
          <t>9780025377509</t>
        </is>
      </c>
      <c r="BC2431" t="inlineStr">
        <is>
          <t>32285000339894</t>
        </is>
      </c>
      <c r="BD2431" t="inlineStr">
        <is>
          <t>893231018</t>
        </is>
      </c>
    </row>
    <row r="2432">
      <c r="A2432" t="inlineStr">
        <is>
          <t>No</t>
        </is>
      </c>
      <c r="B2432" t="inlineStr">
        <is>
          <t>DS822.5 .F96 1982</t>
        </is>
      </c>
      <c r="C2432" t="inlineStr">
        <is>
          <t>0                      DS 0822500F  96          1982</t>
        </is>
      </c>
      <c r="D2432" t="inlineStr">
        <is>
          <t>The Japanese social structure : its evolution in the modern century / Tadashi Fukutake, translated with a foreword by Ronald P. Dore.</t>
        </is>
      </c>
      <c r="F2432" t="inlineStr">
        <is>
          <t>No</t>
        </is>
      </c>
      <c r="G2432" t="inlineStr">
        <is>
          <t>1</t>
        </is>
      </c>
      <c r="H2432" t="inlineStr">
        <is>
          <t>No</t>
        </is>
      </c>
      <c r="I2432" t="inlineStr">
        <is>
          <t>No</t>
        </is>
      </c>
      <c r="J2432" t="inlineStr">
        <is>
          <t>0</t>
        </is>
      </c>
      <c r="K2432" t="inlineStr">
        <is>
          <t>Fukutake, Tadashi, 1917-1989.</t>
        </is>
      </c>
      <c r="L2432" t="inlineStr">
        <is>
          <t>[Tokyo] : University of Tokyo Press, 1982.</t>
        </is>
      </c>
      <c r="M2432" t="inlineStr">
        <is>
          <t>1982</t>
        </is>
      </c>
      <c r="O2432" t="inlineStr">
        <is>
          <t>eng</t>
        </is>
      </c>
      <c r="P2432" t="inlineStr">
        <is>
          <t xml:space="preserve">ja </t>
        </is>
      </c>
      <c r="R2432" t="inlineStr">
        <is>
          <t xml:space="preserve">DS </t>
        </is>
      </c>
      <c r="S2432" t="n">
        <v>11</v>
      </c>
      <c r="T2432" t="n">
        <v>11</v>
      </c>
      <c r="U2432" t="inlineStr">
        <is>
          <t>2006-02-03</t>
        </is>
      </c>
      <c r="V2432" t="inlineStr">
        <is>
          <t>2006-02-03</t>
        </is>
      </c>
      <c r="W2432" t="inlineStr">
        <is>
          <t>1990-10-29</t>
        </is>
      </c>
      <c r="X2432" t="inlineStr">
        <is>
          <t>1990-10-29</t>
        </is>
      </c>
      <c r="Y2432" t="n">
        <v>558</v>
      </c>
      <c r="Z2432" t="n">
        <v>436</v>
      </c>
      <c r="AA2432" t="n">
        <v>606</v>
      </c>
      <c r="AB2432" t="n">
        <v>3</v>
      </c>
      <c r="AC2432" t="n">
        <v>5</v>
      </c>
      <c r="AD2432" t="n">
        <v>21</v>
      </c>
      <c r="AE2432" t="n">
        <v>29</v>
      </c>
      <c r="AF2432" t="n">
        <v>6</v>
      </c>
      <c r="AG2432" t="n">
        <v>11</v>
      </c>
      <c r="AH2432" t="n">
        <v>7</v>
      </c>
      <c r="AI2432" t="n">
        <v>7</v>
      </c>
      <c r="AJ2432" t="n">
        <v>10</v>
      </c>
      <c r="AK2432" t="n">
        <v>14</v>
      </c>
      <c r="AL2432" t="n">
        <v>2</v>
      </c>
      <c r="AM2432" t="n">
        <v>4</v>
      </c>
      <c r="AN2432" t="n">
        <v>0</v>
      </c>
      <c r="AO2432" t="n">
        <v>0</v>
      </c>
      <c r="AP2432" t="inlineStr">
        <is>
          <t>No</t>
        </is>
      </c>
      <c r="AQ2432" t="inlineStr">
        <is>
          <t>Yes</t>
        </is>
      </c>
      <c r="AR2432">
        <f>HYPERLINK("http://catalog.hathitrust.org/Record/000313812","HathiTrust Record")</f>
        <v/>
      </c>
      <c r="AS2432">
        <f>HYPERLINK("https://creighton-primo.hosted.exlibrisgroup.com/primo-explore/search?tab=default_tab&amp;search_scope=EVERYTHING&amp;vid=01CRU&amp;lang=en_US&amp;offset=0&amp;query=any,contains,991000137899702656","Catalog Record")</f>
        <v/>
      </c>
      <c r="AT2432">
        <f>HYPERLINK("http://www.worldcat.org/oclc/9143009","WorldCat Record")</f>
        <v/>
      </c>
      <c r="AU2432" t="inlineStr">
        <is>
          <t>131523712:eng</t>
        </is>
      </c>
      <c r="AV2432" t="inlineStr">
        <is>
          <t>9143009</t>
        </is>
      </c>
      <c r="AW2432" t="inlineStr">
        <is>
          <t>991000137899702656</t>
        </is>
      </c>
      <c r="AX2432" t="inlineStr">
        <is>
          <t>991000137899702656</t>
        </is>
      </c>
      <c r="AY2432" t="inlineStr">
        <is>
          <t>2267200060002656</t>
        </is>
      </c>
      <c r="AZ2432" t="inlineStr">
        <is>
          <t>BOOK</t>
        </is>
      </c>
      <c r="BB2432" t="inlineStr">
        <is>
          <t>9780860083160</t>
        </is>
      </c>
      <c r="BC2432" t="inlineStr">
        <is>
          <t>32285000339902</t>
        </is>
      </c>
      <c r="BD2432" t="inlineStr">
        <is>
          <t>893865122</t>
        </is>
      </c>
    </row>
    <row r="2433">
      <c r="A2433" t="inlineStr">
        <is>
          <t>No</t>
        </is>
      </c>
      <c r="B2433" t="inlineStr">
        <is>
          <t>DS822.5 .K4</t>
        </is>
      </c>
      <c r="C2433" t="inlineStr">
        <is>
          <t>0                      DS 0822500K  4</t>
        </is>
      </c>
      <c r="D2433" t="inlineStr">
        <is>
          <t>Before the blossoms fall : life and death in Japan / by Agnes Newton Keith.</t>
        </is>
      </c>
      <c r="F2433" t="inlineStr">
        <is>
          <t>No</t>
        </is>
      </c>
      <c r="G2433" t="inlineStr">
        <is>
          <t>1</t>
        </is>
      </c>
      <c r="H2433" t="inlineStr">
        <is>
          <t>No</t>
        </is>
      </c>
      <c r="I2433" t="inlineStr">
        <is>
          <t>No</t>
        </is>
      </c>
      <c r="J2433" t="inlineStr">
        <is>
          <t>0</t>
        </is>
      </c>
      <c r="K2433" t="inlineStr">
        <is>
          <t>Keith, Agnes Newton.</t>
        </is>
      </c>
      <c r="L2433" t="inlineStr">
        <is>
          <t>Boston : Little, Brown, [1975]</t>
        </is>
      </c>
      <c r="M2433" t="inlineStr">
        <is>
          <t>1975</t>
        </is>
      </c>
      <c r="N2433" t="inlineStr">
        <is>
          <t>1st ed.</t>
        </is>
      </c>
      <c r="O2433" t="inlineStr">
        <is>
          <t>eng</t>
        </is>
      </c>
      <c r="P2433" t="inlineStr">
        <is>
          <t>mau</t>
        </is>
      </c>
      <c r="R2433" t="inlineStr">
        <is>
          <t xml:space="preserve">DS </t>
        </is>
      </c>
      <c r="S2433" t="n">
        <v>4</v>
      </c>
      <c r="T2433" t="n">
        <v>4</v>
      </c>
      <c r="U2433" t="inlineStr">
        <is>
          <t>2000-12-06</t>
        </is>
      </c>
      <c r="V2433" t="inlineStr">
        <is>
          <t>2000-12-06</t>
        </is>
      </c>
      <c r="W2433" t="inlineStr">
        <is>
          <t>1993-12-14</t>
        </is>
      </c>
      <c r="X2433" t="inlineStr">
        <is>
          <t>1993-12-14</t>
        </is>
      </c>
      <c r="Y2433" t="n">
        <v>454</v>
      </c>
      <c r="Z2433" t="n">
        <v>403</v>
      </c>
      <c r="AA2433" t="n">
        <v>408</v>
      </c>
      <c r="AB2433" t="n">
        <v>5</v>
      </c>
      <c r="AC2433" t="n">
        <v>5</v>
      </c>
      <c r="AD2433" t="n">
        <v>6</v>
      </c>
      <c r="AE2433" t="n">
        <v>6</v>
      </c>
      <c r="AF2433" t="n">
        <v>2</v>
      </c>
      <c r="AG2433" t="n">
        <v>2</v>
      </c>
      <c r="AH2433" t="n">
        <v>1</v>
      </c>
      <c r="AI2433" t="n">
        <v>1</v>
      </c>
      <c r="AJ2433" t="n">
        <v>4</v>
      </c>
      <c r="AK2433" t="n">
        <v>4</v>
      </c>
      <c r="AL2433" t="n">
        <v>2</v>
      </c>
      <c r="AM2433" t="n">
        <v>2</v>
      </c>
      <c r="AN2433" t="n">
        <v>0</v>
      </c>
      <c r="AO2433" t="n">
        <v>0</v>
      </c>
      <c r="AP2433" t="inlineStr">
        <is>
          <t>No</t>
        </is>
      </c>
      <c r="AQ2433" t="inlineStr">
        <is>
          <t>No</t>
        </is>
      </c>
      <c r="AS2433">
        <f>HYPERLINK("https://creighton-primo.hosted.exlibrisgroup.com/primo-explore/search?tab=default_tab&amp;search_scope=EVERYTHING&amp;vid=01CRU&amp;lang=en_US&amp;offset=0&amp;query=any,contains,991003703579702656","Catalog Record")</f>
        <v/>
      </c>
      <c r="AT2433">
        <f>HYPERLINK("http://www.worldcat.org/oclc/1339825","WorldCat Record")</f>
        <v/>
      </c>
      <c r="AU2433" t="inlineStr">
        <is>
          <t>196632575:eng</t>
        </is>
      </c>
      <c r="AV2433" t="inlineStr">
        <is>
          <t>1339825</t>
        </is>
      </c>
      <c r="AW2433" t="inlineStr">
        <is>
          <t>991003703579702656</t>
        </is>
      </c>
      <c r="AX2433" t="inlineStr">
        <is>
          <t>991003703579702656</t>
        </is>
      </c>
      <c r="AY2433" t="inlineStr">
        <is>
          <t>2254867530002656</t>
        </is>
      </c>
      <c r="AZ2433" t="inlineStr">
        <is>
          <t>BOOK</t>
        </is>
      </c>
      <c r="BB2433" t="inlineStr">
        <is>
          <t>9780316486309</t>
        </is>
      </c>
      <c r="BC2433" t="inlineStr">
        <is>
          <t>32285001808749</t>
        </is>
      </c>
      <c r="BD2433" t="inlineStr">
        <is>
          <t>893693052</t>
        </is>
      </c>
    </row>
    <row r="2434">
      <c r="A2434" t="inlineStr">
        <is>
          <t>No</t>
        </is>
      </c>
      <c r="B2434" t="inlineStr">
        <is>
          <t>DS822.5 .M67 1985</t>
        </is>
      </c>
      <c r="C2434" t="inlineStr">
        <is>
          <t>0                      DS 0822500M  67          1985</t>
        </is>
      </c>
      <c r="D2434" t="inlineStr">
        <is>
          <t>Pictures from the water trade : adventures of a Westerner in Japan / John David Morley.</t>
        </is>
      </c>
      <c r="F2434" t="inlineStr">
        <is>
          <t>No</t>
        </is>
      </c>
      <c r="G2434" t="inlineStr">
        <is>
          <t>1</t>
        </is>
      </c>
      <c r="H2434" t="inlineStr">
        <is>
          <t>No</t>
        </is>
      </c>
      <c r="I2434" t="inlineStr">
        <is>
          <t>No</t>
        </is>
      </c>
      <c r="J2434" t="inlineStr">
        <is>
          <t>0</t>
        </is>
      </c>
      <c r="K2434" t="inlineStr">
        <is>
          <t>Morley, John David, 1948-</t>
        </is>
      </c>
      <c r="L2434" t="inlineStr">
        <is>
          <t>Boston : Atlantic Monthly Press, c1985.</t>
        </is>
      </c>
      <c r="M2434" t="inlineStr">
        <is>
          <t>1985</t>
        </is>
      </c>
      <c r="N2434" t="inlineStr">
        <is>
          <t>1st American ed.</t>
        </is>
      </c>
      <c r="O2434" t="inlineStr">
        <is>
          <t>eng</t>
        </is>
      </c>
      <c r="P2434" t="inlineStr">
        <is>
          <t>mau</t>
        </is>
      </c>
      <c r="R2434" t="inlineStr">
        <is>
          <t xml:space="preserve">DS </t>
        </is>
      </c>
      <c r="S2434" t="n">
        <v>2</v>
      </c>
      <c r="T2434" t="n">
        <v>2</v>
      </c>
      <c r="U2434" t="inlineStr">
        <is>
          <t>1995-04-04</t>
        </is>
      </c>
      <c r="V2434" t="inlineStr">
        <is>
          <t>1995-04-04</t>
        </is>
      </c>
      <c r="W2434" t="inlineStr">
        <is>
          <t>1990-10-29</t>
        </is>
      </c>
      <c r="X2434" t="inlineStr">
        <is>
          <t>1990-10-29</t>
        </is>
      </c>
      <c r="Y2434" t="n">
        <v>489</v>
      </c>
      <c r="Z2434" t="n">
        <v>460</v>
      </c>
      <c r="AA2434" t="n">
        <v>515</v>
      </c>
      <c r="AB2434" t="n">
        <v>3</v>
      </c>
      <c r="AC2434" t="n">
        <v>3</v>
      </c>
      <c r="AD2434" t="n">
        <v>9</v>
      </c>
      <c r="AE2434" t="n">
        <v>15</v>
      </c>
      <c r="AF2434" t="n">
        <v>2</v>
      </c>
      <c r="AG2434" t="n">
        <v>6</v>
      </c>
      <c r="AH2434" t="n">
        <v>1</v>
      </c>
      <c r="AI2434" t="n">
        <v>1</v>
      </c>
      <c r="AJ2434" t="n">
        <v>5</v>
      </c>
      <c r="AK2434" t="n">
        <v>9</v>
      </c>
      <c r="AL2434" t="n">
        <v>1</v>
      </c>
      <c r="AM2434" t="n">
        <v>1</v>
      </c>
      <c r="AN2434" t="n">
        <v>0</v>
      </c>
      <c r="AO2434" t="n">
        <v>0</v>
      </c>
      <c r="AP2434" t="inlineStr">
        <is>
          <t>No</t>
        </is>
      </c>
      <c r="AQ2434" t="inlineStr">
        <is>
          <t>No</t>
        </is>
      </c>
      <c r="AS2434">
        <f>HYPERLINK("https://creighton-primo.hosted.exlibrisgroup.com/primo-explore/search?tab=default_tab&amp;search_scope=EVERYTHING&amp;vid=01CRU&amp;lang=en_US&amp;offset=0&amp;query=any,contains,991000546649702656","Catalog Record")</f>
        <v/>
      </c>
      <c r="AT2434">
        <f>HYPERLINK("http://www.worldcat.org/oclc/11518629","WorldCat Record")</f>
        <v/>
      </c>
      <c r="AU2434" t="inlineStr">
        <is>
          <t>2995288230:eng</t>
        </is>
      </c>
      <c r="AV2434" t="inlineStr">
        <is>
          <t>11518629</t>
        </is>
      </c>
      <c r="AW2434" t="inlineStr">
        <is>
          <t>991000546649702656</t>
        </is>
      </c>
      <c r="AX2434" t="inlineStr">
        <is>
          <t>991000546649702656</t>
        </is>
      </c>
      <c r="AY2434" t="inlineStr">
        <is>
          <t>2269545130002656</t>
        </is>
      </c>
      <c r="AZ2434" t="inlineStr">
        <is>
          <t>BOOK</t>
        </is>
      </c>
      <c r="BB2434" t="inlineStr">
        <is>
          <t>9780871130174</t>
        </is>
      </c>
      <c r="BC2434" t="inlineStr">
        <is>
          <t>32285000339928</t>
        </is>
      </c>
      <c r="BD2434" t="inlineStr">
        <is>
          <t>893339645</t>
        </is>
      </c>
    </row>
    <row r="2435">
      <c r="A2435" t="inlineStr">
        <is>
          <t>No</t>
        </is>
      </c>
      <c r="B2435" t="inlineStr">
        <is>
          <t>DS822.5 .R515 2004</t>
        </is>
      </c>
      <c r="C2435" t="inlineStr">
        <is>
          <t>0                      DS 0822500R  515         2004</t>
        </is>
      </c>
      <c r="D2435" t="inlineStr">
        <is>
          <t>The Japan journals, 1947-2004 / Donald Richie ; edited by Leza Lowitz.</t>
        </is>
      </c>
      <c r="F2435" t="inlineStr">
        <is>
          <t>No</t>
        </is>
      </c>
      <c r="G2435" t="inlineStr">
        <is>
          <t>1</t>
        </is>
      </c>
      <c r="H2435" t="inlineStr">
        <is>
          <t>No</t>
        </is>
      </c>
      <c r="I2435" t="inlineStr">
        <is>
          <t>No</t>
        </is>
      </c>
      <c r="J2435" t="inlineStr">
        <is>
          <t>0</t>
        </is>
      </c>
      <c r="K2435" t="inlineStr">
        <is>
          <t>Richie, Donald, 1924-2013.</t>
        </is>
      </c>
      <c r="L2435" t="inlineStr">
        <is>
          <t>Berkeley, Calif. : Stone Bridge Press, c2004.</t>
        </is>
      </c>
      <c r="M2435" t="inlineStr">
        <is>
          <t>2004</t>
        </is>
      </c>
      <c r="O2435" t="inlineStr">
        <is>
          <t>eng</t>
        </is>
      </c>
      <c r="P2435" t="inlineStr">
        <is>
          <t>cau</t>
        </is>
      </c>
      <c r="R2435" t="inlineStr">
        <is>
          <t xml:space="preserve">DS </t>
        </is>
      </c>
      <c r="S2435" t="n">
        <v>3</v>
      </c>
      <c r="T2435" t="n">
        <v>3</v>
      </c>
      <c r="U2435" t="inlineStr">
        <is>
          <t>2009-03-24</t>
        </is>
      </c>
      <c r="V2435" t="inlineStr">
        <is>
          <t>2009-03-24</t>
        </is>
      </c>
      <c r="W2435" t="inlineStr">
        <is>
          <t>2005-01-10</t>
        </is>
      </c>
      <c r="X2435" t="inlineStr">
        <is>
          <t>2005-01-10</t>
        </is>
      </c>
      <c r="Y2435" t="n">
        <v>386</v>
      </c>
      <c r="Z2435" t="n">
        <v>344</v>
      </c>
      <c r="AA2435" t="n">
        <v>654</v>
      </c>
      <c r="AB2435" t="n">
        <v>1</v>
      </c>
      <c r="AC2435" t="n">
        <v>4</v>
      </c>
      <c r="AD2435" t="n">
        <v>9</v>
      </c>
      <c r="AE2435" t="n">
        <v>13</v>
      </c>
      <c r="AF2435" t="n">
        <v>3</v>
      </c>
      <c r="AG2435" t="n">
        <v>4</v>
      </c>
      <c r="AH2435" t="n">
        <v>3</v>
      </c>
      <c r="AI2435" t="n">
        <v>3</v>
      </c>
      <c r="AJ2435" t="n">
        <v>5</v>
      </c>
      <c r="AK2435" t="n">
        <v>6</v>
      </c>
      <c r="AL2435" t="n">
        <v>0</v>
      </c>
      <c r="AM2435" t="n">
        <v>3</v>
      </c>
      <c r="AN2435" t="n">
        <v>0</v>
      </c>
      <c r="AO2435" t="n">
        <v>0</v>
      </c>
      <c r="AP2435" t="inlineStr">
        <is>
          <t>No</t>
        </is>
      </c>
      <c r="AQ2435" t="inlineStr">
        <is>
          <t>Yes</t>
        </is>
      </c>
      <c r="AR2435">
        <f>HYPERLINK("http://catalog.hathitrust.org/Record/004921145","HathiTrust Record")</f>
        <v/>
      </c>
      <c r="AS2435">
        <f>HYPERLINK("https://creighton-primo.hosted.exlibrisgroup.com/primo-explore/search?tab=default_tab&amp;search_scope=EVERYTHING&amp;vid=01CRU&amp;lang=en_US&amp;offset=0&amp;query=any,contains,991004431379702656","Catalog Record")</f>
        <v/>
      </c>
      <c r="AT2435">
        <f>HYPERLINK("http://www.worldcat.org/oclc/55990161","WorldCat Record")</f>
        <v/>
      </c>
      <c r="AU2435" t="inlineStr">
        <is>
          <t>1067763:eng</t>
        </is>
      </c>
      <c r="AV2435" t="inlineStr">
        <is>
          <t>55990161</t>
        </is>
      </c>
      <c r="AW2435" t="inlineStr">
        <is>
          <t>991004431379702656</t>
        </is>
      </c>
      <c r="AX2435" t="inlineStr">
        <is>
          <t>991004431379702656</t>
        </is>
      </c>
      <c r="AY2435" t="inlineStr">
        <is>
          <t>2255526120002656</t>
        </is>
      </c>
      <c r="AZ2435" t="inlineStr">
        <is>
          <t>BOOK</t>
        </is>
      </c>
      <c r="BB2435" t="inlineStr">
        <is>
          <t>9781880656914</t>
        </is>
      </c>
      <c r="BC2435" t="inlineStr">
        <is>
          <t>32285005020408</t>
        </is>
      </c>
      <c r="BD2435" t="inlineStr">
        <is>
          <t>893788691</t>
        </is>
      </c>
    </row>
    <row r="2436">
      <c r="A2436" t="inlineStr">
        <is>
          <t>No</t>
        </is>
      </c>
      <c r="B2436" t="inlineStr">
        <is>
          <t>DS824 .M6 1979</t>
        </is>
      </c>
      <c r="C2436" t="inlineStr">
        <is>
          <t>0                      DS 0824000M  6           1979</t>
        </is>
      </c>
      <c r="D2436" t="inlineStr">
        <is>
          <t>The world of the shining prince : court life in ancient Japan / Ivan Morris.</t>
        </is>
      </c>
      <c r="F2436" t="inlineStr">
        <is>
          <t>No</t>
        </is>
      </c>
      <c r="G2436" t="inlineStr">
        <is>
          <t>1</t>
        </is>
      </c>
      <c r="H2436" t="inlineStr">
        <is>
          <t>No</t>
        </is>
      </c>
      <c r="I2436" t="inlineStr">
        <is>
          <t>No</t>
        </is>
      </c>
      <c r="J2436" t="inlineStr">
        <is>
          <t>0</t>
        </is>
      </c>
      <c r="K2436" t="inlineStr">
        <is>
          <t>Morris, Ivan, 1925-1976.</t>
        </is>
      </c>
      <c r="L2436" t="inlineStr">
        <is>
          <t>Harmondsworth ; New York : Penguin Books, 1979, c1964.</t>
        </is>
      </c>
      <c r="M2436" t="inlineStr">
        <is>
          <t>1979</t>
        </is>
      </c>
      <c r="O2436" t="inlineStr">
        <is>
          <t>eng</t>
        </is>
      </c>
      <c r="P2436" t="inlineStr">
        <is>
          <t>enk</t>
        </is>
      </c>
      <c r="R2436" t="inlineStr">
        <is>
          <t xml:space="preserve">DS </t>
        </is>
      </c>
      <c r="S2436" t="n">
        <v>18</v>
      </c>
      <c r="T2436" t="n">
        <v>18</v>
      </c>
      <c r="U2436" t="inlineStr">
        <is>
          <t>2010-03-31</t>
        </is>
      </c>
      <c r="V2436" t="inlineStr">
        <is>
          <t>2010-03-31</t>
        </is>
      </c>
      <c r="W2436" t="inlineStr">
        <is>
          <t>1990-10-29</t>
        </is>
      </c>
      <c r="X2436" t="inlineStr">
        <is>
          <t>1990-10-29</t>
        </is>
      </c>
      <c r="Y2436" t="n">
        <v>171</v>
      </c>
      <c r="Z2436" t="n">
        <v>134</v>
      </c>
      <c r="AA2436" t="n">
        <v>1256</v>
      </c>
      <c r="AB2436" t="n">
        <v>2</v>
      </c>
      <c r="AC2436" t="n">
        <v>9</v>
      </c>
      <c r="AD2436" t="n">
        <v>11</v>
      </c>
      <c r="AE2436" t="n">
        <v>46</v>
      </c>
      <c r="AF2436" t="n">
        <v>5</v>
      </c>
      <c r="AG2436" t="n">
        <v>20</v>
      </c>
      <c r="AH2436" t="n">
        <v>3</v>
      </c>
      <c r="AI2436" t="n">
        <v>9</v>
      </c>
      <c r="AJ2436" t="n">
        <v>3</v>
      </c>
      <c r="AK2436" t="n">
        <v>22</v>
      </c>
      <c r="AL2436" t="n">
        <v>1</v>
      </c>
      <c r="AM2436" t="n">
        <v>8</v>
      </c>
      <c r="AN2436" t="n">
        <v>0</v>
      </c>
      <c r="AO2436" t="n">
        <v>0</v>
      </c>
      <c r="AP2436" t="inlineStr">
        <is>
          <t>No</t>
        </is>
      </c>
      <c r="AQ2436" t="inlineStr">
        <is>
          <t>Yes</t>
        </is>
      </c>
      <c r="AR2436">
        <f>HYPERLINK("http://catalog.hathitrust.org/Record/007103690","HathiTrust Record")</f>
        <v/>
      </c>
      <c r="AS2436">
        <f>HYPERLINK("https://creighton-primo.hosted.exlibrisgroup.com/primo-explore/search?tab=default_tab&amp;search_scope=EVERYTHING&amp;vid=01CRU&amp;lang=en_US&amp;offset=0&amp;query=any,contains,991004938469702656","Catalog Record")</f>
        <v/>
      </c>
      <c r="AT2436">
        <f>HYPERLINK("http://www.worldcat.org/oclc/6152700","WorldCat Record")</f>
        <v/>
      </c>
      <c r="AU2436" t="inlineStr">
        <is>
          <t>412842:eng</t>
        </is>
      </c>
      <c r="AV2436" t="inlineStr">
        <is>
          <t>6152700</t>
        </is>
      </c>
      <c r="AW2436" t="inlineStr">
        <is>
          <t>991004938469702656</t>
        </is>
      </c>
      <c r="AX2436" t="inlineStr">
        <is>
          <t>991004938469702656</t>
        </is>
      </c>
      <c r="AY2436" t="inlineStr">
        <is>
          <t>2262423650002656</t>
        </is>
      </c>
      <c r="AZ2436" t="inlineStr">
        <is>
          <t>BOOK</t>
        </is>
      </c>
      <c r="BB2436" t="inlineStr">
        <is>
          <t>9780140054798</t>
        </is>
      </c>
      <c r="BC2436" t="inlineStr">
        <is>
          <t>32285000339910</t>
        </is>
      </c>
      <c r="BD2436" t="inlineStr">
        <is>
          <t>893594260</t>
        </is>
      </c>
    </row>
    <row r="2437">
      <c r="A2437" t="inlineStr">
        <is>
          <t>No</t>
        </is>
      </c>
      <c r="B2437" t="inlineStr">
        <is>
          <t>DS825 .S35</t>
        </is>
      </c>
      <c r="C2437" t="inlineStr">
        <is>
          <t>0                      DS 0825000S  35</t>
        </is>
      </c>
      <c r="D2437" t="inlineStr">
        <is>
          <t>The flower and willow world; the story of the geisha.</t>
        </is>
      </c>
      <c r="F2437" t="inlineStr">
        <is>
          <t>No</t>
        </is>
      </c>
      <c r="G2437" t="inlineStr">
        <is>
          <t>1</t>
        </is>
      </c>
      <c r="H2437" t="inlineStr">
        <is>
          <t>No</t>
        </is>
      </c>
      <c r="I2437" t="inlineStr">
        <is>
          <t>No</t>
        </is>
      </c>
      <c r="J2437" t="inlineStr">
        <is>
          <t>0</t>
        </is>
      </c>
      <c r="K2437" t="inlineStr">
        <is>
          <t>Scott, A. C. (Adolphe Clarence), 1909-1985.</t>
        </is>
      </c>
      <c r="L2437" t="inlineStr">
        <is>
          <t>[New York] Orion Press [1960]</t>
        </is>
      </c>
      <c r="M2437" t="inlineStr">
        <is>
          <t>1960</t>
        </is>
      </c>
      <c r="O2437" t="inlineStr">
        <is>
          <t>eng</t>
        </is>
      </c>
      <c r="P2437" t="inlineStr">
        <is>
          <t>nyu</t>
        </is>
      </c>
      <c r="R2437" t="inlineStr">
        <is>
          <t xml:space="preserve">DS </t>
        </is>
      </c>
      <c r="S2437" t="n">
        <v>10</v>
      </c>
      <c r="T2437" t="n">
        <v>10</v>
      </c>
      <c r="U2437" t="inlineStr">
        <is>
          <t>2005-04-17</t>
        </is>
      </c>
      <c r="V2437" t="inlineStr">
        <is>
          <t>2005-04-17</t>
        </is>
      </c>
      <c r="W2437" t="inlineStr">
        <is>
          <t>1997-03-17</t>
        </is>
      </c>
      <c r="X2437" t="inlineStr">
        <is>
          <t>1997-03-17</t>
        </is>
      </c>
      <c r="Y2437" t="n">
        <v>296</v>
      </c>
      <c r="Z2437" t="n">
        <v>282</v>
      </c>
      <c r="AA2437" t="n">
        <v>291</v>
      </c>
      <c r="AB2437" t="n">
        <v>2</v>
      </c>
      <c r="AC2437" t="n">
        <v>2</v>
      </c>
      <c r="AD2437" t="n">
        <v>7</v>
      </c>
      <c r="AE2437" t="n">
        <v>7</v>
      </c>
      <c r="AF2437" t="n">
        <v>1</v>
      </c>
      <c r="AG2437" t="n">
        <v>1</v>
      </c>
      <c r="AH2437" t="n">
        <v>4</v>
      </c>
      <c r="AI2437" t="n">
        <v>4</v>
      </c>
      <c r="AJ2437" t="n">
        <v>3</v>
      </c>
      <c r="AK2437" t="n">
        <v>3</v>
      </c>
      <c r="AL2437" t="n">
        <v>0</v>
      </c>
      <c r="AM2437" t="n">
        <v>0</v>
      </c>
      <c r="AN2437" t="n">
        <v>0</v>
      </c>
      <c r="AO2437" t="n">
        <v>0</v>
      </c>
      <c r="AP2437" t="inlineStr">
        <is>
          <t>Yes</t>
        </is>
      </c>
      <c r="AQ2437" t="inlineStr">
        <is>
          <t>No</t>
        </is>
      </c>
      <c r="AR2437">
        <f>HYPERLINK("http://catalog.hathitrust.org/Record/001259309","HathiTrust Record")</f>
        <v/>
      </c>
      <c r="AS2437">
        <f>HYPERLINK("https://creighton-primo.hosted.exlibrisgroup.com/primo-explore/search?tab=default_tab&amp;search_scope=EVERYTHING&amp;vid=01CRU&amp;lang=en_US&amp;offset=0&amp;query=any,contains,991003698689702656","Catalog Record")</f>
        <v/>
      </c>
      <c r="AT2437">
        <f>HYPERLINK("http://www.worldcat.org/oclc/1333043","WorldCat Record")</f>
        <v/>
      </c>
      <c r="AU2437" t="inlineStr">
        <is>
          <t>3855372020:eng</t>
        </is>
      </c>
      <c r="AV2437" t="inlineStr">
        <is>
          <t>1333043</t>
        </is>
      </c>
      <c r="AW2437" t="inlineStr">
        <is>
          <t>991003698689702656</t>
        </is>
      </c>
      <c r="AX2437" t="inlineStr">
        <is>
          <t>991003698689702656</t>
        </is>
      </c>
      <c r="AY2437" t="inlineStr">
        <is>
          <t>2260439460002656</t>
        </is>
      </c>
      <c r="AZ2437" t="inlineStr">
        <is>
          <t>BOOK</t>
        </is>
      </c>
      <c r="BC2437" t="inlineStr">
        <is>
          <t>32285002449972</t>
        </is>
      </c>
      <c r="BD2437" t="inlineStr">
        <is>
          <t>893330678</t>
        </is>
      </c>
    </row>
    <row r="2438">
      <c r="A2438" t="inlineStr">
        <is>
          <t>No</t>
        </is>
      </c>
      <c r="B2438" t="inlineStr">
        <is>
          <t>DS825 .S7</t>
        </is>
      </c>
      <c r="C2438" t="inlineStr">
        <is>
          <t>0                      DS 0825000S  7</t>
        </is>
      </c>
      <c r="D2438" t="inlineStr">
        <is>
          <t>The Japanese woman looking forward. By H.v. Straelen S.V.D.</t>
        </is>
      </c>
      <c r="F2438" t="inlineStr">
        <is>
          <t>No</t>
        </is>
      </c>
      <c r="G2438" t="inlineStr">
        <is>
          <t>1</t>
        </is>
      </c>
      <c r="H2438" t="inlineStr">
        <is>
          <t>No</t>
        </is>
      </c>
      <c r="I2438" t="inlineStr">
        <is>
          <t>No</t>
        </is>
      </c>
      <c r="J2438" t="inlineStr">
        <is>
          <t>0</t>
        </is>
      </c>
      <c r="K2438" t="inlineStr">
        <is>
          <t>Straelen, H. J. J. M. van (Henricus Johannes Josephus Maria), 1903-2004.</t>
        </is>
      </c>
      <c r="L2438" t="inlineStr">
        <is>
          <t>Tokyo, Kyo Bun Kwan, 1940.</t>
        </is>
      </c>
      <c r="M2438" t="inlineStr">
        <is>
          <t>1940</t>
        </is>
      </c>
      <c r="O2438" t="inlineStr">
        <is>
          <t>eng</t>
        </is>
      </c>
      <c r="P2438" t="inlineStr">
        <is>
          <t xml:space="preserve">ja </t>
        </is>
      </c>
      <c r="R2438" t="inlineStr">
        <is>
          <t xml:space="preserve">DS </t>
        </is>
      </c>
      <c r="S2438" t="n">
        <v>10</v>
      </c>
      <c r="T2438" t="n">
        <v>10</v>
      </c>
      <c r="U2438" t="inlineStr">
        <is>
          <t>2006-02-03</t>
        </is>
      </c>
      <c r="V2438" t="inlineStr">
        <is>
          <t>2006-02-03</t>
        </is>
      </c>
      <c r="W2438" t="inlineStr">
        <is>
          <t>1997-03-17</t>
        </is>
      </c>
      <c r="X2438" t="inlineStr">
        <is>
          <t>1997-03-17</t>
        </is>
      </c>
      <c r="Y2438" t="n">
        <v>175</v>
      </c>
      <c r="Z2438" t="n">
        <v>147</v>
      </c>
      <c r="AA2438" t="n">
        <v>149</v>
      </c>
      <c r="AB2438" t="n">
        <v>3</v>
      </c>
      <c r="AC2438" t="n">
        <v>3</v>
      </c>
      <c r="AD2438" t="n">
        <v>16</v>
      </c>
      <c r="AE2438" t="n">
        <v>16</v>
      </c>
      <c r="AF2438" t="n">
        <v>4</v>
      </c>
      <c r="AG2438" t="n">
        <v>4</v>
      </c>
      <c r="AH2438" t="n">
        <v>3</v>
      </c>
      <c r="AI2438" t="n">
        <v>3</v>
      </c>
      <c r="AJ2438" t="n">
        <v>11</v>
      </c>
      <c r="AK2438" t="n">
        <v>11</v>
      </c>
      <c r="AL2438" t="n">
        <v>2</v>
      </c>
      <c r="AM2438" t="n">
        <v>2</v>
      </c>
      <c r="AN2438" t="n">
        <v>0</v>
      </c>
      <c r="AO2438" t="n">
        <v>0</v>
      </c>
      <c r="AP2438" t="inlineStr">
        <is>
          <t>No</t>
        </is>
      </c>
      <c r="AQ2438" t="inlineStr">
        <is>
          <t>Yes</t>
        </is>
      </c>
      <c r="AR2438">
        <f>HYPERLINK("http://catalog.hathitrust.org/Record/001259310","HathiTrust Record")</f>
        <v/>
      </c>
      <c r="AS2438">
        <f>HYPERLINK("https://creighton-primo.hosted.exlibrisgroup.com/primo-explore/search?tab=default_tab&amp;search_scope=EVERYTHING&amp;vid=01CRU&amp;lang=en_US&amp;offset=0&amp;query=any,contains,991003949409702656","Catalog Record")</f>
        <v/>
      </c>
      <c r="AT2438">
        <f>HYPERLINK("http://www.worldcat.org/oclc/1953957","WorldCat Record")</f>
        <v/>
      </c>
      <c r="AU2438" t="inlineStr">
        <is>
          <t>2592743:eng</t>
        </is>
      </c>
      <c r="AV2438" t="inlineStr">
        <is>
          <t>1953957</t>
        </is>
      </c>
      <c r="AW2438" t="inlineStr">
        <is>
          <t>991003949409702656</t>
        </is>
      </c>
      <c r="AX2438" t="inlineStr">
        <is>
          <t>991003949409702656</t>
        </is>
      </c>
      <c r="AY2438" t="inlineStr">
        <is>
          <t>2267692860002656</t>
        </is>
      </c>
      <c r="AZ2438" t="inlineStr">
        <is>
          <t>BOOK</t>
        </is>
      </c>
      <c r="BC2438" t="inlineStr">
        <is>
          <t>32285002449980</t>
        </is>
      </c>
      <c r="BD2438" t="inlineStr">
        <is>
          <t>893506189</t>
        </is>
      </c>
    </row>
    <row r="2439">
      <c r="A2439" t="inlineStr">
        <is>
          <t>No</t>
        </is>
      </c>
      <c r="B2439" t="inlineStr">
        <is>
          <t>DS825 .S8 1925a</t>
        </is>
      </c>
      <c r="C2439" t="inlineStr">
        <is>
          <t>0                      DS 0825000S  8           1925a</t>
        </is>
      </c>
      <c r="D2439" t="inlineStr">
        <is>
          <t>A daughter of the Samurai : how a daughter of feudal Japan, living hundreds of years in one generation, became a modern American / by Etsu Inergaki Sugimoto ... Frontispiece by Tekisui Ishi.</t>
        </is>
      </c>
      <c r="F2439" t="inlineStr">
        <is>
          <t>No</t>
        </is>
      </c>
      <c r="G2439" t="inlineStr">
        <is>
          <t>1</t>
        </is>
      </c>
      <c r="H2439" t="inlineStr">
        <is>
          <t>No</t>
        </is>
      </c>
      <c r="I2439" t="inlineStr">
        <is>
          <t>No</t>
        </is>
      </c>
      <c r="J2439" t="inlineStr">
        <is>
          <t>0</t>
        </is>
      </c>
      <c r="K2439" t="inlineStr">
        <is>
          <t>Sugimoto, Etsuko, 1873-1950.</t>
        </is>
      </c>
      <c r="L2439" t="inlineStr">
        <is>
          <t>Garden City, N.Y., Doubleday, Page &amp; company, 1925.</t>
        </is>
      </c>
      <c r="M2439" t="inlineStr">
        <is>
          <t>1925</t>
        </is>
      </c>
      <c r="O2439" t="inlineStr">
        <is>
          <t>eng</t>
        </is>
      </c>
      <c r="P2439" t="inlineStr">
        <is>
          <t>nyu</t>
        </is>
      </c>
      <c r="R2439" t="inlineStr">
        <is>
          <t xml:space="preserve">DS </t>
        </is>
      </c>
      <c r="S2439" t="n">
        <v>4</v>
      </c>
      <c r="T2439" t="n">
        <v>4</v>
      </c>
      <c r="U2439" t="inlineStr">
        <is>
          <t>2010-08-16</t>
        </is>
      </c>
      <c r="V2439" t="inlineStr">
        <is>
          <t>2010-08-16</t>
        </is>
      </c>
      <c r="W2439" t="inlineStr">
        <is>
          <t>1997-03-17</t>
        </is>
      </c>
      <c r="X2439" t="inlineStr">
        <is>
          <t>1997-03-17</t>
        </is>
      </c>
      <c r="Y2439" t="n">
        <v>285</v>
      </c>
      <c r="Z2439" t="n">
        <v>276</v>
      </c>
      <c r="AA2439" t="n">
        <v>1060</v>
      </c>
      <c r="AB2439" t="n">
        <v>6</v>
      </c>
      <c r="AC2439" t="n">
        <v>12</v>
      </c>
      <c r="AD2439" t="n">
        <v>18</v>
      </c>
      <c r="AE2439" t="n">
        <v>44</v>
      </c>
      <c r="AF2439" t="n">
        <v>8</v>
      </c>
      <c r="AG2439" t="n">
        <v>19</v>
      </c>
      <c r="AH2439" t="n">
        <v>3</v>
      </c>
      <c r="AI2439" t="n">
        <v>8</v>
      </c>
      <c r="AJ2439" t="n">
        <v>4</v>
      </c>
      <c r="AK2439" t="n">
        <v>15</v>
      </c>
      <c r="AL2439" t="n">
        <v>5</v>
      </c>
      <c r="AM2439" t="n">
        <v>11</v>
      </c>
      <c r="AN2439" t="n">
        <v>0</v>
      </c>
      <c r="AO2439" t="n">
        <v>0</v>
      </c>
      <c r="AP2439" t="inlineStr">
        <is>
          <t>No</t>
        </is>
      </c>
      <c r="AQ2439" t="inlineStr">
        <is>
          <t>No</t>
        </is>
      </c>
      <c r="AS2439">
        <f>HYPERLINK("https://creighton-primo.hosted.exlibrisgroup.com/primo-explore/search?tab=default_tab&amp;search_scope=EVERYTHING&amp;vid=01CRU&amp;lang=en_US&amp;offset=0&amp;query=any,contains,991003711859702656","Catalog Record")</f>
        <v/>
      </c>
      <c r="AT2439">
        <f>HYPERLINK("http://www.worldcat.org/oclc/1352930","WorldCat Record")</f>
        <v/>
      </c>
      <c r="AU2439" t="inlineStr">
        <is>
          <t>4714403822:eng</t>
        </is>
      </c>
      <c r="AV2439" t="inlineStr">
        <is>
          <t>1352930</t>
        </is>
      </c>
      <c r="AW2439" t="inlineStr">
        <is>
          <t>991003711859702656</t>
        </is>
      </c>
      <c r="AX2439" t="inlineStr">
        <is>
          <t>991003711859702656</t>
        </is>
      </c>
      <c r="AY2439" t="inlineStr">
        <is>
          <t>2265655250002656</t>
        </is>
      </c>
      <c r="AZ2439" t="inlineStr">
        <is>
          <t>BOOK</t>
        </is>
      </c>
      <c r="BC2439" t="inlineStr">
        <is>
          <t>32285002448982</t>
        </is>
      </c>
      <c r="BD2439" t="inlineStr">
        <is>
          <t>893505904</t>
        </is>
      </c>
    </row>
    <row r="2440">
      <c r="A2440" t="inlineStr">
        <is>
          <t>No</t>
        </is>
      </c>
      <c r="B2440" t="inlineStr">
        <is>
          <t>DS827.D4 B47 2006</t>
        </is>
      </c>
      <c r="C2440" t="inlineStr">
        <is>
          <t>0                      DS 0827000D  4                  B  47          2006</t>
        </is>
      </c>
      <c r="D2440" t="inlineStr">
        <is>
          <t>Modern passings : death rites, politics, and social change in Imperial Japan / Andrew Bernstein.</t>
        </is>
      </c>
      <c r="F2440" t="inlineStr">
        <is>
          <t>No</t>
        </is>
      </c>
      <c r="G2440" t="inlineStr">
        <is>
          <t>1</t>
        </is>
      </c>
      <c r="H2440" t="inlineStr">
        <is>
          <t>No</t>
        </is>
      </c>
      <c r="I2440" t="inlineStr">
        <is>
          <t>No</t>
        </is>
      </c>
      <c r="J2440" t="inlineStr">
        <is>
          <t>0</t>
        </is>
      </c>
      <c r="K2440" t="inlineStr">
        <is>
          <t>Bernstein, Andrew, 1968-</t>
        </is>
      </c>
      <c r="L2440" t="inlineStr">
        <is>
          <t>Honolulu : University of Hawaii Press, c2006.</t>
        </is>
      </c>
      <c r="M2440" t="inlineStr">
        <is>
          <t>2006</t>
        </is>
      </c>
      <c r="O2440" t="inlineStr">
        <is>
          <t>eng</t>
        </is>
      </c>
      <c r="P2440" t="inlineStr">
        <is>
          <t>hiu</t>
        </is>
      </c>
      <c r="Q2440" t="inlineStr">
        <is>
          <t>Studies of the Weatherhead East Asian Institute, Columbia University</t>
        </is>
      </c>
      <c r="R2440" t="inlineStr">
        <is>
          <t xml:space="preserve">DS </t>
        </is>
      </c>
      <c r="S2440" t="n">
        <v>2</v>
      </c>
      <c r="T2440" t="n">
        <v>2</v>
      </c>
      <c r="U2440" t="inlineStr">
        <is>
          <t>2006-11-29</t>
        </is>
      </c>
      <c r="V2440" t="inlineStr">
        <is>
          <t>2006-11-29</t>
        </is>
      </c>
      <c r="W2440" t="inlineStr">
        <is>
          <t>2006-10-25</t>
        </is>
      </c>
      <c r="X2440" t="inlineStr">
        <is>
          <t>2006-10-25</t>
        </is>
      </c>
      <c r="Y2440" t="n">
        <v>341</v>
      </c>
      <c r="Z2440" t="n">
        <v>284</v>
      </c>
      <c r="AA2440" t="n">
        <v>471</v>
      </c>
      <c r="AB2440" t="n">
        <v>3</v>
      </c>
      <c r="AC2440" t="n">
        <v>3</v>
      </c>
      <c r="AD2440" t="n">
        <v>15</v>
      </c>
      <c r="AE2440" t="n">
        <v>25</v>
      </c>
      <c r="AF2440" t="n">
        <v>4</v>
      </c>
      <c r="AG2440" t="n">
        <v>10</v>
      </c>
      <c r="AH2440" t="n">
        <v>5</v>
      </c>
      <c r="AI2440" t="n">
        <v>8</v>
      </c>
      <c r="AJ2440" t="n">
        <v>8</v>
      </c>
      <c r="AK2440" t="n">
        <v>13</v>
      </c>
      <c r="AL2440" t="n">
        <v>2</v>
      </c>
      <c r="AM2440" t="n">
        <v>2</v>
      </c>
      <c r="AN2440" t="n">
        <v>0</v>
      </c>
      <c r="AO2440" t="n">
        <v>0</v>
      </c>
      <c r="AP2440" t="inlineStr">
        <is>
          <t>No</t>
        </is>
      </c>
      <c r="AQ2440" t="inlineStr">
        <is>
          <t>No</t>
        </is>
      </c>
      <c r="AS2440">
        <f>HYPERLINK("https://creighton-primo.hosted.exlibrisgroup.com/primo-explore/search?tab=default_tab&amp;search_scope=EVERYTHING&amp;vid=01CRU&amp;lang=en_US&amp;offset=0&amp;query=any,contains,991004948629702656","Catalog Record")</f>
        <v/>
      </c>
      <c r="AT2440">
        <f>HYPERLINK("http://www.worldcat.org/oclc/61247227","WorldCat Record")</f>
        <v/>
      </c>
      <c r="AU2440" t="inlineStr">
        <is>
          <t>891935603:eng</t>
        </is>
      </c>
      <c r="AV2440" t="inlineStr">
        <is>
          <t>61247227</t>
        </is>
      </c>
      <c r="AW2440" t="inlineStr">
        <is>
          <t>991004948629702656</t>
        </is>
      </c>
      <c r="AX2440" t="inlineStr">
        <is>
          <t>991004948629702656</t>
        </is>
      </c>
      <c r="AY2440" t="inlineStr">
        <is>
          <t>2255407640002656</t>
        </is>
      </c>
      <c r="AZ2440" t="inlineStr">
        <is>
          <t>BOOK</t>
        </is>
      </c>
      <c r="BB2440" t="inlineStr">
        <is>
          <t>9780824828745</t>
        </is>
      </c>
      <c r="BC2440" t="inlineStr">
        <is>
          <t>32285005232599</t>
        </is>
      </c>
      <c r="BD2440" t="inlineStr">
        <is>
          <t>893795437</t>
        </is>
      </c>
    </row>
    <row r="2441">
      <c r="A2441" t="inlineStr">
        <is>
          <t>No</t>
        </is>
      </c>
      <c r="B2441" t="inlineStr">
        <is>
          <t>DS827.S3 M48 2000</t>
        </is>
      </c>
      <c r="C2441" t="inlineStr">
        <is>
          <t>0                      DS 0827000S  3                  M  48          2000</t>
        </is>
      </c>
      <c r="D2441" t="inlineStr">
        <is>
          <t>Samurai warriors / David Miller.</t>
        </is>
      </c>
      <c r="F2441" t="inlineStr">
        <is>
          <t>No</t>
        </is>
      </c>
      <c r="G2441" t="inlineStr">
        <is>
          <t>1</t>
        </is>
      </c>
      <c r="H2441" t="inlineStr">
        <is>
          <t>No</t>
        </is>
      </c>
      <c r="I2441" t="inlineStr">
        <is>
          <t>No</t>
        </is>
      </c>
      <c r="J2441" t="inlineStr">
        <is>
          <t>0</t>
        </is>
      </c>
      <c r="K2441" t="inlineStr">
        <is>
          <t>Miller, David (David M. O.)</t>
        </is>
      </c>
      <c r="L2441" t="inlineStr">
        <is>
          <t>New York : Thomas Dunne Book, c2000.</t>
        </is>
      </c>
      <c r="M2441" t="inlineStr">
        <is>
          <t>2000</t>
        </is>
      </c>
      <c r="N2441" t="inlineStr">
        <is>
          <t>1st US ed.</t>
        </is>
      </c>
      <c r="O2441" t="inlineStr">
        <is>
          <t>eng</t>
        </is>
      </c>
      <c r="P2441" t="inlineStr">
        <is>
          <t>nyu</t>
        </is>
      </c>
      <c r="R2441" t="inlineStr">
        <is>
          <t xml:space="preserve">DS </t>
        </is>
      </c>
      <c r="S2441" t="n">
        <v>1</v>
      </c>
      <c r="T2441" t="n">
        <v>1</v>
      </c>
      <c r="U2441" t="inlineStr">
        <is>
          <t>2008-06-11</t>
        </is>
      </c>
      <c r="V2441" t="inlineStr">
        <is>
          <t>2008-06-11</t>
        </is>
      </c>
      <c r="W2441" t="inlineStr">
        <is>
          <t>2008-06-11</t>
        </is>
      </c>
      <c r="X2441" t="inlineStr">
        <is>
          <t>2008-06-11</t>
        </is>
      </c>
      <c r="Y2441" t="n">
        <v>53</v>
      </c>
      <c r="Z2441" t="n">
        <v>47</v>
      </c>
      <c r="AA2441" t="n">
        <v>269</v>
      </c>
      <c r="AB2441" t="n">
        <v>1</v>
      </c>
      <c r="AC2441" t="n">
        <v>3</v>
      </c>
      <c r="AD2441" t="n">
        <v>1</v>
      </c>
      <c r="AE2441" t="n">
        <v>7</v>
      </c>
      <c r="AF2441" t="n">
        <v>1</v>
      </c>
      <c r="AG2441" t="n">
        <v>4</v>
      </c>
      <c r="AH2441" t="n">
        <v>0</v>
      </c>
      <c r="AI2441" t="n">
        <v>1</v>
      </c>
      <c r="AJ2441" t="n">
        <v>1</v>
      </c>
      <c r="AK2441" t="n">
        <v>4</v>
      </c>
      <c r="AL2441" t="n">
        <v>0</v>
      </c>
      <c r="AM2441" t="n">
        <v>1</v>
      </c>
      <c r="AN2441" t="n">
        <v>0</v>
      </c>
      <c r="AO2441" t="n">
        <v>0</v>
      </c>
      <c r="AP2441" t="inlineStr">
        <is>
          <t>No</t>
        </is>
      </c>
      <c r="AQ2441" t="inlineStr">
        <is>
          <t>No</t>
        </is>
      </c>
      <c r="AS2441">
        <f>HYPERLINK("https://creighton-primo.hosted.exlibrisgroup.com/primo-explore/search?tab=default_tab&amp;search_scope=EVERYTHING&amp;vid=01CRU&amp;lang=en_US&amp;offset=0&amp;query=any,contains,991005234559702656","Catalog Record")</f>
        <v/>
      </c>
      <c r="AT2441">
        <f>HYPERLINK("http://www.worldcat.org/oclc/46462921","WorldCat Record")</f>
        <v/>
      </c>
      <c r="AU2441" t="inlineStr">
        <is>
          <t>35357684:eng</t>
        </is>
      </c>
      <c r="AV2441" t="inlineStr">
        <is>
          <t>46462921</t>
        </is>
      </c>
      <c r="AW2441" t="inlineStr">
        <is>
          <t>991005234559702656</t>
        </is>
      </c>
      <c r="AX2441" t="inlineStr">
        <is>
          <t>991005234559702656</t>
        </is>
      </c>
      <c r="AY2441" t="inlineStr">
        <is>
          <t>2268628100002656</t>
        </is>
      </c>
      <c r="AZ2441" t="inlineStr">
        <is>
          <t>BOOK</t>
        </is>
      </c>
      <c r="BB2441" t="inlineStr">
        <is>
          <t>9780312241674</t>
        </is>
      </c>
      <c r="BC2441" t="inlineStr">
        <is>
          <t>32285005445068</t>
        </is>
      </c>
      <c r="BD2441" t="inlineStr">
        <is>
          <t>893688810</t>
        </is>
      </c>
    </row>
    <row r="2442">
      <c r="A2442" t="inlineStr">
        <is>
          <t>No</t>
        </is>
      </c>
      <c r="B2442" t="inlineStr">
        <is>
          <t>DS830 .D4 1993</t>
        </is>
      </c>
      <c r="C2442" t="inlineStr">
        <is>
          <t>0                      DS 0830000D  4           1993</t>
        </is>
      </c>
      <c r="D2442" t="inlineStr">
        <is>
          <t>Behind the Japanese bow / Boye Lafayette De Mente.</t>
        </is>
      </c>
      <c r="F2442" t="inlineStr">
        <is>
          <t>No</t>
        </is>
      </c>
      <c r="G2442" t="inlineStr">
        <is>
          <t>1</t>
        </is>
      </c>
      <c r="H2442" t="inlineStr">
        <is>
          <t>No</t>
        </is>
      </c>
      <c r="I2442" t="inlineStr">
        <is>
          <t>No</t>
        </is>
      </c>
      <c r="J2442" t="inlineStr">
        <is>
          <t>0</t>
        </is>
      </c>
      <c r="K2442" t="inlineStr">
        <is>
          <t>De Mente, Boye.</t>
        </is>
      </c>
      <c r="L2442" t="inlineStr">
        <is>
          <t>Lincolnwood, Ill., USA : Passport Books, c1993.</t>
        </is>
      </c>
      <c r="M2442" t="inlineStr">
        <is>
          <t>1993</t>
        </is>
      </c>
      <c r="O2442" t="inlineStr">
        <is>
          <t>eng</t>
        </is>
      </c>
      <c r="P2442" t="inlineStr">
        <is>
          <t>ilu</t>
        </is>
      </c>
      <c r="R2442" t="inlineStr">
        <is>
          <t xml:space="preserve">DS </t>
        </is>
      </c>
      <c r="S2442" t="n">
        <v>5</v>
      </c>
      <c r="T2442" t="n">
        <v>5</v>
      </c>
      <c r="U2442" t="inlineStr">
        <is>
          <t>1997-09-20</t>
        </is>
      </c>
      <c r="V2442" t="inlineStr">
        <is>
          <t>1997-09-20</t>
        </is>
      </c>
      <c r="W2442" t="inlineStr">
        <is>
          <t>1994-08-02</t>
        </is>
      </c>
      <c r="X2442" t="inlineStr">
        <is>
          <t>1994-08-02</t>
        </is>
      </c>
      <c r="Y2442" t="n">
        <v>277</v>
      </c>
      <c r="Z2442" t="n">
        <v>236</v>
      </c>
      <c r="AA2442" t="n">
        <v>243</v>
      </c>
      <c r="AB2442" t="n">
        <v>2</v>
      </c>
      <c r="AC2442" t="n">
        <v>2</v>
      </c>
      <c r="AD2442" t="n">
        <v>4</v>
      </c>
      <c r="AE2442" t="n">
        <v>4</v>
      </c>
      <c r="AF2442" t="n">
        <v>1</v>
      </c>
      <c r="AG2442" t="n">
        <v>1</v>
      </c>
      <c r="AH2442" t="n">
        <v>1</v>
      </c>
      <c r="AI2442" t="n">
        <v>1</v>
      </c>
      <c r="AJ2442" t="n">
        <v>2</v>
      </c>
      <c r="AK2442" t="n">
        <v>2</v>
      </c>
      <c r="AL2442" t="n">
        <v>1</v>
      </c>
      <c r="AM2442" t="n">
        <v>1</v>
      </c>
      <c r="AN2442" t="n">
        <v>0</v>
      </c>
      <c r="AO2442" t="n">
        <v>0</v>
      </c>
      <c r="AP2442" t="inlineStr">
        <is>
          <t>No</t>
        </is>
      </c>
      <c r="AQ2442" t="inlineStr">
        <is>
          <t>Yes</t>
        </is>
      </c>
      <c r="AR2442">
        <f>HYPERLINK("http://catalog.hathitrust.org/Record/010852430","HathiTrust Record")</f>
        <v/>
      </c>
      <c r="AS2442">
        <f>HYPERLINK("https://creighton-primo.hosted.exlibrisgroup.com/primo-explore/search?tab=default_tab&amp;search_scope=EVERYTHING&amp;vid=01CRU&amp;lang=en_US&amp;offset=0&amp;query=any,contains,991002122119702656","Catalog Record")</f>
        <v/>
      </c>
      <c r="AT2442">
        <f>HYPERLINK("http://www.worldcat.org/oclc/27186575","WorldCat Record")</f>
        <v/>
      </c>
      <c r="AU2442" t="inlineStr">
        <is>
          <t>358664:eng</t>
        </is>
      </c>
      <c r="AV2442" t="inlineStr">
        <is>
          <t>27186575</t>
        </is>
      </c>
      <c r="AW2442" t="inlineStr">
        <is>
          <t>991002122119702656</t>
        </is>
      </c>
      <c r="AX2442" t="inlineStr">
        <is>
          <t>991002122119702656</t>
        </is>
      </c>
      <c r="AY2442" t="inlineStr">
        <is>
          <t>2270382480002656</t>
        </is>
      </c>
      <c r="AZ2442" t="inlineStr">
        <is>
          <t>BOOK</t>
        </is>
      </c>
      <c r="BB2442" t="inlineStr">
        <is>
          <t>9780844284910</t>
        </is>
      </c>
      <c r="BC2442" t="inlineStr">
        <is>
          <t>32285001934941</t>
        </is>
      </c>
      <c r="BD2442" t="inlineStr">
        <is>
          <t>893316407</t>
        </is>
      </c>
    </row>
    <row r="2443">
      <c r="A2443" t="inlineStr">
        <is>
          <t>No</t>
        </is>
      </c>
      <c r="B2443" t="inlineStr">
        <is>
          <t>DS830 .H43 2001</t>
        </is>
      </c>
      <c r="C2443" t="inlineStr">
        <is>
          <t>0                      DS 0830000H  43          2001</t>
        </is>
      </c>
      <c r="D2443" t="inlineStr">
        <is>
          <t>Hegemony of homogeneity : an anthropological analysis of "Nihonjinron" / Harumi Befu.</t>
        </is>
      </c>
      <c r="F2443" t="inlineStr">
        <is>
          <t>No</t>
        </is>
      </c>
      <c r="G2443" t="inlineStr">
        <is>
          <t>1</t>
        </is>
      </c>
      <c r="H2443" t="inlineStr">
        <is>
          <t>No</t>
        </is>
      </c>
      <c r="I2443" t="inlineStr">
        <is>
          <t>No</t>
        </is>
      </c>
      <c r="J2443" t="inlineStr">
        <is>
          <t>0</t>
        </is>
      </c>
      <c r="K2443" t="inlineStr">
        <is>
          <t>Befu, Harumi.</t>
        </is>
      </c>
      <c r="L2443" t="inlineStr">
        <is>
          <t>Melbourne : Trans Pacific Press ; Portland, Or. : Distributed in North America by International Specialized Book Services, 2001.</t>
        </is>
      </c>
      <c r="M2443" t="inlineStr">
        <is>
          <t>2001</t>
        </is>
      </c>
      <c r="O2443" t="inlineStr">
        <is>
          <t>eng</t>
        </is>
      </c>
      <c r="P2443" t="inlineStr">
        <is>
          <t xml:space="preserve">at </t>
        </is>
      </c>
      <c r="Q2443" t="inlineStr">
        <is>
          <t>Japanese society series</t>
        </is>
      </c>
      <c r="R2443" t="inlineStr">
        <is>
          <t xml:space="preserve">DS </t>
        </is>
      </c>
      <c r="S2443" t="n">
        <v>2</v>
      </c>
      <c r="T2443" t="n">
        <v>2</v>
      </c>
      <c r="U2443" t="inlineStr">
        <is>
          <t>2010-02-27</t>
        </is>
      </c>
      <c r="V2443" t="inlineStr">
        <is>
          <t>2010-02-27</t>
        </is>
      </c>
      <c r="W2443" t="inlineStr">
        <is>
          <t>2002-10-16</t>
        </is>
      </c>
      <c r="X2443" t="inlineStr">
        <is>
          <t>2002-10-16</t>
        </is>
      </c>
      <c r="Y2443" t="n">
        <v>220</v>
      </c>
      <c r="Z2443" t="n">
        <v>140</v>
      </c>
      <c r="AA2443" t="n">
        <v>142</v>
      </c>
      <c r="AB2443" t="n">
        <v>2</v>
      </c>
      <c r="AC2443" t="n">
        <v>2</v>
      </c>
      <c r="AD2443" t="n">
        <v>6</v>
      </c>
      <c r="AE2443" t="n">
        <v>6</v>
      </c>
      <c r="AF2443" t="n">
        <v>1</v>
      </c>
      <c r="AG2443" t="n">
        <v>1</v>
      </c>
      <c r="AH2443" t="n">
        <v>2</v>
      </c>
      <c r="AI2443" t="n">
        <v>2</v>
      </c>
      <c r="AJ2443" t="n">
        <v>4</v>
      </c>
      <c r="AK2443" t="n">
        <v>4</v>
      </c>
      <c r="AL2443" t="n">
        <v>1</v>
      </c>
      <c r="AM2443" t="n">
        <v>1</v>
      </c>
      <c r="AN2443" t="n">
        <v>0</v>
      </c>
      <c r="AO2443" t="n">
        <v>0</v>
      </c>
      <c r="AP2443" t="inlineStr">
        <is>
          <t>No</t>
        </is>
      </c>
      <c r="AQ2443" t="inlineStr">
        <is>
          <t>Yes</t>
        </is>
      </c>
      <c r="AR2443">
        <f>HYPERLINK("http://catalog.hathitrust.org/Record/004361841","HathiTrust Record")</f>
        <v/>
      </c>
      <c r="AS2443">
        <f>HYPERLINK("https://creighton-primo.hosted.exlibrisgroup.com/primo-explore/search?tab=default_tab&amp;search_scope=EVERYTHING&amp;vid=01CRU&amp;lang=en_US&amp;offset=0&amp;query=any,contains,991003868259702656","Catalog Record")</f>
        <v/>
      </c>
      <c r="AT2443">
        <f>HYPERLINK("http://www.worldcat.org/oclc/47351240","WorldCat Record")</f>
        <v/>
      </c>
      <c r="AU2443" t="inlineStr">
        <is>
          <t>366047409:eng</t>
        </is>
      </c>
      <c r="AV2443" t="inlineStr">
        <is>
          <t>47351240</t>
        </is>
      </c>
      <c r="AW2443" t="inlineStr">
        <is>
          <t>991003868259702656</t>
        </is>
      </c>
      <c r="AX2443" t="inlineStr">
        <is>
          <t>991003868259702656</t>
        </is>
      </c>
      <c r="AY2443" t="inlineStr">
        <is>
          <t>2258161250002656</t>
        </is>
      </c>
      <c r="AZ2443" t="inlineStr">
        <is>
          <t>BOOK</t>
        </is>
      </c>
      <c r="BB2443" t="inlineStr">
        <is>
          <t>9781876843052</t>
        </is>
      </c>
      <c r="BC2443" t="inlineStr">
        <is>
          <t>32285004655428</t>
        </is>
      </c>
      <c r="BD2443" t="inlineStr">
        <is>
          <t>893722134</t>
        </is>
      </c>
    </row>
    <row r="2444">
      <c r="A2444" t="inlineStr">
        <is>
          <t>No</t>
        </is>
      </c>
      <c r="B2444" t="inlineStr">
        <is>
          <t>DS830 .H45 1995</t>
        </is>
      </c>
      <c r="C2444" t="inlineStr">
        <is>
          <t>0                      DS 0830000H  45          1995</t>
        </is>
      </c>
      <c r="D2444" t="inlineStr">
        <is>
          <t>Wrapping culture : politeness, presentation, and power in Japan and other societies / Joy Hendry.</t>
        </is>
      </c>
      <c r="F2444" t="inlineStr">
        <is>
          <t>No</t>
        </is>
      </c>
      <c r="G2444" t="inlineStr">
        <is>
          <t>1</t>
        </is>
      </c>
      <c r="H2444" t="inlineStr">
        <is>
          <t>No</t>
        </is>
      </c>
      <c r="I2444" t="inlineStr">
        <is>
          <t>No</t>
        </is>
      </c>
      <c r="J2444" t="inlineStr">
        <is>
          <t>0</t>
        </is>
      </c>
      <c r="K2444" t="inlineStr">
        <is>
          <t>Hendry, Joy.</t>
        </is>
      </c>
      <c r="L2444" t="inlineStr">
        <is>
          <t>Oxford : Clarendon Press, 1995, c1993.</t>
        </is>
      </c>
      <c r="M2444" t="inlineStr">
        <is>
          <t>1995</t>
        </is>
      </c>
      <c r="O2444" t="inlineStr">
        <is>
          <t>eng</t>
        </is>
      </c>
      <c r="P2444" t="inlineStr">
        <is>
          <t>enk</t>
        </is>
      </c>
      <c r="Q2444" t="inlineStr">
        <is>
          <t>Oxford studies in the anthropology of cultural forms</t>
        </is>
      </c>
      <c r="R2444" t="inlineStr">
        <is>
          <t xml:space="preserve">DS </t>
        </is>
      </c>
      <c r="S2444" t="n">
        <v>3</v>
      </c>
      <c r="T2444" t="n">
        <v>3</v>
      </c>
      <c r="U2444" t="inlineStr">
        <is>
          <t>2002-11-19</t>
        </is>
      </c>
      <c r="V2444" t="inlineStr">
        <is>
          <t>2002-11-19</t>
        </is>
      </c>
      <c r="W2444" t="inlineStr">
        <is>
          <t>2002-11-19</t>
        </is>
      </c>
      <c r="X2444" t="inlineStr">
        <is>
          <t>2002-11-19</t>
        </is>
      </c>
      <c r="Y2444" t="n">
        <v>74</v>
      </c>
      <c r="Z2444" t="n">
        <v>38</v>
      </c>
      <c r="AA2444" t="n">
        <v>345</v>
      </c>
      <c r="AB2444" t="n">
        <v>2</v>
      </c>
      <c r="AC2444" t="n">
        <v>4</v>
      </c>
      <c r="AD2444" t="n">
        <v>4</v>
      </c>
      <c r="AE2444" t="n">
        <v>22</v>
      </c>
      <c r="AF2444" t="n">
        <v>3</v>
      </c>
      <c r="AG2444" t="n">
        <v>9</v>
      </c>
      <c r="AH2444" t="n">
        <v>0</v>
      </c>
      <c r="AI2444" t="n">
        <v>5</v>
      </c>
      <c r="AJ2444" t="n">
        <v>1</v>
      </c>
      <c r="AK2444" t="n">
        <v>14</v>
      </c>
      <c r="AL2444" t="n">
        <v>1</v>
      </c>
      <c r="AM2444" t="n">
        <v>3</v>
      </c>
      <c r="AN2444" t="n">
        <v>0</v>
      </c>
      <c r="AO2444" t="n">
        <v>0</v>
      </c>
      <c r="AP2444" t="inlineStr">
        <is>
          <t>No</t>
        </is>
      </c>
      <c r="AQ2444" t="inlineStr">
        <is>
          <t>No</t>
        </is>
      </c>
      <c r="AS2444">
        <f>HYPERLINK("https://creighton-primo.hosted.exlibrisgroup.com/primo-explore/search?tab=default_tab&amp;search_scope=EVERYTHING&amp;vid=01CRU&amp;lang=en_US&amp;offset=0&amp;query=any,contains,991003946549702656","Catalog Record")</f>
        <v/>
      </c>
      <c r="AT2444">
        <f>HYPERLINK("http://www.worldcat.org/oclc/34656865","WorldCat Record")</f>
        <v/>
      </c>
      <c r="AU2444" t="inlineStr">
        <is>
          <t>14350601:eng</t>
        </is>
      </c>
      <c r="AV2444" t="inlineStr">
        <is>
          <t>34656865</t>
        </is>
      </c>
      <c r="AW2444" t="inlineStr">
        <is>
          <t>991003946549702656</t>
        </is>
      </c>
      <c r="AX2444" t="inlineStr">
        <is>
          <t>991003946549702656</t>
        </is>
      </c>
      <c r="AY2444" t="inlineStr">
        <is>
          <t>2256336020002656</t>
        </is>
      </c>
      <c r="AZ2444" t="inlineStr">
        <is>
          <t>BOOK</t>
        </is>
      </c>
      <c r="BB2444" t="inlineStr">
        <is>
          <t>9780198280286</t>
        </is>
      </c>
      <c r="BC2444" t="inlineStr">
        <is>
          <t>32285004664891</t>
        </is>
      </c>
      <c r="BD2444" t="inlineStr">
        <is>
          <t>893869105</t>
        </is>
      </c>
    </row>
    <row r="2445">
      <c r="A2445" t="inlineStr">
        <is>
          <t>No</t>
        </is>
      </c>
      <c r="B2445" t="inlineStr">
        <is>
          <t>DS830 .K345 1991</t>
        </is>
      </c>
      <c r="C2445" t="inlineStr">
        <is>
          <t>0                      DS 0830000K  345         1991</t>
        </is>
      </c>
      <c r="D2445" t="inlineStr">
        <is>
          <t>Japanese cultural encounters &amp; how to handle them / Hiroko C. Kataoka with Tetsuya Kusumoto.</t>
        </is>
      </c>
      <c r="F2445" t="inlineStr">
        <is>
          <t>No</t>
        </is>
      </c>
      <c r="G2445" t="inlineStr">
        <is>
          <t>1</t>
        </is>
      </c>
      <c r="H2445" t="inlineStr">
        <is>
          <t>No</t>
        </is>
      </c>
      <c r="I2445" t="inlineStr">
        <is>
          <t>No</t>
        </is>
      </c>
      <c r="J2445" t="inlineStr">
        <is>
          <t>0</t>
        </is>
      </c>
      <c r="K2445" t="inlineStr">
        <is>
          <t>Kataoka, Hiroko C., 1951-</t>
        </is>
      </c>
      <c r="L2445" t="inlineStr">
        <is>
          <t>Lincolnwood, Ill., USA : Passport Books, c1991.</t>
        </is>
      </c>
      <c r="M2445" t="inlineStr">
        <is>
          <t>1991</t>
        </is>
      </c>
      <c r="O2445" t="inlineStr">
        <is>
          <t>eng</t>
        </is>
      </c>
      <c r="P2445" t="inlineStr">
        <is>
          <t>ilu</t>
        </is>
      </c>
      <c r="R2445" t="inlineStr">
        <is>
          <t xml:space="preserve">DS </t>
        </is>
      </c>
      <c r="S2445" t="n">
        <v>3</v>
      </c>
      <c r="T2445" t="n">
        <v>3</v>
      </c>
      <c r="U2445" t="inlineStr">
        <is>
          <t>2006-11-07</t>
        </is>
      </c>
      <c r="V2445" t="inlineStr">
        <is>
          <t>2006-11-07</t>
        </is>
      </c>
      <c r="W2445" t="inlineStr">
        <is>
          <t>1999-04-26</t>
        </is>
      </c>
      <c r="X2445" t="inlineStr">
        <is>
          <t>1999-04-26</t>
        </is>
      </c>
      <c r="Y2445" t="n">
        <v>330</v>
      </c>
      <c r="Z2445" t="n">
        <v>268</v>
      </c>
      <c r="AA2445" t="n">
        <v>276</v>
      </c>
      <c r="AB2445" t="n">
        <v>5</v>
      </c>
      <c r="AC2445" t="n">
        <v>5</v>
      </c>
      <c r="AD2445" t="n">
        <v>8</v>
      </c>
      <c r="AE2445" t="n">
        <v>8</v>
      </c>
      <c r="AF2445" t="n">
        <v>4</v>
      </c>
      <c r="AG2445" t="n">
        <v>4</v>
      </c>
      <c r="AH2445" t="n">
        <v>1</v>
      </c>
      <c r="AI2445" t="n">
        <v>1</v>
      </c>
      <c r="AJ2445" t="n">
        <v>1</v>
      </c>
      <c r="AK2445" t="n">
        <v>1</v>
      </c>
      <c r="AL2445" t="n">
        <v>3</v>
      </c>
      <c r="AM2445" t="n">
        <v>3</v>
      </c>
      <c r="AN2445" t="n">
        <v>0</v>
      </c>
      <c r="AO2445" t="n">
        <v>0</v>
      </c>
      <c r="AP2445" t="inlineStr">
        <is>
          <t>No</t>
        </is>
      </c>
      <c r="AQ2445" t="inlineStr">
        <is>
          <t>No</t>
        </is>
      </c>
      <c r="AS2445">
        <f>HYPERLINK("https://creighton-primo.hosted.exlibrisgroup.com/primo-explore/search?tab=default_tab&amp;search_scope=EVERYTHING&amp;vid=01CRU&amp;lang=en_US&amp;offset=0&amp;query=any,contains,991001721939702656","Catalog Record")</f>
        <v/>
      </c>
      <c r="AT2445">
        <f>HYPERLINK("http://www.worldcat.org/oclc/21773922","WorldCat Record")</f>
        <v/>
      </c>
      <c r="AU2445" t="inlineStr">
        <is>
          <t>23249278:eng</t>
        </is>
      </c>
      <c r="AV2445" t="inlineStr">
        <is>
          <t>21773922</t>
        </is>
      </c>
      <c r="AW2445" t="inlineStr">
        <is>
          <t>991001721939702656</t>
        </is>
      </c>
      <c r="AX2445" t="inlineStr">
        <is>
          <t>991001721939702656</t>
        </is>
      </c>
      <c r="AY2445" t="inlineStr">
        <is>
          <t>2259380390002656</t>
        </is>
      </c>
      <c r="AZ2445" t="inlineStr">
        <is>
          <t>BOOK</t>
        </is>
      </c>
      <c r="BB2445" t="inlineStr">
        <is>
          <t>9780844285313</t>
        </is>
      </c>
      <c r="BC2445" t="inlineStr">
        <is>
          <t>32285003555405</t>
        </is>
      </c>
      <c r="BD2445" t="inlineStr">
        <is>
          <t>893232198</t>
        </is>
      </c>
    </row>
    <row r="2446">
      <c r="A2446" t="inlineStr">
        <is>
          <t>No</t>
        </is>
      </c>
      <c r="B2446" t="inlineStr">
        <is>
          <t>DS830 .O9</t>
        </is>
      </c>
      <c r="C2446" t="inlineStr">
        <is>
          <t>0                      DS 0830000O  9</t>
        </is>
      </c>
      <c r="D2446" t="inlineStr">
        <is>
          <t>The Japanese, a cultural portrait / by Robert S. Ozaki.</t>
        </is>
      </c>
      <c r="F2446" t="inlineStr">
        <is>
          <t>No</t>
        </is>
      </c>
      <c r="G2446" t="inlineStr">
        <is>
          <t>1</t>
        </is>
      </c>
      <c r="H2446" t="inlineStr">
        <is>
          <t>No</t>
        </is>
      </c>
      <c r="I2446" t="inlineStr">
        <is>
          <t>No</t>
        </is>
      </c>
      <c r="J2446" t="inlineStr">
        <is>
          <t>0</t>
        </is>
      </c>
      <c r="K2446" t="inlineStr">
        <is>
          <t>Ozaki, Robert S.</t>
        </is>
      </c>
      <c r="L2446" t="inlineStr">
        <is>
          <t>Rutland, Vt. : Tuttle, 1978.</t>
        </is>
      </c>
      <c r="M2446" t="inlineStr">
        <is>
          <t>1978</t>
        </is>
      </c>
      <c r="O2446" t="inlineStr">
        <is>
          <t>eng</t>
        </is>
      </c>
      <c r="P2446" t="inlineStr">
        <is>
          <t>vtu</t>
        </is>
      </c>
      <c r="R2446" t="inlineStr">
        <is>
          <t xml:space="preserve">DS </t>
        </is>
      </c>
      <c r="S2446" t="n">
        <v>7</v>
      </c>
      <c r="T2446" t="n">
        <v>7</v>
      </c>
      <c r="U2446" t="inlineStr">
        <is>
          <t>2009-03-24</t>
        </is>
      </c>
      <c r="V2446" t="inlineStr">
        <is>
          <t>2009-03-24</t>
        </is>
      </c>
      <c r="W2446" t="inlineStr">
        <is>
          <t>1990-10-29</t>
        </is>
      </c>
      <c r="X2446" t="inlineStr">
        <is>
          <t>1990-10-29</t>
        </is>
      </c>
      <c r="Y2446" t="n">
        <v>408</v>
      </c>
      <c r="Z2446" t="n">
        <v>331</v>
      </c>
      <c r="AA2446" t="n">
        <v>344</v>
      </c>
      <c r="AB2446" t="n">
        <v>3</v>
      </c>
      <c r="AC2446" t="n">
        <v>3</v>
      </c>
      <c r="AD2446" t="n">
        <v>15</v>
      </c>
      <c r="AE2446" t="n">
        <v>15</v>
      </c>
      <c r="AF2446" t="n">
        <v>5</v>
      </c>
      <c r="AG2446" t="n">
        <v>5</v>
      </c>
      <c r="AH2446" t="n">
        <v>3</v>
      </c>
      <c r="AI2446" t="n">
        <v>3</v>
      </c>
      <c r="AJ2446" t="n">
        <v>9</v>
      </c>
      <c r="AK2446" t="n">
        <v>9</v>
      </c>
      <c r="AL2446" t="n">
        <v>3</v>
      </c>
      <c r="AM2446" t="n">
        <v>3</v>
      </c>
      <c r="AN2446" t="n">
        <v>0</v>
      </c>
      <c r="AO2446" t="n">
        <v>0</v>
      </c>
      <c r="AP2446" t="inlineStr">
        <is>
          <t>No</t>
        </is>
      </c>
      <c r="AQ2446" t="inlineStr">
        <is>
          <t>Yes</t>
        </is>
      </c>
      <c r="AR2446">
        <f>HYPERLINK("http://catalog.hathitrust.org/Record/000257595","HathiTrust Record")</f>
        <v/>
      </c>
      <c r="AS2446">
        <f>HYPERLINK("https://creighton-primo.hosted.exlibrisgroup.com/primo-explore/search?tab=default_tab&amp;search_scope=EVERYTHING&amp;vid=01CRU&amp;lang=en_US&amp;offset=0&amp;query=any,contains,991004671799702656","Catalog Record")</f>
        <v/>
      </c>
      <c r="AT2446">
        <f>HYPERLINK("http://www.worldcat.org/oclc/4515987","WorldCat Record")</f>
        <v/>
      </c>
      <c r="AU2446" t="inlineStr">
        <is>
          <t>199487965:eng</t>
        </is>
      </c>
      <c r="AV2446" t="inlineStr">
        <is>
          <t>4515987</t>
        </is>
      </c>
      <c r="AW2446" t="inlineStr">
        <is>
          <t>991004671799702656</t>
        </is>
      </c>
      <c r="AX2446" t="inlineStr">
        <is>
          <t>991004671799702656</t>
        </is>
      </c>
      <c r="AY2446" t="inlineStr">
        <is>
          <t>2262921230002656</t>
        </is>
      </c>
      <c r="AZ2446" t="inlineStr">
        <is>
          <t>BOOK</t>
        </is>
      </c>
      <c r="BB2446" t="inlineStr">
        <is>
          <t>9780804811835</t>
        </is>
      </c>
      <c r="BC2446" t="inlineStr">
        <is>
          <t>32285000339977</t>
        </is>
      </c>
      <c r="BD2446" t="inlineStr">
        <is>
          <t>893337987</t>
        </is>
      </c>
    </row>
    <row r="2447">
      <c r="A2447" t="inlineStr">
        <is>
          <t>No</t>
        </is>
      </c>
      <c r="B2447" t="inlineStr">
        <is>
          <t>DS834.1 .B88 2002</t>
        </is>
      </c>
      <c r="C2447" t="inlineStr">
        <is>
          <t>0                      DS 0834100B  88          2002</t>
        </is>
      </c>
      <c r="D2447" t="inlineStr">
        <is>
          <t>Emperor and aristocracy in Japan, 1467-1680 : resilience and renewal / Lee Butler.</t>
        </is>
      </c>
      <c r="F2447" t="inlineStr">
        <is>
          <t>No</t>
        </is>
      </c>
      <c r="G2447" t="inlineStr">
        <is>
          <t>1</t>
        </is>
      </c>
      <c r="H2447" t="inlineStr">
        <is>
          <t>No</t>
        </is>
      </c>
      <c r="I2447" t="inlineStr">
        <is>
          <t>No</t>
        </is>
      </c>
      <c r="J2447" t="inlineStr">
        <is>
          <t>0</t>
        </is>
      </c>
      <c r="K2447" t="inlineStr">
        <is>
          <t>Butler, Lee, 1958-</t>
        </is>
      </c>
      <c r="L2447" t="inlineStr">
        <is>
          <t>Cambridge, Mass. : Harvard University Asia Center : Distributed by Harvard Univesity Press, 2002.</t>
        </is>
      </c>
      <c r="M2447" t="inlineStr">
        <is>
          <t>2002</t>
        </is>
      </c>
      <c r="O2447" t="inlineStr">
        <is>
          <t>eng</t>
        </is>
      </c>
      <c r="P2447" t="inlineStr">
        <is>
          <t>mau</t>
        </is>
      </c>
      <c r="Q2447" t="inlineStr">
        <is>
          <t>Harvard East Asian monographs ; 209</t>
        </is>
      </c>
      <c r="R2447" t="inlineStr">
        <is>
          <t xml:space="preserve">DS </t>
        </is>
      </c>
      <c r="S2447" t="n">
        <v>2</v>
      </c>
      <c r="T2447" t="n">
        <v>2</v>
      </c>
      <c r="U2447" t="inlineStr">
        <is>
          <t>2003-05-09</t>
        </is>
      </c>
      <c r="V2447" t="inlineStr">
        <is>
          <t>2003-05-09</t>
        </is>
      </c>
      <c r="W2447" t="inlineStr">
        <is>
          <t>2003-04-09</t>
        </is>
      </c>
      <c r="X2447" t="inlineStr">
        <is>
          <t>2003-04-09</t>
        </is>
      </c>
      <c r="Y2447" t="n">
        <v>410</v>
      </c>
      <c r="Z2447" t="n">
        <v>340</v>
      </c>
      <c r="AA2447" t="n">
        <v>389</v>
      </c>
      <c r="AB2447" t="n">
        <v>4</v>
      </c>
      <c r="AC2447" t="n">
        <v>4</v>
      </c>
      <c r="AD2447" t="n">
        <v>19</v>
      </c>
      <c r="AE2447" t="n">
        <v>23</v>
      </c>
      <c r="AF2447" t="n">
        <v>8</v>
      </c>
      <c r="AG2447" t="n">
        <v>11</v>
      </c>
      <c r="AH2447" t="n">
        <v>6</v>
      </c>
      <c r="AI2447" t="n">
        <v>6</v>
      </c>
      <c r="AJ2447" t="n">
        <v>8</v>
      </c>
      <c r="AK2447" t="n">
        <v>9</v>
      </c>
      <c r="AL2447" t="n">
        <v>3</v>
      </c>
      <c r="AM2447" t="n">
        <v>3</v>
      </c>
      <c r="AN2447" t="n">
        <v>0</v>
      </c>
      <c r="AO2447" t="n">
        <v>0</v>
      </c>
      <c r="AP2447" t="inlineStr">
        <is>
          <t>No</t>
        </is>
      </c>
      <c r="AQ2447" t="inlineStr">
        <is>
          <t>Yes</t>
        </is>
      </c>
      <c r="AR2447">
        <f>HYPERLINK("http://catalog.hathitrust.org/Record/003784147","HathiTrust Record")</f>
        <v/>
      </c>
      <c r="AS2447">
        <f>HYPERLINK("https://creighton-primo.hosted.exlibrisgroup.com/primo-explore/search?tab=default_tab&amp;search_scope=EVERYTHING&amp;vid=01CRU&amp;lang=en_US&amp;offset=0&amp;query=any,contains,991004019309702656","Catalog Record")</f>
        <v/>
      </c>
      <c r="AT2447">
        <f>HYPERLINK("http://www.worldcat.org/oclc/49260732","WorldCat Record")</f>
        <v/>
      </c>
      <c r="AU2447" t="inlineStr">
        <is>
          <t>38313613:eng</t>
        </is>
      </c>
      <c r="AV2447" t="inlineStr">
        <is>
          <t>49260732</t>
        </is>
      </c>
      <c r="AW2447" t="inlineStr">
        <is>
          <t>991004019309702656</t>
        </is>
      </c>
      <c r="AX2447" t="inlineStr">
        <is>
          <t>991004019309702656</t>
        </is>
      </c>
      <c r="AY2447" t="inlineStr">
        <is>
          <t>2254796450002656</t>
        </is>
      </c>
      <c r="AZ2447" t="inlineStr">
        <is>
          <t>BOOK</t>
        </is>
      </c>
      <c r="BB2447" t="inlineStr">
        <is>
          <t>9780674008519</t>
        </is>
      </c>
      <c r="BC2447" t="inlineStr">
        <is>
          <t>32285004741350</t>
        </is>
      </c>
      <c r="BD2447" t="inlineStr">
        <is>
          <t>893259218</t>
        </is>
      </c>
    </row>
    <row r="2448">
      <c r="A2448" t="inlineStr">
        <is>
          <t>No</t>
        </is>
      </c>
      <c r="B2448" t="inlineStr">
        <is>
          <t>DS834.1 .L37 1997</t>
        </is>
      </c>
      <c r="C2448" t="inlineStr">
        <is>
          <t>0                      DS 0834100L  37          1997</t>
        </is>
      </c>
      <c r="D2448" t="inlineStr">
        <is>
          <t>Emperors of the rising sun : three biographies / Stephen S. Large.</t>
        </is>
      </c>
      <c r="F2448" t="inlineStr">
        <is>
          <t>No</t>
        </is>
      </c>
      <c r="G2448" t="inlineStr">
        <is>
          <t>1</t>
        </is>
      </c>
      <c r="H2448" t="inlineStr">
        <is>
          <t>No</t>
        </is>
      </c>
      <c r="I2448" t="inlineStr">
        <is>
          <t>No</t>
        </is>
      </c>
      <c r="J2448" t="inlineStr">
        <is>
          <t>0</t>
        </is>
      </c>
      <c r="K2448" t="inlineStr">
        <is>
          <t>Large, Stephen S.</t>
        </is>
      </c>
      <c r="L2448" t="inlineStr">
        <is>
          <t>Tokyo ; New York : Kodansha International, 1997.</t>
        </is>
      </c>
      <c r="M2448" t="inlineStr">
        <is>
          <t>1997</t>
        </is>
      </c>
      <c r="N2448" t="inlineStr">
        <is>
          <t>1st ed.</t>
        </is>
      </c>
      <c r="O2448" t="inlineStr">
        <is>
          <t>eng</t>
        </is>
      </c>
      <c r="P2448" t="inlineStr">
        <is>
          <t xml:space="preserve">ja </t>
        </is>
      </c>
      <c r="R2448" t="inlineStr">
        <is>
          <t xml:space="preserve">DS </t>
        </is>
      </c>
      <c r="S2448" t="n">
        <v>3</v>
      </c>
      <c r="T2448" t="n">
        <v>3</v>
      </c>
      <c r="U2448" t="inlineStr">
        <is>
          <t>1999-04-29</t>
        </is>
      </c>
      <c r="V2448" t="inlineStr">
        <is>
          <t>1999-04-29</t>
        </is>
      </c>
      <c r="W2448" t="inlineStr">
        <is>
          <t>1998-02-24</t>
        </is>
      </c>
      <c r="X2448" t="inlineStr">
        <is>
          <t>1998-02-24</t>
        </is>
      </c>
      <c r="Y2448" t="n">
        <v>186</v>
      </c>
      <c r="Z2448" t="n">
        <v>125</v>
      </c>
      <c r="AA2448" t="n">
        <v>127</v>
      </c>
      <c r="AB2448" t="n">
        <v>2</v>
      </c>
      <c r="AC2448" t="n">
        <v>2</v>
      </c>
      <c r="AD2448" t="n">
        <v>7</v>
      </c>
      <c r="AE2448" t="n">
        <v>7</v>
      </c>
      <c r="AF2448" t="n">
        <v>2</v>
      </c>
      <c r="AG2448" t="n">
        <v>2</v>
      </c>
      <c r="AH2448" t="n">
        <v>2</v>
      </c>
      <c r="AI2448" t="n">
        <v>2</v>
      </c>
      <c r="AJ2448" t="n">
        <v>4</v>
      </c>
      <c r="AK2448" t="n">
        <v>4</v>
      </c>
      <c r="AL2448" t="n">
        <v>1</v>
      </c>
      <c r="AM2448" t="n">
        <v>1</v>
      </c>
      <c r="AN2448" t="n">
        <v>0</v>
      </c>
      <c r="AO2448" t="n">
        <v>0</v>
      </c>
      <c r="AP2448" t="inlineStr">
        <is>
          <t>No</t>
        </is>
      </c>
      <c r="AQ2448" t="inlineStr">
        <is>
          <t>No</t>
        </is>
      </c>
      <c r="AS2448">
        <f>HYPERLINK("https://creighton-primo.hosted.exlibrisgroup.com/primo-explore/search?tab=default_tab&amp;search_scope=EVERYTHING&amp;vid=01CRU&amp;lang=en_US&amp;offset=0&amp;query=any,contains,991002893049702656","Catalog Record")</f>
        <v/>
      </c>
      <c r="AT2448">
        <f>HYPERLINK("http://www.worldcat.org/oclc/38119537","WorldCat Record")</f>
        <v/>
      </c>
      <c r="AU2448" t="inlineStr">
        <is>
          <t>196618736:eng</t>
        </is>
      </c>
      <c r="AV2448" t="inlineStr">
        <is>
          <t>38119537</t>
        </is>
      </c>
      <c r="AW2448" t="inlineStr">
        <is>
          <t>991002893049702656</t>
        </is>
      </c>
      <c r="AX2448" t="inlineStr">
        <is>
          <t>991002893049702656</t>
        </is>
      </c>
      <c r="AY2448" t="inlineStr">
        <is>
          <t>2268887180002656</t>
        </is>
      </c>
      <c r="AZ2448" t="inlineStr">
        <is>
          <t>BOOK</t>
        </is>
      </c>
      <c r="BB2448" t="inlineStr">
        <is>
          <t>9784770018397</t>
        </is>
      </c>
      <c r="BC2448" t="inlineStr">
        <is>
          <t>32285003355020</t>
        </is>
      </c>
      <c r="BD2448" t="inlineStr">
        <is>
          <t>893498681</t>
        </is>
      </c>
    </row>
    <row r="2449">
      <c r="A2449" t="inlineStr">
        <is>
          <t>No</t>
        </is>
      </c>
      <c r="B2449" t="inlineStr">
        <is>
          <t>DS834.7 .K556 1994</t>
        </is>
      </c>
      <c r="C2449" t="inlineStr">
        <is>
          <t>0                      DS 0834700K  556         1994</t>
        </is>
      </c>
      <c r="D2449" t="inlineStr">
        <is>
          <t>Zen and the way of the sword : arming the samurai psyche / Winston L. King.</t>
        </is>
      </c>
      <c r="F2449" t="inlineStr">
        <is>
          <t>No</t>
        </is>
      </c>
      <c r="G2449" t="inlineStr">
        <is>
          <t>1</t>
        </is>
      </c>
      <c r="H2449" t="inlineStr">
        <is>
          <t>No</t>
        </is>
      </c>
      <c r="I2449" t="inlineStr">
        <is>
          <t>No</t>
        </is>
      </c>
      <c r="J2449" t="inlineStr">
        <is>
          <t>0</t>
        </is>
      </c>
      <c r="K2449" t="inlineStr">
        <is>
          <t>King, Winston L. (Winston Lee), 1907-2000.</t>
        </is>
      </c>
      <c r="L2449" t="inlineStr">
        <is>
          <t>New York : Oxford University Press, 1994, c1993.</t>
        </is>
      </c>
      <c r="M2449" t="inlineStr">
        <is>
          <t>1994</t>
        </is>
      </c>
      <c r="N2449" t="inlineStr">
        <is>
          <t>1st Oxford University Press pbk., 1994</t>
        </is>
      </c>
      <c r="O2449" t="inlineStr">
        <is>
          <t>eng</t>
        </is>
      </c>
      <c r="P2449" t="inlineStr">
        <is>
          <t>nyu</t>
        </is>
      </c>
      <c r="R2449" t="inlineStr">
        <is>
          <t xml:space="preserve">DS </t>
        </is>
      </c>
      <c r="S2449" t="n">
        <v>30</v>
      </c>
      <c r="T2449" t="n">
        <v>30</v>
      </c>
      <c r="U2449" t="inlineStr">
        <is>
          <t>2010-01-25</t>
        </is>
      </c>
      <c r="V2449" t="inlineStr">
        <is>
          <t>2010-01-25</t>
        </is>
      </c>
      <c r="W2449" t="inlineStr">
        <is>
          <t>1994-12-22</t>
        </is>
      </c>
      <c r="X2449" t="inlineStr">
        <is>
          <t>1994-12-22</t>
        </is>
      </c>
      <c r="Y2449" t="n">
        <v>90</v>
      </c>
      <c r="Z2449" t="n">
        <v>83</v>
      </c>
      <c r="AA2449" t="n">
        <v>593</v>
      </c>
      <c r="AB2449" t="n">
        <v>2</v>
      </c>
      <c r="AC2449" t="n">
        <v>7</v>
      </c>
      <c r="AD2449" t="n">
        <v>6</v>
      </c>
      <c r="AE2449" t="n">
        <v>33</v>
      </c>
      <c r="AF2449" t="n">
        <v>4</v>
      </c>
      <c r="AG2449" t="n">
        <v>14</v>
      </c>
      <c r="AH2449" t="n">
        <v>0</v>
      </c>
      <c r="AI2449" t="n">
        <v>7</v>
      </c>
      <c r="AJ2449" t="n">
        <v>2</v>
      </c>
      <c r="AK2449" t="n">
        <v>17</v>
      </c>
      <c r="AL2449" t="n">
        <v>1</v>
      </c>
      <c r="AM2449" t="n">
        <v>5</v>
      </c>
      <c r="AN2449" t="n">
        <v>0</v>
      </c>
      <c r="AO2449" t="n">
        <v>0</v>
      </c>
      <c r="AP2449" t="inlineStr">
        <is>
          <t>No</t>
        </is>
      </c>
      <c r="AQ2449" t="inlineStr">
        <is>
          <t>No</t>
        </is>
      </c>
      <c r="AS2449">
        <f>HYPERLINK("https://creighton-primo.hosted.exlibrisgroup.com/primo-explore/search?tab=default_tab&amp;search_scope=EVERYTHING&amp;vid=01CRU&amp;lang=en_US&amp;offset=0&amp;query=any,contains,991002407119702656","Catalog Record")</f>
        <v/>
      </c>
      <c r="AT2449">
        <f>HYPERLINK("http://www.worldcat.org/oclc/31315669","WorldCat Record")</f>
        <v/>
      </c>
      <c r="AU2449" t="inlineStr">
        <is>
          <t>138730696:eng</t>
        </is>
      </c>
      <c r="AV2449" t="inlineStr">
        <is>
          <t>31315669</t>
        </is>
      </c>
      <c r="AW2449" t="inlineStr">
        <is>
          <t>991002407119702656</t>
        </is>
      </c>
      <c r="AX2449" t="inlineStr">
        <is>
          <t>991002407119702656</t>
        </is>
      </c>
      <c r="AY2449" t="inlineStr">
        <is>
          <t>2256487520002656</t>
        </is>
      </c>
      <c r="AZ2449" t="inlineStr">
        <is>
          <t>BOOK</t>
        </is>
      </c>
      <c r="BB2449" t="inlineStr">
        <is>
          <t>9780195092615</t>
        </is>
      </c>
      <c r="BC2449" t="inlineStr">
        <is>
          <t>32285001978609</t>
        </is>
      </c>
      <c r="BD2449" t="inlineStr">
        <is>
          <t>893415166</t>
        </is>
      </c>
    </row>
    <row r="2450">
      <c r="A2450" t="inlineStr">
        <is>
          <t>No</t>
        </is>
      </c>
      <c r="B2450" t="inlineStr">
        <is>
          <t>DS834.95 .N48 1997</t>
        </is>
      </c>
      <c r="C2450" t="inlineStr">
        <is>
          <t>0                      DS 0834950N  48          1997</t>
        </is>
      </c>
      <c r="D2450" t="inlineStr">
        <is>
          <t>New directions in the study of Meiji Japan / edited by Helen Hardacre with Adam L. Kern.</t>
        </is>
      </c>
      <c r="F2450" t="inlineStr">
        <is>
          <t>No</t>
        </is>
      </c>
      <c r="G2450" t="inlineStr">
        <is>
          <t>1</t>
        </is>
      </c>
      <c r="H2450" t="inlineStr">
        <is>
          <t>No</t>
        </is>
      </c>
      <c r="I2450" t="inlineStr">
        <is>
          <t>No</t>
        </is>
      </c>
      <c r="J2450" t="inlineStr">
        <is>
          <t>0</t>
        </is>
      </c>
      <c r="L2450" t="inlineStr">
        <is>
          <t>Leiden ; New York : Brill, 1997.</t>
        </is>
      </c>
      <c r="M2450" t="inlineStr">
        <is>
          <t>1997</t>
        </is>
      </c>
      <c r="O2450" t="inlineStr">
        <is>
          <t>eng</t>
        </is>
      </c>
      <c r="P2450" t="inlineStr">
        <is>
          <t xml:space="preserve">ne </t>
        </is>
      </c>
      <c r="Q2450" t="inlineStr">
        <is>
          <t>Brill's Japanese studies library, 0925-6512 ; v. 6</t>
        </is>
      </c>
      <c r="R2450" t="inlineStr">
        <is>
          <t xml:space="preserve">DS </t>
        </is>
      </c>
      <c r="S2450" t="n">
        <v>1</v>
      </c>
      <c r="T2450" t="n">
        <v>1</v>
      </c>
      <c r="U2450" t="inlineStr">
        <is>
          <t>2010-11-22</t>
        </is>
      </c>
      <c r="V2450" t="inlineStr">
        <is>
          <t>2010-11-22</t>
        </is>
      </c>
      <c r="W2450" t="inlineStr">
        <is>
          <t>2001-03-14</t>
        </is>
      </c>
      <c r="X2450" t="inlineStr">
        <is>
          <t>2001-03-14</t>
        </is>
      </c>
      <c r="Y2450" t="n">
        <v>175</v>
      </c>
      <c r="Z2450" t="n">
        <v>109</v>
      </c>
      <c r="AA2450" t="n">
        <v>109</v>
      </c>
      <c r="AB2450" t="n">
        <v>1</v>
      </c>
      <c r="AC2450" t="n">
        <v>1</v>
      </c>
      <c r="AD2450" t="n">
        <v>5</v>
      </c>
      <c r="AE2450" t="n">
        <v>5</v>
      </c>
      <c r="AF2450" t="n">
        <v>2</v>
      </c>
      <c r="AG2450" t="n">
        <v>2</v>
      </c>
      <c r="AH2450" t="n">
        <v>1</v>
      </c>
      <c r="AI2450" t="n">
        <v>1</v>
      </c>
      <c r="AJ2450" t="n">
        <v>5</v>
      </c>
      <c r="AK2450" t="n">
        <v>5</v>
      </c>
      <c r="AL2450" t="n">
        <v>0</v>
      </c>
      <c r="AM2450" t="n">
        <v>0</v>
      </c>
      <c r="AN2450" t="n">
        <v>0</v>
      </c>
      <c r="AO2450" t="n">
        <v>0</v>
      </c>
      <c r="AP2450" t="inlineStr">
        <is>
          <t>No</t>
        </is>
      </c>
      <c r="AQ2450" t="inlineStr">
        <is>
          <t>No</t>
        </is>
      </c>
      <c r="AS2450">
        <f>HYPERLINK("https://creighton-primo.hosted.exlibrisgroup.com/primo-explore/search?tab=default_tab&amp;search_scope=EVERYTHING&amp;vid=01CRU&amp;lang=en_US&amp;offset=0&amp;query=any,contains,991003344599702656","Catalog Record")</f>
        <v/>
      </c>
      <c r="AT2450">
        <f>HYPERLINK("http://www.worldcat.org/oclc/36865636","WorldCat Record")</f>
        <v/>
      </c>
      <c r="AU2450" t="inlineStr">
        <is>
          <t>634138:eng</t>
        </is>
      </c>
      <c r="AV2450" t="inlineStr">
        <is>
          <t>36865636</t>
        </is>
      </c>
      <c r="AW2450" t="inlineStr">
        <is>
          <t>991003344599702656</t>
        </is>
      </c>
      <c r="AX2450" t="inlineStr">
        <is>
          <t>991003344599702656</t>
        </is>
      </c>
      <c r="AY2450" t="inlineStr">
        <is>
          <t>2262231330002656</t>
        </is>
      </c>
      <c r="AZ2450" t="inlineStr">
        <is>
          <t>BOOK</t>
        </is>
      </c>
      <c r="BB2450" t="inlineStr">
        <is>
          <t>9789004107359</t>
        </is>
      </c>
      <c r="BC2450" t="inlineStr">
        <is>
          <t>32285004305446</t>
        </is>
      </c>
      <c r="BD2450" t="inlineStr">
        <is>
          <t>893610936</t>
        </is>
      </c>
    </row>
    <row r="2451">
      <c r="A2451" t="inlineStr">
        <is>
          <t>No</t>
        </is>
      </c>
      <c r="B2451" t="inlineStr">
        <is>
          <t>DS835 .B6 1970</t>
        </is>
      </c>
      <c r="C2451" t="inlineStr">
        <is>
          <t>0                      DS 0835000B  6           1970</t>
        </is>
      </c>
      <c r="D2451" t="inlineStr">
        <is>
          <t>Japan's modern century : from Perry to 1970.</t>
        </is>
      </c>
      <c r="F2451" t="inlineStr">
        <is>
          <t>No</t>
        </is>
      </c>
      <c r="G2451" t="inlineStr">
        <is>
          <t>1</t>
        </is>
      </c>
      <c r="H2451" t="inlineStr">
        <is>
          <t>No</t>
        </is>
      </c>
      <c r="I2451" t="inlineStr">
        <is>
          <t>No</t>
        </is>
      </c>
      <c r="J2451" t="inlineStr">
        <is>
          <t>0</t>
        </is>
      </c>
      <c r="K2451" t="inlineStr">
        <is>
          <t>Borton, Hugh, 1903-1995.</t>
        </is>
      </c>
      <c r="L2451" t="inlineStr">
        <is>
          <t>New York : Ronald Press, [1970]</t>
        </is>
      </c>
      <c r="M2451" t="inlineStr">
        <is>
          <t>1970</t>
        </is>
      </c>
      <c r="N2451" t="inlineStr">
        <is>
          <t>2d ed.</t>
        </is>
      </c>
      <c r="O2451" t="inlineStr">
        <is>
          <t>eng</t>
        </is>
      </c>
      <c r="P2451" t="inlineStr">
        <is>
          <t>nyu</t>
        </is>
      </c>
      <c r="R2451" t="inlineStr">
        <is>
          <t xml:space="preserve">DS </t>
        </is>
      </c>
      <c r="S2451" t="n">
        <v>7</v>
      </c>
      <c r="T2451" t="n">
        <v>7</v>
      </c>
      <c r="U2451" t="inlineStr">
        <is>
          <t>1995-10-31</t>
        </is>
      </c>
      <c r="V2451" t="inlineStr">
        <is>
          <t>1995-10-31</t>
        </is>
      </c>
      <c r="W2451" t="inlineStr">
        <is>
          <t>1994-04-27</t>
        </is>
      </c>
      <c r="X2451" t="inlineStr">
        <is>
          <t>1994-04-27</t>
        </is>
      </c>
      <c r="Y2451" t="n">
        <v>559</v>
      </c>
      <c r="Z2451" t="n">
        <v>461</v>
      </c>
      <c r="AA2451" t="n">
        <v>478</v>
      </c>
      <c r="AB2451" t="n">
        <v>6</v>
      </c>
      <c r="AC2451" t="n">
        <v>6</v>
      </c>
      <c r="AD2451" t="n">
        <v>17</v>
      </c>
      <c r="AE2451" t="n">
        <v>19</v>
      </c>
      <c r="AF2451" t="n">
        <v>3</v>
      </c>
      <c r="AG2451" t="n">
        <v>4</v>
      </c>
      <c r="AH2451" t="n">
        <v>3</v>
      </c>
      <c r="AI2451" t="n">
        <v>4</v>
      </c>
      <c r="AJ2451" t="n">
        <v>8</v>
      </c>
      <c r="AK2451" t="n">
        <v>8</v>
      </c>
      <c r="AL2451" t="n">
        <v>5</v>
      </c>
      <c r="AM2451" t="n">
        <v>5</v>
      </c>
      <c r="AN2451" t="n">
        <v>0</v>
      </c>
      <c r="AO2451" t="n">
        <v>0</v>
      </c>
      <c r="AP2451" t="inlineStr">
        <is>
          <t>No</t>
        </is>
      </c>
      <c r="AQ2451" t="inlineStr">
        <is>
          <t>Yes</t>
        </is>
      </c>
      <c r="AR2451">
        <f>HYPERLINK("http://catalog.hathitrust.org/Record/001259344","HathiTrust Record")</f>
        <v/>
      </c>
      <c r="AS2451">
        <f>HYPERLINK("https://creighton-primo.hosted.exlibrisgroup.com/primo-explore/search?tab=default_tab&amp;search_scope=EVERYTHING&amp;vid=01CRU&amp;lang=en_US&amp;offset=0&amp;query=any,contains,991000517389702656","Catalog Record")</f>
        <v/>
      </c>
      <c r="AT2451">
        <f>HYPERLINK("http://www.worldcat.org/oclc/86442","WorldCat Record")</f>
        <v/>
      </c>
      <c r="AU2451" t="inlineStr">
        <is>
          <t>2864062400:eng</t>
        </is>
      </c>
      <c r="AV2451" t="inlineStr">
        <is>
          <t>86442</t>
        </is>
      </c>
      <c r="AW2451" t="inlineStr">
        <is>
          <t>991000517389702656</t>
        </is>
      </c>
      <c r="AX2451" t="inlineStr">
        <is>
          <t>991000517389702656</t>
        </is>
      </c>
      <c r="AY2451" t="inlineStr">
        <is>
          <t>2270356090002656</t>
        </is>
      </c>
      <c r="AZ2451" t="inlineStr">
        <is>
          <t>BOOK</t>
        </is>
      </c>
      <c r="BC2451" t="inlineStr">
        <is>
          <t>32285001893642</t>
        </is>
      </c>
      <c r="BD2451" t="inlineStr">
        <is>
          <t>893432036</t>
        </is>
      </c>
    </row>
    <row r="2452">
      <c r="A2452" t="inlineStr">
        <is>
          <t>No</t>
        </is>
      </c>
      <c r="B2452" t="inlineStr">
        <is>
          <t>DS835 .B7</t>
        </is>
      </c>
      <c r="C2452" t="inlineStr">
        <is>
          <t>0                      DS 0835000B  7</t>
        </is>
      </c>
      <c r="D2452" t="inlineStr">
        <is>
          <t>A history of the Japanese people from the earliest times to the end of the Meiji era / by Capt. F. Brinkley ; with the collaboration of Baron Kikuchi ; with 150 illustrations engraved on wood by Japanese artists; half-tone plates, and maps.</t>
        </is>
      </c>
      <c r="F2452" t="inlineStr">
        <is>
          <t>No</t>
        </is>
      </c>
      <c r="G2452" t="inlineStr">
        <is>
          <t>1</t>
        </is>
      </c>
      <c r="H2452" t="inlineStr">
        <is>
          <t>No</t>
        </is>
      </c>
      <c r="I2452" t="inlineStr">
        <is>
          <t>No</t>
        </is>
      </c>
      <c r="J2452" t="inlineStr">
        <is>
          <t>0</t>
        </is>
      </c>
      <c r="K2452" t="inlineStr">
        <is>
          <t>Brinkley, F. (Frank), 1841-1912.</t>
        </is>
      </c>
      <c r="L2452" t="inlineStr">
        <is>
          <t>New York : The Encyclopædia Britannica Co., [c1915]</t>
        </is>
      </c>
      <c r="M2452" t="inlineStr">
        <is>
          <t>1915</t>
        </is>
      </c>
      <c r="O2452" t="inlineStr">
        <is>
          <t>eng</t>
        </is>
      </c>
      <c r="P2452" t="inlineStr">
        <is>
          <t>nyu</t>
        </is>
      </c>
      <c r="R2452" t="inlineStr">
        <is>
          <t xml:space="preserve">DS </t>
        </is>
      </c>
      <c r="S2452" t="n">
        <v>4</v>
      </c>
      <c r="T2452" t="n">
        <v>4</v>
      </c>
      <c r="U2452" t="inlineStr">
        <is>
          <t>1996-02-20</t>
        </is>
      </c>
      <c r="V2452" t="inlineStr">
        <is>
          <t>1996-02-20</t>
        </is>
      </c>
      <c r="W2452" t="inlineStr">
        <is>
          <t>1994-12-14</t>
        </is>
      </c>
      <c r="X2452" t="inlineStr">
        <is>
          <t>1994-12-14</t>
        </is>
      </c>
      <c r="Y2452" t="n">
        <v>360</v>
      </c>
      <c r="Z2452" t="n">
        <v>302</v>
      </c>
      <c r="AA2452" t="n">
        <v>368</v>
      </c>
      <c r="AB2452" t="n">
        <v>6</v>
      </c>
      <c r="AC2452" t="n">
        <v>6</v>
      </c>
      <c r="AD2452" t="n">
        <v>15</v>
      </c>
      <c r="AE2452" t="n">
        <v>15</v>
      </c>
      <c r="AF2452" t="n">
        <v>2</v>
      </c>
      <c r="AG2452" t="n">
        <v>2</v>
      </c>
      <c r="AH2452" t="n">
        <v>3</v>
      </c>
      <c r="AI2452" t="n">
        <v>3</v>
      </c>
      <c r="AJ2452" t="n">
        <v>7</v>
      </c>
      <c r="AK2452" t="n">
        <v>7</v>
      </c>
      <c r="AL2452" t="n">
        <v>4</v>
      </c>
      <c r="AM2452" t="n">
        <v>4</v>
      </c>
      <c r="AN2452" t="n">
        <v>0</v>
      </c>
      <c r="AO2452" t="n">
        <v>0</v>
      </c>
      <c r="AP2452" t="inlineStr">
        <is>
          <t>Yes</t>
        </is>
      </c>
      <c r="AQ2452" t="inlineStr">
        <is>
          <t>No</t>
        </is>
      </c>
      <c r="AR2452">
        <f>HYPERLINK("http://catalog.hathitrust.org/Record/001259345","HathiTrust Record")</f>
        <v/>
      </c>
      <c r="AS2452">
        <f>HYPERLINK("https://creighton-primo.hosted.exlibrisgroup.com/primo-explore/search?tab=default_tab&amp;search_scope=EVERYTHING&amp;vid=01CRU&amp;lang=en_US&amp;offset=0&amp;query=any,contains,991002722449702656","Catalog Record")</f>
        <v/>
      </c>
      <c r="AT2452">
        <f>HYPERLINK("http://www.worldcat.org/oclc/413099","WorldCat Record")</f>
        <v/>
      </c>
      <c r="AU2452" t="inlineStr">
        <is>
          <t>1464932:eng</t>
        </is>
      </c>
      <c r="AV2452" t="inlineStr">
        <is>
          <t>413099</t>
        </is>
      </c>
      <c r="AW2452" t="inlineStr">
        <is>
          <t>991002722449702656</t>
        </is>
      </c>
      <c r="AX2452" t="inlineStr">
        <is>
          <t>991002722449702656</t>
        </is>
      </c>
      <c r="AY2452" t="inlineStr">
        <is>
          <t>2268195910002656</t>
        </is>
      </c>
      <c r="AZ2452" t="inlineStr">
        <is>
          <t>BOOK</t>
        </is>
      </c>
      <c r="BC2452" t="inlineStr">
        <is>
          <t>32285001982692</t>
        </is>
      </c>
      <c r="BD2452" t="inlineStr">
        <is>
          <t>893347840</t>
        </is>
      </c>
    </row>
    <row r="2453">
      <c r="A2453" t="inlineStr">
        <is>
          <t>No</t>
        </is>
      </c>
      <c r="B2453" t="inlineStr">
        <is>
          <t>DS835 .D69 1995</t>
        </is>
      </c>
      <c r="C2453" t="inlineStr">
        <is>
          <t>0                      DS 0835000D  69          1995</t>
        </is>
      </c>
      <c r="D2453" t="inlineStr">
        <is>
          <t>Japanese history and culture from ancient to modern times : seven basic bibliographies / John W. Dower, with Timothy S. George.</t>
        </is>
      </c>
      <c r="F2453" t="inlineStr">
        <is>
          <t>No</t>
        </is>
      </c>
      <c r="G2453" t="inlineStr">
        <is>
          <t>1</t>
        </is>
      </c>
      <c r="H2453" t="inlineStr">
        <is>
          <t>No</t>
        </is>
      </c>
      <c r="I2453" t="inlineStr">
        <is>
          <t>No</t>
        </is>
      </c>
      <c r="J2453" t="inlineStr">
        <is>
          <t>0</t>
        </is>
      </c>
      <c r="K2453" t="inlineStr">
        <is>
          <t>Dower, John W.</t>
        </is>
      </c>
      <c r="L2453" t="inlineStr">
        <is>
          <t>Princeton : Markus Wiener, 1995.</t>
        </is>
      </c>
      <c r="M2453" t="inlineStr">
        <is>
          <t>1995</t>
        </is>
      </c>
      <c r="N2453" t="inlineStr">
        <is>
          <t>2nd ed., rev. and updated.</t>
        </is>
      </c>
      <c r="O2453" t="inlineStr">
        <is>
          <t>eng</t>
        </is>
      </c>
      <c r="P2453" t="inlineStr">
        <is>
          <t>nju</t>
        </is>
      </c>
      <c r="R2453" t="inlineStr">
        <is>
          <t xml:space="preserve">DS </t>
        </is>
      </c>
      <c r="S2453" t="n">
        <v>12</v>
      </c>
      <c r="T2453" t="n">
        <v>12</v>
      </c>
      <c r="U2453" t="inlineStr">
        <is>
          <t>2003-02-17</t>
        </is>
      </c>
      <c r="V2453" t="inlineStr">
        <is>
          <t>2003-02-17</t>
        </is>
      </c>
      <c r="W2453" t="inlineStr">
        <is>
          <t>1996-07-03</t>
        </is>
      </c>
      <c r="X2453" t="inlineStr">
        <is>
          <t>1996-07-03</t>
        </is>
      </c>
      <c r="Y2453" t="n">
        <v>326</v>
      </c>
      <c r="Z2453" t="n">
        <v>271</v>
      </c>
      <c r="AA2453" t="n">
        <v>420</v>
      </c>
      <c r="AB2453" t="n">
        <v>4</v>
      </c>
      <c r="AC2453" t="n">
        <v>4</v>
      </c>
      <c r="AD2453" t="n">
        <v>14</v>
      </c>
      <c r="AE2453" t="n">
        <v>24</v>
      </c>
      <c r="AF2453" t="n">
        <v>5</v>
      </c>
      <c r="AG2453" t="n">
        <v>8</v>
      </c>
      <c r="AH2453" t="n">
        <v>3</v>
      </c>
      <c r="AI2453" t="n">
        <v>7</v>
      </c>
      <c r="AJ2453" t="n">
        <v>6</v>
      </c>
      <c r="AK2453" t="n">
        <v>11</v>
      </c>
      <c r="AL2453" t="n">
        <v>3</v>
      </c>
      <c r="AM2453" t="n">
        <v>3</v>
      </c>
      <c r="AN2453" t="n">
        <v>0</v>
      </c>
      <c r="AO2453" t="n">
        <v>0</v>
      </c>
      <c r="AP2453" t="inlineStr">
        <is>
          <t>No</t>
        </is>
      </c>
      <c r="AQ2453" t="inlineStr">
        <is>
          <t>No</t>
        </is>
      </c>
      <c r="AS2453">
        <f>HYPERLINK("https://creighton-primo.hosted.exlibrisgroup.com/primo-explore/search?tab=default_tab&amp;search_scope=EVERYTHING&amp;vid=01CRU&amp;lang=en_US&amp;offset=0&amp;query=any,contains,991002436019702656","Catalog Record")</f>
        <v/>
      </c>
      <c r="AT2453">
        <f>HYPERLINK("http://www.worldcat.org/oclc/31754062","WorldCat Record")</f>
        <v/>
      </c>
      <c r="AU2453" t="inlineStr">
        <is>
          <t>285193211:eng</t>
        </is>
      </c>
      <c r="AV2453" t="inlineStr">
        <is>
          <t>31754062</t>
        </is>
      </c>
      <c r="AW2453" t="inlineStr">
        <is>
          <t>991002436019702656</t>
        </is>
      </c>
      <c r="AX2453" t="inlineStr">
        <is>
          <t>991002436019702656</t>
        </is>
      </c>
      <c r="AY2453" t="inlineStr">
        <is>
          <t>2272344280002656</t>
        </is>
      </c>
      <c r="AZ2453" t="inlineStr">
        <is>
          <t>BOOK</t>
        </is>
      </c>
      <c r="BB2453" t="inlineStr">
        <is>
          <t>9781558760974</t>
        </is>
      </c>
      <c r="BC2453" t="inlineStr">
        <is>
          <t>32285002206752</t>
        </is>
      </c>
      <c r="BD2453" t="inlineStr">
        <is>
          <t>893867215</t>
        </is>
      </c>
    </row>
    <row r="2454">
      <c r="A2454" t="inlineStr">
        <is>
          <t>No</t>
        </is>
      </c>
      <c r="B2454" t="inlineStr">
        <is>
          <t>DS835 .G83 1973</t>
        </is>
      </c>
      <c r="C2454" t="inlineStr">
        <is>
          <t>0                      DS 0835000G  83          1973</t>
        </is>
      </c>
      <c r="D2454" t="inlineStr">
        <is>
          <t>The Mikado's Empire.</t>
        </is>
      </c>
      <c r="F2454" t="inlineStr">
        <is>
          <t>No</t>
        </is>
      </c>
      <c r="G2454" t="inlineStr">
        <is>
          <t>1</t>
        </is>
      </c>
      <c r="H2454" t="inlineStr">
        <is>
          <t>No</t>
        </is>
      </c>
      <c r="I2454" t="inlineStr">
        <is>
          <t>No</t>
        </is>
      </c>
      <c r="J2454" t="inlineStr">
        <is>
          <t>0</t>
        </is>
      </c>
      <c r="K2454" t="inlineStr">
        <is>
          <t>Griffis, William Elliot, 1843-1928.</t>
        </is>
      </c>
      <c r="L2454" t="inlineStr">
        <is>
          <t>Wilmington, Del. : Scholarly Resources, [1973]</t>
        </is>
      </c>
      <c r="M2454" t="inlineStr">
        <is>
          <t>1973</t>
        </is>
      </c>
      <c r="N2454" t="inlineStr">
        <is>
          <t>8th ed., with supplementary chapters, including the late war with China.</t>
        </is>
      </c>
      <c r="O2454" t="inlineStr">
        <is>
          <t>eng</t>
        </is>
      </c>
      <c r="P2454" t="inlineStr">
        <is>
          <t>deu</t>
        </is>
      </c>
      <c r="R2454" t="inlineStr">
        <is>
          <t xml:space="preserve">DS </t>
        </is>
      </c>
      <c r="S2454" t="n">
        <v>1</v>
      </c>
      <c r="T2454" t="n">
        <v>1</v>
      </c>
      <c r="U2454" t="inlineStr">
        <is>
          <t>1992-01-22</t>
        </is>
      </c>
      <c r="V2454" t="inlineStr">
        <is>
          <t>1992-01-22</t>
        </is>
      </c>
      <c r="W2454" t="inlineStr">
        <is>
          <t>1990-02-19</t>
        </is>
      </c>
      <c r="X2454" t="inlineStr">
        <is>
          <t>1990-02-19</t>
        </is>
      </c>
      <c r="Y2454" t="n">
        <v>53</v>
      </c>
      <c r="Z2454" t="n">
        <v>42</v>
      </c>
      <c r="AA2454" t="n">
        <v>393</v>
      </c>
      <c r="AB2454" t="n">
        <v>1</v>
      </c>
      <c r="AC2454" t="n">
        <v>6</v>
      </c>
      <c r="AD2454" t="n">
        <v>1</v>
      </c>
      <c r="AE2454" t="n">
        <v>19</v>
      </c>
      <c r="AF2454" t="n">
        <v>0</v>
      </c>
      <c r="AG2454" t="n">
        <v>6</v>
      </c>
      <c r="AH2454" t="n">
        <v>1</v>
      </c>
      <c r="AI2454" t="n">
        <v>6</v>
      </c>
      <c r="AJ2454" t="n">
        <v>1</v>
      </c>
      <c r="AK2454" t="n">
        <v>7</v>
      </c>
      <c r="AL2454" t="n">
        <v>0</v>
      </c>
      <c r="AM2454" t="n">
        <v>5</v>
      </c>
      <c r="AN2454" t="n">
        <v>0</v>
      </c>
      <c r="AO2454" t="n">
        <v>0</v>
      </c>
      <c r="AP2454" t="inlineStr">
        <is>
          <t>No</t>
        </is>
      </c>
      <c r="AQ2454" t="inlineStr">
        <is>
          <t>Yes</t>
        </is>
      </c>
      <c r="AR2454">
        <f>HYPERLINK("http://catalog.hathitrust.org/Record/101796324","HathiTrust Record")</f>
        <v/>
      </c>
      <c r="AS2454">
        <f>HYPERLINK("https://creighton-primo.hosted.exlibrisgroup.com/primo-explore/search?tab=default_tab&amp;search_scope=EVERYTHING&amp;vid=01CRU&amp;lang=en_US&amp;offset=0&amp;query=any,contains,991003243769702656","Catalog Record")</f>
        <v/>
      </c>
      <c r="AT2454">
        <f>HYPERLINK("http://www.worldcat.org/oclc/766864","WorldCat Record")</f>
        <v/>
      </c>
      <c r="AU2454" t="inlineStr">
        <is>
          <t>1524169:eng</t>
        </is>
      </c>
      <c r="AV2454" t="inlineStr">
        <is>
          <t>766864</t>
        </is>
      </c>
      <c r="AW2454" t="inlineStr">
        <is>
          <t>991003243769702656</t>
        </is>
      </c>
      <c r="AX2454" t="inlineStr">
        <is>
          <t>991003243769702656</t>
        </is>
      </c>
      <c r="AY2454" t="inlineStr">
        <is>
          <t>2267262970002656</t>
        </is>
      </c>
      <c r="AZ2454" t="inlineStr">
        <is>
          <t>BOOK</t>
        </is>
      </c>
      <c r="BB2454" t="inlineStr">
        <is>
          <t>9780842013895</t>
        </is>
      </c>
      <c r="BC2454" t="inlineStr">
        <is>
          <t>32285000048131</t>
        </is>
      </c>
      <c r="BD2454" t="inlineStr">
        <is>
          <t>893505374</t>
        </is>
      </c>
    </row>
    <row r="2455">
      <c r="A2455" t="inlineStr">
        <is>
          <t>No</t>
        </is>
      </c>
      <c r="B2455" t="inlineStr">
        <is>
          <t>DS835 .H23 1970</t>
        </is>
      </c>
      <c r="C2455" t="inlineStr">
        <is>
          <t>0                      DS 0835000H  23          1970</t>
        </is>
      </c>
      <c r="D2455" t="inlineStr">
        <is>
          <t>Japan from prehistory to modern times.</t>
        </is>
      </c>
      <c r="F2455" t="inlineStr">
        <is>
          <t>No</t>
        </is>
      </c>
      <c r="G2455" t="inlineStr">
        <is>
          <t>1</t>
        </is>
      </c>
      <c r="H2455" t="inlineStr">
        <is>
          <t>No</t>
        </is>
      </c>
      <c r="I2455" t="inlineStr">
        <is>
          <t>No</t>
        </is>
      </c>
      <c r="J2455" t="inlineStr">
        <is>
          <t>0</t>
        </is>
      </c>
      <c r="K2455" t="inlineStr">
        <is>
          <t>Hall, John Whitney, 1916-1997.</t>
        </is>
      </c>
      <c r="L2455" t="inlineStr">
        <is>
          <t>New York, Delacorte Press [1970]</t>
        </is>
      </c>
      <c r="M2455" t="inlineStr">
        <is>
          <t>1970</t>
        </is>
      </c>
      <c r="N2455" t="inlineStr">
        <is>
          <t>[1st American ed.]</t>
        </is>
      </c>
      <c r="O2455" t="inlineStr">
        <is>
          <t>eng</t>
        </is>
      </c>
      <c r="P2455" t="inlineStr">
        <is>
          <t>nyu</t>
        </is>
      </c>
      <c r="R2455" t="inlineStr">
        <is>
          <t xml:space="preserve">DS </t>
        </is>
      </c>
      <c r="S2455" t="n">
        <v>12</v>
      </c>
      <c r="T2455" t="n">
        <v>12</v>
      </c>
      <c r="U2455" t="inlineStr">
        <is>
          <t>2005-03-28</t>
        </is>
      </c>
      <c r="V2455" t="inlineStr">
        <is>
          <t>2005-03-28</t>
        </is>
      </c>
      <c r="W2455" t="inlineStr">
        <is>
          <t>1999-09-07</t>
        </is>
      </c>
      <c r="X2455" t="inlineStr">
        <is>
          <t>1999-09-07</t>
        </is>
      </c>
      <c r="Y2455" t="n">
        <v>708</v>
      </c>
      <c r="Z2455" t="n">
        <v>640</v>
      </c>
      <c r="AA2455" t="n">
        <v>969</v>
      </c>
      <c r="AB2455" t="n">
        <v>8</v>
      </c>
      <c r="AC2455" t="n">
        <v>12</v>
      </c>
      <c r="AD2455" t="n">
        <v>21</v>
      </c>
      <c r="AE2455" t="n">
        <v>39</v>
      </c>
      <c r="AF2455" t="n">
        <v>8</v>
      </c>
      <c r="AG2455" t="n">
        <v>18</v>
      </c>
      <c r="AH2455" t="n">
        <v>4</v>
      </c>
      <c r="AI2455" t="n">
        <v>6</v>
      </c>
      <c r="AJ2455" t="n">
        <v>7</v>
      </c>
      <c r="AK2455" t="n">
        <v>16</v>
      </c>
      <c r="AL2455" t="n">
        <v>5</v>
      </c>
      <c r="AM2455" t="n">
        <v>8</v>
      </c>
      <c r="AN2455" t="n">
        <v>0</v>
      </c>
      <c r="AO2455" t="n">
        <v>0</v>
      </c>
      <c r="AP2455" t="inlineStr">
        <is>
          <t>No</t>
        </is>
      </c>
      <c r="AQ2455" t="inlineStr">
        <is>
          <t>Yes</t>
        </is>
      </c>
      <c r="AR2455">
        <f>HYPERLINK("http://catalog.hathitrust.org/Record/001259355","HathiTrust Record")</f>
        <v/>
      </c>
      <c r="AS2455">
        <f>HYPERLINK("https://creighton-primo.hosted.exlibrisgroup.com/primo-explore/search?tab=default_tab&amp;search_scope=EVERYTHING&amp;vid=01CRU&amp;lang=en_US&amp;offset=0&amp;query=any,contains,991000236799702656","Catalog Record")</f>
        <v/>
      </c>
      <c r="AT2455">
        <f>HYPERLINK("http://www.worldcat.org/oclc/67901","WorldCat Record")</f>
        <v/>
      </c>
      <c r="AU2455" t="inlineStr">
        <is>
          <t>761818586:eng</t>
        </is>
      </c>
      <c r="AV2455" t="inlineStr">
        <is>
          <t>67901</t>
        </is>
      </c>
      <c r="AW2455" t="inlineStr">
        <is>
          <t>991000236799702656</t>
        </is>
      </c>
      <c r="AX2455" t="inlineStr">
        <is>
          <t>991000236799702656</t>
        </is>
      </c>
      <c r="AY2455" t="inlineStr">
        <is>
          <t>2258171080002656</t>
        </is>
      </c>
      <c r="AZ2455" t="inlineStr">
        <is>
          <t>BOOK</t>
        </is>
      </c>
      <c r="BC2455" t="inlineStr">
        <is>
          <t>32285003264743</t>
        </is>
      </c>
      <c r="BD2455" t="inlineStr">
        <is>
          <t>893601605</t>
        </is>
      </c>
    </row>
    <row r="2456">
      <c r="A2456" t="inlineStr">
        <is>
          <t>No</t>
        </is>
      </c>
      <c r="B2456" t="inlineStr">
        <is>
          <t>DS835 .H266</t>
        </is>
      </c>
      <c r="C2456" t="inlineStr">
        <is>
          <t>0                      DS 0835000H  266</t>
        </is>
      </c>
      <c r="D2456" t="inlineStr">
        <is>
          <t>Japan, a historical survey.</t>
        </is>
      </c>
      <c r="F2456" t="inlineStr">
        <is>
          <t>No</t>
        </is>
      </c>
      <c r="G2456" t="inlineStr">
        <is>
          <t>1</t>
        </is>
      </c>
      <c r="H2456" t="inlineStr">
        <is>
          <t>No</t>
        </is>
      </c>
      <c r="I2456" t="inlineStr">
        <is>
          <t>No</t>
        </is>
      </c>
      <c r="J2456" t="inlineStr">
        <is>
          <t>0</t>
        </is>
      </c>
      <c r="K2456" t="inlineStr">
        <is>
          <t>Hane, Mikiso.</t>
        </is>
      </c>
      <c r="L2456" t="inlineStr">
        <is>
          <t>[New York] : Scribner, [1972]</t>
        </is>
      </c>
      <c r="M2456" t="inlineStr">
        <is>
          <t>1972</t>
        </is>
      </c>
      <c r="O2456" t="inlineStr">
        <is>
          <t>eng</t>
        </is>
      </c>
      <c r="P2456" t="inlineStr">
        <is>
          <t>nyu</t>
        </is>
      </c>
      <c r="R2456" t="inlineStr">
        <is>
          <t xml:space="preserve">DS </t>
        </is>
      </c>
      <c r="S2456" t="n">
        <v>7</v>
      </c>
      <c r="T2456" t="n">
        <v>7</v>
      </c>
      <c r="U2456" t="inlineStr">
        <is>
          <t>2003-12-05</t>
        </is>
      </c>
      <c r="V2456" t="inlineStr">
        <is>
          <t>2003-12-05</t>
        </is>
      </c>
      <c r="W2456" t="inlineStr">
        <is>
          <t>1993-05-04</t>
        </is>
      </c>
      <c r="X2456" t="inlineStr">
        <is>
          <t>1993-05-04</t>
        </is>
      </c>
      <c r="Y2456" t="n">
        <v>747</v>
      </c>
      <c r="Z2456" t="n">
        <v>667</v>
      </c>
      <c r="AA2456" t="n">
        <v>682</v>
      </c>
      <c r="AB2456" t="n">
        <v>6</v>
      </c>
      <c r="AC2456" t="n">
        <v>6</v>
      </c>
      <c r="AD2456" t="n">
        <v>23</v>
      </c>
      <c r="AE2456" t="n">
        <v>25</v>
      </c>
      <c r="AF2456" t="n">
        <v>9</v>
      </c>
      <c r="AG2456" t="n">
        <v>10</v>
      </c>
      <c r="AH2456" t="n">
        <v>6</v>
      </c>
      <c r="AI2456" t="n">
        <v>7</v>
      </c>
      <c r="AJ2456" t="n">
        <v>11</v>
      </c>
      <c r="AK2456" t="n">
        <v>11</v>
      </c>
      <c r="AL2456" t="n">
        <v>3</v>
      </c>
      <c r="AM2456" t="n">
        <v>3</v>
      </c>
      <c r="AN2456" t="n">
        <v>0</v>
      </c>
      <c r="AO2456" t="n">
        <v>0</v>
      </c>
      <c r="AP2456" t="inlineStr">
        <is>
          <t>No</t>
        </is>
      </c>
      <c r="AQ2456" t="inlineStr">
        <is>
          <t>Yes</t>
        </is>
      </c>
      <c r="AR2456">
        <f>HYPERLINK("http://catalog.hathitrust.org/Record/001259357","HathiTrust Record")</f>
        <v/>
      </c>
      <c r="AS2456">
        <f>HYPERLINK("https://creighton-primo.hosted.exlibrisgroup.com/primo-explore/search?tab=default_tab&amp;search_scope=EVERYTHING&amp;vid=01CRU&amp;lang=en_US&amp;offset=0&amp;query=any,contains,991002456999702656","Catalog Record")</f>
        <v/>
      </c>
      <c r="AT2456">
        <f>HYPERLINK("http://www.worldcat.org/oclc/354839","WorldCat Record")</f>
        <v/>
      </c>
      <c r="AU2456" t="inlineStr">
        <is>
          <t>3856972525:eng</t>
        </is>
      </c>
      <c r="AV2456" t="inlineStr">
        <is>
          <t>354839</t>
        </is>
      </c>
      <c r="AW2456" t="inlineStr">
        <is>
          <t>991002456999702656</t>
        </is>
      </c>
      <c r="AX2456" t="inlineStr">
        <is>
          <t>991002456999702656</t>
        </is>
      </c>
      <c r="AY2456" t="inlineStr">
        <is>
          <t>2266376550002656</t>
        </is>
      </c>
      <c r="AZ2456" t="inlineStr">
        <is>
          <t>BOOK</t>
        </is>
      </c>
      <c r="BB2456" t="inlineStr">
        <is>
          <t>9780684127071</t>
        </is>
      </c>
      <c r="BC2456" t="inlineStr">
        <is>
          <t>32285001581486</t>
        </is>
      </c>
      <c r="BD2456" t="inlineStr">
        <is>
          <t>893691635</t>
        </is>
      </c>
    </row>
    <row r="2457">
      <c r="A2457" t="inlineStr">
        <is>
          <t>No</t>
        </is>
      </c>
      <c r="B2457" t="inlineStr">
        <is>
          <t>DS835 .H5</t>
        </is>
      </c>
      <c r="C2457" t="inlineStr">
        <is>
          <t>0                      DS 0835000H  5</t>
        </is>
      </c>
      <c r="D2457" t="inlineStr">
        <is>
          <t>Hildreth's "Japan as it was and is" : a handbook of old Japan / edited, with supplementary notes, by Ernest W. Clement ; introduction by Wm. Elliot Griffis.</t>
        </is>
      </c>
      <c r="E2457" t="inlineStr">
        <is>
          <t>V.2</t>
        </is>
      </c>
      <c r="F2457" t="inlineStr">
        <is>
          <t>Yes</t>
        </is>
      </c>
      <c r="G2457" t="inlineStr">
        <is>
          <t>1</t>
        </is>
      </c>
      <c r="H2457" t="inlineStr">
        <is>
          <t>No</t>
        </is>
      </c>
      <c r="I2457" t="inlineStr">
        <is>
          <t>No</t>
        </is>
      </c>
      <c r="J2457" t="inlineStr">
        <is>
          <t>0</t>
        </is>
      </c>
      <c r="K2457" t="inlineStr">
        <is>
          <t>Hildreth, Richard, 1807-1865.</t>
        </is>
      </c>
      <c r="L2457" t="inlineStr">
        <is>
          <t>Chicago : A. C. McClurg, 1906.</t>
        </is>
      </c>
      <c r="M2457" t="inlineStr">
        <is>
          <t>1906</t>
        </is>
      </c>
      <c r="O2457" t="inlineStr">
        <is>
          <t>eng</t>
        </is>
      </c>
      <c r="P2457" t="inlineStr">
        <is>
          <t>ilu</t>
        </is>
      </c>
      <c r="R2457" t="inlineStr">
        <is>
          <t xml:space="preserve">DS </t>
        </is>
      </c>
      <c r="S2457" t="n">
        <v>2</v>
      </c>
      <c r="T2457" t="n">
        <v>2</v>
      </c>
      <c r="U2457" t="inlineStr">
        <is>
          <t>1993-09-26</t>
        </is>
      </c>
      <c r="V2457" t="inlineStr">
        <is>
          <t>1993-09-26</t>
        </is>
      </c>
      <c r="W2457" t="inlineStr">
        <is>
          <t>1992-01-17</t>
        </is>
      </c>
      <c r="X2457" t="inlineStr">
        <is>
          <t>1997-03-14</t>
        </is>
      </c>
      <c r="Y2457" t="n">
        <v>90</v>
      </c>
      <c r="Z2457" t="n">
        <v>85</v>
      </c>
      <c r="AA2457" t="n">
        <v>133</v>
      </c>
      <c r="AB2457" t="n">
        <v>2</v>
      </c>
      <c r="AC2457" t="n">
        <v>2</v>
      </c>
      <c r="AD2457" t="n">
        <v>5</v>
      </c>
      <c r="AE2457" t="n">
        <v>6</v>
      </c>
      <c r="AF2457" t="n">
        <v>1</v>
      </c>
      <c r="AG2457" t="n">
        <v>1</v>
      </c>
      <c r="AH2457" t="n">
        <v>2</v>
      </c>
      <c r="AI2457" t="n">
        <v>3</v>
      </c>
      <c r="AJ2457" t="n">
        <v>2</v>
      </c>
      <c r="AK2457" t="n">
        <v>2</v>
      </c>
      <c r="AL2457" t="n">
        <v>1</v>
      </c>
      <c r="AM2457" t="n">
        <v>1</v>
      </c>
      <c r="AN2457" t="n">
        <v>0</v>
      </c>
      <c r="AO2457" t="n">
        <v>0</v>
      </c>
      <c r="AP2457" t="inlineStr">
        <is>
          <t>Yes</t>
        </is>
      </c>
      <c r="AQ2457" t="inlineStr">
        <is>
          <t>No</t>
        </is>
      </c>
      <c r="AR2457">
        <f>HYPERLINK("http://catalog.hathitrust.org/Record/001259360","HathiTrust Record")</f>
        <v/>
      </c>
      <c r="AS2457">
        <f>HYPERLINK("https://creighton-primo.hosted.exlibrisgroup.com/primo-explore/search?tab=default_tab&amp;search_scope=EVERYTHING&amp;vid=01CRU&amp;lang=en_US&amp;offset=0&amp;query=any,contains,991004568799702656","Catalog Record")</f>
        <v/>
      </c>
      <c r="AT2457">
        <f>HYPERLINK("http://www.worldcat.org/oclc/4007734","WorldCat Record")</f>
        <v/>
      </c>
      <c r="AU2457" t="inlineStr">
        <is>
          <t>3372212169:eng</t>
        </is>
      </c>
      <c r="AV2457" t="inlineStr">
        <is>
          <t>4007734</t>
        </is>
      </c>
      <c r="AW2457" t="inlineStr">
        <is>
          <t>991004568799702656</t>
        </is>
      </c>
      <c r="AX2457" t="inlineStr">
        <is>
          <t>991004568799702656</t>
        </is>
      </c>
      <c r="AY2457" t="inlineStr">
        <is>
          <t>2265799710002656</t>
        </is>
      </c>
      <c r="AZ2457" t="inlineStr">
        <is>
          <t>BOOK</t>
        </is>
      </c>
      <c r="BC2457" t="inlineStr">
        <is>
          <t>32285000914795</t>
        </is>
      </c>
      <c r="BD2457" t="inlineStr">
        <is>
          <t>893500740</t>
        </is>
      </c>
    </row>
    <row r="2458">
      <c r="A2458" t="inlineStr">
        <is>
          <t>No</t>
        </is>
      </c>
      <c r="B2458" t="inlineStr">
        <is>
          <t>DS835 .H5</t>
        </is>
      </c>
      <c r="C2458" t="inlineStr">
        <is>
          <t>0                      DS 0835000H  5</t>
        </is>
      </c>
      <c r="D2458" t="inlineStr">
        <is>
          <t>Hildreth's "Japan as it was and is" : a handbook of old Japan / edited, with supplementary notes, by Ernest W. Clement ; introduction by Wm. Elliot Griffis.</t>
        </is>
      </c>
      <c r="E2458" t="inlineStr">
        <is>
          <t>V.1</t>
        </is>
      </c>
      <c r="F2458" t="inlineStr">
        <is>
          <t>Yes</t>
        </is>
      </c>
      <c r="G2458" t="inlineStr">
        <is>
          <t>1</t>
        </is>
      </c>
      <c r="H2458" t="inlineStr">
        <is>
          <t>No</t>
        </is>
      </c>
      <c r="I2458" t="inlineStr">
        <is>
          <t>No</t>
        </is>
      </c>
      <c r="J2458" t="inlineStr">
        <is>
          <t>0</t>
        </is>
      </c>
      <c r="K2458" t="inlineStr">
        <is>
          <t>Hildreth, Richard, 1807-1865.</t>
        </is>
      </c>
      <c r="L2458" t="inlineStr">
        <is>
          <t>Chicago : A. C. McClurg, 1906.</t>
        </is>
      </c>
      <c r="M2458" t="inlineStr">
        <is>
          <t>1906</t>
        </is>
      </c>
      <c r="O2458" t="inlineStr">
        <is>
          <t>eng</t>
        </is>
      </c>
      <c r="P2458" t="inlineStr">
        <is>
          <t>ilu</t>
        </is>
      </c>
      <c r="R2458" t="inlineStr">
        <is>
          <t xml:space="preserve">DS </t>
        </is>
      </c>
      <c r="S2458" t="n">
        <v>0</v>
      </c>
      <c r="T2458" t="n">
        <v>2</v>
      </c>
      <c r="V2458" t="inlineStr">
        <is>
          <t>1993-09-26</t>
        </is>
      </c>
      <c r="W2458" t="inlineStr">
        <is>
          <t>1997-03-14</t>
        </is>
      </c>
      <c r="X2458" t="inlineStr">
        <is>
          <t>1997-03-14</t>
        </is>
      </c>
      <c r="Y2458" t="n">
        <v>90</v>
      </c>
      <c r="Z2458" t="n">
        <v>85</v>
      </c>
      <c r="AA2458" t="n">
        <v>133</v>
      </c>
      <c r="AB2458" t="n">
        <v>2</v>
      </c>
      <c r="AC2458" t="n">
        <v>2</v>
      </c>
      <c r="AD2458" t="n">
        <v>5</v>
      </c>
      <c r="AE2458" t="n">
        <v>6</v>
      </c>
      <c r="AF2458" t="n">
        <v>1</v>
      </c>
      <c r="AG2458" t="n">
        <v>1</v>
      </c>
      <c r="AH2458" t="n">
        <v>2</v>
      </c>
      <c r="AI2458" t="n">
        <v>3</v>
      </c>
      <c r="AJ2458" t="n">
        <v>2</v>
      </c>
      <c r="AK2458" t="n">
        <v>2</v>
      </c>
      <c r="AL2458" t="n">
        <v>1</v>
      </c>
      <c r="AM2458" t="n">
        <v>1</v>
      </c>
      <c r="AN2458" t="n">
        <v>0</v>
      </c>
      <c r="AO2458" t="n">
        <v>0</v>
      </c>
      <c r="AP2458" t="inlineStr">
        <is>
          <t>Yes</t>
        </is>
      </c>
      <c r="AQ2458" t="inlineStr">
        <is>
          <t>No</t>
        </is>
      </c>
      <c r="AR2458">
        <f>HYPERLINK("http://catalog.hathitrust.org/Record/001259360","HathiTrust Record")</f>
        <v/>
      </c>
      <c r="AS2458">
        <f>HYPERLINK("https://creighton-primo.hosted.exlibrisgroup.com/primo-explore/search?tab=default_tab&amp;search_scope=EVERYTHING&amp;vid=01CRU&amp;lang=en_US&amp;offset=0&amp;query=any,contains,991004568799702656","Catalog Record")</f>
        <v/>
      </c>
      <c r="AT2458">
        <f>HYPERLINK("http://www.worldcat.org/oclc/4007734","WorldCat Record")</f>
        <v/>
      </c>
      <c r="AU2458" t="inlineStr">
        <is>
          <t>3372212169:eng</t>
        </is>
      </c>
      <c r="AV2458" t="inlineStr">
        <is>
          <t>4007734</t>
        </is>
      </c>
      <c r="AW2458" t="inlineStr">
        <is>
          <t>991004568799702656</t>
        </is>
      </c>
      <c r="AX2458" t="inlineStr">
        <is>
          <t>991004568799702656</t>
        </is>
      </c>
      <c r="AY2458" t="inlineStr">
        <is>
          <t>2265799710002656</t>
        </is>
      </c>
      <c r="AZ2458" t="inlineStr">
        <is>
          <t>BOOK</t>
        </is>
      </c>
      <c r="BC2458" t="inlineStr">
        <is>
          <t>32285002449006</t>
        </is>
      </c>
      <c r="BD2458" t="inlineStr">
        <is>
          <t>893536066</t>
        </is>
      </c>
    </row>
    <row r="2459">
      <c r="A2459" t="inlineStr">
        <is>
          <t>No</t>
        </is>
      </c>
      <c r="B2459" t="inlineStr">
        <is>
          <t>DS835 .K8 1967</t>
        </is>
      </c>
      <c r="C2459" t="inlineStr">
        <is>
          <t>0                      DS 0835000K  8           1967</t>
        </is>
      </c>
      <c r="D2459" t="inlineStr">
        <is>
          <t>Japanese expansion on the Asiatic continent : a study in the history of Japan with special reference to her international relations with China, Korea, and Russia.</t>
        </is>
      </c>
      <c r="E2459" t="inlineStr">
        <is>
          <t>V.1</t>
        </is>
      </c>
      <c r="F2459" t="inlineStr">
        <is>
          <t>Yes</t>
        </is>
      </c>
      <c r="G2459" t="inlineStr">
        <is>
          <t>1</t>
        </is>
      </c>
      <c r="H2459" t="inlineStr">
        <is>
          <t>No</t>
        </is>
      </c>
      <c r="I2459" t="inlineStr">
        <is>
          <t>No</t>
        </is>
      </c>
      <c r="J2459" t="inlineStr">
        <is>
          <t>0</t>
        </is>
      </c>
      <c r="K2459" t="inlineStr">
        <is>
          <t>Kuno, Yoshi S. (Yoshi Saburo), 1865-1941.</t>
        </is>
      </c>
      <c r="L2459" t="inlineStr">
        <is>
          <t>Port Washington, N.. : Kennikat Press, [1967, c1940]</t>
        </is>
      </c>
      <c r="M2459" t="inlineStr">
        <is>
          <t>1967</t>
        </is>
      </c>
      <c r="O2459" t="inlineStr">
        <is>
          <t>eng</t>
        </is>
      </c>
      <c r="P2459" t="inlineStr">
        <is>
          <t>nyu</t>
        </is>
      </c>
      <c r="R2459" t="inlineStr">
        <is>
          <t xml:space="preserve">DS </t>
        </is>
      </c>
      <c r="S2459" t="n">
        <v>3</v>
      </c>
      <c r="T2459" t="n">
        <v>4</v>
      </c>
      <c r="U2459" t="inlineStr">
        <is>
          <t>1995-05-08</t>
        </is>
      </c>
      <c r="V2459" t="inlineStr">
        <is>
          <t>1995-05-08</t>
        </is>
      </c>
      <c r="W2459" t="inlineStr">
        <is>
          <t>1995-03-21</t>
        </is>
      </c>
      <c r="X2459" t="inlineStr">
        <is>
          <t>1995-03-21</t>
        </is>
      </c>
      <c r="Y2459" t="n">
        <v>311</v>
      </c>
      <c r="Z2459" t="n">
        <v>285</v>
      </c>
      <c r="AA2459" t="n">
        <v>530</v>
      </c>
      <c r="AB2459" t="n">
        <v>2</v>
      </c>
      <c r="AC2459" t="n">
        <v>3</v>
      </c>
      <c r="AD2459" t="n">
        <v>8</v>
      </c>
      <c r="AE2459" t="n">
        <v>16</v>
      </c>
      <c r="AF2459" t="n">
        <v>2</v>
      </c>
      <c r="AG2459" t="n">
        <v>2</v>
      </c>
      <c r="AH2459" t="n">
        <v>1</v>
      </c>
      <c r="AI2459" t="n">
        <v>4</v>
      </c>
      <c r="AJ2459" t="n">
        <v>4</v>
      </c>
      <c r="AK2459" t="n">
        <v>10</v>
      </c>
      <c r="AL2459" t="n">
        <v>1</v>
      </c>
      <c r="AM2459" t="n">
        <v>2</v>
      </c>
      <c r="AN2459" t="n">
        <v>0</v>
      </c>
      <c r="AO2459" t="n">
        <v>0</v>
      </c>
      <c r="AP2459" t="inlineStr">
        <is>
          <t>No</t>
        </is>
      </c>
      <c r="AQ2459" t="inlineStr">
        <is>
          <t>Yes</t>
        </is>
      </c>
      <c r="AR2459">
        <f>HYPERLINK("http://catalog.hathitrust.org/Record/001259367","HathiTrust Record")</f>
        <v/>
      </c>
      <c r="AS2459">
        <f>HYPERLINK("https://creighton-primo.hosted.exlibrisgroup.com/primo-explore/search?tab=default_tab&amp;search_scope=EVERYTHING&amp;vid=01CRU&amp;lang=en_US&amp;offset=0&amp;query=any,contains,991003431509702656","Catalog Record")</f>
        <v/>
      </c>
      <c r="AT2459">
        <f>HYPERLINK("http://www.worldcat.org/oclc/966316","WorldCat Record")</f>
        <v/>
      </c>
      <c r="AU2459" t="inlineStr">
        <is>
          <t>1921154:eng</t>
        </is>
      </c>
      <c r="AV2459" t="inlineStr">
        <is>
          <t>966316</t>
        </is>
      </c>
      <c r="AW2459" t="inlineStr">
        <is>
          <t>991003431509702656</t>
        </is>
      </c>
      <c r="AX2459" t="inlineStr">
        <is>
          <t>991003431509702656</t>
        </is>
      </c>
      <c r="AY2459" t="inlineStr">
        <is>
          <t>2262115050002656</t>
        </is>
      </c>
      <c r="AZ2459" t="inlineStr">
        <is>
          <t>BOOK</t>
        </is>
      </c>
      <c r="BC2459" t="inlineStr">
        <is>
          <t>32285002013034</t>
        </is>
      </c>
      <c r="BD2459" t="inlineStr">
        <is>
          <t>893234157</t>
        </is>
      </c>
    </row>
    <row r="2460">
      <c r="A2460" t="inlineStr">
        <is>
          <t>No</t>
        </is>
      </c>
      <c r="B2460" t="inlineStr">
        <is>
          <t>DS835 .K8 1967</t>
        </is>
      </c>
      <c r="C2460" t="inlineStr">
        <is>
          <t>0                      DS 0835000K  8           1967</t>
        </is>
      </c>
      <c r="D2460" t="inlineStr">
        <is>
          <t>Japanese expansion on the Asiatic continent : a study in the history of Japan with special reference to her international relations with China, Korea, and Russia.</t>
        </is>
      </c>
      <c r="E2460" t="inlineStr">
        <is>
          <t>V.2</t>
        </is>
      </c>
      <c r="F2460" t="inlineStr">
        <is>
          <t>Yes</t>
        </is>
      </c>
      <c r="G2460" t="inlineStr">
        <is>
          <t>1</t>
        </is>
      </c>
      <c r="H2460" t="inlineStr">
        <is>
          <t>No</t>
        </is>
      </c>
      <c r="I2460" t="inlineStr">
        <is>
          <t>No</t>
        </is>
      </c>
      <c r="J2460" t="inlineStr">
        <is>
          <t>0</t>
        </is>
      </c>
      <c r="K2460" t="inlineStr">
        <is>
          <t>Kuno, Yoshi S. (Yoshi Saburo), 1865-1941.</t>
        </is>
      </c>
      <c r="L2460" t="inlineStr">
        <is>
          <t>Port Washington, N.. : Kennikat Press, [1967, c1940]</t>
        </is>
      </c>
      <c r="M2460" t="inlineStr">
        <is>
          <t>1967</t>
        </is>
      </c>
      <c r="O2460" t="inlineStr">
        <is>
          <t>eng</t>
        </is>
      </c>
      <c r="P2460" t="inlineStr">
        <is>
          <t>nyu</t>
        </is>
      </c>
      <c r="R2460" t="inlineStr">
        <is>
          <t xml:space="preserve">DS </t>
        </is>
      </c>
      <c r="S2460" t="n">
        <v>1</v>
      </c>
      <c r="T2460" t="n">
        <v>4</v>
      </c>
      <c r="V2460" t="inlineStr">
        <is>
          <t>1995-05-08</t>
        </is>
      </c>
      <c r="W2460" t="inlineStr">
        <is>
          <t>1995-03-21</t>
        </is>
      </c>
      <c r="X2460" t="inlineStr">
        <is>
          <t>1995-03-21</t>
        </is>
      </c>
      <c r="Y2460" t="n">
        <v>311</v>
      </c>
      <c r="Z2460" t="n">
        <v>285</v>
      </c>
      <c r="AA2460" t="n">
        <v>530</v>
      </c>
      <c r="AB2460" t="n">
        <v>2</v>
      </c>
      <c r="AC2460" t="n">
        <v>3</v>
      </c>
      <c r="AD2460" t="n">
        <v>8</v>
      </c>
      <c r="AE2460" t="n">
        <v>16</v>
      </c>
      <c r="AF2460" t="n">
        <v>2</v>
      </c>
      <c r="AG2460" t="n">
        <v>2</v>
      </c>
      <c r="AH2460" t="n">
        <v>1</v>
      </c>
      <c r="AI2460" t="n">
        <v>4</v>
      </c>
      <c r="AJ2460" t="n">
        <v>4</v>
      </c>
      <c r="AK2460" t="n">
        <v>10</v>
      </c>
      <c r="AL2460" t="n">
        <v>1</v>
      </c>
      <c r="AM2460" t="n">
        <v>2</v>
      </c>
      <c r="AN2460" t="n">
        <v>0</v>
      </c>
      <c r="AO2460" t="n">
        <v>0</v>
      </c>
      <c r="AP2460" t="inlineStr">
        <is>
          <t>No</t>
        </is>
      </c>
      <c r="AQ2460" t="inlineStr">
        <is>
          <t>Yes</t>
        </is>
      </c>
      <c r="AR2460">
        <f>HYPERLINK("http://catalog.hathitrust.org/Record/001259367","HathiTrust Record")</f>
        <v/>
      </c>
      <c r="AS2460">
        <f>HYPERLINK("https://creighton-primo.hosted.exlibrisgroup.com/primo-explore/search?tab=default_tab&amp;search_scope=EVERYTHING&amp;vid=01CRU&amp;lang=en_US&amp;offset=0&amp;query=any,contains,991003431509702656","Catalog Record")</f>
        <v/>
      </c>
      <c r="AT2460">
        <f>HYPERLINK("http://www.worldcat.org/oclc/966316","WorldCat Record")</f>
        <v/>
      </c>
      <c r="AU2460" t="inlineStr">
        <is>
          <t>1921154:eng</t>
        </is>
      </c>
      <c r="AV2460" t="inlineStr">
        <is>
          <t>966316</t>
        </is>
      </c>
      <c r="AW2460" t="inlineStr">
        <is>
          <t>991003431509702656</t>
        </is>
      </c>
      <c r="AX2460" t="inlineStr">
        <is>
          <t>991003431509702656</t>
        </is>
      </c>
      <c r="AY2460" t="inlineStr">
        <is>
          <t>2262115050002656</t>
        </is>
      </c>
      <c r="AZ2460" t="inlineStr">
        <is>
          <t>BOOK</t>
        </is>
      </c>
      <c r="BC2460" t="inlineStr">
        <is>
          <t>32285002013042</t>
        </is>
      </c>
      <c r="BD2460" t="inlineStr">
        <is>
          <t>893228050</t>
        </is>
      </c>
    </row>
    <row r="2461">
      <c r="A2461" t="inlineStr">
        <is>
          <t>No</t>
        </is>
      </c>
      <c r="B2461" t="inlineStr">
        <is>
          <t>DS835 .M4</t>
        </is>
      </c>
      <c r="C2461" t="inlineStr">
        <is>
          <t>0                      DS 0835000M  4</t>
        </is>
      </c>
      <c r="D2461" t="inlineStr">
        <is>
          <t>Japan, a concise history / [by] Milton W. Meyer.</t>
        </is>
      </c>
      <c r="F2461" t="inlineStr">
        <is>
          <t>No</t>
        </is>
      </c>
      <c r="G2461" t="inlineStr">
        <is>
          <t>1</t>
        </is>
      </c>
      <c r="H2461" t="inlineStr">
        <is>
          <t>No</t>
        </is>
      </c>
      <c r="I2461" t="inlineStr">
        <is>
          <t>No</t>
        </is>
      </c>
      <c r="J2461" t="inlineStr">
        <is>
          <t>0</t>
        </is>
      </c>
      <c r="K2461" t="inlineStr">
        <is>
          <t>Meyer, Milton Walter.</t>
        </is>
      </c>
      <c r="L2461" t="inlineStr">
        <is>
          <t>Boston : Allyn and Bacon, 1966.</t>
        </is>
      </c>
      <c r="M2461" t="inlineStr">
        <is>
          <t>1966</t>
        </is>
      </c>
      <c r="O2461" t="inlineStr">
        <is>
          <t>eng</t>
        </is>
      </c>
      <c r="P2461" t="inlineStr">
        <is>
          <t>mau</t>
        </is>
      </c>
      <c r="R2461" t="inlineStr">
        <is>
          <t xml:space="preserve">DS </t>
        </is>
      </c>
      <c r="S2461" t="n">
        <v>2</v>
      </c>
      <c r="T2461" t="n">
        <v>2</v>
      </c>
      <c r="U2461" t="inlineStr">
        <is>
          <t>1994-02-25</t>
        </is>
      </c>
      <c r="V2461" t="inlineStr">
        <is>
          <t>1994-02-25</t>
        </is>
      </c>
      <c r="W2461" t="inlineStr">
        <is>
          <t>1993-09-14</t>
        </is>
      </c>
      <c r="X2461" t="inlineStr">
        <is>
          <t>1993-09-14</t>
        </is>
      </c>
      <c r="Y2461" t="n">
        <v>454</v>
      </c>
      <c r="Z2461" t="n">
        <v>415</v>
      </c>
      <c r="AA2461" t="n">
        <v>1651</v>
      </c>
      <c r="AB2461" t="n">
        <v>4</v>
      </c>
      <c r="AC2461" t="n">
        <v>16</v>
      </c>
      <c r="AD2461" t="n">
        <v>15</v>
      </c>
      <c r="AE2461" t="n">
        <v>56</v>
      </c>
      <c r="AF2461" t="n">
        <v>4</v>
      </c>
      <c r="AG2461" t="n">
        <v>19</v>
      </c>
      <c r="AH2461" t="n">
        <v>5</v>
      </c>
      <c r="AI2461" t="n">
        <v>11</v>
      </c>
      <c r="AJ2461" t="n">
        <v>7</v>
      </c>
      <c r="AK2461" t="n">
        <v>22</v>
      </c>
      <c r="AL2461" t="n">
        <v>3</v>
      </c>
      <c r="AM2461" t="n">
        <v>13</v>
      </c>
      <c r="AN2461" t="n">
        <v>0</v>
      </c>
      <c r="AO2461" t="n">
        <v>2</v>
      </c>
      <c r="AP2461" t="inlineStr">
        <is>
          <t>No</t>
        </is>
      </c>
      <c r="AQ2461" t="inlineStr">
        <is>
          <t>Yes</t>
        </is>
      </c>
      <c r="AR2461">
        <f>HYPERLINK("http://catalog.hathitrust.org/Record/001259373","HathiTrust Record")</f>
        <v/>
      </c>
      <c r="AS2461">
        <f>HYPERLINK("https://creighton-primo.hosted.exlibrisgroup.com/primo-explore/search?tab=default_tab&amp;search_scope=EVERYTHING&amp;vid=01CRU&amp;lang=en_US&amp;offset=0&amp;query=any,contains,991002722479702656","Catalog Record")</f>
        <v/>
      </c>
      <c r="AT2461">
        <f>HYPERLINK("http://www.worldcat.org/oclc/413106","WorldCat Record")</f>
        <v/>
      </c>
      <c r="AU2461" t="inlineStr">
        <is>
          <t>1464955:eng</t>
        </is>
      </c>
      <c r="AV2461" t="inlineStr">
        <is>
          <t>413106</t>
        </is>
      </c>
      <c r="AW2461" t="inlineStr">
        <is>
          <t>991002722479702656</t>
        </is>
      </c>
      <c r="AX2461" t="inlineStr">
        <is>
          <t>991002722479702656</t>
        </is>
      </c>
      <c r="AY2461" t="inlineStr">
        <is>
          <t>2268286540002656</t>
        </is>
      </c>
      <c r="AZ2461" t="inlineStr">
        <is>
          <t>BOOK</t>
        </is>
      </c>
      <c r="BC2461" t="inlineStr">
        <is>
          <t>32285001770394</t>
        </is>
      </c>
      <c r="BD2461" t="inlineStr">
        <is>
          <t>893873906</t>
        </is>
      </c>
    </row>
    <row r="2462">
      <c r="A2462" t="inlineStr">
        <is>
          <t>No</t>
        </is>
      </c>
      <c r="B2462" t="inlineStr">
        <is>
          <t>DS835 .R4 1990</t>
        </is>
      </c>
      <c r="C2462" t="inlineStr">
        <is>
          <t>0                      DS 0835000R  4           1990</t>
        </is>
      </c>
      <c r="D2462" t="inlineStr">
        <is>
          <t>Japan : the story of a nation / Edwin O. Reischauer.</t>
        </is>
      </c>
      <c r="F2462" t="inlineStr">
        <is>
          <t>No</t>
        </is>
      </c>
      <c r="G2462" t="inlineStr">
        <is>
          <t>1</t>
        </is>
      </c>
      <c r="H2462" t="inlineStr">
        <is>
          <t>No</t>
        </is>
      </c>
      <c r="I2462" t="inlineStr">
        <is>
          <t>No</t>
        </is>
      </c>
      <c r="J2462" t="inlineStr">
        <is>
          <t>0</t>
        </is>
      </c>
      <c r="K2462" t="inlineStr">
        <is>
          <t>Reischauer, Edwin O. (Edwin Oldfather), 1910-1990.</t>
        </is>
      </c>
      <c r="L2462" t="inlineStr">
        <is>
          <t>New York : McGraw-Hill, c1990.</t>
        </is>
      </c>
      <c r="M2462" t="inlineStr">
        <is>
          <t>1990</t>
        </is>
      </c>
      <c r="N2462" t="inlineStr">
        <is>
          <t>4th ed.</t>
        </is>
      </c>
      <c r="O2462" t="inlineStr">
        <is>
          <t>eng</t>
        </is>
      </c>
      <c r="P2462" t="inlineStr">
        <is>
          <t>nyu</t>
        </is>
      </c>
      <c r="R2462" t="inlineStr">
        <is>
          <t xml:space="preserve">DS </t>
        </is>
      </c>
      <c r="S2462" t="n">
        <v>21</v>
      </c>
      <c r="T2462" t="n">
        <v>21</v>
      </c>
      <c r="U2462" t="inlineStr">
        <is>
          <t>2000-12-05</t>
        </is>
      </c>
      <c r="V2462" t="inlineStr">
        <is>
          <t>2000-12-05</t>
        </is>
      </c>
      <c r="W2462" t="inlineStr">
        <is>
          <t>1990-04-24</t>
        </is>
      </c>
      <c r="X2462" t="inlineStr">
        <is>
          <t>1990-04-24</t>
        </is>
      </c>
      <c r="Y2462" t="n">
        <v>376</v>
      </c>
      <c r="Z2462" t="n">
        <v>281</v>
      </c>
      <c r="AA2462" t="n">
        <v>1786</v>
      </c>
      <c r="AB2462" t="n">
        <v>3</v>
      </c>
      <c r="AC2462" t="n">
        <v>15</v>
      </c>
      <c r="AD2462" t="n">
        <v>11</v>
      </c>
      <c r="AE2462" t="n">
        <v>52</v>
      </c>
      <c r="AF2462" t="n">
        <v>5</v>
      </c>
      <c r="AG2462" t="n">
        <v>19</v>
      </c>
      <c r="AH2462" t="n">
        <v>3</v>
      </c>
      <c r="AI2462" t="n">
        <v>8</v>
      </c>
      <c r="AJ2462" t="n">
        <v>5</v>
      </c>
      <c r="AK2462" t="n">
        <v>24</v>
      </c>
      <c r="AL2462" t="n">
        <v>2</v>
      </c>
      <c r="AM2462" t="n">
        <v>11</v>
      </c>
      <c r="AN2462" t="n">
        <v>0</v>
      </c>
      <c r="AO2462" t="n">
        <v>0</v>
      </c>
      <c r="AP2462" t="inlineStr">
        <is>
          <t>No</t>
        </is>
      </c>
      <c r="AQ2462" t="inlineStr">
        <is>
          <t>Yes</t>
        </is>
      </c>
      <c r="AR2462">
        <f>HYPERLINK("http://catalog.hathitrust.org/Record/002976864","HathiTrust Record")</f>
        <v/>
      </c>
      <c r="AS2462">
        <f>HYPERLINK("https://creighton-primo.hosted.exlibrisgroup.com/primo-explore/search?tab=default_tab&amp;search_scope=EVERYTHING&amp;vid=01CRU&amp;lang=en_US&amp;offset=0&amp;query=any,contains,991001521759702656","Catalog Record")</f>
        <v/>
      </c>
      <c r="AT2462">
        <f>HYPERLINK("http://www.worldcat.org/oclc/19981223","WorldCat Record")</f>
        <v/>
      </c>
      <c r="AU2462" t="inlineStr">
        <is>
          <t>3887471066:eng</t>
        </is>
      </c>
      <c r="AV2462" t="inlineStr">
        <is>
          <t>19981223</t>
        </is>
      </c>
      <c r="AW2462" t="inlineStr">
        <is>
          <t>991001521759702656</t>
        </is>
      </c>
      <c r="AX2462" t="inlineStr">
        <is>
          <t>991001521759702656</t>
        </is>
      </c>
      <c r="AY2462" t="inlineStr">
        <is>
          <t>2259830800002656</t>
        </is>
      </c>
      <c r="AZ2462" t="inlineStr">
        <is>
          <t>BOOK</t>
        </is>
      </c>
      <c r="BB2462" t="inlineStr">
        <is>
          <t>9780075570745</t>
        </is>
      </c>
      <c r="BC2462" t="inlineStr">
        <is>
          <t>32285000115682</t>
        </is>
      </c>
      <c r="BD2462" t="inlineStr">
        <is>
          <t>893414291</t>
        </is>
      </c>
    </row>
    <row r="2463">
      <c r="A2463" t="inlineStr">
        <is>
          <t>No</t>
        </is>
      </c>
      <c r="B2463" t="inlineStr">
        <is>
          <t>DS835 .T58</t>
        </is>
      </c>
      <c r="C2463" t="inlineStr">
        <is>
          <t>0                      DS 0835000T  58</t>
        </is>
      </c>
      <c r="D2463" t="inlineStr">
        <is>
          <t>Japan before Perry : a short history / Conrad Totman.</t>
        </is>
      </c>
      <c r="F2463" t="inlineStr">
        <is>
          <t>No</t>
        </is>
      </c>
      <c r="G2463" t="inlineStr">
        <is>
          <t>1</t>
        </is>
      </c>
      <c r="H2463" t="inlineStr">
        <is>
          <t>No</t>
        </is>
      </c>
      <c r="I2463" t="inlineStr">
        <is>
          <t>No</t>
        </is>
      </c>
      <c r="J2463" t="inlineStr">
        <is>
          <t>0</t>
        </is>
      </c>
      <c r="K2463" t="inlineStr">
        <is>
          <t>Totman, Conrad D.</t>
        </is>
      </c>
      <c r="L2463" t="inlineStr">
        <is>
          <t>Berkeley : University of California Press, c1981.</t>
        </is>
      </c>
      <c r="M2463" t="inlineStr">
        <is>
          <t>1981</t>
        </is>
      </c>
      <c r="O2463" t="inlineStr">
        <is>
          <t>eng</t>
        </is>
      </c>
      <c r="P2463" t="inlineStr">
        <is>
          <t>cau</t>
        </is>
      </c>
      <c r="R2463" t="inlineStr">
        <is>
          <t xml:space="preserve">DS </t>
        </is>
      </c>
      <c r="S2463" t="n">
        <v>13</v>
      </c>
      <c r="T2463" t="n">
        <v>13</v>
      </c>
      <c r="U2463" t="inlineStr">
        <is>
          <t>2004-12-08</t>
        </is>
      </c>
      <c r="V2463" t="inlineStr">
        <is>
          <t>2004-12-08</t>
        </is>
      </c>
      <c r="W2463" t="inlineStr">
        <is>
          <t>1990-10-30</t>
        </is>
      </c>
      <c r="X2463" t="inlineStr">
        <is>
          <t>1990-10-30</t>
        </is>
      </c>
      <c r="Y2463" t="n">
        <v>989</v>
      </c>
      <c r="Z2463" t="n">
        <v>816</v>
      </c>
      <c r="AA2463" t="n">
        <v>853</v>
      </c>
      <c r="AB2463" t="n">
        <v>7</v>
      </c>
      <c r="AC2463" t="n">
        <v>7</v>
      </c>
      <c r="AD2463" t="n">
        <v>31</v>
      </c>
      <c r="AE2463" t="n">
        <v>36</v>
      </c>
      <c r="AF2463" t="n">
        <v>14</v>
      </c>
      <c r="AG2463" t="n">
        <v>16</v>
      </c>
      <c r="AH2463" t="n">
        <v>7</v>
      </c>
      <c r="AI2463" t="n">
        <v>10</v>
      </c>
      <c r="AJ2463" t="n">
        <v>14</v>
      </c>
      <c r="AK2463" t="n">
        <v>17</v>
      </c>
      <c r="AL2463" t="n">
        <v>5</v>
      </c>
      <c r="AM2463" t="n">
        <v>5</v>
      </c>
      <c r="AN2463" t="n">
        <v>0</v>
      </c>
      <c r="AO2463" t="n">
        <v>0</v>
      </c>
      <c r="AP2463" t="inlineStr">
        <is>
          <t>No</t>
        </is>
      </c>
      <c r="AQ2463" t="inlineStr">
        <is>
          <t>No</t>
        </is>
      </c>
      <c r="AS2463">
        <f>HYPERLINK("https://creighton-primo.hosted.exlibrisgroup.com/primo-explore/search?tab=default_tab&amp;search_scope=EVERYTHING&amp;vid=01CRU&amp;lang=en_US&amp;offset=0&amp;query=any,contains,991004954859702656","Catalog Record")</f>
        <v/>
      </c>
      <c r="AT2463">
        <f>HYPERLINK("http://www.worldcat.org/oclc/6277572","WorldCat Record")</f>
        <v/>
      </c>
      <c r="AU2463" t="inlineStr">
        <is>
          <t>197495403:eng</t>
        </is>
      </c>
      <c r="AV2463" t="inlineStr">
        <is>
          <t>6277572</t>
        </is>
      </c>
      <c r="AW2463" t="inlineStr">
        <is>
          <t>991004954859702656</t>
        </is>
      </c>
      <c r="AX2463" t="inlineStr">
        <is>
          <t>991004954859702656</t>
        </is>
      </c>
      <c r="AY2463" t="inlineStr">
        <is>
          <t>2268777560002656</t>
        </is>
      </c>
      <c r="AZ2463" t="inlineStr">
        <is>
          <t>BOOK</t>
        </is>
      </c>
      <c r="BB2463" t="inlineStr">
        <is>
          <t>9780520041325</t>
        </is>
      </c>
      <c r="BC2463" t="inlineStr">
        <is>
          <t>32285000370188</t>
        </is>
      </c>
      <c r="BD2463" t="inlineStr">
        <is>
          <t>893606632</t>
        </is>
      </c>
    </row>
    <row r="2464">
      <c r="A2464" t="inlineStr">
        <is>
          <t>No</t>
        </is>
      </c>
      <c r="B2464" t="inlineStr">
        <is>
          <t>DS836 .T8</t>
        </is>
      </c>
      <c r="C2464" t="inlineStr">
        <is>
          <t>0                      DS 0836000T  8</t>
        </is>
      </c>
      <c r="D2464" t="inlineStr">
        <is>
          <t>Present day Japan / by Yusuke Tsurumi.</t>
        </is>
      </c>
      <c r="F2464" t="inlineStr">
        <is>
          <t>No</t>
        </is>
      </c>
      <c r="G2464" t="inlineStr">
        <is>
          <t>1</t>
        </is>
      </c>
      <c r="H2464" t="inlineStr">
        <is>
          <t>No</t>
        </is>
      </c>
      <c r="I2464" t="inlineStr">
        <is>
          <t>No</t>
        </is>
      </c>
      <c r="J2464" t="inlineStr">
        <is>
          <t>0</t>
        </is>
      </c>
      <c r="K2464" t="inlineStr">
        <is>
          <t>Tsurumi, Yūsuke, 1885-1973.</t>
        </is>
      </c>
      <c r="L2464" t="inlineStr">
        <is>
          <t>New York : Columbia University Press, 1926.</t>
        </is>
      </c>
      <c r="M2464" t="inlineStr">
        <is>
          <t>1926</t>
        </is>
      </c>
      <c r="O2464" t="inlineStr">
        <is>
          <t>eng</t>
        </is>
      </c>
      <c r="P2464" t="inlineStr">
        <is>
          <t>nyu</t>
        </is>
      </c>
      <c r="R2464" t="inlineStr">
        <is>
          <t xml:space="preserve">DS </t>
        </is>
      </c>
      <c r="S2464" t="n">
        <v>7</v>
      </c>
      <c r="T2464" t="n">
        <v>7</v>
      </c>
      <c r="U2464" t="inlineStr">
        <is>
          <t>2000-04-02</t>
        </is>
      </c>
      <c r="V2464" t="inlineStr">
        <is>
          <t>2000-04-02</t>
        </is>
      </c>
      <c r="W2464" t="inlineStr">
        <is>
          <t>1995-12-07</t>
        </is>
      </c>
      <c r="X2464" t="inlineStr">
        <is>
          <t>1995-12-07</t>
        </is>
      </c>
      <c r="Y2464" t="n">
        <v>306</v>
      </c>
      <c r="Z2464" t="n">
        <v>273</v>
      </c>
      <c r="AA2464" t="n">
        <v>350</v>
      </c>
      <c r="AB2464" t="n">
        <v>4</v>
      </c>
      <c r="AC2464" t="n">
        <v>4</v>
      </c>
      <c r="AD2464" t="n">
        <v>17</v>
      </c>
      <c r="AE2464" t="n">
        <v>18</v>
      </c>
      <c r="AF2464" t="n">
        <v>4</v>
      </c>
      <c r="AG2464" t="n">
        <v>5</v>
      </c>
      <c r="AH2464" t="n">
        <v>4</v>
      </c>
      <c r="AI2464" t="n">
        <v>4</v>
      </c>
      <c r="AJ2464" t="n">
        <v>9</v>
      </c>
      <c r="AK2464" t="n">
        <v>9</v>
      </c>
      <c r="AL2464" t="n">
        <v>3</v>
      </c>
      <c r="AM2464" t="n">
        <v>3</v>
      </c>
      <c r="AN2464" t="n">
        <v>0</v>
      </c>
      <c r="AO2464" t="n">
        <v>0</v>
      </c>
      <c r="AP2464" t="inlineStr">
        <is>
          <t>Yes</t>
        </is>
      </c>
      <c r="AQ2464" t="inlineStr">
        <is>
          <t>No</t>
        </is>
      </c>
      <c r="AR2464">
        <f>HYPERLINK("http://catalog.hathitrust.org/Record/006574490","HathiTrust Record")</f>
        <v/>
      </c>
      <c r="AS2464">
        <f>HYPERLINK("https://creighton-primo.hosted.exlibrisgroup.com/primo-explore/search?tab=default_tab&amp;search_scope=EVERYTHING&amp;vid=01CRU&amp;lang=en_US&amp;offset=0&amp;query=any,contains,991003568719702656","Catalog Record")</f>
        <v/>
      </c>
      <c r="AT2464">
        <f>HYPERLINK("http://www.worldcat.org/oclc/1143170","WorldCat Record")</f>
        <v/>
      </c>
      <c r="AU2464" t="inlineStr">
        <is>
          <t>2065611:eng</t>
        </is>
      </c>
      <c r="AV2464" t="inlineStr">
        <is>
          <t>1143170</t>
        </is>
      </c>
      <c r="AW2464" t="inlineStr">
        <is>
          <t>991003568719702656</t>
        </is>
      </c>
      <c r="AX2464" t="inlineStr">
        <is>
          <t>991003568719702656</t>
        </is>
      </c>
      <c r="AY2464" t="inlineStr">
        <is>
          <t>2260768110002656</t>
        </is>
      </c>
      <c r="AZ2464" t="inlineStr">
        <is>
          <t>BOOK</t>
        </is>
      </c>
      <c r="BC2464" t="inlineStr">
        <is>
          <t>32285002110889</t>
        </is>
      </c>
      <c r="BD2464" t="inlineStr">
        <is>
          <t>893499438</t>
        </is>
      </c>
    </row>
    <row r="2465">
      <c r="A2465" t="inlineStr">
        <is>
          <t>No</t>
        </is>
      </c>
      <c r="B2465" t="inlineStr">
        <is>
          <t>DS838.5 .F37 1995</t>
        </is>
      </c>
      <c r="C2465" t="inlineStr">
        <is>
          <t>0                      DS 0838500F  37          1995</t>
        </is>
      </c>
      <c r="D2465" t="inlineStr">
        <is>
          <t>Heavenly warriors : the evolution of Japan's military, 500-1300 / William Wayne Farris.</t>
        </is>
      </c>
      <c r="F2465" t="inlineStr">
        <is>
          <t>No</t>
        </is>
      </c>
      <c r="G2465" t="inlineStr">
        <is>
          <t>1</t>
        </is>
      </c>
      <c r="H2465" t="inlineStr">
        <is>
          <t>No</t>
        </is>
      </c>
      <c r="I2465" t="inlineStr">
        <is>
          <t>No</t>
        </is>
      </c>
      <c r="J2465" t="inlineStr">
        <is>
          <t>0</t>
        </is>
      </c>
      <c r="K2465" t="inlineStr">
        <is>
          <t>Farris, William Wayne.</t>
        </is>
      </c>
      <c r="L2465" t="inlineStr">
        <is>
          <t>Cambridge, Mass. : Council on East Asian Studies, Harvard University : Distributed by the Harvard University Press, 1995, 1992.</t>
        </is>
      </c>
      <c r="M2465" t="inlineStr">
        <is>
          <t>1995</t>
        </is>
      </c>
      <c r="O2465" t="inlineStr">
        <is>
          <t>eng</t>
        </is>
      </c>
      <c r="P2465" t="inlineStr">
        <is>
          <t>mau</t>
        </is>
      </c>
      <c r="Q2465" t="inlineStr">
        <is>
          <t>Harvard East Asian monographs ; 157</t>
        </is>
      </c>
      <c r="R2465" t="inlineStr">
        <is>
          <t xml:space="preserve">DS </t>
        </is>
      </c>
      <c r="S2465" t="n">
        <v>3</v>
      </c>
      <c r="T2465" t="n">
        <v>3</v>
      </c>
      <c r="U2465" t="inlineStr">
        <is>
          <t>2007-11-13</t>
        </is>
      </c>
      <c r="V2465" t="inlineStr">
        <is>
          <t>2007-11-13</t>
        </is>
      </c>
      <c r="W2465" t="inlineStr">
        <is>
          <t>2007-08-27</t>
        </is>
      </c>
      <c r="X2465" t="inlineStr">
        <is>
          <t>2007-08-27</t>
        </is>
      </c>
      <c r="Y2465" t="n">
        <v>109</v>
      </c>
      <c r="Z2465" t="n">
        <v>89</v>
      </c>
      <c r="AA2465" t="n">
        <v>462</v>
      </c>
      <c r="AB2465" t="n">
        <v>3</v>
      </c>
      <c r="AC2465" t="n">
        <v>4</v>
      </c>
      <c r="AD2465" t="n">
        <v>10</v>
      </c>
      <c r="AE2465" t="n">
        <v>30</v>
      </c>
      <c r="AF2465" t="n">
        <v>3</v>
      </c>
      <c r="AG2465" t="n">
        <v>15</v>
      </c>
      <c r="AH2465" t="n">
        <v>4</v>
      </c>
      <c r="AI2465" t="n">
        <v>8</v>
      </c>
      <c r="AJ2465" t="n">
        <v>3</v>
      </c>
      <c r="AK2465" t="n">
        <v>12</v>
      </c>
      <c r="AL2465" t="n">
        <v>2</v>
      </c>
      <c r="AM2465" t="n">
        <v>3</v>
      </c>
      <c r="AN2465" t="n">
        <v>0</v>
      </c>
      <c r="AO2465" t="n">
        <v>0</v>
      </c>
      <c r="AP2465" t="inlineStr">
        <is>
          <t>No</t>
        </is>
      </c>
      <c r="AQ2465" t="inlineStr">
        <is>
          <t>No</t>
        </is>
      </c>
      <c r="AS2465">
        <f>HYPERLINK("https://creighton-primo.hosted.exlibrisgroup.com/primo-explore/search?tab=default_tab&amp;search_scope=EVERYTHING&amp;vid=01CRU&amp;lang=en_US&amp;offset=0&amp;query=any,contains,991005106099702656","Catalog Record")</f>
        <v/>
      </c>
      <c r="AT2465">
        <f>HYPERLINK("http://www.worldcat.org/oclc/35954626","WorldCat Record")</f>
        <v/>
      </c>
      <c r="AU2465" t="inlineStr">
        <is>
          <t>28626479:eng</t>
        </is>
      </c>
      <c r="AV2465" t="inlineStr">
        <is>
          <t>35954626</t>
        </is>
      </c>
      <c r="AW2465" t="inlineStr">
        <is>
          <t>991005106099702656</t>
        </is>
      </c>
      <c r="AX2465" t="inlineStr">
        <is>
          <t>991005106099702656</t>
        </is>
      </c>
      <c r="AY2465" t="inlineStr">
        <is>
          <t>2269450200002656</t>
        </is>
      </c>
      <c r="AZ2465" t="inlineStr">
        <is>
          <t>BOOK</t>
        </is>
      </c>
      <c r="BB2465" t="inlineStr">
        <is>
          <t>9780674387041</t>
        </is>
      </c>
      <c r="BC2465" t="inlineStr">
        <is>
          <t>32285005322721</t>
        </is>
      </c>
      <c r="BD2465" t="inlineStr">
        <is>
          <t>893526910</t>
        </is>
      </c>
    </row>
    <row r="2466">
      <c r="A2466" t="inlineStr">
        <is>
          <t>No</t>
        </is>
      </c>
      <c r="B2466" t="inlineStr">
        <is>
          <t>DS838.5 .F75 1992</t>
        </is>
      </c>
      <c r="C2466" t="inlineStr">
        <is>
          <t>0                      DS 0838500F  75          1992</t>
        </is>
      </c>
      <c r="D2466" t="inlineStr">
        <is>
          <t>Hired swords : the rise of private warrior power in early Japan / Karl F. Friday.</t>
        </is>
      </c>
      <c r="F2466" t="inlineStr">
        <is>
          <t>No</t>
        </is>
      </c>
      <c r="G2466" t="inlineStr">
        <is>
          <t>1</t>
        </is>
      </c>
      <c r="H2466" t="inlineStr">
        <is>
          <t>No</t>
        </is>
      </c>
      <c r="I2466" t="inlineStr">
        <is>
          <t>No</t>
        </is>
      </c>
      <c r="J2466" t="inlineStr">
        <is>
          <t>0</t>
        </is>
      </c>
      <c r="K2466" t="inlineStr">
        <is>
          <t>Friday, Karl F.</t>
        </is>
      </c>
      <c r="L2466" t="inlineStr">
        <is>
          <t>Stanford, Calif. : Stanford University Press, c1992.</t>
        </is>
      </c>
      <c r="M2466" t="inlineStr">
        <is>
          <t>1992</t>
        </is>
      </c>
      <c r="O2466" t="inlineStr">
        <is>
          <t>eng</t>
        </is>
      </c>
      <c r="P2466" t="inlineStr">
        <is>
          <t>cau</t>
        </is>
      </c>
      <c r="R2466" t="inlineStr">
        <is>
          <t xml:space="preserve">DS </t>
        </is>
      </c>
      <c r="S2466" t="n">
        <v>3</v>
      </c>
      <c r="T2466" t="n">
        <v>3</v>
      </c>
      <c r="U2466" t="inlineStr">
        <is>
          <t>2007-11-13</t>
        </is>
      </c>
      <c r="V2466" t="inlineStr">
        <is>
          <t>2007-11-13</t>
        </is>
      </c>
      <c r="W2466" t="inlineStr">
        <is>
          <t>2007-08-27</t>
        </is>
      </c>
      <c r="X2466" t="inlineStr">
        <is>
          <t>2007-08-27</t>
        </is>
      </c>
      <c r="Y2466" t="n">
        <v>491</v>
      </c>
      <c r="Z2466" t="n">
        <v>394</v>
      </c>
      <c r="AA2466" t="n">
        <v>396</v>
      </c>
      <c r="AB2466" t="n">
        <v>3</v>
      </c>
      <c r="AC2466" t="n">
        <v>3</v>
      </c>
      <c r="AD2466" t="n">
        <v>24</v>
      </c>
      <c r="AE2466" t="n">
        <v>24</v>
      </c>
      <c r="AF2466" t="n">
        <v>11</v>
      </c>
      <c r="AG2466" t="n">
        <v>11</v>
      </c>
      <c r="AH2466" t="n">
        <v>6</v>
      </c>
      <c r="AI2466" t="n">
        <v>6</v>
      </c>
      <c r="AJ2466" t="n">
        <v>13</v>
      </c>
      <c r="AK2466" t="n">
        <v>13</v>
      </c>
      <c r="AL2466" t="n">
        <v>2</v>
      </c>
      <c r="AM2466" t="n">
        <v>2</v>
      </c>
      <c r="AN2466" t="n">
        <v>0</v>
      </c>
      <c r="AO2466" t="n">
        <v>0</v>
      </c>
      <c r="AP2466" t="inlineStr">
        <is>
          <t>No</t>
        </is>
      </c>
      <c r="AQ2466" t="inlineStr">
        <is>
          <t>No</t>
        </is>
      </c>
      <c r="AS2466">
        <f>HYPERLINK("https://creighton-primo.hosted.exlibrisgroup.com/primo-explore/search?tab=default_tab&amp;search_scope=EVERYTHING&amp;vid=01CRU&amp;lang=en_US&amp;offset=0&amp;query=any,contains,991005106159702656","Catalog Record")</f>
        <v/>
      </c>
      <c r="AT2466">
        <f>HYPERLINK("http://www.worldcat.org/oclc/24143919","WorldCat Record")</f>
        <v/>
      </c>
      <c r="AU2466" t="inlineStr">
        <is>
          <t>26154182:eng</t>
        </is>
      </c>
      <c r="AV2466" t="inlineStr">
        <is>
          <t>24143919</t>
        </is>
      </c>
      <c r="AW2466" t="inlineStr">
        <is>
          <t>991005106159702656</t>
        </is>
      </c>
      <c r="AX2466" t="inlineStr">
        <is>
          <t>991005106159702656</t>
        </is>
      </c>
      <c r="AY2466" t="inlineStr">
        <is>
          <t>2266331190002656</t>
        </is>
      </c>
      <c r="AZ2466" t="inlineStr">
        <is>
          <t>BOOK</t>
        </is>
      </c>
      <c r="BB2466" t="inlineStr">
        <is>
          <t>9780804719780</t>
        </is>
      </c>
      <c r="BC2466" t="inlineStr">
        <is>
          <t>32285005322713</t>
        </is>
      </c>
      <c r="BD2466" t="inlineStr">
        <is>
          <t>893320028</t>
        </is>
      </c>
    </row>
    <row r="2467">
      <c r="A2467" t="inlineStr">
        <is>
          <t>No</t>
        </is>
      </c>
      <c r="B2467" t="inlineStr">
        <is>
          <t>DS838.5 .K87 2002</t>
        </is>
      </c>
      <c r="C2467" t="inlineStr">
        <is>
          <t>0                      DS 0838500K  87          2002</t>
        </is>
      </c>
      <c r="D2467" t="inlineStr">
        <is>
          <t>Samurai : an illustrated history / by Mitsuo Kure.</t>
        </is>
      </c>
      <c r="F2467" t="inlineStr">
        <is>
          <t>No</t>
        </is>
      </c>
      <c r="G2467" t="inlineStr">
        <is>
          <t>1</t>
        </is>
      </c>
      <c r="H2467" t="inlineStr">
        <is>
          <t>No</t>
        </is>
      </c>
      <c r="I2467" t="inlineStr">
        <is>
          <t>No</t>
        </is>
      </c>
      <c r="J2467" t="inlineStr">
        <is>
          <t>0</t>
        </is>
      </c>
      <c r="K2467" t="inlineStr">
        <is>
          <t>Kure, Mitsuo.</t>
        </is>
      </c>
      <c r="L2467" t="inlineStr">
        <is>
          <t>Boston : Tuttle Pub., 2002, c2001.</t>
        </is>
      </c>
      <c r="M2467" t="inlineStr">
        <is>
          <t>2002</t>
        </is>
      </c>
      <c r="O2467" t="inlineStr">
        <is>
          <t>eng</t>
        </is>
      </c>
      <c r="P2467" t="inlineStr">
        <is>
          <t>mau</t>
        </is>
      </c>
      <c r="R2467" t="inlineStr">
        <is>
          <t xml:space="preserve">DS </t>
        </is>
      </c>
      <c r="S2467" t="n">
        <v>4</v>
      </c>
      <c r="T2467" t="n">
        <v>4</v>
      </c>
      <c r="U2467" t="inlineStr">
        <is>
          <t>2009-12-07</t>
        </is>
      </c>
      <c r="V2467" t="inlineStr">
        <is>
          <t>2009-12-07</t>
        </is>
      </c>
      <c r="W2467" t="inlineStr">
        <is>
          <t>2007-08-27</t>
        </is>
      </c>
      <c r="X2467" t="inlineStr">
        <is>
          <t>2007-08-27</t>
        </is>
      </c>
      <c r="Y2467" t="n">
        <v>438</v>
      </c>
      <c r="Z2467" t="n">
        <v>373</v>
      </c>
      <c r="AA2467" t="n">
        <v>469</v>
      </c>
      <c r="AB2467" t="n">
        <v>2</v>
      </c>
      <c r="AC2467" t="n">
        <v>4</v>
      </c>
      <c r="AD2467" t="n">
        <v>3</v>
      </c>
      <c r="AE2467" t="n">
        <v>8</v>
      </c>
      <c r="AF2467" t="n">
        <v>2</v>
      </c>
      <c r="AG2467" t="n">
        <v>5</v>
      </c>
      <c r="AH2467" t="n">
        <v>1</v>
      </c>
      <c r="AI2467" t="n">
        <v>2</v>
      </c>
      <c r="AJ2467" t="n">
        <v>3</v>
      </c>
      <c r="AK2467" t="n">
        <v>3</v>
      </c>
      <c r="AL2467" t="n">
        <v>0</v>
      </c>
      <c r="AM2467" t="n">
        <v>2</v>
      </c>
      <c r="AN2467" t="n">
        <v>0</v>
      </c>
      <c r="AO2467" t="n">
        <v>0</v>
      </c>
      <c r="AP2467" t="inlineStr">
        <is>
          <t>No</t>
        </is>
      </c>
      <c r="AQ2467" t="inlineStr">
        <is>
          <t>No</t>
        </is>
      </c>
      <c r="AS2467">
        <f>HYPERLINK("https://creighton-primo.hosted.exlibrisgroup.com/primo-explore/search?tab=default_tab&amp;search_scope=EVERYTHING&amp;vid=01CRU&amp;lang=en_US&amp;offset=0&amp;query=any,contains,991005106139702656","Catalog Record")</f>
        <v/>
      </c>
      <c r="AT2467">
        <f>HYPERLINK("http://www.worldcat.org/oclc/49645255","WorldCat Record")</f>
        <v/>
      </c>
      <c r="AU2467" t="inlineStr">
        <is>
          <t>1152186925:eng</t>
        </is>
      </c>
      <c r="AV2467" t="inlineStr">
        <is>
          <t>49645255</t>
        </is>
      </c>
      <c r="AW2467" t="inlineStr">
        <is>
          <t>991005106139702656</t>
        </is>
      </c>
      <c r="AX2467" t="inlineStr">
        <is>
          <t>991005106139702656</t>
        </is>
      </c>
      <c r="AY2467" t="inlineStr">
        <is>
          <t>2254864270002656</t>
        </is>
      </c>
      <c r="AZ2467" t="inlineStr">
        <is>
          <t>BOOK</t>
        </is>
      </c>
      <c r="BB2467" t="inlineStr">
        <is>
          <t>9780804832878</t>
        </is>
      </c>
      <c r="BC2467" t="inlineStr">
        <is>
          <t>32285005322978</t>
        </is>
      </c>
      <c r="BD2467" t="inlineStr">
        <is>
          <t>893776838</t>
        </is>
      </c>
    </row>
    <row r="2468">
      <c r="A2468" t="inlineStr">
        <is>
          <t>No</t>
        </is>
      </c>
      <c r="B2468" t="inlineStr">
        <is>
          <t>DS838.7 .T78 1986</t>
        </is>
      </c>
      <c r="C2468" t="inlineStr">
        <is>
          <t>0                      DS 0838700T  78          1986</t>
        </is>
      </c>
      <c r="D2468" t="inlineStr">
        <is>
          <t>An intellectual history of wartime Japan : 1931-1945 / Shunsuke Tsurumi.</t>
        </is>
      </c>
      <c r="F2468" t="inlineStr">
        <is>
          <t>No</t>
        </is>
      </c>
      <c r="G2468" t="inlineStr">
        <is>
          <t>1</t>
        </is>
      </c>
      <c r="H2468" t="inlineStr">
        <is>
          <t>No</t>
        </is>
      </c>
      <c r="I2468" t="inlineStr">
        <is>
          <t>No</t>
        </is>
      </c>
      <c r="J2468" t="inlineStr">
        <is>
          <t>0</t>
        </is>
      </c>
      <c r="K2468" t="inlineStr">
        <is>
          <t>Tsurumi, Shunsuke, 1922-2015.</t>
        </is>
      </c>
      <c r="L2468" t="inlineStr">
        <is>
          <t>London ; New York : KPI, 1986.</t>
        </is>
      </c>
      <c r="M2468" t="inlineStr">
        <is>
          <t>1986</t>
        </is>
      </c>
      <c r="O2468" t="inlineStr">
        <is>
          <t>eng</t>
        </is>
      </c>
      <c r="P2468" t="inlineStr">
        <is>
          <t>enk</t>
        </is>
      </c>
      <c r="Q2468" t="inlineStr">
        <is>
          <t>Japanese studies</t>
        </is>
      </c>
      <c r="R2468" t="inlineStr">
        <is>
          <t xml:space="preserve">DS </t>
        </is>
      </c>
      <c r="S2468" t="n">
        <v>5</v>
      </c>
      <c r="T2468" t="n">
        <v>5</v>
      </c>
      <c r="U2468" t="inlineStr">
        <is>
          <t>2004-11-09</t>
        </is>
      </c>
      <c r="V2468" t="inlineStr">
        <is>
          <t>2004-11-09</t>
        </is>
      </c>
      <c r="W2468" t="inlineStr">
        <is>
          <t>1990-10-30</t>
        </is>
      </c>
      <c r="X2468" t="inlineStr">
        <is>
          <t>1990-10-30</t>
        </is>
      </c>
      <c r="Y2468" t="n">
        <v>498</v>
      </c>
      <c r="Z2468" t="n">
        <v>372</v>
      </c>
      <c r="AA2468" t="n">
        <v>421</v>
      </c>
      <c r="AB2468" t="n">
        <v>4</v>
      </c>
      <c r="AC2468" t="n">
        <v>5</v>
      </c>
      <c r="AD2468" t="n">
        <v>20</v>
      </c>
      <c r="AE2468" t="n">
        <v>22</v>
      </c>
      <c r="AF2468" t="n">
        <v>8</v>
      </c>
      <c r="AG2468" t="n">
        <v>9</v>
      </c>
      <c r="AH2468" t="n">
        <v>7</v>
      </c>
      <c r="AI2468" t="n">
        <v>7</v>
      </c>
      <c r="AJ2468" t="n">
        <v>9</v>
      </c>
      <c r="AK2468" t="n">
        <v>9</v>
      </c>
      <c r="AL2468" t="n">
        <v>3</v>
      </c>
      <c r="AM2468" t="n">
        <v>4</v>
      </c>
      <c r="AN2468" t="n">
        <v>0</v>
      </c>
      <c r="AO2468" t="n">
        <v>0</v>
      </c>
      <c r="AP2468" t="inlineStr">
        <is>
          <t>No</t>
        </is>
      </c>
      <c r="AQ2468" t="inlineStr">
        <is>
          <t>Yes</t>
        </is>
      </c>
      <c r="AR2468">
        <f>HYPERLINK("http://catalog.hathitrust.org/Record/004381904","HathiTrust Record")</f>
        <v/>
      </c>
      <c r="AS2468">
        <f>HYPERLINK("https://creighton-primo.hosted.exlibrisgroup.com/primo-explore/search?tab=default_tab&amp;search_scope=EVERYTHING&amp;vid=01CRU&amp;lang=en_US&amp;offset=0&amp;query=any,contains,991000887939702656","Catalog Record")</f>
        <v/>
      </c>
      <c r="AT2468">
        <f>HYPERLINK("http://www.worldcat.org/oclc/13898866","WorldCat Record")</f>
        <v/>
      </c>
      <c r="AU2468" t="inlineStr">
        <is>
          <t>350007662:eng</t>
        </is>
      </c>
      <c r="AV2468" t="inlineStr">
        <is>
          <t>13898866</t>
        </is>
      </c>
      <c r="AW2468" t="inlineStr">
        <is>
          <t>991000887939702656</t>
        </is>
      </c>
      <c r="AX2468" t="inlineStr">
        <is>
          <t>991000887939702656</t>
        </is>
      </c>
      <c r="AY2468" t="inlineStr">
        <is>
          <t>2260693870002656</t>
        </is>
      </c>
      <c r="AZ2468" t="inlineStr">
        <is>
          <t>BOOK</t>
        </is>
      </c>
      <c r="BB2468" t="inlineStr">
        <is>
          <t>9780710300720</t>
        </is>
      </c>
      <c r="BC2468" t="inlineStr">
        <is>
          <t>32285000370204</t>
        </is>
      </c>
      <c r="BD2468" t="inlineStr">
        <is>
          <t>893702531</t>
        </is>
      </c>
    </row>
    <row r="2469">
      <c r="A2469" t="inlineStr">
        <is>
          <t>No</t>
        </is>
      </c>
      <c r="B2469" t="inlineStr">
        <is>
          <t>DS839.7 .A87 2006</t>
        </is>
      </c>
      <c r="C2469" t="inlineStr">
        <is>
          <t>0                      DS 0839700A  87          2006</t>
        </is>
      </c>
      <c r="D2469" t="inlineStr">
        <is>
          <t>From Mahan to Pearl Harbor : the imperial Japanese navy and the United States / Sadao Asada.</t>
        </is>
      </c>
      <c r="F2469" t="inlineStr">
        <is>
          <t>No</t>
        </is>
      </c>
      <c r="G2469" t="inlineStr">
        <is>
          <t>1</t>
        </is>
      </c>
      <c r="H2469" t="inlineStr">
        <is>
          <t>No</t>
        </is>
      </c>
      <c r="I2469" t="inlineStr">
        <is>
          <t>No</t>
        </is>
      </c>
      <c r="J2469" t="inlineStr">
        <is>
          <t>0</t>
        </is>
      </c>
      <c r="K2469" t="inlineStr">
        <is>
          <t>Asada, Sadao, 1936-2019.</t>
        </is>
      </c>
      <c r="L2469" t="inlineStr">
        <is>
          <t>Annapolis, Md. : Naval Institute Press, c2006.</t>
        </is>
      </c>
      <c r="M2469" t="inlineStr">
        <is>
          <t>2006</t>
        </is>
      </c>
      <c r="O2469" t="inlineStr">
        <is>
          <t>eng</t>
        </is>
      </c>
      <c r="P2469" t="inlineStr">
        <is>
          <t>mau</t>
        </is>
      </c>
      <c r="R2469" t="inlineStr">
        <is>
          <t xml:space="preserve">DS </t>
        </is>
      </c>
      <c r="S2469" t="n">
        <v>1</v>
      </c>
      <c r="T2469" t="n">
        <v>1</v>
      </c>
      <c r="U2469" t="inlineStr">
        <is>
          <t>2009-04-01</t>
        </is>
      </c>
      <c r="V2469" t="inlineStr">
        <is>
          <t>2009-04-01</t>
        </is>
      </c>
      <c r="W2469" t="inlineStr">
        <is>
          <t>2009-04-01</t>
        </is>
      </c>
      <c r="X2469" t="inlineStr">
        <is>
          <t>2009-04-01</t>
        </is>
      </c>
      <c r="Y2469" t="n">
        <v>475</v>
      </c>
      <c r="Z2469" t="n">
        <v>373</v>
      </c>
      <c r="AA2469" t="n">
        <v>489</v>
      </c>
      <c r="AB2469" t="n">
        <v>2</v>
      </c>
      <c r="AC2469" t="n">
        <v>3</v>
      </c>
      <c r="AD2469" t="n">
        <v>19</v>
      </c>
      <c r="AE2469" t="n">
        <v>22</v>
      </c>
      <c r="AF2469" t="n">
        <v>10</v>
      </c>
      <c r="AG2469" t="n">
        <v>12</v>
      </c>
      <c r="AH2469" t="n">
        <v>7</v>
      </c>
      <c r="AI2469" t="n">
        <v>8</v>
      </c>
      <c r="AJ2469" t="n">
        <v>9</v>
      </c>
      <c r="AK2469" t="n">
        <v>9</v>
      </c>
      <c r="AL2469" t="n">
        <v>1</v>
      </c>
      <c r="AM2469" t="n">
        <v>2</v>
      </c>
      <c r="AN2469" t="n">
        <v>0</v>
      </c>
      <c r="AO2469" t="n">
        <v>0</v>
      </c>
      <c r="AP2469" t="inlineStr">
        <is>
          <t>No</t>
        </is>
      </c>
      <c r="AQ2469" t="inlineStr">
        <is>
          <t>No</t>
        </is>
      </c>
      <c r="AS2469">
        <f>HYPERLINK("https://creighton-primo.hosted.exlibrisgroup.com/primo-explore/search?tab=default_tab&amp;search_scope=EVERYTHING&amp;vid=01CRU&amp;lang=en_US&amp;offset=0&amp;query=any,contains,991005307249702656","Catalog Record")</f>
        <v/>
      </c>
      <c r="AT2469">
        <f>HYPERLINK("http://www.worldcat.org/oclc/69013313","WorldCat Record")</f>
        <v/>
      </c>
      <c r="AU2469" t="inlineStr">
        <is>
          <t>815093989:eng</t>
        </is>
      </c>
      <c r="AV2469" t="inlineStr">
        <is>
          <t>69013313</t>
        </is>
      </c>
      <c r="AW2469" t="inlineStr">
        <is>
          <t>991005307249702656</t>
        </is>
      </c>
      <c r="AX2469" t="inlineStr">
        <is>
          <t>991005307249702656</t>
        </is>
      </c>
      <c r="AY2469" t="inlineStr">
        <is>
          <t>2266425000002656</t>
        </is>
      </c>
      <c r="AZ2469" t="inlineStr">
        <is>
          <t>BOOK</t>
        </is>
      </c>
      <c r="BB2469" t="inlineStr">
        <is>
          <t>9781557500427</t>
        </is>
      </c>
      <c r="BC2469" t="inlineStr">
        <is>
          <t>32285005512586</t>
        </is>
      </c>
      <c r="BD2469" t="inlineStr">
        <is>
          <t>893902452</t>
        </is>
      </c>
    </row>
    <row r="2470">
      <c r="A2470" t="inlineStr">
        <is>
          <t>No</t>
        </is>
      </c>
      <c r="B2470" t="inlineStr">
        <is>
          <t>DS84 .I87 1983</t>
        </is>
      </c>
      <c r="C2470" t="inlineStr">
        <is>
          <t>0                      DS 0084000I  87          1983</t>
        </is>
      </c>
      <c r="D2470" t="inlineStr">
        <is>
          <t>PLO in Lebanon : selected documents / edited by Raphael Israeli.</t>
        </is>
      </c>
      <c r="F2470" t="inlineStr">
        <is>
          <t>No</t>
        </is>
      </c>
      <c r="G2470" t="inlineStr">
        <is>
          <t>1</t>
        </is>
      </c>
      <c r="H2470" t="inlineStr">
        <is>
          <t>No</t>
        </is>
      </c>
      <c r="I2470" t="inlineStr">
        <is>
          <t>No</t>
        </is>
      </c>
      <c r="J2470" t="inlineStr">
        <is>
          <t>0</t>
        </is>
      </c>
      <c r="K2470" t="inlineStr">
        <is>
          <t>Israeli, Raphael editor.</t>
        </is>
      </c>
      <c r="L2470" t="inlineStr">
        <is>
          <t>London : Weidenfeld and Nicolson, c1983.</t>
        </is>
      </c>
      <c r="M2470" t="inlineStr">
        <is>
          <t>1983</t>
        </is>
      </c>
      <c r="O2470" t="inlineStr">
        <is>
          <t>eng</t>
        </is>
      </c>
      <c r="P2470" t="inlineStr">
        <is>
          <t>xxk</t>
        </is>
      </c>
      <c r="R2470" t="inlineStr">
        <is>
          <t xml:space="preserve">DS </t>
        </is>
      </c>
      <c r="S2470" t="n">
        <v>2</v>
      </c>
      <c r="T2470" t="n">
        <v>2</v>
      </c>
      <c r="U2470" t="inlineStr">
        <is>
          <t>2004-04-05</t>
        </is>
      </c>
      <c r="V2470" t="inlineStr">
        <is>
          <t>2004-04-05</t>
        </is>
      </c>
      <c r="W2470" t="inlineStr">
        <is>
          <t>1990-08-16</t>
        </is>
      </c>
      <c r="X2470" t="inlineStr">
        <is>
          <t>1990-08-16</t>
        </is>
      </c>
      <c r="Y2470" t="n">
        <v>344</v>
      </c>
      <c r="Z2470" t="n">
        <v>227</v>
      </c>
      <c r="AA2470" t="n">
        <v>372</v>
      </c>
      <c r="AB2470" t="n">
        <v>2</v>
      </c>
      <c r="AC2470" t="n">
        <v>3</v>
      </c>
      <c r="AD2470" t="n">
        <v>9</v>
      </c>
      <c r="AE2470" t="n">
        <v>15</v>
      </c>
      <c r="AF2470" t="n">
        <v>3</v>
      </c>
      <c r="AG2470" t="n">
        <v>4</v>
      </c>
      <c r="AH2470" t="n">
        <v>3</v>
      </c>
      <c r="AI2470" t="n">
        <v>5</v>
      </c>
      <c r="AJ2470" t="n">
        <v>4</v>
      </c>
      <c r="AK2470" t="n">
        <v>6</v>
      </c>
      <c r="AL2470" t="n">
        <v>1</v>
      </c>
      <c r="AM2470" t="n">
        <v>2</v>
      </c>
      <c r="AN2470" t="n">
        <v>1</v>
      </c>
      <c r="AO2470" t="n">
        <v>1</v>
      </c>
      <c r="AP2470" t="inlineStr">
        <is>
          <t>No</t>
        </is>
      </c>
      <c r="AQ2470" t="inlineStr">
        <is>
          <t>No</t>
        </is>
      </c>
      <c r="AS2470">
        <f>HYPERLINK("https://creighton-primo.hosted.exlibrisgroup.com/primo-explore/search?tab=default_tab&amp;search_scope=EVERYTHING&amp;vid=01CRU&amp;lang=en_US&amp;offset=0&amp;query=any,contains,991000189079702656","Catalog Record")</f>
        <v/>
      </c>
      <c r="AT2470">
        <f>HYPERLINK("http://www.worldcat.org/oclc/9404833","WorldCat Record")</f>
        <v/>
      </c>
      <c r="AU2470" t="inlineStr">
        <is>
          <t>54566521:eng</t>
        </is>
      </c>
      <c r="AV2470" t="inlineStr">
        <is>
          <t>9404833</t>
        </is>
      </c>
      <c r="AW2470" t="inlineStr">
        <is>
          <t>991000189079702656</t>
        </is>
      </c>
      <c r="AX2470" t="inlineStr">
        <is>
          <t>991000189079702656</t>
        </is>
      </c>
      <c r="AY2470" t="inlineStr">
        <is>
          <t>2264556780002656</t>
        </is>
      </c>
      <c r="AZ2470" t="inlineStr">
        <is>
          <t>BOOK</t>
        </is>
      </c>
      <c r="BB2470" t="inlineStr">
        <is>
          <t>9780297782599</t>
        </is>
      </c>
      <c r="BC2470" t="inlineStr">
        <is>
          <t>32285000274679</t>
        </is>
      </c>
      <c r="BD2470" t="inlineStr">
        <is>
          <t>893626237</t>
        </is>
      </c>
    </row>
    <row r="2471">
      <c r="A2471" t="inlineStr">
        <is>
          <t>No</t>
        </is>
      </c>
      <c r="B2471" t="inlineStr">
        <is>
          <t>DS84 .S25</t>
        </is>
      </c>
      <c r="C2471" t="inlineStr">
        <is>
          <t>0                      DS 0084000S  25</t>
        </is>
      </c>
      <c r="D2471" t="inlineStr">
        <is>
          <t>The modern history of Lebanon / [by] K. S. Salibi.</t>
        </is>
      </c>
      <c r="F2471" t="inlineStr">
        <is>
          <t>No</t>
        </is>
      </c>
      <c r="G2471" t="inlineStr">
        <is>
          <t>1</t>
        </is>
      </c>
      <c r="H2471" t="inlineStr">
        <is>
          <t>No</t>
        </is>
      </c>
      <c r="I2471" t="inlineStr">
        <is>
          <t>No</t>
        </is>
      </c>
      <c r="J2471" t="inlineStr">
        <is>
          <t>0</t>
        </is>
      </c>
      <c r="K2471" t="inlineStr">
        <is>
          <t>Salibi, Kamal S. (Kamal Suleiman), 1929-2011.</t>
        </is>
      </c>
      <c r="L2471" t="inlineStr">
        <is>
          <t>New York : Praeger, [1965]</t>
        </is>
      </c>
      <c r="M2471" t="inlineStr">
        <is>
          <t>1965</t>
        </is>
      </c>
      <c r="O2471" t="inlineStr">
        <is>
          <t>eng</t>
        </is>
      </c>
      <c r="P2471" t="inlineStr">
        <is>
          <t>nyu</t>
        </is>
      </c>
      <c r="Q2471" t="inlineStr">
        <is>
          <t>The Praeger Asia-Africa series</t>
        </is>
      </c>
      <c r="R2471" t="inlineStr">
        <is>
          <t xml:space="preserve">DS </t>
        </is>
      </c>
      <c r="S2471" t="n">
        <v>11</v>
      </c>
      <c r="T2471" t="n">
        <v>11</v>
      </c>
      <c r="U2471" t="inlineStr">
        <is>
          <t>1999-04-08</t>
        </is>
      </c>
      <c r="V2471" t="inlineStr">
        <is>
          <t>1999-04-08</t>
        </is>
      </c>
      <c r="W2471" t="inlineStr">
        <is>
          <t>1991-09-09</t>
        </is>
      </c>
      <c r="X2471" t="inlineStr">
        <is>
          <t>1991-09-09</t>
        </is>
      </c>
      <c r="Y2471" t="n">
        <v>679</v>
      </c>
      <c r="Z2471" t="n">
        <v>642</v>
      </c>
      <c r="AA2471" t="n">
        <v>934</v>
      </c>
      <c r="AB2471" t="n">
        <v>5</v>
      </c>
      <c r="AC2471" t="n">
        <v>7</v>
      </c>
      <c r="AD2471" t="n">
        <v>25</v>
      </c>
      <c r="AE2471" t="n">
        <v>45</v>
      </c>
      <c r="AF2471" t="n">
        <v>11</v>
      </c>
      <c r="AG2471" t="n">
        <v>19</v>
      </c>
      <c r="AH2471" t="n">
        <v>5</v>
      </c>
      <c r="AI2471" t="n">
        <v>11</v>
      </c>
      <c r="AJ2471" t="n">
        <v>11</v>
      </c>
      <c r="AK2471" t="n">
        <v>19</v>
      </c>
      <c r="AL2471" t="n">
        <v>4</v>
      </c>
      <c r="AM2471" t="n">
        <v>6</v>
      </c>
      <c r="AN2471" t="n">
        <v>0</v>
      </c>
      <c r="AO2471" t="n">
        <v>0</v>
      </c>
      <c r="AP2471" t="inlineStr">
        <is>
          <t>No</t>
        </is>
      </c>
      <c r="AQ2471" t="inlineStr">
        <is>
          <t>No</t>
        </is>
      </c>
      <c r="AS2471">
        <f>HYPERLINK("https://creighton-primo.hosted.exlibrisgroup.com/primo-explore/search?tab=default_tab&amp;search_scope=EVERYTHING&amp;vid=01CRU&amp;lang=en_US&amp;offset=0&amp;query=any,contains,991002673339702656","Catalog Record")</f>
        <v/>
      </c>
      <c r="AT2471">
        <f>HYPERLINK("http://www.worldcat.org/oclc/396110","WorldCat Record")</f>
        <v/>
      </c>
      <c r="AU2471" t="inlineStr">
        <is>
          <t>501349:eng</t>
        </is>
      </c>
      <c r="AV2471" t="inlineStr">
        <is>
          <t>396110</t>
        </is>
      </c>
      <c r="AW2471" t="inlineStr">
        <is>
          <t>991002673339702656</t>
        </is>
      </c>
      <c r="AX2471" t="inlineStr">
        <is>
          <t>991002673339702656</t>
        </is>
      </c>
      <c r="AY2471" t="inlineStr">
        <is>
          <t>2261012960002656</t>
        </is>
      </c>
      <c r="AZ2471" t="inlineStr">
        <is>
          <t>BOOK</t>
        </is>
      </c>
      <c r="BC2471" t="inlineStr">
        <is>
          <t>32285000733815</t>
        </is>
      </c>
      <c r="BD2471" t="inlineStr">
        <is>
          <t>893880251</t>
        </is>
      </c>
    </row>
    <row r="2472">
      <c r="A2472" t="inlineStr">
        <is>
          <t>No</t>
        </is>
      </c>
      <c r="B2472" t="inlineStr">
        <is>
          <t>DS841 .I56 2005</t>
        </is>
      </c>
      <c r="C2472" t="inlineStr">
        <is>
          <t>0                      DS 0841000I  56          2005</t>
        </is>
      </c>
      <c r="D2472" t="inlineStr">
        <is>
          <t>Japanese politics : an introduction / Takashi Inoguchi.</t>
        </is>
      </c>
      <c r="F2472" t="inlineStr">
        <is>
          <t>No</t>
        </is>
      </c>
      <c r="G2472" t="inlineStr">
        <is>
          <t>1</t>
        </is>
      </c>
      <c r="H2472" t="inlineStr">
        <is>
          <t>No</t>
        </is>
      </c>
      <c r="I2472" t="inlineStr">
        <is>
          <t>No</t>
        </is>
      </c>
      <c r="J2472" t="inlineStr">
        <is>
          <t>0</t>
        </is>
      </c>
      <c r="K2472" t="inlineStr">
        <is>
          <t>Inoguchi, Takashi.</t>
        </is>
      </c>
      <c r="L2472" t="inlineStr">
        <is>
          <t>Melbourne, Vic. : Trans Pacific Press, 2005.</t>
        </is>
      </c>
      <c r="M2472" t="inlineStr">
        <is>
          <t>2005</t>
        </is>
      </c>
      <c r="N2472" t="inlineStr">
        <is>
          <t>English ed.</t>
        </is>
      </c>
      <c r="O2472" t="inlineStr">
        <is>
          <t>eng</t>
        </is>
      </c>
      <c r="P2472" t="inlineStr">
        <is>
          <t xml:space="preserve">at </t>
        </is>
      </c>
      <c r="Q2472" t="inlineStr">
        <is>
          <t>Japanese society series</t>
        </is>
      </c>
      <c r="R2472" t="inlineStr">
        <is>
          <t xml:space="preserve">DS </t>
        </is>
      </c>
      <c r="S2472" t="n">
        <v>4</v>
      </c>
      <c r="T2472" t="n">
        <v>4</v>
      </c>
      <c r="U2472" t="inlineStr">
        <is>
          <t>2005-11-18</t>
        </is>
      </c>
      <c r="V2472" t="inlineStr">
        <is>
          <t>2005-11-18</t>
        </is>
      </c>
      <c r="W2472" t="inlineStr">
        <is>
          <t>2005-11-07</t>
        </is>
      </c>
      <c r="X2472" t="inlineStr">
        <is>
          <t>2005-11-07</t>
        </is>
      </c>
      <c r="Y2472" t="n">
        <v>317</v>
      </c>
      <c r="Z2472" t="n">
        <v>248</v>
      </c>
      <c r="AA2472" t="n">
        <v>249</v>
      </c>
      <c r="AB2472" t="n">
        <v>3</v>
      </c>
      <c r="AC2472" t="n">
        <v>3</v>
      </c>
      <c r="AD2472" t="n">
        <v>13</v>
      </c>
      <c r="AE2472" t="n">
        <v>13</v>
      </c>
      <c r="AF2472" t="n">
        <v>7</v>
      </c>
      <c r="AG2472" t="n">
        <v>7</v>
      </c>
      <c r="AH2472" t="n">
        <v>2</v>
      </c>
      <c r="AI2472" t="n">
        <v>2</v>
      </c>
      <c r="AJ2472" t="n">
        <v>5</v>
      </c>
      <c r="AK2472" t="n">
        <v>5</v>
      </c>
      <c r="AL2472" t="n">
        <v>2</v>
      </c>
      <c r="AM2472" t="n">
        <v>2</v>
      </c>
      <c r="AN2472" t="n">
        <v>0</v>
      </c>
      <c r="AO2472" t="n">
        <v>0</v>
      </c>
      <c r="AP2472" t="inlineStr">
        <is>
          <t>No</t>
        </is>
      </c>
      <c r="AQ2472" t="inlineStr">
        <is>
          <t>Yes</t>
        </is>
      </c>
      <c r="AR2472">
        <f>HYPERLINK("http://catalog.hathitrust.org/Record/004988453","HathiTrust Record")</f>
        <v/>
      </c>
      <c r="AS2472">
        <f>HYPERLINK("https://creighton-primo.hosted.exlibrisgroup.com/primo-explore/search?tab=default_tab&amp;search_scope=EVERYTHING&amp;vid=01CRU&amp;lang=en_US&amp;offset=0&amp;query=any,contains,991004647529702656","Catalog Record")</f>
        <v/>
      </c>
      <c r="AT2472">
        <f>HYPERLINK("http://www.worldcat.org/oclc/58456138","WorldCat Record")</f>
        <v/>
      </c>
      <c r="AU2472" t="inlineStr">
        <is>
          <t>367780230:eng</t>
        </is>
      </c>
      <c r="AV2472" t="inlineStr">
        <is>
          <t>58456138</t>
        </is>
      </c>
      <c r="AW2472" t="inlineStr">
        <is>
          <t>991004647529702656</t>
        </is>
      </c>
      <c r="AX2472" t="inlineStr">
        <is>
          <t>991004647529702656</t>
        </is>
      </c>
      <c r="AY2472" t="inlineStr">
        <is>
          <t>2262581050002656</t>
        </is>
      </c>
      <c r="AZ2472" t="inlineStr">
        <is>
          <t>BOOK</t>
        </is>
      </c>
      <c r="BB2472" t="inlineStr">
        <is>
          <t>9781876843212</t>
        </is>
      </c>
      <c r="BC2472" t="inlineStr">
        <is>
          <t>32285005144554</t>
        </is>
      </c>
      <c r="BD2472" t="inlineStr">
        <is>
          <t>893712853</t>
        </is>
      </c>
    </row>
    <row r="2473">
      <c r="A2473" t="inlineStr">
        <is>
          <t>No</t>
        </is>
      </c>
      <c r="B2473" t="inlineStr">
        <is>
          <t>DS845 .K2513</t>
        </is>
      </c>
      <c r="C2473" t="inlineStr">
        <is>
          <t>0                      DS 0845000K  2513</t>
        </is>
      </c>
      <c r="D2473" t="inlineStr">
        <is>
          <t>The emergence of Japan as a world power, 1895-1925 / Morinosuke Kajima.</t>
        </is>
      </c>
      <c r="F2473" t="inlineStr">
        <is>
          <t>No</t>
        </is>
      </c>
      <c r="G2473" t="inlineStr">
        <is>
          <t>1</t>
        </is>
      </c>
      <c r="H2473" t="inlineStr">
        <is>
          <t>No</t>
        </is>
      </c>
      <c r="I2473" t="inlineStr">
        <is>
          <t>No</t>
        </is>
      </c>
      <c r="J2473" t="inlineStr">
        <is>
          <t>0</t>
        </is>
      </c>
      <c r="K2473" t="inlineStr">
        <is>
          <t>Kajima, Morinosuke, 1896-1975.</t>
        </is>
      </c>
      <c r="L2473" t="inlineStr">
        <is>
          <t>Rutland, Vt. : C. E. Tuttle Co. [1967, c1968], 1971 printing.</t>
        </is>
      </c>
      <c r="M2473" t="inlineStr">
        <is>
          <t>1967</t>
        </is>
      </c>
      <c r="O2473" t="inlineStr">
        <is>
          <t>eng</t>
        </is>
      </c>
      <c r="P2473" t="inlineStr">
        <is>
          <t>vtu</t>
        </is>
      </c>
      <c r="R2473" t="inlineStr">
        <is>
          <t xml:space="preserve">DS </t>
        </is>
      </c>
      <c r="S2473" t="n">
        <v>5</v>
      </c>
      <c r="T2473" t="n">
        <v>5</v>
      </c>
      <c r="U2473" t="inlineStr">
        <is>
          <t>1997-04-23</t>
        </is>
      </c>
      <c r="V2473" t="inlineStr">
        <is>
          <t>1997-04-23</t>
        </is>
      </c>
      <c r="W2473" t="inlineStr">
        <is>
          <t>1990-02-07</t>
        </is>
      </c>
      <c r="X2473" t="inlineStr">
        <is>
          <t>1990-02-07</t>
        </is>
      </c>
      <c r="Y2473" t="n">
        <v>495</v>
      </c>
      <c r="Z2473" t="n">
        <v>423</v>
      </c>
      <c r="AA2473" t="n">
        <v>444</v>
      </c>
      <c r="AB2473" t="n">
        <v>2</v>
      </c>
      <c r="AC2473" t="n">
        <v>2</v>
      </c>
      <c r="AD2473" t="n">
        <v>18</v>
      </c>
      <c r="AE2473" t="n">
        <v>18</v>
      </c>
      <c r="AF2473" t="n">
        <v>9</v>
      </c>
      <c r="AG2473" t="n">
        <v>9</v>
      </c>
      <c r="AH2473" t="n">
        <v>4</v>
      </c>
      <c r="AI2473" t="n">
        <v>4</v>
      </c>
      <c r="AJ2473" t="n">
        <v>9</v>
      </c>
      <c r="AK2473" t="n">
        <v>9</v>
      </c>
      <c r="AL2473" t="n">
        <v>1</v>
      </c>
      <c r="AM2473" t="n">
        <v>1</v>
      </c>
      <c r="AN2473" t="n">
        <v>0</v>
      </c>
      <c r="AO2473" t="n">
        <v>0</v>
      </c>
      <c r="AP2473" t="inlineStr">
        <is>
          <t>No</t>
        </is>
      </c>
      <c r="AQ2473" t="inlineStr">
        <is>
          <t>Yes</t>
        </is>
      </c>
      <c r="AR2473">
        <f>HYPERLINK("http://catalog.hathitrust.org/Record/001259425","HathiTrust Record")</f>
        <v/>
      </c>
      <c r="AS2473">
        <f>HYPERLINK("https://creighton-primo.hosted.exlibrisgroup.com/primo-explore/search?tab=default_tab&amp;search_scope=EVERYTHING&amp;vid=01CRU&amp;lang=en_US&amp;offset=0&amp;query=any,contains,991002769759702656","Catalog Record")</f>
        <v/>
      </c>
      <c r="AT2473">
        <f>HYPERLINK("http://www.worldcat.org/oclc/436433","WorldCat Record")</f>
        <v/>
      </c>
      <c r="AU2473" t="inlineStr">
        <is>
          <t>146622183:eng</t>
        </is>
      </c>
      <c r="AV2473" t="inlineStr">
        <is>
          <t>436433</t>
        </is>
      </c>
      <c r="AW2473" t="inlineStr">
        <is>
          <t>991002769759702656</t>
        </is>
      </c>
      <c r="AX2473" t="inlineStr">
        <is>
          <t>991002769759702656</t>
        </is>
      </c>
      <c r="AY2473" t="inlineStr">
        <is>
          <t>2268870990002656</t>
        </is>
      </c>
      <c r="AZ2473" t="inlineStr">
        <is>
          <t>BOOK</t>
        </is>
      </c>
      <c r="BC2473" t="inlineStr">
        <is>
          <t>32285000040260</t>
        </is>
      </c>
      <c r="BD2473" t="inlineStr">
        <is>
          <t>893780202</t>
        </is>
      </c>
    </row>
    <row r="2474">
      <c r="A2474" t="inlineStr">
        <is>
          <t>No</t>
        </is>
      </c>
      <c r="B2474" t="inlineStr">
        <is>
          <t>DS845 .T3</t>
        </is>
      </c>
      <c r="C2474" t="inlineStr">
        <is>
          <t>0                      DS 0845000T  3</t>
        </is>
      </c>
      <c r="D2474" t="inlineStr">
        <is>
          <t>War and diplomacy in the Japanese empire / introd. by Quincy Wright.</t>
        </is>
      </c>
      <c r="F2474" t="inlineStr">
        <is>
          <t>No</t>
        </is>
      </c>
      <c r="G2474" t="inlineStr">
        <is>
          <t>1</t>
        </is>
      </c>
      <c r="H2474" t="inlineStr">
        <is>
          <t>No</t>
        </is>
      </c>
      <c r="I2474" t="inlineStr">
        <is>
          <t>No</t>
        </is>
      </c>
      <c r="J2474" t="inlineStr">
        <is>
          <t>0</t>
        </is>
      </c>
      <c r="K2474" t="inlineStr">
        <is>
          <t>Takeuchi, Tatsuji, 1904-</t>
        </is>
      </c>
      <c r="L2474" t="inlineStr">
        <is>
          <t>Garden City, N.Y. : Doubleday, Doran, 1935.</t>
        </is>
      </c>
      <c r="M2474" t="inlineStr">
        <is>
          <t>1935</t>
        </is>
      </c>
      <c r="N2474" t="inlineStr">
        <is>
          <t>1st ed.</t>
        </is>
      </c>
      <c r="O2474" t="inlineStr">
        <is>
          <t>eng</t>
        </is>
      </c>
      <c r="P2474" t="inlineStr">
        <is>
          <t xml:space="preserve">xx </t>
        </is>
      </c>
      <c r="R2474" t="inlineStr">
        <is>
          <t xml:space="preserve">DS </t>
        </is>
      </c>
      <c r="S2474" t="n">
        <v>5</v>
      </c>
      <c r="T2474" t="n">
        <v>5</v>
      </c>
      <c r="U2474" t="inlineStr">
        <is>
          <t>1997-04-23</t>
        </is>
      </c>
      <c r="V2474" t="inlineStr">
        <is>
          <t>1997-04-23</t>
        </is>
      </c>
      <c r="W2474" t="inlineStr">
        <is>
          <t>1992-03-25</t>
        </is>
      </c>
      <c r="X2474" t="inlineStr">
        <is>
          <t>1992-03-25</t>
        </is>
      </c>
      <c r="Y2474" t="n">
        <v>335</v>
      </c>
      <c r="Z2474" t="n">
        <v>303</v>
      </c>
      <c r="AA2474" t="n">
        <v>907</v>
      </c>
      <c r="AB2474" t="n">
        <v>2</v>
      </c>
      <c r="AC2474" t="n">
        <v>7</v>
      </c>
      <c r="AD2474" t="n">
        <v>14</v>
      </c>
      <c r="AE2474" t="n">
        <v>48</v>
      </c>
      <c r="AF2474" t="n">
        <v>5</v>
      </c>
      <c r="AG2474" t="n">
        <v>20</v>
      </c>
      <c r="AH2474" t="n">
        <v>2</v>
      </c>
      <c r="AI2474" t="n">
        <v>9</v>
      </c>
      <c r="AJ2474" t="n">
        <v>7</v>
      </c>
      <c r="AK2474" t="n">
        <v>17</v>
      </c>
      <c r="AL2474" t="n">
        <v>1</v>
      </c>
      <c r="AM2474" t="n">
        <v>5</v>
      </c>
      <c r="AN2474" t="n">
        <v>1</v>
      </c>
      <c r="AO2474" t="n">
        <v>7</v>
      </c>
      <c r="AP2474" t="inlineStr">
        <is>
          <t>Yes</t>
        </is>
      </c>
      <c r="AQ2474" t="inlineStr">
        <is>
          <t>No</t>
        </is>
      </c>
      <c r="AR2474">
        <f>HYPERLINK("http://catalog.hathitrust.org/Record/001259431","HathiTrust Record")</f>
        <v/>
      </c>
      <c r="AS2474">
        <f>HYPERLINK("https://creighton-primo.hosted.exlibrisgroup.com/primo-explore/search?tab=default_tab&amp;search_scope=EVERYTHING&amp;vid=01CRU&amp;lang=en_US&amp;offset=0&amp;query=any,contains,991003290299702656","Catalog Record")</f>
        <v/>
      </c>
      <c r="AT2474">
        <f>HYPERLINK("http://www.worldcat.org/oclc/812324","WorldCat Record")</f>
        <v/>
      </c>
      <c r="AU2474" t="inlineStr">
        <is>
          <t>117980241:eng</t>
        </is>
      </c>
      <c r="AV2474" t="inlineStr">
        <is>
          <t>812324</t>
        </is>
      </c>
      <c r="AW2474" t="inlineStr">
        <is>
          <t>991003290299702656</t>
        </is>
      </c>
      <c r="AX2474" t="inlineStr">
        <is>
          <t>991003290299702656</t>
        </is>
      </c>
      <c r="AY2474" t="inlineStr">
        <is>
          <t>2267295380002656</t>
        </is>
      </c>
      <c r="AZ2474" t="inlineStr">
        <is>
          <t>BOOK</t>
        </is>
      </c>
      <c r="BC2474" t="inlineStr">
        <is>
          <t>32285001028587</t>
        </is>
      </c>
      <c r="BD2474" t="inlineStr">
        <is>
          <t>893524640</t>
        </is>
      </c>
    </row>
    <row r="2475">
      <c r="A2475" t="inlineStr">
        <is>
          <t>No</t>
        </is>
      </c>
      <c r="B2475" t="inlineStr">
        <is>
          <t>DS845 .T6 1945</t>
        </is>
      </c>
      <c r="C2475" t="inlineStr">
        <is>
          <t>0                      DS 0845000T  6           1945</t>
        </is>
      </c>
      <c r="D2475" t="inlineStr">
        <is>
          <t>Through Japanese eyes / Otto D. Tolischus.</t>
        </is>
      </c>
      <c r="F2475" t="inlineStr">
        <is>
          <t>No</t>
        </is>
      </c>
      <c r="G2475" t="inlineStr">
        <is>
          <t>1</t>
        </is>
      </c>
      <c r="H2475" t="inlineStr">
        <is>
          <t>No</t>
        </is>
      </c>
      <c r="I2475" t="inlineStr">
        <is>
          <t>No</t>
        </is>
      </c>
      <c r="J2475" t="inlineStr">
        <is>
          <t>0</t>
        </is>
      </c>
      <c r="K2475" t="inlineStr">
        <is>
          <t>Tolischus, Otto D. (Otto David), 1890-1967, editor.</t>
        </is>
      </c>
      <c r="L2475" t="inlineStr">
        <is>
          <t>New York : Reynal &amp; Hitchcock, 1945.</t>
        </is>
      </c>
      <c r="M2475" t="inlineStr">
        <is>
          <t>1945</t>
        </is>
      </c>
      <c r="O2475" t="inlineStr">
        <is>
          <t>eng</t>
        </is>
      </c>
      <c r="P2475" t="inlineStr">
        <is>
          <t>nyu</t>
        </is>
      </c>
      <c r="R2475" t="inlineStr">
        <is>
          <t xml:space="preserve">DS </t>
        </is>
      </c>
      <c r="S2475" t="n">
        <v>3</v>
      </c>
      <c r="T2475" t="n">
        <v>3</v>
      </c>
      <c r="U2475" t="inlineStr">
        <is>
          <t>1995-03-15</t>
        </is>
      </c>
      <c r="V2475" t="inlineStr">
        <is>
          <t>1995-03-15</t>
        </is>
      </c>
      <c r="W2475" t="inlineStr">
        <is>
          <t>1990-06-12</t>
        </is>
      </c>
      <c r="X2475" t="inlineStr">
        <is>
          <t>1990-06-12</t>
        </is>
      </c>
      <c r="Y2475" t="n">
        <v>387</v>
      </c>
      <c r="Z2475" t="n">
        <v>360</v>
      </c>
      <c r="AA2475" t="n">
        <v>369</v>
      </c>
      <c r="AB2475" t="n">
        <v>4</v>
      </c>
      <c r="AC2475" t="n">
        <v>4</v>
      </c>
      <c r="AD2475" t="n">
        <v>15</v>
      </c>
      <c r="AE2475" t="n">
        <v>15</v>
      </c>
      <c r="AF2475" t="n">
        <v>4</v>
      </c>
      <c r="AG2475" t="n">
        <v>4</v>
      </c>
      <c r="AH2475" t="n">
        <v>3</v>
      </c>
      <c r="AI2475" t="n">
        <v>3</v>
      </c>
      <c r="AJ2475" t="n">
        <v>9</v>
      </c>
      <c r="AK2475" t="n">
        <v>9</v>
      </c>
      <c r="AL2475" t="n">
        <v>3</v>
      </c>
      <c r="AM2475" t="n">
        <v>3</v>
      </c>
      <c r="AN2475" t="n">
        <v>0</v>
      </c>
      <c r="AO2475" t="n">
        <v>0</v>
      </c>
      <c r="AP2475" t="inlineStr">
        <is>
          <t>No</t>
        </is>
      </c>
      <c r="AQ2475" t="inlineStr">
        <is>
          <t>Yes</t>
        </is>
      </c>
      <c r="AR2475">
        <f>HYPERLINK("http://catalog.hathitrust.org/Record/001606527","HathiTrust Record")</f>
        <v/>
      </c>
      <c r="AS2475">
        <f>HYPERLINK("https://creighton-primo.hosted.exlibrisgroup.com/primo-explore/search?tab=default_tab&amp;search_scope=EVERYTHING&amp;vid=01CRU&amp;lang=en_US&amp;offset=0&amp;query=any,contains,991003315049702656","Catalog Record")</f>
        <v/>
      </c>
      <c r="AT2475">
        <f>HYPERLINK("http://www.worldcat.org/oclc/840068","WorldCat Record")</f>
        <v/>
      </c>
      <c r="AU2475" t="inlineStr">
        <is>
          <t>1779290:eng</t>
        </is>
      </c>
      <c r="AV2475" t="inlineStr">
        <is>
          <t>840068</t>
        </is>
      </c>
      <c r="AW2475" t="inlineStr">
        <is>
          <t>991003315049702656</t>
        </is>
      </c>
      <c r="AX2475" t="inlineStr">
        <is>
          <t>991003315049702656</t>
        </is>
      </c>
      <c r="AY2475" t="inlineStr">
        <is>
          <t>2264376710002656</t>
        </is>
      </c>
      <c r="AZ2475" t="inlineStr">
        <is>
          <t>BOOK</t>
        </is>
      </c>
      <c r="BC2475" t="inlineStr">
        <is>
          <t>32285000190602</t>
        </is>
      </c>
      <c r="BD2475" t="inlineStr">
        <is>
          <t>893531072</t>
        </is>
      </c>
    </row>
    <row r="2476">
      <c r="A2476" t="inlineStr">
        <is>
          <t>No</t>
        </is>
      </c>
      <c r="B2476" t="inlineStr">
        <is>
          <t>DS849.C6 B63 2004</t>
        </is>
      </c>
      <c r="C2476" t="inlineStr">
        <is>
          <t>0                      DS 0849000C  6                  B  63          2004</t>
        </is>
      </c>
      <c r="D2476" t="inlineStr">
        <is>
          <t>Japan and the Sino-Soviet Alliance, 1950-1964 : in the shadow of the monolith = [Ichimaiiwa no kage ni, Nihon to Chū-[So]] / C.W. Braddick.</t>
        </is>
      </c>
      <c r="F2476" t="inlineStr">
        <is>
          <t>No</t>
        </is>
      </c>
      <c r="G2476" t="inlineStr">
        <is>
          <t>1</t>
        </is>
      </c>
      <c r="H2476" t="inlineStr">
        <is>
          <t>No</t>
        </is>
      </c>
      <c r="I2476" t="inlineStr">
        <is>
          <t>No</t>
        </is>
      </c>
      <c r="J2476" t="inlineStr">
        <is>
          <t>0</t>
        </is>
      </c>
      <c r="K2476" t="inlineStr">
        <is>
          <t>Braddick, C. W. (Christopher William), 1961-</t>
        </is>
      </c>
      <c r="L2476" t="inlineStr">
        <is>
          <t>Houndmills, Basingstoke, Hampshire ; New York : Palgrave Macmillan ; Oxford : in association with St. Antony's College, 2004.</t>
        </is>
      </c>
      <c r="M2476" t="inlineStr">
        <is>
          <t>2004</t>
        </is>
      </c>
      <c r="O2476" t="inlineStr">
        <is>
          <t>eng</t>
        </is>
      </c>
      <c r="P2476" t="inlineStr">
        <is>
          <t>enk</t>
        </is>
      </c>
      <c r="Q2476" t="inlineStr">
        <is>
          <t>St. Antony's series</t>
        </is>
      </c>
      <c r="R2476" t="inlineStr">
        <is>
          <t xml:space="preserve">DS </t>
        </is>
      </c>
      <c r="S2476" t="n">
        <v>1</v>
      </c>
      <c r="T2476" t="n">
        <v>1</v>
      </c>
      <c r="U2476" t="inlineStr">
        <is>
          <t>2007-03-28</t>
        </is>
      </c>
      <c r="V2476" t="inlineStr">
        <is>
          <t>2007-03-28</t>
        </is>
      </c>
      <c r="W2476" t="inlineStr">
        <is>
          <t>2007-03-28</t>
        </is>
      </c>
      <c r="X2476" t="inlineStr">
        <is>
          <t>2007-03-28</t>
        </is>
      </c>
      <c r="Y2476" t="n">
        <v>154</v>
      </c>
      <c r="Z2476" t="n">
        <v>122</v>
      </c>
      <c r="AA2476" t="n">
        <v>159</v>
      </c>
      <c r="AB2476" t="n">
        <v>1</v>
      </c>
      <c r="AC2476" t="n">
        <v>1</v>
      </c>
      <c r="AD2476" t="n">
        <v>7</v>
      </c>
      <c r="AE2476" t="n">
        <v>9</v>
      </c>
      <c r="AF2476" t="n">
        <v>3</v>
      </c>
      <c r="AG2476" t="n">
        <v>4</v>
      </c>
      <c r="AH2476" t="n">
        <v>2</v>
      </c>
      <c r="AI2476" t="n">
        <v>3</v>
      </c>
      <c r="AJ2476" t="n">
        <v>5</v>
      </c>
      <c r="AK2476" t="n">
        <v>7</v>
      </c>
      <c r="AL2476" t="n">
        <v>0</v>
      </c>
      <c r="AM2476" t="n">
        <v>0</v>
      </c>
      <c r="AN2476" t="n">
        <v>0</v>
      </c>
      <c r="AO2476" t="n">
        <v>0</v>
      </c>
      <c r="AP2476" t="inlineStr">
        <is>
          <t>No</t>
        </is>
      </c>
      <c r="AQ2476" t="inlineStr">
        <is>
          <t>No</t>
        </is>
      </c>
      <c r="AS2476">
        <f>HYPERLINK("https://creighton-primo.hosted.exlibrisgroup.com/primo-explore/search?tab=default_tab&amp;search_scope=EVERYTHING&amp;vid=01CRU&amp;lang=en_US&amp;offset=0&amp;query=any,contains,991005053939702656","Catalog Record")</f>
        <v/>
      </c>
      <c r="AT2476">
        <f>HYPERLINK("http://www.worldcat.org/oclc/52979184","WorldCat Record")</f>
        <v/>
      </c>
      <c r="AU2476" t="inlineStr">
        <is>
          <t>367443917:eng</t>
        </is>
      </c>
      <c r="AV2476" t="inlineStr">
        <is>
          <t>52979184</t>
        </is>
      </c>
      <c r="AW2476" t="inlineStr">
        <is>
          <t>991005053939702656</t>
        </is>
      </c>
      <c r="AX2476" t="inlineStr">
        <is>
          <t>991005053939702656</t>
        </is>
      </c>
      <c r="AY2476" t="inlineStr">
        <is>
          <t>2267024760002656</t>
        </is>
      </c>
      <c r="AZ2476" t="inlineStr">
        <is>
          <t>BOOK</t>
        </is>
      </c>
      <c r="BB2476" t="inlineStr">
        <is>
          <t>9781403917782</t>
        </is>
      </c>
      <c r="BC2476" t="inlineStr">
        <is>
          <t>32285005283436</t>
        </is>
      </c>
      <c r="BD2476" t="inlineStr">
        <is>
          <t>893600537</t>
        </is>
      </c>
    </row>
    <row r="2477">
      <c r="A2477" t="inlineStr">
        <is>
          <t>No</t>
        </is>
      </c>
      <c r="B2477" t="inlineStr">
        <is>
          <t>DS849.C6 C49 1983</t>
        </is>
      </c>
      <c r="C2477" t="inlineStr">
        <is>
          <t>0                      DS 0849000C  6                  C  49          1983</t>
        </is>
      </c>
      <c r="D2477" t="inlineStr">
        <is>
          <t>The China quagmire : Japan's expansion on the Asian continent, 1933-1941 : selected translations from Taiheiyō Sensō e no michi, kaisen gaikō shi / edited by James William Morley.</t>
        </is>
      </c>
      <c r="F2477" t="inlineStr">
        <is>
          <t>No</t>
        </is>
      </c>
      <c r="G2477" t="inlineStr">
        <is>
          <t>1</t>
        </is>
      </c>
      <c r="H2477" t="inlineStr">
        <is>
          <t>No</t>
        </is>
      </c>
      <c r="I2477" t="inlineStr">
        <is>
          <t>No</t>
        </is>
      </c>
      <c r="J2477" t="inlineStr">
        <is>
          <t>0</t>
        </is>
      </c>
      <c r="L2477" t="inlineStr">
        <is>
          <t>New York : Columbia University Press, 1983.</t>
        </is>
      </c>
      <c r="M2477" t="inlineStr">
        <is>
          <t>1983</t>
        </is>
      </c>
      <c r="N2477" t="inlineStr">
        <is>
          <t>1st ed.</t>
        </is>
      </c>
      <c r="O2477" t="inlineStr">
        <is>
          <t>eng</t>
        </is>
      </c>
      <c r="P2477" t="inlineStr">
        <is>
          <t>nyu</t>
        </is>
      </c>
      <c r="Q2477" t="inlineStr">
        <is>
          <t>Japan's road to the Pacific War</t>
        </is>
      </c>
      <c r="R2477" t="inlineStr">
        <is>
          <t xml:space="preserve">DS </t>
        </is>
      </c>
      <c r="S2477" t="n">
        <v>7</v>
      </c>
      <c r="T2477" t="n">
        <v>7</v>
      </c>
      <c r="U2477" t="inlineStr">
        <is>
          <t>1995-10-03</t>
        </is>
      </c>
      <c r="V2477" t="inlineStr">
        <is>
          <t>1995-10-03</t>
        </is>
      </c>
      <c r="W2477" t="inlineStr">
        <is>
          <t>1990-10-30</t>
        </is>
      </c>
      <c r="X2477" t="inlineStr">
        <is>
          <t>1990-10-30</t>
        </is>
      </c>
      <c r="Y2477" t="n">
        <v>547</v>
      </c>
      <c r="Z2477" t="n">
        <v>437</v>
      </c>
      <c r="AA2477" t="n">
        <v>442</v>
      </c>
      <c r="AB2477" t="n">
        <v>2</v>
      </c>
      <c r="AC2477" t="n">
        <v>2</v>
      </c>
      <c r="AD2477" t="n">
        <v>20</v>
      </c>
      <c r="AE2477" t="n">
        <v>20</v>
      </c>
      <c r="AF2477" t="n">
        <v>8</v>
      </c>
      <c r="AG2477" t="n">
        <v>8</v>
      </c>
      <c r="AH2477" t="n">
        <v>6</v>
      </c>
      <c r="AI2477" t="n">
        <v>6</v>
      </c>
      <c r="AJ2477" t="n">
        <v>13</v>
      </c>
      <c r="AK2477" t="n">
        <v>13</v>
      </c>
      <c r="AL2477" t="n">
        <v>1</v>
      </c>
      <c r="AM2477" t="n">
        <v>1</v>
      </c>
      <c r="AN2477" t="n">
        <v>0</v>
      </c>
      <c r="AO2477" t="n">
        <v>0</v>
      </c>
      <c r="AP2477" t="inlineStr">
        <is>
          <t>No</t>
        </is>
      </c>
      <c r="AQ2477" t="inlineStr">
        <is>
          <t>No</t>
        </is>
      </c>
      <c r="AS2477">
        <f>HYPERLINK("https://creighton-primo.hosted.exlibrisgroup.com/primo-explore/search?tab=default_tab&amp;search_scope=EVERYTHING&amp;vid=01CRU&amp;lang=en_US&amp;offset=0&amp;query=any,contains,991000038729702656","Catalog Record")</f>
        <v/>
      </c>
      <c r="AT2477">
        <f>HYPERLINK("http://www.worldcat.org/oclc/8629293","WorldCat Record")</f>
        <v/>
      </c>
      <c r="AU2477" t="inlineStr">
        <is>
          <t>1807843548:eng</t>
        </is>
      </c>
      <c r="AV2477" t="inlineStr">
        <is>
          <t>8629293</t>
        </is>
      </c>
      <c r="AW2477" t="inlineStr">
        <is>
          <t>991000038729702656</t>
        </is>
      </c>
      <c r="AX2477" t="inlineStr">
        <is>
          <t>991000038729702656</t>
        </is>
      </c>
      <c r="AY2477" t="inlineStr">
        <is>
          <t>2264091000002656</t>
        </is>
      </c>
      <c r="AZ2477" t="inlineStr">
        <is>
          <t>BOOK</t>
        </is>
      </c>
      <c r="BB2477" t="inlineStr">
        <is>
          <t>9780231055222</t>
        </is>
      </c>
      <c r="BC2477" t="inlineStr">
        <is>
          <t>32285000370212</t>
        </is>
      </c>
      <c r="BD2477" t="inlineStr">
        <is>
          <t>893326950</t>
        </is>
      </c>
    </row>
    <row r="2478">
      <c r="A2478" t="inlineStr">
        <is>
          <t>No</t>
        </is>
      </c>
      <c r="B2478" t="inlineStr">
        <is>
          <t>DS849.C6 J26 1992</t>
        </is>
      </c>
      <c r="C2478" t="inlineStr">
        <is>
          <t>0                      DS 0849000C  6                  J  26          1992</t>
        </is>
      </c>
      <c r="D2478" t="inlineStr">
        <is>
          <t>China in the Tokugawa world / Marius B. Jansen.</t>
        </is>
      </c>
      <c r="F2478" t="inlineStr">
        <is>
          <t>No</t>
        </is>
      </c>
      <c r="G2478" t="inlineStr">
        <is>
          <t>1</t>
        </is>
      </c>
      <c r="H2478" t="inlineStr">
        <is>
          <t>No</t>
        </is>
      </c>
      <c r="I2478" t="inlineStr">
        <is>
          <t>No</t>
        </is>
      </c>
      <c r="J2478" t="inlineStr">
        <is>
          <t>0</t>
        </is>
      </c>
      <c r="K2478" t="inlineStr">
        <is>
          <t>Jansen, Marius B.</t>
        </is>
      </c>
      <c r="L2478" t="inlineStr">
        <is>
          <t>Cambridge, Mass. : Harvard University Press, 1992.</t>
        </is>
      </c>
      <c r="M2478" t="inlineStr">
        <is>
          <t>1992</t>
        </is>
      </c>
      <c r="O2478" t="inlineStr">
        <is>
          <t>eng</t>
        </is>
      </c>
      <c r="P2478" t="inlineStr">
        <is>
          <t>mau</t>
        </is>
      </c>
      <c r="R2478" t="inlineStr">
        <is>
          <t xml:space="preserve">DS </t>
        </is>
      </c>
      <c r="S2478" t="n">
        <v>4</v>
      </c>
      <c r="T2478" t="n">
        <v>4</v>
      </c>
      <c r="U2478" t="inlineStr">
        <is>
          <t>1999-11-21</t>
        </is>
      </c>
      <c r="V2478" t="inlineStr">
        <is>
          <t>1999-11-21</t>
        </is>
      </c>
      <c r="W2478" t="inlineStr">
        <is>
          <t>1999-03-22</t>
        </is>
      </c>
      <c r="X2478" t="inlineStr">
        <is>
          <t>1999-03-22</t>
        </is>
      </c>
      <c r="Y2478" t="n">
        <v>492</v>
      </c>
      <c r="Z2478" t="n">
        <v>365</v>
      </c>
      <c r="AA2478" t="n">
        <v>402</v>
      </c>
      <c r="AB2478" t="n">
        <v>4</v>
      </c>
      <c r="AC2478" t="n">
        <v>5</v>
      </c>
      <c r="AD2478" t="n">
        <v>22</v>
      </c>
      <c r="AE2478" t="n">
        <v>24</v>
      </c>
      <c r="AF2478" t="n">
        <v>8</v>
      </c>
      <c r="AG2478" t="n">
        <v>9</v>
      </c>
      <c r="AH2478" t="n">
        <v>6</v>
      </c>
      <c r="AI2478" t="n">
        <v>6</v>
      </c>
      <c r="AJ2478" t="n">
        <v>11</v>
      </c>
      <c r="AK2478" t="n">
        <v>11</v>
      </c>
      <c r="AL2478" t="n">
        <v>3</v>
      </c>
      <c r="AM2478" t="n">
        <v>4</v>
      </c>
      <c r="AN2478" t="n">
        <v>0</v>
      </c>
      <c r="AO2478" t="n">
        <v>0</v>
      </c>
      <c r="AP2478" t="inlineStr">
        <is>
          <t>No</t>
        </is>
      </c>
      <c r="AQ2478" t="inlineStr">
        <is>
          <t>Yes</t>
        </is>
      </c>
      <c r="AR2478">
        <f>HYPERLINK("http://catalog.hathitrust.org/Record/002548432","HathiTrust Record")</f>
        <v/>
      </c>
      <c r="AS2478">
        <f>HYPERLINK("https://creighton-primo.hosted.exlibrisgroup.com/primo-explore/search?tab=default_tab&amp;search_scope=EVERYTHING&amp;vid=01CRU&amp;lang=en_US&amp;offset=0&amp;query=any,contains,991001965349702656","Catalog Record")</f>
        <v/>
      </c>
      <c r="AT2478">
        <f>HYPERLINK("http://www.worldcat.org/oclc/24908621","WorldCat Record")</f>
        <v/>
      </c>
      <c r="AU2478" t="inlineStr">
        <is>
          <t>2675589:eng</t>
        </is>
      </c>
      <c r="AV2478" t="inlineStr">
        <is>
          <t>24908621</t>
        </is>
      </c>
      <c r="AW2478" t="inlineStr">
        <is>
          <t>991001965349702656</t>
        </is>
      </c>
      <c r="AX2478" t="inlineStr">
        <is>
          <t>991001965349702656</t>
        </is>
      </c>
      <c r="AY2478" t="inlineStr">
        <is>
          <t>2267154110002656</t>
        </is>
      </c>
      <c r="AZ2478" t="inlineStr">
        <is>
          <t>BOOK</t>
        </is>
      </c>
      <c r="BB2478" t="inlineStr">
        <is>
          <t>9780674117532</t>
        </is>
      </c>
      <c r="BC2478" t="inlineStr">
        <is>
          <t>32285003534467</t>
        </is>
      </c>
      <c r="BD2478" t="inlineStr">
        <is>
          <t>893621764</t>
        </is>
      </c>
    </row>
    <row r="2479">
      <c r="A2479" t="inlineStr">
        <is>
          <t>No</t>
        </is>
      </c>
      <c r="B2479" t="inlineStr">
        <is>
          <t>DS849.C6 K2813 1973</t>
        </is>
      </c>
      <c r="C2479" t="inlineStr">
        <is>
          <t>0                      DS 0849000C  6                  K  2813        1973</t>
        </is>
      </c>
      <c r="D2479" t="inlineStr">
        <is>
          <t>The goal of Japanese expansion.</t>
        </is>
      </c>
      <c r="F2479" t="inlineStr">
        <is>
          <t>No</t>
        </is>
      </c>
      <c r="G2479" t="inlineStr">
        <is>
          <t>1</t>
        </is>
      </c>
      <c r="H2479" t="inlineStr">
        <is>
          <t>No</t>
        </is>
      </c>
      <c r="I2479" t="inlineStr">
        <is>
          <t>No</t>
        </is>
      </c>
      <c r="J2479" t="inlineStr">
        <is>
          <t>0</t>
        </is>
      </c>
      <c r="K2479" t="inlineStr">
        <is>
          <t>Kawai, Tatsuo, 1889-</t>
        </is>
      </c>
      <c r="L2479" t="inlineStr">
        <is>
          <t>Westport, Conn. : Greenwood Press, [1973]</t>
        </is>
      </c>
      <c r="M2479" t="inlineStr">
        <is>
          <t>1973</t>
        </is>
      </c>
      <c r="O2479" t="inlineStr">
        <is>
          <t>eng</t>
        </is>
      </c>
      <c r="P2479" t="inlineStr">
        <is>
          <t>ctu</t>
        </is>
      </c>
      <c r="R2479" t="inlineStr">
        <is>
          <t xml:space="preserve">DS </t>
        </is>
      </c>
      <c r="S2479" t="n">
        <v>8</v>
      </c>
      <c r="T2479" t="n">
        <v>8</v>
      </c>
      <c r="U2479" t="inlineStr">
        <is>
          <t>2005-03-02</t>
        </is>
      </c>
      <c r="V2479" t="inlineStr">
        <is>
          <t>2005-03-02</t>
        </is>
      </c>
      <c r="W2479" t="inlineStr">
        <is>
          <t>1993-01-08</t>
        </is>
      </c>
      <c r="X2479" t="inlineStr">
        <is>
          <t>1993-01-08</t>
        </is>
      </c>
      <c r="Y2479" t="n">
        <v>111</v>
      </c>
      <c r="Z2479" t="n">
        <v>90</v>
      </c>
      <c r="AA2479" t="n">
        <v>287</v>
      </c>
      <c r="AB2479" t="n">
        <v>1</v>
      </c>
      <c r="AC2479" t="n">
        <v>1</v>
      </c>
      <c r="AD2479" t="n">
        <v>3</v>
      </c>
      <c r="AE2479" t="n">
        <v>10</v>
      </c>
      <c r="AF2479" t="n">
        <v>1</v>
      </c>
      <c r="AG2479" t="n">
        <v>4</v>
      </c>
      <c r="AH2479" t="n">
        <v>1</v>
      </c>
      <c r="AI2479" t="n">
        <v>4</v>
      </c>
      <c r="AJ2479" t="n">
        <v>2</v>
      </c>
      <c r="AK2479" t="n">
        <v>6</v>
      </c>
      <c r="AL2479" t="n">
        <v>0</v>
      </c>
      <c r="AM2479" t="n">
        <v>0</v>
      </c>
      <c r="AN2479" t="n">
        <v>0</v>
      </c>
      <c r="AO2479" t="n">
        <v>0</v>
      </c>
      <c r="AP2479" t="inlineStr">
        <is>
          <t>No</t>
        </is>
      </c>
      <c r="AQ2479" t="inlineStr">
        <is>
          <t>No</t>
        </is>
      </c>
      <c r="AS2479">
        <f>HYPERLINK("https://creighton-primo.hosted.exlibrisgroup.com/primo-explore/search?tab=default_tab&amp;search_scope=EVERYTHING&amp;vid=01CRU&amp;lang=en_US&amp;offset=0&amp;query=any,contains,991003061259702656","Catalog Record")</f>
        <v/>
      </c>
      <c r="AT2479">
        <f>HYPERLINK("http://www.worldcat.org/oclc/618358","WorldCat Record")</f>
        <v/>
      </c>
      <c r="AU2479" t="inlineStr">
        <is>
          <t>1551886:eng</t>
        </is>
      </c>
      <c r="AV2479" t="inlineStr">
        <is>
          <t>618358</t>
        </is>
      </c>
      <c r="AW2479" t="inlineStr">
        <is>
          <t>991003061259702656</t>
        </is>
      </c>
      <c r="AX2479" t="inlineStr">
        <is>
          <t>991003061259702656</t>
        </is>
      </c>
      <c r="AY2479" t="inlineStr">
        <is>
          <t>2272205640002656</t>
        </is>
      </c>
      <c r="AZ2479" t="inlineStr">
        <is>
          <t>BOOK</t>
        </is>
      </c>
      <c r="BB2479" t="inlineStr">
        <is>
          <t>9780837168548</t>
        </is>
      </c>
      <c r="BC2479" t="inlineStr">
        <is>
          <t>32285001474336</t>
        </is>
      </c>
      <c r="BD2479" t="inlineStr">
        <is>
          <t>893336100</t>
        </is>
      </c>
    </row>
    <row r="2480">
      <c r="A2480" t="inlineStr">
        <is>
          <t>No</t>
        </is>
      </c>
      <c r="B2480" t="inlineStr">
        <is>
          <t>DS849.C6 M36 1978</t>
        </is>
      </c>
      <c r="C2480" t="inlineStr">
        <is>
          <t>0                      DS 0849000C  6                  M  36          1978</t>
        </is>
      </c>
      <c r="D2480" t="inlineStr">
        <is>
          <t>Issues in Japan's China policy / Wolf Mendl.</t>
        </is>
      </c>
      <c r="F2480" t="inlineStr">
        <is>
          <t>No</t>
        </is>
      </c>
      <c r="G2480" t="inlineStr">
        <is>
          <t>1</t>
        </is>
      </c>
      <c r="H2480" t="inlineStr">
        <is>
          <t>No</t>
        </is>
      </c>
      <c r="I2480" t="inlineStr">
        <is>
          <t>No</t>
        </is>
      </c>
      <c r="J2480" t="inlineStr">
        <is>
          <t>0</t>
        </is>
      </c>
      <c r="K2480" t="inlineStr">
        <is>
          <t>Mendl, Wolf.</t>
        </is>
      </c>
      <c r="L2480" t="inlineStr">
        <is>
          <t>New York : Oxford University Press, 1978.</t>
        </is>
      </c>
      <c r="M2480" t="inlineStr">
        <is>
          <t>1978</t>
        </is>
      </c>
      <c r="O2480" t="inlineStr">
        <is>
          <t>eng</t>
        </is>
      </c>
      <c r="P2480" t="inlineStr">
        <is>
          <t>nyu</t>
        </is>
      </c>
      <c r="R2480" t="inlineStr">
        <is>
          <t xml:space="preserve">DS </t>
        </is>
      </c>
      <c r="S2480" t="n">
        <v>1</v>
      </c>
      <c r="T2480" t="n">
        <v>1</v>
      </c>
      <c r="U2480" t="inlineStr">
        <is>
          <t>1996-03-21</t>
        </is>
      </c>
      <c r="V2480" t="inlineStr">
        <is>
          <t>1996-03-21</t>
        </is>
      </c>
      <c r="W2480" t="inlineStr">
        <is>
          <t>1990-10-30</t>
        </is>
      </c>
      <c r="X2480" t="inlineStr">
        <is>
          <t>1990-10-30</t>
        </is>
      </c>
      <c r="Y2480" t="n">
        <v>271</v>
      </c>
      <c r="Z2480" t="n">
        <v>259</v>
      </c>
      <c r="AA2480" t="n">
        <v>312</v>
      </c>
      <c r="AB2480" t="n">
        <v>2</v>
      </c>
      <c r="AC2480" t="n">
        <v>3</v>
      </c>
      <c r="AD2480" t="n">
        <v>12</v>
      </c>
      <c r="AE2480" t="n">
        <v>14</v>
      </c>
      <c r="AF2480" t="n">
        <v>1</v>
      </c>
      <c r="AG2480" t="n">
        <v>1</v>
      </c>
      <c r="AH2480" t="n">
        <v>5</v>
      </c>
      <c r="AI2480" t="n">
        <v>5</v>
      </c>
      <c r="AJ2480" t="n">
        <v>8</v>
      </c>
      <c r="AK2480" t="n">
        <v>9</v>
      </c>
      <c r="AL2480" t="n">
        <v>1</v>
      </c>
      <c r="AM2480" t="n">
        <v>2</v>
      </c>
      <c r="AN2480" t="n">
        <v>0</v>
      </c>
      <c r="AO2480" t="n">
        <v>0</v>
      </c>
      <c r="AP2480" t="inlineStr">
        <is>
          <t>No</t>
        </is>
      </c>
      <c r="AQ2480" t="inlineStr">
        <is>
          <t>Yes</t>
        </is>
      </c>
      <c r="AR2480">
        <f>HYPERLINK("http://catalog.hathitrust.org/Record/000022633","HathiTrust Record")</f>
        <v/>
      </c>
      <c r="AS2480">
        <f>HYPERLINK("https://creighton-primo.hosted.exlibrisgroup.com/primo-explore/search?tab=default_tab&amp;search_scope=EVERYTHING&amp;vid=01CRU&amp;lang=en_US&amp;offset=0&amp;query=any,contains,991004425739702656","Catalog Record")</f>
        <v/>
      </c>
      <c r="AT2480">
        <f>HYPERLINK("http://www.worldcat.org/oclc/3397268","WorldCat Record")</f>
        <v/>
      </c>
      <c r="AU2480" t="inlineStr">
        <is>
          <t>10289218:eng</t>
        </is>
      </c>
      <c r="AV2480" t="inlineStr">
        <is>
          <t>3397268</t>
        </is>
      </c>
      <c r="AW2480" t="inlineStr">
        <is>
          <t>991004425739702656</t>
        </is>
      </c>
      <c r="AX2480" t="inlineStr">
        <is>
          <t>991004425739702656</t>
        </is>
      </c>
      <c r="AY2480" t="inlineStr">
        <is>
          <t>2267136200002656</t>
        </is>
      </c>
      <c r="AZ2480" t="inlineStr">
        <is>
          <t>BOOK</t>
        </is>
      </c>
      <c r="BB2480" t="inlineStr">
        <is>
          <t>9780195200317</t>
        </is>
      </c>
      <c r="BC2480" t="inlineStr">
        <is>
          <t>32285000370220</t>
        </is>
      </c>
      <c r="BD2480" t="inlineStr">
        <is>
          <t>893331572</t>
        </is>
      </c>
    </row>
    <row r="2481">
      <c r="A2481" t="inlineStr">
        <is>
          <t>No</t>
        </is>
      </c>
      <c r="B2481" t="inlineStr">
        <is>
          <t>DS849.C6 N484 1993</t>
        </is>
      </c>
      <c r="C2481" t="inlineStr">
        <is>
          <t>0                      DS 0849000C  6                  N  484         1993</t>
        </is>
      </c>
      <c r="D2481" t="inlineStr">
        <is>
          <t>Japan's struggle with internationalism : Japan, China, and the League of Nations, 1931-3 / Ian Nish.</t>
        </is>
      </c>
      <c r="F2481" t="inlineStr">
        <is>
          <t>No</t>
        </is>
      </c>
      <c r="G2481" t="inlineStr">
        <is>
          <t>1</t>
        </is>
      </c>
      <c r="H2481" t="inlineStr">
        <is>
          <t>No</t>
        </is>
      </c>
      <c r="I2481" t="inlineStr">
        <is>
          <t>No</t>
        </is>
      </c>
      <c r="J2481" t="inlineStr">
        <is>
          <t>0</t>
        </is>
      </c>
      <c r="K2481" t="inlineStr">
        <is>
          <t>Nish, Ian.</t>
        </is>
      </c>
      <c r="L2481" t="inlineStr">
        <is>
          <t>London ; New York : K. Paul International, 1992.</t>
        </is>
      </c>
      <c r="M2481" t="inlineStr">
        <is>
          <t>1993</t>
        </is>
      </c>
      <c r="O2481" t="inlineStr">
        <is>
          <t>eng</t>
        </is>
      </c>
      <c r="P2481" t="inlineStr">
        <is>
          <t>enk</t>
        </is>
      </c>
      <c r="R2481" t="inlineStr">
        <is>
          <t xml:space="preserve">DS </t>
        </is>
      </c>
      <c r="S2481" t="n">
        <v>6</v>
      </c>
      <c r="T2481" t="n">
        <v>6</v>
      </c>
      <c r="U2481" t="inlineStr">
        <is>
          <t>1996-11-12</t>
        </is>
      </c>
      <c r="V2481" t="inlineStr">
        <is>
          <t>1996-11-12</t>
        </is>
      </c>
      <c r="W2481" t="inlineStr">
        <is>
          <t>1993-06-07</t>
        </is>
      </c>
      <c r="X2481" t="inlineStr">
        <is>
          <t>1993-06-07</t>
        </is>
      </c>
      <c r="Y2481" t="n">
        <v>202</v>
      </c>
      <c r="Z2481" t="n">
        <v>154</v>
      </c>
      <c r="AA2481" t="n">
        <v>211</v>
      </c>
      <c r="AB2481" t="n">
        <v>2</v>
      </c>
      <c r="AC2481" t="n">
        <v>2</v>
      </c>
      <c r="AD2481" t="n">
        <v>9</v>
      </c>
      <c r="AE2481" t="n">
        <v>11</v>
      </c>
      <c r="AF2481" t="n">
        <v>3</v>
      </c>
      <c r="AG2481" t="n">
        <v>4</v>
      </c>
      <c r="AH2481" t="n">
        <v>2</v>
      </c>
      <c r="AI2481" t="n">
        <v>3</v>
      </c>
      <c r="AJ2481" t="n">
        <v>5</v>
      </c>
      <c r="AK2481" t="n">
        <v>7</v>
      </c>
      <c r="AL2481" t="n">
        <v>1</v>
      </c>
      <c r="AM2481" t="n">
        <v>1</v>
      </c>
      <c r="AN2481" t="n">
        <v>0</v>
      </c>
      <c r="AO2481" t="n">
        <v>0</v>
      </c>
      <c r="AP2481" t="inlineStr">
        <is>
          <t>No</t>
        </is>
      </c>
      <c r="AQ2481" t="inlineStr">
        <is>
          <t>Yes</t>
        </is>
      </c>
      <c r="AR2481">
        <f>HYPERLINK("http://catalog.hathitrust.org/Record/002619457","HathiTrust Record")</f>
        <v/>
      </c>
      <c r="AS2481">
        <f>HYPERLINK("https://creighton-primo.hosted.exlibrisgroup.com/primo-explore/search?tab=default_tab&amp;search_scope=EVERYTHING&amp;vid=01CRU&amp;lang=en_US&amp;offset=0&amp;query=any,contains,991001906859702656","Catalog Record")</f>
        <v/>
      </c>
      <c r="AT2481">
        <f>HYPERLINK("http://www.worldcat.org/oclc/24069075","WorldCat Record")</f>
        <v/>
      </c>
      <c r="AU2481" t="inlineStr">
        <is>
          <t>25167270:eng</t>
        </is>
      </c>
      <c r="AV2481" t="inlineStr">
        <is>
          <t>24069075</t>
        </is>
      </c>
      <c r="AW2481" t="inlineStr">
        <is>
          <t>991001906859702656</t>
        </is>
      </c>
      <c r="AX2481" t="inlineStr">
        <is>
          <t>991001906859702656</t>
        </is>
      </c>
      <c r="AY2481" t="inlineStr">
        <is>
          <t>2260042440002656</t>
        </is>
      </c>
      <c r="AZ2481" t="inlineStr">
        <is>
          <t>BOOK</t>
        </is>
      </c>
      <c r="BB2481" t="inlineStr">
        <is>
          <t>9780710304377</t>
        </is>
      </c>
      <c r="BC2481" t="inlineStr">
        <is>
          <t>32285001584506</t>
        </is>
      </c>
      <c r="BD2481" t="inlineStr">
        <is>
          <t>893256617</t>
        </is>
      </c>
    </row>
    <row r="2482">
      <c r="A2482" t="inlineStr">
        <is>
          <t>No</t>
        </is>
      </c>
      <c r="B2482" t="inlineStr">
        <is>
          <t>DS849.C6 T46 1999</t>
        </is>
      </c>
      <c r="C2482" t="inlineStr">
        <is>
          <t>0                      DS 0849000C  6                  T  46          1999</t>
        </is>
      </c>
      <c r="D2482" t="inlineStr">
        <is>
          <t>Japan's cultural policy toward China, 1918-1931 : a comparative perspective / See Heng Teow.</t>
        </is>
      </c>
      <c r="F2482" t="inlineStr">
        <is>
          <t>No</t>
        </is>
      </c>
      <c r="G2482" t="inlineStr">
        <is>
          <t>1</t>
        </is>
      </c>
      <c r="H2482" t="inlineStr">
        <is>
          <t>No</t>
        </is>
      </c>
      <c r="I2482" t="inlineStr">
        <is>
          <t>No</t>
        </is>
      </c>
      <c r="J2482" t="inlineStr">
        <is>
          <t>0</t>
        </is>
      </c>
      <c r="K2482" t="inlineStr">
        <is>
          <t>Teow, See Heng.</t>
        </is>
      </c>
      <c r="L2482" t="inlineStr">
        <is>
          <t>Cambridge, Mass. : Harvard University Asia Center : Distributed by Harvard University Press, 1999.</t>
        </is>
      </c>
      <c r="M2482" t="inlineStr">
        <is>
          <t>1999</t>
        </is>
      </c>
      <c r="O2482" t="inlineStr">
        <is>
          <t>eng</t>
        </is>
      </c>
      <c r="P2482" t="inlineStr">
        <is>
          <t>mau</t>
        </is>
      </c>
      <c r="Q2482" t="inlineStr">
        <is>
          <t>Harvard East Asian monographs ; 175</t>
        </is>
      </c>
      <c r="R2482" t="inlineStr">
        <is>
          <t xml:space="preserve">DS </t>
        </is>
      </c>
      <c r="S2482" t="n">
        <v>3</v>
      </c>
      <c r="T2482" t="n">
        <v>3</v>
      </c>
      <c r="U2482" t="inlineStr">
        <is>
          <t>2000-02-23</t>
        </is>
      </c>
      <c r="V2482" t="inlineStr">
        <is>
          <t>2000-02-23</t>
        </is>
      </c>
      <c r="W2482" t="inlineStr">
        <is>
          <t>2000-01-11</t>
        </is>
      </c>
      <c r="X2482" t="inlineStr">
        <is>
          <t>2000-01-11</t>
        </is>
      </c>
      <c r="Y2482" t="n">
        <v>302</v>
      </c>
      <c r="Z2482" t="n">
        <v>232</v>
      </c>
      <c r="AA2482" t="n">
        <v>286</v>
      </c>
      <c r="AB2482" t="n">
        <v>3</v>
      </c>
      <c r="AC2482" t="n">
        <v>3</v>
      </c>
      <c r="AD2482" t="n">
        <v>13</v>
      </c>
      <c r="AE2482" t="n">
        <v>17</v>
      </c>
      <c r="AF2482" t="n">
        <v>3</v>
      </c>
      <c r="AG2482" t="n">
        <v>7</v>
      </c>
      <c r="AH2482" t="n">
        <v>4</v>
      </c>
      <c r="AI2482" t="n">
        <v>5</v>
      </c>
      <c r="AJ2482" t="n">
        <v>6</v>
      </c>
      <c r="AK2482" t="n">
        <v>6</v>
      </c>
      <c r="AL2482" t="n">
        <v>2</v>
      </c>
      <c r="AM2482" t="n">
        <v>2</v>
      </c>
      <c r="AN2482" t="n">
        <v>0</v>
      </c>
      <c r="AO2482" t="n">
        <v>0</v>
      </c>
      <c r="AP2482" t="inlineStr">
        <is>
          <t>No</t>
        </is>
      </c>
      <c r="AQ2482" t="inlineStr">
        <is>
          <t>No</t>
        </is>
      </c>
      <c r="AS2482">
        <f>HYPERLINK("https://creighton-primo.hosted.exlibrisgroup.com/primo-explore/search?tab=default_tab&amp;search_scope=EVERYTHING&amp;vid=01CRU&amp;lang=en_US&amp;offset=0&amp;query=any,contains,991002986959702656","Catalog Record")</f>
        <v/>
      </c>
      <c r="AT2482">
        <f>HYPERLINK("http://www.worldcat.org/oclc/40255854","WorldCat Record")</f>
        <v/>
      </c>
      <c r="AU2482" t="inlineStr">
        <is>
          <t>795181561:eng</t>
        </is>
      </c>
      <c r="AV2482" t="inlineStr">
        <is>
          <t>40255854</t>
        </is>
      </c>
      <c r="AW2482" t="inlineStr">
        <is>
          <t>991002986959702656</t>
        </is>
      </c>
      <c r="AX2482" t="inlineStr">
        <is>
          <t>991002986959702656</t>
        </is>
      </c>
      <c r="AY2482" t="inlineStr">
        <is>
          <t>2258064970002656</t>
        </is>
      </c>
      <c r="AZ2482" t="inlineStr">
        <is>
          <t>BOOK</t>
        </is>
      </c>
      <c r="BB2482" t="inlineStr">
        <is>
          <t>9780674472570</t>
        </is>
      </c>
      <c r="BC2482" t="inlineStr">
        <is>
          <t>32285003639621</t>
        </is>
      </c>
      <c r="BD2482" t="inlineStr">
        <is>
          <t>893440790</t>
        </is>
      </c>
    </row>
    <row r="2483">
      <c r="A2483" t="inlineStr">
        <is>
          <t>No</t>
        </is>
      </c>
      <c r="B2483" t="inlineStr">
        <is>
          <t>DS849.C6 W358 2000</t>
        </is>
      </c>
      <c r="C2483" t="inlineStr">
        <is>
          <t>0                      DS 0849000C  6                  W  358         2000</t>
        </is>
      </c>
      <c r="D2483" t="inlineStr">
        <is>
          <t>Hegemonic cooperation and conflict : postwar Japan's China policy and the United States / Qingxin Ken Wang.</t>
        </is>
      </c>
      <c r="F2483" t="inlineStr">
        <is>
          <t>No</t>
        </is>
      </c>
      <c r="G2483" t="inlineStr">
        <is>
          <t>1</t>
        </is>
      </c>
      <c r="H2483" t="inlineStr">
        <is>
          <t>No</t>
        </is>
      </c>
      <c r="I2483" t="inlineStr">
        <is>
          <t>No</t>
        </is>
      </c>
      <c r="J2483" t="inlineStr">
        <is>
          <t>0</t>
        </is>
      </c>
      <c r="K2483" t="inlineStr">
        <is>
          <t>Wang, Qingxin Ken, 1964-</t>
        </is>
      </c>
      <c r="L2483" t="inlineStr">
        <is>
          <t>Westport, Conn. : Praeger, c2000.</t>
        </is>
      </c>
      <c r="M2483" t="inlineStr">
        <is>
          <t>2000</t>
        </is>
      </c>
      <c r="O2483" t="inlineStr">
        <is>
          <t>eng</t>
        </is>
      </c>
      <c r="P2483" t="inlineStr">
        <is>
          <t>ctu</t>
        </is>
      </c>
      <c r="R2483" t="inlineStr">
        <is>
          <t xml:space="preserve">DS </t>
        </is>
      </c>
      <c r="S2483" t="n">
        <v>1</v>
      </c>
      <c r="T2483" t="n">
        <v>1</v>
      </c>
      <c r="U2483" t="inlineStr">
        <is>
          <t>2002-01-07</t>
        </is>
      </c>
      <c r="V2483" t="inlineStr">
        <is>
          <t>2002-01-07</t>
        </is>
      </c>
      <c r="W2483" t="inlineStr">
        <is>
          <t>2002-01-07</t>
        </is>
      </c>
      <c r="X2483" t="inlineStr">
        <is>
          <t>2002-01-07</t>
        </is>
      </c>
      <c r="Y2483" t="n">
        <v>263</v>
      </c>
      <c r="Z2483" t="n">
        <v>204</v>
      </c>
      <c r="AA2483" t="n">
        <v>567</v>
      </c>
      <c r="AB2483" t="n">
        <v>3</v>
      </c>
      <c r="AC2483" t="n">
        <v>5</v>
      </c>
      <c r="AD2483" t="n">
        <v>12</v>
      </c>
      <c r="AE2483" t="n">
        <v>18</v>
      </c>
      <c r="AF2483" t="n">
        <v>3</v>
      </c>
      <c r="AG2483" t="n">
        <v>7</v>
      </c>
      <c r="AH2483" t="n">
        <v>3</v>
      </c>
      <c r="AI2483" t="n">
        <v>4</v>
      </c>
      <c r="AJ2483" t="n">
        <v>9</v>
      </c>
      <c r="AK2483" t="n">
        <v>10</v>
      </c>
      <c r="AL2483" t="n">
        <v>2</v>
      </c>
      <c r="AM2483" t="n">
        <v>4</v>
      </c>
      <c r="AN2483" t="n">
        <v>0</v>
      </c>
      <c r="AO2483" t="n">
        <v>0</v>
      </c>
      <c r="AP2483" t="inlineStr">
        <is>
          <t>No</t>
        </is>
      </c>
      <c r="AQ2483" t="inlineStr">
        <is>
          <t>Yes</t>
        </is>
      </c>
      <c r="AR2483">
        <f>HYPERLINK("http://catalog.hathitrust.org/Record/004121286","HathiTrust Record")</f>
        <v/>
      </c>
      <c r="AS2483">
        <f>HYPERLINK("https://creighton-primo.hosted.exlibrisgroup.com/primo-explore/search?tab=default_tab&amp;search_scope=EVERYTHING&amp;vid=01CRU&amp;lang=en_US&amp;offset=0&amp;query=any,contains,991003689229702656","Catalog Record")</f>
        <v/>
      </c>
      <c r="AT2483">
        <f>HYPERLINK("http://www.worldcat.org/oclc/39930742","WorldCat Record")</f>
        <v/>
      </c>
      <c r="AU2483" t="inlineStr">
        <is>
          <t>2579844:eng</t>
        </is>
      </c>
      <c r="AV2483" t="inlineStr">
        <is>
          <t>39930742</t>
        </is>
      </c>
      <c r="AW2483" t="inlineStr">
        <is>
          <t>991003689229702656</t>
        </is>
      </c>
      <c r="AX2483" t="inlineStr">
        <is>
          <t>991003689229702656</t>
        </is>
      </c>
      <c r="AY2483" t="inlineStr">
        <is>
          <t>2260939030002656</t>
        </is>
      </c>
      <c r="AZ2483" t="inlineStr">
        <is>
          <t>BOOK</t>
        </is>
      </c>
      <c r="BB2483" t="inlineStr">
        <is>
          <t>9780275963149</t>
        </is>
      </c>
      <c r="BC2483" t="inlineStr">
        <is>
          <t>32285004445648</t>
        </is>
      </c>
      <c r="BD2483" t="inlineStr">
        <is>
          <t>893445785</t>
        </is>
      </c>
    </row>
    <row r="2484">
      <c r="A2484" t="inlineStr">
        <is>
          <t>No</t>
        </is>
      </c>
      <c r="B2484" t="inlineStr">
        <is>
          <t>DS849.F8 S5 1998</t>
        </is>
      </c>
      <c r="C2484" t="inlineStr">
        <is>
          <t>0                      DS 0849000F  8                  S  5           1998</t>
        </is>
      </c>
      <c r="D2484" t="inlineStr">
        <is>
          <t>French policy towards the Bakufu and Meiji Japan 1854-95 / Richard Sims.</t>
        </is>
      </c>
      <c r="F2484" t="inlineStr">
        <is>
          <t>No</t>
        </is>
      </c>
      <c r="G2484" t="inlineStr">
        <is>
          <t>1</t>
        </is>
      </c>
      <c r="H2484" t="inlineStr">
        <is>
          <t>No</t>
        </is>
      </c>
      <c r="I2484" t="inlineStr">
        <is>
          <t>No</t>
        </is>
      </c>
      <c r="J2484" t="inlineStr">
        <is>
          <t>0</t>
        </is>
      </c>
      <c r="K2484" t="inlineStr">
        <is>
          <t>Sims, R. L. (Richard L.)</t>
        </is>
      </c>
      <c r="L2484" t="inlineStr">
        <is>
          <t>Richmond, Surrey : Japan Library, 1998.</t>
        </is>
      </c>
      <c r="M2484" t="inlineStr">
        <is>
          <t>1998</t>
        </is>
      </c>
      <c r="O2484" t="inlineStr">
        <is>
          <t>eng</t>
        </is>
      </c>
      <c r="P2484" t="inlineStr">
        <is>
          <t>enk</t>
        </is>
      </c>
      <c r="Q2484" t="inlineStr">
        <is>
          <t>Meiji Japan series ; 3</t>
        </is>
      </c>
      <c r="R2484" t="inlineStr">
        <is>
          <t xml:space="preserve">DS </t>
        </is>
      </c>
      <c r="S2484" t="n">
        <v>1</v>
      </c>
      <c r="T2484" t="n">
        <v>1</v>
      </c>
      <c r="U2484" t="inlineStr">
        <is>
          <t>2003-04-10</t>
        </is>
      </c>
      <c r="V2484" t="inlineStr">
        <is>
          <t>2003-04-10</t>
        </is>
      </c>
      <c r="W2484" t="inlineStr">
        <is>
          <t>2002-02-20</t>
        </is>
      </c>
      <c r="X2484" t="inlineStr">
        <is>
          <t>2002-02-20</t>
        </is>
      </c>
      <c r="Y2484" t="n">
        <v>197</v>
      </c>
      <c r="Z2484" t="n">
        <v>141</v>
      </c>
      <c r="AA2484" t="n">
        <v>142</v>
      </c>
      <c r="AB2484" t="n">
        <v>2</v>
      </c>
      <c r="AC2484" t="n">
        <v>2</v>
      </c>
      <c r="AD2484" t="n">
        <v>11</v>
      </c>
      <c r="AE2484" t="n">
        <v>12</v>
      </c>
      <c r="AF2484" t="n">
        <v>2</v>
      </c>
      <c r="AG2484" t="n">
        <v>2</v>
      </c>
      <c r="AH2484" t="n">
        <v>5</v>
      </c>
      <c r="AI2484" t="n">
        <v>5</v>
      </c>
      <c r="AJ2484" t="n">
        <v>7</v>
      </c>
      <c r="AK2484" t="n">
        <v>8</v>
      </c>
      <c r="AL2484" t="n">
        <v>1</v>
      </c>
      <c r="AM2484" t="n">
        <v>1</v>
      </c>
      <c r="AN2484" t="n">
        <v>0</v>
      </c>
      <c r="AO2484" t="n">
        <v>0</v>
      </c>
      <c r="AP2484" t="inlineStr">
        <is>
          <t>No</t>
        </is>
      </c>
      <c r="AQ2484" t="inlineStr">
        <is>
          <t>No</t>
        </is>
      </c>
      <c r="AS2484">
        <f>HYPERLINK("https://creighton-primo.hosted.exlibrisgroup.com/primo-explore/search?tab=default_tab&amp;search_scope=EVERYTHING&amp;vid=01CRU&amp;lang=en_US&amp;offset=0&amp;query=any,contains,991003687279702656","Catalog Record")</f>
        <v/>
      </c>
      <c r="AT2484">
        <f>HYPERLINK("http://www.worldcat.org/oclc/39086176","WorldCat Record")</f>
        <v/>
      </c>
      <c r="AU2484" t="inlineStr">
        <is>
          <t>143816250:eng</t>
        </is>
      </c>
      <c r="AV2484" t="inlineStr">
        <is>
          <t>39086176</t>
        </is>
      </c>
      <c r="AW2484" t="inlineStr">
        <is>
          <t>991003687279702656</t>
        </is>
      </c>
      <c r="AX2484" t="inlineStr">
        <is>
          <t>991003687279702656</t>
        </is>
      </c>
      <c r="AY2484" t="inlineStr">
        <is>
          <t>2259240780002656</t>
        </is>
      </c>
      <c r="AZ2484" t="inlineStr">
        <is>
          <t>BOOK</t>
        </is>
      </c>
      <c r="BB2484" t="inlineStr">
        <is>
          <t>9781873410615</t>
        </is>
      </c>
      <c r="BC2484" t="inlineStr">
        <is>
          <t>32285004456140</t>
        </is>
      </c>
      <c r="BD2484" t="inlineStr">
        <is>
          <t>893262872</t>
        </is>
      </c>
    </row>
    <row r="2485">
      <c r="A2485" t="inlineStr">
        <is>
          <t>No</t>
        </is>
      </c>
      <c r="B2485" t="inlineStr">
        <is>
          <t>DS849.P6 B691</t>
        </is>
      </c>
      <c r="C2485" t="inlineStr">
        <is>
          <t>0                      DS 0849000P  6                  B  691</t>
        </is>
      </c>
      <c r="D2485" t="inlineStr">
        <is>
          <t>Papers on Portugese, Dutch, and Jesuit influence in 16th- and 17th-century Japan / writings of Charles Ralph Boxer : compiled by Michael Moscato.</t>
        </is>
      </c>
      <c r="F2485" t="inlineStr">
        <is>
          <t>No</t>
        </is>
      </c>
      <c r="G2485" t="inlineStr">
        <is>
          <t>1</t>
        </is>
      </c>
      <c r="H2485" t="inlineStr">
        <is>
          <t>No</t>
        </is>
      </c>
      <c r="I2485" t="inlineStr">
        <is>
          <t>No</t>
        </is>
      </c>
      <c r="J2485" t="inlineStr">
        <is>
          <t>0</t>
        </is>
      </c>
      <c r="K2485" t="inlineStr">
        <is>
          <t>Boxer, C. R. (Charles Ralph), 1904-2000.</t>
        </is>
      </c>
      <c r="L2485" t="inlineStr">
        <is>
          <t>Washington, D.C. : University Pubs., 1979.</t>
        </is>
      </c>
      <c r="M2485" t="inlineStr">
        <is>
          <t>1979</t>
        </is>
      </c>
      <c r="O2485" t="inlineStr">
        <is>
          <t>eng</t>
        </is>
      </c>
      <c r="P2485" t="inlineStr">
        <is>
          <t>dcu</t>
        </is>
      </c>
      <c r="R2485" t="inlineStr">
        <is>
          <t xml:space="preserve">DS </t>
        </is>
      </c>
      <c r="S2485" t="n">
        <v>3</v>
      </c>
      <c r="T2485" t="n">
        <v>3</v>
      </c>
      <c r="U2485" t="inlineStr">
        <is>
          <t>2007-02-12</t>
        </is>
      </c>
      <c r="V2485" t="inlineStr">
        <is>
          <t>2007-02-12</t>
        </is>
      </c>
      <c r="W2485" t="inlineStr">
        <is>
          <t>1990-10-30</t>
        </is>
      </c>
      <c r="X2485" t="inlineStr">
        <is>
          <t>1990-10-30</t>
        </is>
      </c>
      <c r="Y2485" t="n">
        <v>14</v>
      </c>
      <c r="Z2485" t="n">
        <v>10</v>
      </c>
      <c r="AA2485" t="n">
        <v>10</v>
      </c>
      <c r="AB2485" t="n">
        <v>1</v>
      </c>
      <c r="AC2485" t="n">
        <v>1</v>
      </c>
      <c r="AD2485" t="n">
        <v>1</v>
      </c>
      <c r="AE2485" t="n">
        <v>1</v>
      </c>
      <c r="AF2485" t="n">
        <v>1</v>
      </c>
      <c r="AG2485" t="n">
        <v>1</v>
      </c>
      <c r="AH2485" t="n">
        <v>0</v>
      </c>
      <c r="AI2485" t="n">
        <v>0</v>
      </c>
      <c r="AJ2485" t="n">
        <v>1</v>
      </c>
      <c r="AK2485" t="n">
        <v>1</v>
      </c>
      <c r="AL2485" t="n">
        <v>0</v>
      </c>
      <c r="AM2485" t="n">
        <v>0</v>
      </c>
      <c r="AN2485" t="n">
        <v>0</v>
      </c>
      <c r="AO2485" t="n">
        <v>0</v>
      </c>
      <c r="AP2485" t="inlineStr">
        <is>
          <t>No</t>
        </is>
      </c>
      <c r="AQ2485" t="inlineStr">
        <is>
          <t>No</t>
        </is>
      </c>
      <c r="AS2485">
        <f>HYPERLINK("https://creighton-primo.hosted.exlibrisgroup.com/primo-explore/search?tab=default_tab&amp;search_scope=EVERYTHING&amp;vid=01CRU&amp;lang=en_US&amp;offset=0&amp;query=any,contains,991004829799702656","Catalog Record")</f>
        <v/>
      </c>
      <c r="AT2485">
        <f>HYPERLINK("http://www.worldcat.org/oclc/5394537","WorldCat Record")</f>
        <v/>
      </c>
      <c r="AU2485" t="inlineStr">
        <is>
          <t>8909978082:eng</t>
        </is>
      </c>
      <c r="AV2485" t="inlineStr">
        <is>
          <t>5394537</t>
        </is>
      </c>
      <c r="AW2485" t="inlineStr">
        <is>
          <t>991004829799702656</t>
        </is>
      </c>
      <c r="AX2485" t="inlineStr">
        <is>
          <t>991004829799702656</t>
        </is>
      </c>
      <c r="AY2485" t="inlineStr">
        <is>
          <t>2269652890002656</t>
        </is>
      </c>
      <c r="AZ2485" t="inlineStr">
        <is>
          <t>BOOK</t>
        </is>
      </c>
      <c r="BB2485" t="inlineStr">
        <is>
          <t>9780890932551</t>
        </is>
      </c>
      <c r="BC2485" t="inlineStr">
        <is>
          <t>32285000370238</t>
        </is>
      </c>
      <c r="BD2485" t="inlineStr">
        <is>
          <t>893532854</t>
        </is>
      </c>
    </row>
    <row r="2486">
      <c r="A2486" t="inlineStr">
        <is>
          <t>No</t>
        </is>
      </c>
      <c r="B2486" t="inlineStr">
        <is>
          <t>DS849.R7 L39 1971</t>
        </is>
      </c>
      <c r="C2486" t="inlineStr">
        <is>
          <t>0                      DS 0849000R  7                  L  39          1971</t>
        </is>
      </c>
      <c r="D2486" t="inlineStr">
        <is>
          <t>The Russian push toward Japan; Russo-Japanese relations, 1697-1875.</t>
        </is>
      </c>
      <c r="F2486" t="inlineStr">
        <is>
          <t>No</t>
        </is>
      </c>
      <c r="G2486" t="inlineStr">
        <is>
          <t>1</t>
        </is>
      </c>
      <c r="H2486" t="inlineStr">
        <is>
          <t>No</t>
        </is>
      </c>
      <c r="I2486" t="inlineStr">
        <is>
          <t>No</t>
        </is>
      </c>
      <c r="J2486" t="inlineStr">
        <is>
          <t>0</t>
        </is>
      </c>
      <c r="K2486" t="inlineStr">
        <is>
          <t>Lensen, George Alexander, 1923-1979.</t>
        </is>
      </c>
      <c r="L2486" t="inlineStr">
        <is>
          <t>New York, Octagon Books, 1971 [c1959]</t>
        </is>
      </c>
      <c r="M2486" t="inlineStr">
        <is>
          <t>1971</t>
        </is>
      </c>
      <c r="O2486" t="inlineStr">
        <is>
          <t>eng</t>
        </is>
      </c>
      <c r="P2486" t="inlineStr">
        <is>
          <t>nyu</t>
        </is>
      </c>
      <c r="R2486" t="inlineStr">
        <is>
          <t xml:space="preserve">DS </t>
        </is>
      </c>
      <c r="S2486" t="n">
        <v>2</v>
      </c>
      <c r="T2486" t="n">
        <v>2</v>
      </c>
      <c r="U2486" t="inlineStr">
        <is>
          <t>1997-04-23</t>
        </is>
      </c>
      <c r="V2486" t="inlineStr">
        <is>
          <t>1997-04-23</t>
        </is>
      </c>
      <c r="W2486" t="inlineStr">
        <is>
          <t>1997-03-17</t>
        </is>
      </c>
      <c r="X2486" t="inlineStr">
        <is>
          <t>1997-03-17</t>
        </is>
      </c>
      <c r="Y2486" t="n">
        <v>271</v>
      </c>
      <c r="Z2486" t="n">
        <v>238</v>
      </c>
      <c r="AA2486" t="n">
        <v>580</v>
      </c>
      <c r="AB2486" t="n">
        <v>3</v>
      </c>
      <c r="AC2486" t="n">
        <v>5</v>
      </c>
      <c r="AD2486" t="n">
        <v>12</v>
      </c>
      <c r="AE2486" t="n">
        <v>27</v>
      </c>
      <c r="AF2486" t="n">
        <v>9</v>
      </c>
      <c r="AG2486" t="n">
        <v>11</v>
      </c>
      <c r="AH2486" t="n">
        <v>0</v>
      </c>
      <c r="AI2486" t="n">
        <v>6</v>
      </c>
      <c r="AJ2486" t="n">
        <v>6</v>
      </c>
      <c r="AK2486" t="n">
        <v>14</v>
      </c>
      <c r="AL2486" t="n">
        <v>2</v>
      </c>
      <c r="AM2486" t="n">
        <v>4</v>
      </c>
      <c r="AN2486" t="n">
        <v>0</v>
      </c>
      <c r="AO2486" t="n">
        <v>0</v>
      </c>
      <c r="AP2486" t="inlineStr">
        <is>
          <t>No</t>
        </is>
      </c>
      <c r="AQ2486" t="inlineStr">
        <is>
          <t>No</t>
        </is>
      </c>
      <c r="AR2486">
        <f>HYPERLINK("http://catalog.hathitrust.org/Record/004382993","HathiTrust Record")</f>
        <v/>
      </c>
      <c r="AS2486">
        <f>HYPERLINK("https://creighton-primo.hosted.exlibrisgroup.com/primo-explore/search?tab=default_tab&amp;search_scope=EVERYTHING&amp;vid=01CRU&amp;lang=en_US&amp;offset=0&amp;query=any,contains,991001239169702656","Catalog Record")</f>
        <v/>
      </c>
      <c r="AT2486">
        <f>HYPERLINK("http://www.worldcat.org/oclc/207826","WorldCat Record")</f>
        <v/>
      </c>
      <c r="AU2486" t="inlineStr">
        <is>
          <t>1274559:eng</t>
        </is>
      </c>
      <c r="AV2486" t="inlineStr">
        <is>
          <t>207826</t>
        </is>
      </c>
      <c r="AW2486" t="inlineStr">
        <is>
          <t>991001239169702656</t>
        </is>
      </c>
      <c r="AX2486" t="inlineStr">
        <is>
          <t>991001239169702656</t>
        </is>
      </c>
      <c r="AY2486" t="inlineStr">
        <is>
          <t>2266981920002656</t>
        </is>
      </c>
      <c r="AZ2486" t="inlineStr">
        <is>
          <t>BOOK</t>
        </is>
      </c>
      <c r="BB2486" t="inlineStr">
        <is>
          <t>9780374949365</t>
        </is>
      </c>
      <c r="BC2486" t="inlineStr">
        <is>
          <t>32285002450202</t>
        </is>
      </c>
      <c r="BD2486" t="inlineStr">
        <is>
          <t>893621189</t>
        </is>
      </c>
    </row>
    <row r="2487">
      <c r="A2487" t="inlineStr">
        <is>
          <t>No</t>
        </is>
      </c>
      <c r="B2487" t="inlineStr">
        <is>
          <t>DS849.S6 O83 2002</t>
        </is>
      </c>
      <c r="C2487" t="inlineStr">
        <is>
          <t>0                      DS 0849000S  6                  O  83          2002</t>
        </is>
      </c>
      <c r="D2487" t="inlineStr">
        <is>
          <t>Sanctions and honorary whites : diplomatic policies and economic realities in relations between Japan and South Africa / Masako Osada.</t>
        </is>
      </c>
      <c r="F2487" t="inlineStr">
        <is>
          <t>No</t>
        </is>
      </c>
      <c r="G2487" t="inlineStr">
        <is>
          <t>1</t>
        </is>
      </c>
      <c r="H2487" t="inlineStr">
        <is>
          <t>No</t>
        </is>
      </c>
      <c r="I2487" t="inlineStr">
        <is>
          <t>No</t>
        </is>
      </c>
      <c r="J2487" t="inlineStr">
        <is>
          <t>0</t>
        </is>
      </c>
      <c r="K2487" t="inlineStr">
        <is>
          <t>Osada, Masako, 1959-</t>
        </is>
      </c>
      <c r="L2487" t="inlineStr">
        <is>
          <t>Westport, Conn. : Greenwood Press, 2002.</t>
        </is>
      </c>
      <c r="M2487" t="inlineStr">
        <is>
          <t>2002</t>
        </is>
      </c>
      <c r="O2487" t="inlineStr">
        <is>
          <t>eng</t>
        </is>
      </c>
      <c r="P2487" t="inlineStr">
        <is>
          <t>ctu</t>
        </is>
      </c>
      <c r="Q2487" t="inlineStr">
        <is>
          <t>Contributions to the study of world history, 0885-9159 ; no. 93</t>
        </is>
      </c>
      <c r="R2487" t="inlineStr">
        <is>
          <t xml:space="preserve">DS </t>
        </is>
      </c>
      <c r="S2487" t="n">
        <v>1</v>
      </c>
      <c r="T2487" t="n">
        <v>1</v>
      </c>
      <c r="U2487" t="inlineStr">
        <is>
          <t>2003-04-09</t>
        </is>
      </c>
      <c r="V2487" t="inlineStr">
        <is>
          <t>2003-04-09</t>
        </is>
      </c>
      <c r="W2487" t="inlineStr">
        <is>
          <t>2003-04-09</t>
        </is>
      </c>
      <c r="X2487" t="inlineStr">
        <is>
          <t>2003-04-09</t>
        </is>
      </c>
      <c r="Y2487" t="n">
        <v>176</v>
      </c>
      <c r="Z2487" t="n">
        <v>129</v>
      </c>
      <c r="AA2487" t="n">
        <v>673</v>
      </c>
      <c r="AB2487" t="n">
        <v>2</v>
      </c>
      <c r="AC2487" t="n">
        <v>17</v>
      </c>
      <c r="AD2487" t="n">
        <v>8</v>
      </c>
      <c r="AE2487" t="n">
        <v>22</v>
      </c>
      <c r="AF2487" t="n">
        <v>2</v>
      </c>
      <c r="AG2487" t="n">
        <v>6</v>
      </c>
      <c r="AH2487" t="n">
        <v>4</v>
      </c>
      <c r="AI2487" t="n">
        <v>5</v>
      </c>
      <c r="AJ2487" t="n">
        <v>4</v>
      </c>
      <c r="AK2487" t="n">
        <v>7</v>
      </c>
      <c r="AL2487" t="n">
        <v>1</v>
      </c>
      <c r="AM2487" t="n">
        <v>9</v>
      </c>
      <c r="AN2487" t="n">
        <v>0</v>
      </c>
      <c r="AO2487" t="n">
        <v>0</v>
      </c>
      <c r="AP2487" t="inlineStr">
        <is>
          <t>No</t>
        </is>
      </c>
      <c r="AQ2487" t="inlineStr">
        <is>
          <t>Yes</t>
        </is>
      </c>
      <c r="AR2487">
        <f>HYPERLINK("http://catalog.hathitrust.org/Record/004239773","HathiTrust Record")</f>
        <v/>
      </c>
      <c r="AS2487">
        <f>HYPERLINK("https://creighton-primo.hosted.exlibrisgroup.com/primo-explore/search?tab=default_tab&amp;search_scope=EVERYTHING&amp;vid=01CRU&amp;lang=en_US&amp;offset=0&amp;query=any,contains,991004017949702656","Catalog Record")</f>
        <v/>
      </c>
      <c r="AT2487">
        <f>HYPERLINK("http://www.worldcat.org/oclc/46969891","WorldCat Record")</f>
        <v/>
      </c>
      <c r="AU2487" t="inlineStr">
        <is>
          <t>2634560:eng</t>
        </is>
      </c>
      <c r="AV2487" t="inlineStr">
        <is>
          <t>46969891</t>
        </is>
      </c>
      <c r="AW2487" t="inlineStr">
        <is>
          <t>991004017949702656</t>
        </is>
      </c>
      <c r="AX2487" t="inlineStr">
        <is>
          <t>991004017949702656</t>
        </is>
      </c>
      <c r="AY2487" t="inlineStr">
        <is>
          <t>2266829600002656</t>
        </is>
      </c>
      <c r="AZ2487" t="inlineStr">
        <is>
          <t>BOOK</t>
        </is>
      </c>
      <c r="BB2487" t="inlineStr">
        <is>
          <t>9780313318771</t>
        </is>
      </c>
      <c r="BC2487" t="inlineStr">
        <is>
          <t>32285004740907</t>
        </is>
      </c>
      <c r="BD2487" t="inlineStr">
        <is>
          <t>893593172</t>
        </is>
      </c>
    </row>
    <row r="2488">
      <c r="A2488" t="inlineStr">
        <is>
          <t>No</t>
        </is>
      </c>
      <c r="B2488" t="inlineStr">
        <is>
          <t>DS849.S65 J36 2000</t>
        </is>
      </c>
      <c r="C2488" t="inlineStr">
        <is>
          <t>0                      DS 0849000S  65                 J  36          2000</t>
        </is>
      </c>
      <c r="D2488" t="inlineStr">
        <is>
          <t>Japan and Russia : the tortuous path to normalization, 1949-1999 / edited by Gilbert Rozman.</t>
        </is>
      </c>
      <c r="F2488" t="inlineStr">
        <is>
          <t>No</t>
        </is>
      </c>
      <c r="G2488" t="inlineStr">
        <is>
          <t>1</t>
        </is>
      </c>
      <c r="H2488" t="inlineStr">
        <is>
          <t>No</t>
        </is>
      </c>
      <c r="I2488" t="inlineStr">
        <is>
          <t>No</t>
        </is>
      </c>
      <c r="J2488" t="inlineStr">
        <is>
          <t>0</t>
        </is>
      </c>
      <c r="L2488" t="inlineStr">
        <is>
          <t>New York : St. Martin's Press, 2000.</t>
        </is>
      </c>
      <c r="M2488" t="inlineStr">
        <is>
          <t>2000</t>
        </is>
      </c>
      <c r="N2488" t="inlineStr">
        <is>
          <t>1st ed.</t>
        </is>
      </c>
      <c r="O2488" t="inlineStr">
        <is>
          <t>eng</t>
        </is>
      </c>
      <c r="P2488" t="inlineStr">
        <is>
          <t>nyu</t>
        </is>
      </c>
      <c r="R2488" t="inlineStr">
        <is>
          <t xml:space="preserve">DS </t>
        </is>
      </c>
      <c r="S2488" t="n">
        <v>1</v>
      </c>
      <c r="T2488" t="n">
        <v>1</v>
      </c>
      <c r="U2488" t="inlineStr">
        <is>
          <t>2001-03-14</t>
        </is>
      </c>
      <c r="V2488" t="inlineStr">
        <is>
          <t>2001-03-14</t>
        </is>
      </c>
      <c r="W2488" t="inlineStr">
        <is>
          <t>2001-03-14</t>
        </is>
      </c>
      <c r="X2488" t="inlineStr">
        <is>
          <t>2001-03-14</t>
        </is>
      </c>
      <c r="Y2488" t="n">
        <v>254</v>
      </c>
      <c r="Z2488" t="n">
        <v>208</v>
      </c>
      <c r="AA2488" t="n">
        <v>226</v>
      </c>
      <c r="AB2488" t="n">
        <v>3</v>
      </c>
      <c r="AC2488" t="n">
        <v>3</v>
      </c>
      <c r="AD2488" t="n">
        <v>11</v>
      </c>
      <c r="AE2488" t="n">
        <v>12</v>
      </c>
      <c r="AF2488" t="n">
        <v>2</v>
      </c>
      <c r="AG2488" t="n">
        <v>2</v>
      </c>
      <c r="AH2488" t="n">
        <v>4</v>
      </c>
      <c r="AI2488" t="n">
        <v>5</v>
      </c>
      <c r="AJ2488" t="n">
        <v>5</v>
      </c>
      <c r="AK2488" t="n">
        <v>6</v>
      </c>
      <c r="AL2488" t="n">
        <v>2</v>
      </c>
      <c r="AM2488" t="n">
        <v>2</v>
      </c>
      <c r="AN2488" t="n">
        <v>0</v>
      </c>
      <c r="AO2488" t="n">
        <v>0</v>
      </c>
      <c r="AP2488" t="inlineStr">
        <is>
          <t>No</t>
        </is>
      </c>
      <c r="AQ2488" t="inlineStr">
        <is>
          <t>No</t>
        </is>
      </c>
      <c r="AS2488">
        <f>HYPERLINK("https://creighton-primo.hosted.exlibrisgroup.com/primo-explore/search?tab=default_tab&amp;search_scope=EVERYTHING&amp;vid=01CRU&amp;lang=en_US&amp;offset=0&amp;query=any,contains,991003356059702656","Catalog Record")</f>
        <v/>
      </c>
      <c r="AT2488">
        <f>HYPERLINK("http://www.worldcat.org/oclc/42454244","WorldCat Record")</f>
        <v/>
      </c>
      <c r="AU2488" t="inlineStr">
        <is>
          <t>793083559:eng</t>
        </is>
      </c>
      <c r="AV2488" t="inlineStr">
        <is>
          <t>42454244</t>
        </is>
      </c>
      <c r="AW2488" t="inlineStr">
        <is>
          <t>991003356059702656</t>
        </is>
      </c>
      <c r="AX2488" t="inlineStr">
        <is>
          <t>991003356059702656</t>
        </is>
      </c>
      <c r="AY2488" t="inlineStr">
        <is>
          <t>2268239970002656</t>
        </is>
      </c>
      <c r="AZ2488" t="inlineStr">
        <is>
          <t>BOOK</t>
        </is>
      </c>
      <c r="BB2488" t="inlineStr">
        <is>
          <t>9780312228774</t>
        </is>
      </c>
      <c r="BC2488" t="inlineStr">
        <is>
          <t>32285004305297</t>
        </is>
      </c>
      <c r="BD2488" t="inlineStr">
        <is>
          <t>893805714</t>
        </is>
      </c>
    </row>
    <row r="2489">
      <c r="A2489" t="inlineStr">
        <is>
          <t>No</t>
        </is>
      </c>
      <c r="B2489" t="inlineStr">
        <is>
          <t>DS849.U6 I9</t>
        </is>
      </c>
      <c r="C2489" t="inlineStr">
        <is>
          <t>0                      DS 0849000U  6                  I  9</t>
        </is>
      </c>
      <c r="D2489" t="inlineStr">
        <is>
          <t>Japan's real attitude toward America; a reply to Mr. George Bronson Rea's "Japan's place in the sun--the menace to America," ed. by Toyokichi Iyenaga ...</t>
        </is>
      </c>
      <c r="F2489" t="inlineStr">
        <is>
          <t>No</t>
        </is>
      </c>
      <c r="G2489" t="inlineStr">
        <is>
          <t>1</t>
        </is>
      </c>
      <c r="H2489" t="inlineStr">
        <is>
          <t>No</t>
        </is>
      </c>
      <c r="I2489" t="inlineStr">
        <is>
          <t>No</t>
        </is>
      </c>
      <c r="J2489" t="inlineStr">
        <is>
          <t>0</t>
        </is>
      </c>
      <c r="K2489" t="inlineStr">
        <is>
          <t>Iyenaga, T. (Toyokichi), 1862-1936, editor.</t>
        </is>
      </c>
      <c r="L2489" t="inlineStr">
        <is>
          <t>New York, London, G.P. Putnam's Sons, 1916.</t>
        </is>
      </c>
      <c r="M2489" t="inlineStr">
        <is>
          <t>1916</t>
        </is>
      </c>
      <c r="O2489" t="inlineStr">
        <is>
          <t>eng</t>
        </is>
      </c>
      <c r="P2489" t="inlineStr">
        <is>
          <t>nyu</t>
        </is>
      </c>
      <c r="R2489" t="inlineStr">
        <is>
          <t xml:space="preserve">DS </t>
        </is>
      </c>
      <c r="S2489" t="n">
        <v>1</v>
      </c>
      <c r="T2489" t="n">
        <v>1</v>
      </c>
      <c r="U2489" t="inlineStr">
        <is>
          <t>2003-04-15</t>
        </is>
      </c>
      <c r="V2489" t="inlineStr">
        <is>
          <t>2003-04-15</t>
        </is>
      </c>
      <c r="W2489" t="inlineStr">
        <is>
          <t>1997-03-17</t>
        </is>
      </c>
      <c r="X2489" t="inlineStr">
        <is>
          <t>1997-03-17</t>
        </is>
      </c>
      <c r="Y2489" t="n">
        <v>227</v>
      </c>
      <c r="Z2489" t="n">
        <v>221</v>
      </c>
      <c r="AA2489" t="n">
        <v>232</v>
      </c>
      <c r="AB2489" t="n">
        <v>2</v>
      </c>
      <c r="AC2489" t="n">
        <v>2</v>
      </c>
      <c r="AD2489" t="n">
        <v>4</v>
      </c>
      <c r="AE2489" t="n">
        <v>4</v>
      </c>
      <c r="AF2489" t="n">
        <v>0</v>
      </c>
      <c r="AG2489" t="n">
        <v>0</v>
      </c>
      <c r="AH2489" t="n">
        <v>1</v>
      </c>
      <c r="AI2489" t="n">
        <v>1</v>
      </c>
      <c r="AJ2489" t="n">
        <v>2</v>
      </c>
      <c r="AK2489" t="n">
        <v>2</v>
      </c>
      <c r="AL2489" t="n">
        <v>1</v>
      </c>
      <c r="AM2489" t="n">
        <v>1</v>
      </c>
      <c r="AN2489" t="n">
        <v>0</v>
      </c>
      <c r="AO2489" t="n">
        <v>0</v>
      </c>
      <c r="AP2489" t="inlineStr">
        <is>
          <t>Yes</t>
        </is>
      </c>
      <c r="AQ2489" t="inlineStr">
        <is>
          <t>No</t>
        </is>
      </c>
      <c r="AR2489">
        <f>HYPERLINK("http://catalog.hathitrust.org/Record/001153159","HathiTrust Record")</f>
        <v/>
      </c>
      <c r="AS2489">
        <f>HYPERLINK("https://creighton-primo.hosted.exlibrisgroup.com/primo-explore/search?tab=default_tab&amp;search_scope=EVERYTHING&amp;vid=01CRU&amp;lang=en_US&amp;offset=0&amp;query=any,contains,991004028079702656","Catalog Record")</f>
        <v/>
      </c>
      <c r="AT2489">
        <f>HYPERLINK("http://www.worldcat.org/oclc/2143482","WorldCat Record")</f>
        <v/>
      </c>
      <c r="AU2489" t="inlineStr">
        <is>
          <t>368690511:eng</t>
        </is>
      </c>
      <c r="AV2489" t="inlineStr">
        <is>
          <t>2143482</t>
        </is>
      </c>
      <c r="AW2489" t="inlineStr">
        <is>
          <t>991004028079702656</t>
        </is>
      </c>
      <c r="AX2489" t="inlineStr">
        <is>
          <t>991004028079702656</t>
        </is>
      </c>
      <c r="AY2489" t="inlineStr">
        <is>
          <t>2256818940002656</t>
        </is>
      </c>
      <c r="AZ2489" t="inlineStr">
        <is>
          <t>BOOK</t>
        </is>
      </c>
      <c r="BC2489" t="inlineStr">
        <is>
          <t>32285002450210</t>
        </is>
      </c>
      <c r="BD2489" t="inlineStr">
        <is>
          <t>893337254</t>
        </is>
      </c>
    </row>
    <row r="2490">
      <c r="A2490" t="inlineStr">
        <is>
          <t>No</t>
        </is>
      </c>
      <c r="B2490" t="inlineStr">
        <is>
          <t>DS849.U6 J6</t>
        </is>
      </c>
      <c r="C2490" t="inlineStr">
        <is>
          <t>0                      DS 0849000U  6                  J  6</t>
        </is>
      </c>
      <c r="D2490" t="inlineStr">
        <is>
          <t>American attitudes toward Japan, 1941-1975 / Sheila K. Johnson.</t>
        </is>
      </c>
      <c r="F2490" t="inlineStr">
        <is>
          <t>No</t>
        </is>
      </c>
      <c r="G2490" t="inlineStr">
        <is>
          <t>1</t>
        </is>
      </c>
      <c r="H2490" t="inlineStr">
        <is>
          <t>No</t>
        </is>
      </c>
      <c r="I2490" t="inlineStr">
        <is>
          <t>No</t>
        </is>
      </c>
      <c r="J2490" t="inlineStr">
        <is>
          <t>0</t>
        </is>
      </c>
      <c r="K2490" t="inlineStr">
        <is>
          <t>Johnson, Sheila K.</t>
        </is>
      </c>
      <c r="L2490" t="inlineStr">
        <is>
          <t>Washington : American Enterprise Institute for Public Policy Research, 1975.</t>
        </is>
      </c>
      <c r="M2490" t="inlineStr">
        <is>
          <t>1975</t>
        </is>
      </c>
      <c r="O2490" t="inlineStr">
        <is>
          <t>eng</t>
        </is>
      </c>
      <c r="P2490" t="inlineStr">
        <is>
          <t>dcu</t>
        </is>
      </c>
      <c r="Q2490" t="inlineStr">
        <is>
          <t>AEI-Hoover policy studies ; 15</t>
        </is>
      </c>
      <c r="R2490" t="inlineStr">
        <is>
          <t xml:space="preserve">DS </t>
        </is>
      </c>
      <c r="S2490" t="n">
        <v>4</v>
      </c>
      <c r="T2490" t="n">
        <v>4</v>
      </c>
      <c r="U2490" t="inlineStr">
        <is>
          <t>2006-12-04</t>
        </is>
      </c>
      <c r="V2490" t="inlineStr">
        <is>
          <t>2006-12-04</t>
        </is>
      </c>
      <c r="W2490" t="inlineStr">
        <is>
          <t>1994-04-19</t>
        </is>
      </c>
      <c r="X2490" t="inlineStr">
        <is>
          <t>1994-04-19</t>
        </is>
      </c>
      <c r="Y2490" t="n">
        <v>676</v>
      </c>
      <c r="Z2490" t="n">
        <v>596</v>
      </c>
      <c r="AA2490" t="n">
        <v>602</v>
      </c>
      <c r="AB2490" t="n">
        <v>6</v>
      </c>
      <c r="AC2490" t="n">
        <v>6</v>
      </c>
      <c r="AD2490" t="n">
        <v>34</v>
      </c>
      <c r="AE2490" t="n">
        <v>34</v>
      </c>
      <c r="AF2490" t="n">
        <v>12</v>
      </c>
      <c r="AG2490" t="n">
        <v>12</v>
      </c>
      <c r="AH2490" t="n">
        <v>8</v>
      </c>
      <c r="AI2490" t="n">
        <v>8</v>
      </c>
      <c r="AJ2490" t="n">
        <v>17</v>
      </c>
      <c r="AK2490" t="n">
        <v>17</v>
      </c>
      <c r="AL2490" t="n">
        <v>5</v>
      </c>
      <c r="AM2490" t="n">
        <v>5</v>
      </c>
      <c r="AN2490" t="n">
        <v>2</v>
      </c>
      <c r="AO2490" t="n">
        <v>2</v>
      </c>
      <c r="AP2490" t="inlineStr">
        <is>
          <t>No</t>
        </is>
      </c>
      <c r="AQ2490" t="inlineStr">
        <is>
          <t>Yes</t>
        </is>
      </c>
      <c r="AR2490">
        <f>HYPERLINK("http://catalog.hathitrust.org/Record/000689959","HathiTrust Record")</f>
        <v/>
      </c>
      <c r="AS2490">
        <f>HYPERLINK("https://creighton-primo.hosted.exlibrisgroup.com/primo-explore/search?tab=default_tab&amp;search_scope=EVERYTHING&amp;vid=01CRU&amp;lang=en_US&amp;offset=0&amp;query=any,contains,991003939199702656","Catalog Record")</f>
        <v/>
      </c>
      <c r="AT2490">
        <f>HYPERLINK("http://www.worldcat.org/oclc/1924637","WorldCat Record")</f>
        <v/>
      </c>
      <c r="AU2490" t="inlineStr">
        <is>
          <t>507579:eng</t>
        </is>
      </c>
      <c r="AV2490" t="inlineStr">
        <is>
          <t>1924637</t>
        </is>
      </c>
      <c r="AW2490" t="inlineStr">
        <is>
          <t>991003939199702656</t>
        </is>
      </c>
      <c r="AX2490" t="inlineStr">
        <is>
          <t>991003939199702656</t>
        </is>
      </c>
      <c r="AY2490" t="inlineStr">
        <is>
          <t>2263900660002656</t>
        </is>
      </c>
      <c r="AZ2490" t="inlineStr">
        <is>
          <t>BOOK</t>
        </is>
      </c>
      <c r="BB2490" t="inlineStr">
        <is>
          <t>9780844731797</t>
        </is>
      </c>
      <c r="BC2490" t="inlineStr">
        <is>
          <t>32285001890325</t>
        </is>
      </c>
      <c r="BD2490" t="inlineStr">
        <is>
          <t>893687150</t>
        </is>
      </c>
    </row>
    <row r="2491">
      <c r="A2491" t="inlineStr">
        <is>
          <t>No</t>
        </is>
      </c>
      <c r="B2491" t="inlineStr">
        <is>
          <t>DS849.U6 K2</t>
        </is>
      </c>
      <c r="C2491" t="inlineStr">
        <is>
          <t>0                      DS 0849000U  6                  K  2</t>
        </is>
      </c>
      <c r="D2491" t="inlineStr">
        <is>
          <t>American-Japanese relations; an inside view of Japan's policies and purposes, by Kiyoshi K. Kawakami.</t>
        </is>
      </c>
      <c r="F2491" t="inlineStr">
        <is>
          <t>No</t>
        </is>
      </c>
      <c r="G2491" t="inlineStr">
        <is>
          <t>1</t>
        </is>
      </c>
      <c r="H2491" t="inlineStr">
        <is>
          <t>No</t>
        </is>
      </c>
      <c r="I2491" t="inlineStr">
        <is>
          <t>No</t>
        </is>
      </c>
      <c r="J2491" t="inlineStr">
        <is>
          <t>0</t>
        </is>
      </c>
      <c r="K2491" t="inlineStr">
        <is>
          <t>Kawakami, Kiyoshi Karl, 1875-1949.</t>
        </is>
      </c>
      <c r="L2491" t="inlineStr">
        <is>
          <t>New York, Chicago, Fleming H. Revell Co. [c1912]</t>
        </is>
      </c>
      <c r="M2491" t="inlineStr">
        <is>
          <t>1912</t>
        </is>
      </c>
      <c r="O2491" t="inlineStr">
        <is>
          <t>eng</t>
        </is>
      </c>
      <c r="P2491" t="inlineStr">
        <is>
          <t>nyu</t>
        </is>
      </c>
      <c r="R2491" t="inlineStr">
        <is>
          <t xml:space="preserve">DS </t>
        </is>
      </c>
      <c r="S2491" t="n">
        <v>2</v>
      </c>
      <c r="T2491" t="n">
        <v>2</v>
      </c>
      <c r="U2491" t="inlineStr">
        <is>
          <t>1997-12-01</t>
        </is>
      </c>
      <c r="V2491" t="inlineStr">
        <is>
          <t>1997-12-01</t>
        </is>
      </c>
      <c r="W2491" t="inlineStr">
        <is>
          <t>1997-03-17</t>
        </is>
      </c>
      <c r="X2491" t="inlineStr">
        <is>
          <t>1997-03-17</t>
        </is>
      </c>
      <c r="Y2491" t="n">
        <v>179</v>
      </c>
      <c r="Z2491" t="n">
        <v>151</v>
      </c>
      <c r="AA2491" t="n">
        <v>282</v>
      </c>
      <c r="AB2491" t="n">
        <v>3</v>
      </c>
      <c r="AC2491" t="n">
        <v>4</v>
      </c>
      <c r="AD2491" t="n">
        <v>4</v>
      </c>
      <c r="AE2491" t="n">
        <v>8</v>
      </c>
      <c r="AF2491" t="n">
        <v>0</v>
      </c>
      <c r="AG2491" t="n">
        <v>1</v>
      </c>
      <c r="AH2491" t="n">
        <v>2</v>
      </c>
      <c r="AI2491" t="n">
        <v>3</v>
      </c>
      <c r="AJ2491" t="n">
        <v>0</v>
      </c>
      <c r="AK2491" t="n">
        <v>1</v>
      </c>
      <c r="AL2491" t="n">
        <v>2</v>
      </c>
      <c r="AM2491" t="n">
        <v>3</v>
      </c>
      <c r="AN2491" t="n">
        <v>0</v>
      </c>
      <c r="AO2491" t="n">
        <v>0</v>
      </c>
      <c r="AP2491" t="inlineStr">
        <is>
          <t>Yes</t>
        </is>
      </c>
      <c r="AQ2491" t="inlineStr">
        <is>
          <t>No</t>
        </is>
      </c>
      <c r="AR2491">
        <f>HYPERLINK("http://catalog.hathitrust.org/Record/001158230","HathiTrust Record")</f>
        <v/>
      </c>
      <c r="AS2491">
        <f>HYPERLINK("https://creighton-primo.hosted.exlibrisgroup.com/primo-explore/search?tab=default_tab&amp;search_scope=EVERYTHING&amp;vid=01CRU&amp;lang=en_US&amp;offset=0&amp;query=any,contains,991003564499702656","Catalog Record")</f>
        <v/>
      </c>
      <c r="AT2491">
        <f>HYPERLINK("http://www.worldcat.org/oclc/1136965","WorldCat Record")</f>
        <v/>
      </c>
      <c r="AU2491" t="inlineStr">
        <is>
          <t>2055238:eng</t>
        </is>
      </c>
      <c r="AV2491" t="inlineStr">
        <is>
          <t>1136965</t>
        </is>
      </c>
      <c r="AW2491" t="inlineStr">
        <is>
          <t>991003564499702656</t>
        </is>
      </c>
      <c r="AX2491" t="inlineStr">
        <is>
          <t>991003564499702656</t>
        </is>
      </c>
      <c r="AY2491" t="inlineStr">
        <is>
          <t>2266558870002656</t>
        </is>
      </c>
      <c r="AZ2491" t="inlineStr">
        <is>
          <t>BOOK</t>
        </is>
      </c>
      <c r="BC2491" t="inlineStr">
        <is>
          <t>32285002450228</t>
        </is>
      </c>
      <c r="BD2491" t="inlineStr">
        <is>
          <t>893699129</t>
        </is>
      </c>
    </row>
    <row r="2492">
      <c r="A2492" t="inlineStr">
        <is>
          <t>No</t>
        </is>
      </c>
      <c r="B2492" t="inlineStr">
        <is>
          <t>DS849.U6 T7</t>
        </is>
      </c>
      <c r="C2492" t="inlineStr">
        <is>
          <t>0                      DS 0849000U  6                  T  7</t>
        </is>
      </c>
      <c r="D2492" t="inlineStr">
        <is>
          <t>Japan and the United States, 1853-1921, by Payson J. Treat.</t>
        </is>
      </c>
      <c r="F2492" t="inlineStr">
        <is>
          <t>No</t>
        </is>
      </c>
      <c r="G2492" t="inlineStr">
        <is>
          <t>1</t>
        </is>
      </c>
      <c r="H2492" t="inlineStr">
        <is>
          <t>No</t>
        </is>
      </c>
      <c r="I2492" t="inlineStr">
        <is>
          <t>No</t>
        </is>
      </c>
      <c r="J2492" t="inlineStr">
        <is>
          <t>0</t>
        </is>
      </c>
      <c r="K2492" t="inlineStr">
        <is>
          <t>Treat, Payson J. (Payson Jackson), 1879-1972.</t>
        </is>
      </c>
      <c r="L2492" t="inlineStr">
        <is>
          <t>Boston, New York, Houghton Mifflin Company, 1921.</t>
        </is>
      </c>
      <c r="M2492" t="inlineStr">
        <is>
          <t>1921</t>
        </is>
      </c>
      <c r="O2492" t="inlineStr">
        <is>
          <t>eng</t>
        </is>
      </c>
      <c r="P2492" t="inlineStr">
        <is>
          <t>mau</t>
        </is>
      </c>
      <c r="R2492" t="inlineStr">
        <is>
          <t xml:space="preserve">DS </t>
        </is>
      </c>
      <c r="S2492" t="n">
        <v>2</v>
      </c>
      <c r="T2492" t="n">
        <v>2</v>
      </c>
      <c r="U2492" t="inlineStr">
        <is>
          <t>1997-04-23</t>
        </is>
      </c>
      <c r="V2492" t="inlineStr">
        <is>
          <t>1997-04-23</t>
        </is>
      </c>
      <c r="W2492" t="inlineStr">
        <is>
          <t>1997-03-17</t>
        </is>
      </c>
      <c r="X2492" t="inlineStr">
        <is>
          <t>1997-03-17</t>
        </is>
      </c>
      <c r="Y2492" t="n">
        <v>293</v>
      </c>
      <c r="Z2492" t="n">
        <v>260</v>
      </c>
      <c r="AA2492" t="n">
        <v>576</v>
      </c>
      <c r="AB2492" t="n">
        <v>4</v>
      </c>
      <c r="AC2492" t="n">
        <v>7</v>
      </c>
      <c r="AD2492" t="n">
        <v>10</v>
      </c>
      <c r="AE2492" t="n">
        <v>32</v>
      </c>
      <c r="AF2492" t="n">
        <v>2</v>
      </c>
      <c r="AG2492" t="n">
        <v>11</v>
      </c>
      <c r="AH2492" t="n">
        <v>1</v>
      </c>
      <c r="AI2492" t="n">
        <v>7</v>
      </c>
      <c r="AJ2492" t="n">
        <v>5</v>
      </c>
      <c r="AK2492" t="n">
        <v>15</v>
      </c>
      <c r="AL2492" t="n">
        <v>3</v>
      </c>
      <c r="AM2492" t="n">
        <v>5</v>
      </c>
      <c r="AN2492" t="n">
        <v>0</v>
      </c>
      <c r="AO2492" t="n">
        <v>2</v>
      </c>
      <c r="AP2492" t="inlineStr">
        <is>
          <t>Yes</t>
        </is>
      </c>
      <c r="AQ2492" t="inlineStr">
        <is>
          <t>No</t>
        </is>
      </c>
      <c r="AR2492">
        <f>HYPERLINK("http://catalog.hathitrust.org/Record/001259470","HathiTrust Record")</f>
        <v/>
      </c>
      <c r="AS2492">
        <f>HYPERLINK("https://creighton-primo.hosted.exlibrisgroup.com/primo-explore/search?tab=default_tab&amp;search_scope=EVERYTHING&amp;vid=01CRU&amp;lang=en_US&amp;offset=0&amp;query=any,contains,991003394819702656","Catalog Record")</f>
        <v/>
      </c>
      <c r="AT2492">
        <f>HYPERLINK("http://www.worldcat.org/oclc/933659","WorldCat Record")</f>
        <v/>
      </c>
      <c r="AU2492" t="inlineStr">
        <is>
          <t>4919745777:eng</t>
        </is>
      </c>
      <c r="AV2492" t="inlineStr">
        <is>
          <t>933659</t>
        </is>
      </c>
      <c r="AW2492" t="inlineStr">
        <is>
          <t>991003394819702656</t>
        </is>
      </c>
      <c r="AX2492" t="inlineStr">
        <is>
          <t>991003394819702656</t>
        </is>
      </c>
      <c r="AY2492" t="inlineStr">
        <is>
          <t>2271766610002656</t>
        </is>
      </c>
      <c r="AZ2492" t="inlineStr">
        <is>
          <t>BOOK</t>
        </is>
      </c>
      <c r="BC2492" t="inlineStr">
        <is>
          <t>32285002450236</t>
        </is>
      </c>
      <c r="BD2492" t="inlineStr">
        <is>
          <t>893234130</t>
        </is>
      </c>
    </row>
    <row r="2493">
      <c r="A2493" t="inlineStr">
        <is>
          <t>No</t>
        </is>
      </c>
      <c r="B2493" t="inlineStr">
        <is>
          <t>DS850 .K5713</t>
        </is>
      </c>
      <c r="C2493" t="inlineStr">
        <is>
          <t>0                      DS 0850000K  5713</t>
        </is>
      </c>
      <c r="D2493" t="inlineStr">
        <is>
          <t>A chronicle of gods and sovereigns : Jinnō shōtōki of Kitabatake Chikafusa / translated by H. Paul Varley.</t>
        </is>
      </c>
      <c r="F2493" t="inlineStr">
        <is>
          <t>No</t>
        </is>
      </c>
      <c r="G2493" t="inlineStr">
        <is>
          <t>1</t>
        </is>
      </c>
      <c r="H2493" t="inlineStr">
        <is>
          <t>No</t>
        </is>
      </c>
      <c r="I2493" t="inlineStr">
        <is>
          <t>No</t>
        </is>
      </c>
      <c r="J2493" t="inlineStr">
        <is>
          <t>0</t>
        </is>
      </c>
      <c r="K2493" t="inlineStr">
        <is>
          <t>Kitabatake, Chikafusa, 1293-1354.</t>
        </is>
      </c>
      <c r="L2493" t="inlineStr">
        <is>
          <t>New York : Columbia University Press, 1980.</t>
        </is>
      </c>
      <c r="M2493" t="inlineStr">
        <is>
          <t>1980</t>
        </is>
      </c>
      <c r="O2493" t="inlineStr">
        <is>
          <t>eng</t>
        </is>
      </c>
      <c r="P2493" t="inlineStr">
        <is>
          <t>nyu</t>
        </is>
      </c>
      <c r="R2493" t="inlineStr">
        <is>
          <t xml:space="preserve">DS </t>
        </is>
      </c>
      <c r="S2493" t="n">
        <v>4</v>
      </c>
      <c r="T2493" t="n">
        <v>4</v>
      </c>
      <c r="U2493" t="inlineStr">
        <is>
          <t>1996-03-29</t>
        </is>
      </c>
      <c r="V2493" t="inlineStr">
        <is>
          <t>1996-03-29</t>
        </is>
      </c>
      <c r="W2493" t="inlineStr">
        <is>
          <t>1990-10-30</t>
        </is>
      </c>
      <c r="X2493" t="inlineStr">
        <is>
          <t>1990-10-30</t>
        </is>
      </c>
      <c r="Y2493" t="n">
        <v>474</v>
      </c>
      <c r="Z2493" t="n">
        <v>384</v>
      </c>
      <c r="AA2493" t="n">
        <v>385</v>
      </c>
      <c r="AB2493" t="n">
        <v>3</v>
      </c>
      <c r="AC2493" t="n">
        <v>3</v>
      </c>
      <c r="AD2493" t="n">
        <v>22</v>
      </c>
      <c r="AE2493" t="n">
        <v>22</v>
      </c>
      <c r="AF2493" t="n">
        <v>8</v>
      </c>
      <c r="AG2493" t="n">
        <v>8</v>
      </c>
      <c r="AH2493" t="n">
        <v>5</v>
      </c>
      <c r="AI2493" t="n">
        <v>5</v>
      </c>
      <c r="AJ2493" t="n">
        <v>15</v>
      </c>
      <c r="AK2493" t="n">
        <v>15</v>
      </c>
      <c r="AL2493" t="n">
        <v>2</v>
      </c>
      <c r="AM2493" t="n">
        <v>2</v>
      </c>
      <c r="AN2493" t="n">
        <v>0</v>
      </c>
      <c r="AO2493" t="n">
        <v>0</v>
      </c>
      <c r="AP2493" t="inlineStr">
        <is>
          <t>No</t>
        </is>
      </c>
      <c r="AQ2493" t="inlineStr">
        <is>
          <t>No</t>
        </is>
      </c>
      <c r="AS2493">
        <f>HYPERLINK("https://creighton-primo.hosted.exlibrisgroup.com/primo-explore/search?tab=default_tab&amp;search_scope=EVERYTHING&amp;vid=01CRU&amp;lang=en_US&amp;offset=0&amp;query=any,contains,991004919959702656","Catalog Record")</f>
        <v/>
      </c>
      <c r="AT2493">
        <f>HYPERLINK("http://www.worldcat.org/oclc/6042764","WorldCat Record")</f>
        <v/>
      </c>
      <c r="AU2493" t="inlineStr">
        <is>
          <t>420312:eng</t>
        </is>
      </c>
      <c r="AV2493" t="inlineStr">
        <is>
          <t>6042764</t>
        </is>
      </c>
      <c r="AW2493" t="inlineStr">
        <is>
          <t>991004919959702656</t>
        </is>
      </c>
      <c r="AX2493" t="inlineStr">
        <is>
          <t>991004919959702656</t>
        </is>
      </c>
      <c r="AY2493" t="inlineStr">
        <is>
          <t>2256395610002656</t>
        </is>
      </c>
      <c r="AZ2493" t="inlineStr">
        <is>
          <t>BOOK</t>
        </is>
      </c>
      <c r="BB2493" t="inlineStr">
        <is>
          <t>9780231049405</t>
        </is>
      </c>
      <c r="BC2493" t="inlineStr">
        <is>
          <t>32285000370246</t>
        </is>
      </c>
      <c r="BD2493" t="inlineStr">
        <is>
          <t>893706997</t>
        </is>
      </c>
    </row>
    <row r="2494">
      <c r="A2494" t="inlineStr">
        <is>
          <t>No</t>
        </is>
      </c>
      <c r="B2494" t="inlineStr">
        <is>
          <t>DS851 .K5</t>
        </is>
      </c>
      <c r="C2494" t="inlineStr">
        <is>
          <t>0                      DS 0851000K  5</t>
        </is>
      </c>
      <c r="D2494" t="inlineStr">
        <is>
          <t>Japan before Buddhism.</t>
        </is>
      </c>
      <c r="F2494" t="inlineStr">
        <is>
          <t>No</t>
        </is>
      </c>
      <c r="G2494" t="inlineStr">
        <is>
          <t>1</t>
        </is>
      </c>
      <c r="H2494" t="inlineStr">
        <is>
          <t>No</t>
        </is>
      </c>
      <c r="I2494" t="inlineStr">
        <is>
          <t>No</t>
        </is>
      </c>
      <c r="J2494" t="inlineStr">
        <is>
          <t>0</t>
        </is>
      </c>
      <c r="K2494" t="inlineStr">
        <is>
          <t>Kidder, J. Edward (Jonathan Edward)</t>
        </is>
      </c>
      <c r="L2494" t="inlineStr">
        <is>
          <t>New York : Praeger, [1959]</t>
        </is>
      </c>
      <c r="M2494" t="inlineStr">
        <is>
          <t>1959</t>
        </is>
      </c>
      <c r="O2494" t="inlineStr">
        <is>
          <t>eng</t>
        </is>
      </c>
      <c r="P2494" t="inlineStr">
        <is>
          <t>nyu</t>
        </is>
      </c>
      <c r="Q2494" t="inlineStr">
        <is>
          <t>Ancient peoples and places ; v. 10</t>
        </is>
      </c>
      <c r="R2494" t="inlineStr">
        <is>
          <t xml:space="preserve">DS </t>
        </is>
      </c>
      <c r="S2494" t="n">
        <v>3</v>
      </c>
      <c r="T2494" t="n">
        <v>3</v>
      </c>
      <c r="U2494" t="inlineStr">
        <is>
          <t>1994-04-21</t>
        </is>
      </c>
      <c r="V2494" t="inlineStr">
        <is>
          <t>1994-04-21</t>
        </is>
      </c>
      <c r="W2494" t="inlineStr">
        <is>
          <t>1993-12-17</t>
        </is>
      </c>
      <c r="X2494" t="inlineStr">
        <is>
          <t>1993-12-17</t>
        </is>
      </c>
      <c r="Y2494" t="n">
        <v>539</v>
      </c>
      <c r="Z2494" t="n">
        <v>511</v>
      </c>
      <c r="AA2494" t="n">
        <v>1064</v>
      </c>
      <c r="AB2494" t="n">
        <v>3</v>
      </c>
      <c r="AC2494" t="n">
        <v>4</v>
      </c>
      <c r="AD2494" t="n">
        <v>14</v>
      </c>
      <c r="AE2494" t="n">
        <v>34</v>
      </c>
      <c r="AF2494" t="n">
        <v>7</v>
      </c>
      <c r="AG2494" t="n">
        <v>15</v>
      </c>
      <c r="AH2494" t="n">
        <v>4</v>
      </c>
      <c r="AI2494" t="n">
        <v>8</v>
      </c>
      <c r="AJ2494" t="n">
        <v>6</v>
      </c>
      <c r="AK2494" t="n">
        <v>20</v>
      </c>
      <c r="AL2494" t="n">
        <v>2</v>
      </c>
      <c r="AM2494" t="n">
        <v>3</v>
      </c>
      <c r="AN2494" t="n">
        <v>0</v>
      </c>
      <c r="AO2494" t="n">
        <v>0</v>
      </c>
      <c r="AP2494" t="inlineStr">
        <is>
          <t>No</t>
        </is>
      </c>
      <c r="AQ2494" t="inlineStr">
        <is>
          <t>Yes</t>
        </is>
      </c>
      <c r="AR2494">
        <f>HYPERLINK("http://catalog.hathitrust.org/Record/001259475","HathiTrust Record")</f>
        <v/>
      </c>
      <c r="AS2494">
        <f>HYPERLINK("https://creighton-primo.hosted.exlibrisgroup.com/primo-explore/search?tab=default_tab&amp;search_scope=EVERYTHING&amp;vid=01CRU&amp;lang=en_US&amp;offset=0&amp;query=any,contains,991003268459702656","Catalog Record")</f>
        <v/>
      </c>
      <c r="AT2494">
        <f>HYPERLINK("http://www.worldcat.org/oclc/794550","WorldCat Record")</f>
        <v/>
      </c>
      <c r="AU2494" t="inlineStr">
        <is>
          <t>5623680052:eng</t>
        </is>
      </c>
      <c r="AV2494" t="inlineStr">
        <is>
          <t>794550</t>
        </is>
      </c>
      <c r="AW2494" t="inlineStr">
        <is>
          <t>991003268459702656</t>
        </is>
      </c>
      <c r="AX2494" t="inlineStr">
        <is>
          <t>991003268459702656</t>
        </is>
      </c>
      <c r="AY2494" t="inlineStr">
        <is>
          <t>2263671820002656</t>
        </is>
      </c>
      <c r="AZ2494" t="inlineStr">
        <is>
          <t>BOOK</t>
        </is>
      </c>
      <c r="BC2494" t="inlineStr">
        <is>
          <t>32285001825479</t>
        </is>
      </c>
      <c r="BD2494" t="inlineStr">
        <is>
          <t>893592355</t>
        </is>
      </c>
    </row>
    <row r="2495">
      <c r="A2495" t="inlineStr">
        <is>
          <t>No</t>
        </is>
      </c>
      <c r="B2495" t="inlineStr">
        <is>
          <t>DS86 .M4</t>
        </is>
      </c>
      <c r="C2495" t="inlineStr">
        <is>
          <t>0                      DS 0086000M  4</t>
        </is>
      </c>
      <c r="D2495" t="inlineStr">
        <is>
          <t>Lebanon, improbable nation; a study in political development [by] Leila M.T. Meo.</t>
        </is>
      </c>
      <c r="F2495" t="inlineStr">
        <is>
          <t>No</t>
        </is>
      </c>
      <c r="G2495" t="inlineStr">
        <is>
          <t>1</t>
        </is>
      </c>
      <c r="H2495" t="inlineStr">
        <is>
          <t>No</t>
        </is>
      </c>
      <c r="I2495" t="inlineStr">
        <is>
          <t>No</t>
        </is>
      </c>
      <c r="J2495" t="inlineStr">
        <is>
          <t>0</t>
        </is>
      </c>
      <c r="K2495" t="inlineStr">
        <is>
          <t>Meo, Leila M. T.</t>
        </is>
      </c>
      <c r="L2495" t="inlineStr">
        <is>
          <t>Bloomington, Indiana University Press [1965]</t>
        </is>
      </c>
      <c r="M2495" t="inlineStr">
        <is>
          <t>1965</t>
        </is>
      </c>
      <c r="O2495" t="inlineStr">
        <is>
          <t>eng</t>
        </is>
      </c>
      <c r="P2495" t="inlineStr">
        <is>
          <t>inu</t>
        </is>
      </c>
      <c r="Q2495" t="inlineStr">
        <is>
          <t>Indiana University international studies</t>
        </is>
      </c>
      <c r="R2495" t="inlineStr">
        <is>
          <t xml:space="preserve">DS </t>
        </is>
      </c>
      <c r="S2495" t="n">
        <v>10</v>
      </c>
      <c r="T2495" t="n">
        <v>10</v>
      </c>
      <c r="U2495" t="inlineStr">
        <is>
          <t>1999-04-08</t>
        </is>
      </c>
      <c r="V2495" t="inlineStr">
        <is>
          <t>1999-04-08</t>
        </is>
      </c>
      <c r="W2495" t="inlineStr">
        <is>
          <t>1997-02-24</t>
        </is>
      </c>
      <c r="X2495" t="inlineStr">
        <is>
          <t>1997-02-24</t>
        </is>
      </c>
      <c r="Y2495" t="n">
        <v>459</v>
      </c>
      <c r="Z2495" t="n">
        <v>394</v>
      </c>
      <c r="AA2495" t="n">
        <v>484</v>
      </c>
      <c r="AB2495" t="n">
        <v>2</v>
      </c>
      <c r="AC2495" t="n">
        <v>2</v>
      </c>
      <c r="AD2495" t="n">
        <v>16</v>
      </c>
      <c r="AE2495" t="n">
        <v>20</v>
      </c>
      <c r="AF2495" t="n">
        <v>5</v>
      </c>
      <c r="AG2495" t="n">
        <v>6</v>
      </c>
      <c r="AH2495" t="n">
        <v>5</v>
      </c>
      <c r="AI2495" t="n">
        <v>7</v>
      </c>
      <c r="AJ2495" t="n">
        <v>10</v>
      </c>
      <c r="AK2495" t="n">
        <v>13</v>
      </c>
      <c r="AL2495" t="n">
        <v>1</v>
      </c>
      <c r="AM2495" t="n">
        <v>1</v>
      </c>
      <c r="AN2495" t="n">
        <v>0</v>
      </c>
      <c r="AO2495" t="n">
        <v>0</v>
      </c>
      <c r="AP2495" t="inlineStr">
        <is>
          <t>No</t>
        </is>
      </c>
      <c r="AQ2495" t="inlineStr">
        <is>
          <t>Yes</t>
        </is>
      </c>
      <c r="AR2495">
        <f>HYPERLINK("http://catalog.hathitrust.org/Record/001241731","HathiTrust Record")</f>
        <v/>
      </c>
      <c r="AS2495">
        <f>HYPERLINK("https://creighton-primo.hosted.exlibrisgroup.com/primo-explore/search?tab=default_tab&amp;search_scope=EVERYTHING&amp;vid=01CRU&amp;lang=en_US&amp;offset=0&amp;query=any,contains,991002675779702656","Catalog Record")</f>
        <v/>
      </c>
      <c r="AT2495">
        <f>HYPERLINK("http://www.worldcat.org/oclc/396928","WorldCat Record")</f>
        <v/>
      </c>
      <c r="AU2495" t="inlineStr">
        <is>
          <t>501654:eng</t>
        </is>
      </c>
      <c r="AV2495" t="inlineStr">
        <is>
          <t>396928</t>
        </is>
      </c>
      <c r="AW2495" t="inlineStr">
        <is>
          <t>991002675779702656</t>
        </is>
      </c>
      <c r="AX2495" t="inlineStr">
        <is>
          <t>991002675779702656</t>
        </is>
      </c>
      <c r="AY2495" t="inlineStr">
        <is>
          <t>2261215670002656</t>
        </is>
      </c>
      <c r="AZ2495" t="inlineStr">
        <is>
          <t>BOOK</t>
        </is>
      </c>
      <c r="BC2495" t="inlineStr">
        <is>
          <t>32285002460367</t>
        </is>
      </c>
      <c r="BD2495" t="inlineStr">
        <is>
          <t>893798862</t>
        </is>
      </c>
    </row>
    <row r="2496">
      <c r="A2496" t="inlineStr">
        <is>
          <t>No</t>
        </is>
      </c>
      <c r="B2496" t="inlineStr">
        <is>
          <t>DS864 .G76</t>
        </is>
      </c>
      <c r="C2496" t="inlineStr">
        <is>
          <t>0                      DS 0864000G  76</t>
        </is>
      </c>
      <c r="D2496" t="inlineStr">
        <is>
          <t>Japan's Renaissance : the politics of the Muromachi Bakufu / Kenneth Alan Grossberg.</t>
        </is>
      </c>
      <c r="F2496" t="inlineStr">
        <is>
          <t>No</t>
        </is>
      </c>
      <c r="G2496" t="inlineStr">
        <is>
          <t>1</t>
        </is>
      </c>
      <c r="H2496" t="inlineStr">
        <is>
          <t>No</t>
        </is>
      </c>
      <c r="I2496" t="inlineStr">
        <is>
          <t>No</t>
        </is>
      </c>
      <c r="J2496" t="inlineStr">
        <is>
          <t>0</t>
        </is>
      </c>
      <c r="K2496" t="inlineStr">
        <is>
          <t>Grossberg, Kenneth A.</t>
        </is>
      </c>
      <c r="L2496" t="inlineStr">
        <is>
          <t>Cambridge, Mass. : Council on East Asian Studies, Harvard University : Distributed by Harvard University Press, 1981.</t>
        </is>
      </c>
      <c r="M2496" t="inlineStr">
        <is>
          <t>1981</t>
        </is>
      </c>
      <c r="O2496" t="inlineStr">
        <is>
          <t>eng</t>
        </is>
      </c>
      <c r="P2496" t="inlineStr">
        <is>
          <t>mau</t>
        </is>
      </c>
      <c r="Q2496" t="inlineStr">
        <is>
          <t>Harvard East Asian monographs ; 99</t>
        </is>
      </c>
      <c r="R2496" t="inlineStr">
        <is>
          <t xml:space="preserve">DS </t>
        </is>
      </c>
      <c r="S2496" t="n">
        <v>5</v>
      </c>
      <c r="T2496" t="n">
        <v>5</v>
      </c>
      <c r="U2496" t="inlineStr">
        <is>
          <t>2004-11-09</t>
        </is>
      </c>
      <c r="V2496" t="inlineStr">
        <is>
          <t>2004-11-09</t>
        </is>
      </c>
      <c r="W2496" t="inlineStr">
        <is>
          <t>1990-10-30</t>
        </is>
      </c>
      <c r="X2496" t="inlineStr">
        <is>
          <t>1990-10-30</t>
        </is>
      </c>
      <c r="Y2496" t="n">
        <v>373</v>
      </c>
      <c r="Z2496" t="n">
        <v>292</v>
      </c>
      <c r="AA2496" t="n">
        <v>359</v>
      </c>
      <c r="AB2496" t="n">
        <v>2</v>
      </c>
      <c r="AC2496" t="n">
        <v>3</v>
      </c>
      <c r="AD2496" t="n">
        <v>11</v>
      </c>
      <c r="AE2496" t="n">
        <v>21</v>
      </c>
      <c r="AF2496" t="n">
        <v>2</v>
      </c>
      <c r="AG2496" t="n">
        <v>9</v>
      </c>
      <c r="AH2496" t="n">
        <v>4</v>
      </c>
      <c r="AI2496" t="n">
        <v>6</v>
      </c>
      <c r="AJ2496" t="n">
        <v>7</v>
      </c>
      <c r="AK2496" t="n">
        <v>8</v>
      </c>
      <c r="AL2496" t="n">
        <v>1</v>
      </c>
      <c r="AM2496" t="n">
        <v>2</v>
      </c>
      <c r="AN2496" t="n">
        <v>0</v>
      </c>
      <c r="AO2496" t="n">
        <v>0</v>
      </c>
      <c r="AP2496" t="inlineStr">
        <is>
          <t>No</t>
        </is>
      </c>
      <c r="AQ2496" t="inlineStr">
        <is>
          <t>Yes</t>
        </is>
      </c>
      <c r="AR2496">
        <f>HYPERLINK("http://catalog.hathitrust.org/Record/000224431","HathiTrust Record")</f>
        <v/>
      </c>
      <c r="AS2496">
        <f>HYPERLINK("https://creighton-primo.hosted.exlibrisgroup.com/primo-explore/search?tab=default_tab&amp;search_scope=EVERYTHING&amp;vid=01CRU&amp;lang=en_US&amp;offset=0&amp;query=any,contains,991005125379702656","Catalog Record")</f>
        <v/>
      </c>
      <c r="AT2496">
        <f>HYPERLINK("http://www.worldcat.org/oclc/7553162","WorldCat Record")</f>
        <v/>
      </c>
      <c r="AU2496" t="inlineStr">
        <is>
          <t>836669130:eng</t>
        </is>
      </c>
      <c r="AV2496" t="inlineStr">
        <is>
          <t>7553162</t>
        </is>
      </c>
      <c r="AW2496" t="inlineStr">
        <is>
          <t>991005125379702656</t>
        </is>
      </c>
      <c r="AX2496" t="inlineStr">
        <is>
          <t>991005125379702656</t>
        </is>
      </c>
      <c r="AY2496" t="inlineStr">
        <is>
          <t>2262511130002656</t>
        </is>
      </c>
      <c r="AZ2496" t="inlineStr">
        <is>
          <t>BOOK</t>
        </is>
      </c>
      <c r="BB2496" t="inlineStr">
        <is>
          <t>9780674472518</t>
        </is>
      </c>
      <c r="BC2496" t="inlineStr">
        <is>
          <t>32285000370287</t>
        </is>
      </c>
      <c r="BD2496" t="inlineStr">
        <is>
          <t>893437198</t>
        </is>
      </c>
    </row>
    <row r="2497">
      <c r="A2497" t="inlineStr">
        <is>
          <t>No</t>
        </is>
      </c>
      <c r="B2497" t="inlineStr">
        <is>
          <t>DS865.5 .C67 2003</t>
        </is>
      </c>
      <c r="C2497" t="inlineStr">
        <is>
          <t>0                      DS 0865500C  67          2003</t>
        </is>
      </c>
      <c r="D2497" t="inlineStr">
        <is>
          <t>State of war : the violent order of fourteenth-century Japan / Thomas Donald Conlan.</t>
        </is>
      </c>
      <c r="F2497" t="inlineStr">
        <is>
          <t>No</t>
        </is>
      </c>
      <c r="G2497" t="inlineStr">
        <is>
          <t>1</t>
        </is>
      </c>
      <c r="H2497" t="inlineStr">
        <is>
          <t>No</t>
        </is>
      </c>
      <c r="I2497" t="inlineStr">
        <is>
          <t>No</t>
        </is>
      </c>
      <c r="J2497" t="inlineStr">
        <is>
          <t>0</t>
        </is>
      </c>
      <c r="K2497" t="inlineStr">
        <is>
          <t>Conlan, Thomas.</t>
        </is>
      </c>
      <c r="L2497" t="inlineStr">
        <is>
          <t>Ann Arbor : Center for Japanese Studies, University of Michigan, 2003.</t>
        </is>
      </c>
      <c r="M2497" t="inlineStr">
        <is>
          <t>2003</t>
        </is>
      </c>
      <c r="O2497" t="inlineStr">
        <is>
          <t>eng</t>
        </is>
      </c>
      <c r="P2497" t="inlineStr">
        <is>
          <t>miu</t>
        </is>
      </c>
      <c r="Q2497" t="inlineStr">
        <is>
          <t>Michigan monograph series in Japanese studies ; no. 46</t>
        </is>
      </c>
      <c r="R2497" t="inlineStr">
        <is>
          <t xml:space="preserve">DS </t>
        </is>
      </c>
      <c r="S2497" t="n">
        <v>10</v>
      </c>
      <c r="T2497" t="n">
        <v>10</v>
      </c>
      <c r="U2497" t="inlineStr">
        <is>
          <t>2008-09-05</t>
        </is>
      </c>
      <c r="V2497" t="inlineStr">
        <is>
          <t>2008-09-05</t>
        </is>
      </c>
      <c r="W2497" t="inlineStr">
        <is>
          <t>2005-05-31</t>
        </is>
      </c>
      <c r="X2497" t="inlineStr">
        <is>
          <t>2005-05-31</t>
        </is>
      </c>
      <c r="Y2497" t="n">
        <v>298</v>
      </c>
      <c r="Z2497" t="n">
        <v>252</v>
      </c>
      <c r="AA2497" t="n">
        <v>256</v>
      </c>
      <c r="AB2497" t="n">
        <v>3</v>
      </c>
      <c r="AC2497" t="n">
        <v>3</v>
      </c>
      <c r="AD2497" t="n">
        <v>16</v>
      </c>
      <c r="AE2497" t="n">
        <v>16</v>
      </c>
      <c r="AF2497" t="n">
        <v>8</v>
      </c>
      <c r="AG2497" t="n">
        <v>8</v>
      </c>
      <c r="AH2497" t="n">
        <v>4</v>
      </c>
      <c r="AI2497" t="n">
        <v>4</v>
      </c>
      <c r="AJ2497" t="n">
        <v>9</v>
      </c>
      <c r="AK2497" t="n">
        <v>9</v>
      </c>
      <c r="AL2497" t="n">
        <v>2</v>
      </c>
      <c r="AM2497" t="n">
        <v>2</v>
      </c>
      <c r="AN2497" t="n">
        <v>0</v>
      </c>
      <c r="AO2497" t="n">
        <v>0</v>
      </c>
      <c r="AP2497" t="inlineStr">
        <is>
          <t>No</t>
        </is>
      </c>
      <c r="AQ2497" t="inlineStr">
        <is>
          <t>Yes</t>
        </is>
      </c>
      <c r="AR2497">
        <f>HYPERLINK("http://catalog.hathitrust.org/Record/003888357","HathiTrust Record")</f>
        <v/>
      </c>
      <c r="AS2497">
        <f>HYPERLINK("https://creighton-primo.hosted.exlibrisgroup.com/primo-explore/search?tab=default_tab&amp;search_scope=EVERYTHING&amp;vid=01CRU&amp;lang=en_US&amp;offset=0&amp;query=any,contains,991004543929702656","Catalog Record")</f>
        <v/>
      </c>
      <c r="AT2497">
        <f>HYPERLINK("http://www.worldcat.org/oclc/52216299","WorldCat Record")</f>
        <v/>
      </c>
      <c r="AU2497" t="inlineStr">
        <is>
          <t>827214:eng</t>
        </is>
      </c>
      <c r="AV2497" t="inlineStr">
        <is>
          <t>52216299</t>
        </is>
      </c>
      <c r="AW2497" t="inlineStr">
        <is>
          <t>991004543929702656</t>
        </is>
      </c>
      <c r="AX2497" t="inlineStr">
        <is>
          <t>991004543929702656</t>
        </is>
      </c>
      <c r="AY2497" t="inlineStr">
        <is>
          <t>2256993870002656</t>
        </is>
      </c>
      <c r="AZ2497" t="inlineStr">
        <is>
          <t>BOOK</t>
        </is>
      </c>
      <c r="BB2497" t="inlineStr">
        <is>
          <t>9781929280162</t>
        </is>
      </c>
      <c r="BC2497" t="inlineStr">
        <is>
          <t>32285005091557</t>
        </is>
      </c>
      <c r="BD2497" t="inlineStr">
        <is>
          <t>893343966</t>
        </is>
      </c>
    </row>
    <row r="2498">
      <c r="A2498" t="inlineStr">
        <is>
          <t>No</t>
        </is>
      </c>
      <c r="B2498" t="inlineStr">
        <is>
          <t>DS868 .S37 1977a</t>
        </is>
      </c>
      <c r="C2498" t="inlineStr">
        <is>
          <t>0                      DS 0868000S  37          1977a</t>
        </is>
      </c>
      <c r="D2498" t="inlineStr">
        <is>
          <t>Japan before Tokugawa : political consolidation and economic growth, 1500-1650 / edited by John Whitney Hall, Nagahara Keiji, and Kozo Yāmamura.</t>
        </is>
      </c>
      <c r="F2498" t="inlineStr">
        <is>
          <t>No</t>
        </is>
      </c>
      <c r="G2498" t="inlineStr">
        <is>
          <t>1</t>
        </is>
      </c>
      <c r="H2498" t="inlineStr">
        <is>
          <t>No</t>
        </is>
      </c>
      <c r="I2498" t="inlineStr">
        <is>
          <t>No</t>
        </is>
      </c>
      <c r="J2498" t="inlineStr">
        <is>
          <t>0</t>
        </is>
      </c>
      <c r="K2498" t="inlineStr">
        <is>
          <t>Sengoku Conference (1977 : Lahaina, Hawaii)</t>
        </is>
      </c>
      <c r="L2498" t="inlineStr">
        <is>
          <t>Princeton : Princeton University Press, c1981.</t>
        </is>
      </c>
      <c r="M2498" t="inlineStr">
        <is>
          <t>1981</t>
        </is>
      </c>
      <c r="O2498" t="inlineStr">
        <is>
          <t>eng</t>
        </is>
      </c>
      <c r="P2498" t="inlineStr">
        <is>
          <t>nju</t>
        </is>
      </c>
      <c r="R2498" t="inlineStr">
        <is>
          <t xml:space="preserve">DS </t>
        </is>
      </c>
      <c r="S2498" t="n">
        <v>6</v>
      </c>
      <c r="T2498" t="n">
        <v>6</v>
      </c>
      <c r="U2498" t="inlineStr">
        <is>
          <t>1997-03-05</t>
        </is>
      </c>
      <c r="V2498" t="inlineStr">
        <is>
          <t>1997-03-05</t>
        </is>
      </c>
      <c r="W2498" t="inlineStr">
        <is>
          <t>1990-10-30</t>
        </is>
      </c>
      <c r="X2498" t="inlineStr">
        <is>
          <t>1990-10-30</t>
        </is>
      </c>
      <c r="Y2498" t="n">
        <v>581</v>
      </c>
      <c r="Z2498" t="n">
        <v>465</v>
      </c>
      <c r="AA2498" t="n">
        <v>737</v>
      </c>
      <c r="AB2498" t="n">
        <v>4</v>
      </c>
      <c r="AC2498" t="n">
        <v>6</v>
      </c>
      <c r="AD2498" t="n">
        <v>24</v>
      </c>
      <c r="AE2498" t="n">
        <v>32</v>
      </c>
      <c r="AF2498" t="n">
        <v>7</v>
      </c>
      <c r="AG2498" t="n">
        <v>13</v>
      </c>
      <c r="AH2498" t="n">
        <v>7</v>
      </c>
      <c r="AI2498" t="n">
        <v>9</v>
      </c>
      <c r="AJ2498" t="n">
        <v>13</v>
      </c>
      <c r="AK2498" t="n">
        <v>15</v>
      </c>
      <c r="AL2498" t="n">
        <v>3</v>
      </c>
      <c r="AM2498" t="n">
        <v>4</v>
      </c>
      <c r="AN2498" t="n">
        <v>0</v>
      </c>
      <c r="AO2498" t="n">
        <v>0</v>
      </c>
      <c r="AP2498" t="inlineStr">
        <is>
          <t>No</t>
        </is>
      </c>
      <c r="AQ2498" t="inlineStr">
        <is>
          <t>No</t>
        </is>
      </c>
      <c r="AS2498">
        <f>HYPERLINK("https://creighton-primo.hosted.exlibrisgroup.com/primo-explore/search?tab=default_tab&amp;search_scope=EVERYTHING&amp;vid=01CRU&amp;lang=en_US&amp;offset=0&amp;query=any,contains,991004971009702656","Catalog Record")</f>
        <v/>
      </c>
      <c r="AT2498">
        <f>HYPERLINK("http://www.worldcat.org/oclc/6357654","WorldCat Record")</f>
        <v/>
      </c>
      <c r="AU2498" t="inlineStr">
        <is>
          <t>836662302:eng</t>
        </is>
      </c>
      <c r="AV2498" t="inlineStr">
        <is>
          <t>6357654</t>
        </is>
      </c>
      <c r="AW2498" t="inlineStr">
        <is>
          <t>991004971009702656</t>
        </is>
      </c>
      <c r="AX2498" t="inlineStr">
        <is>
          <t>991004971009702656</t>
        </is>
      </c>
      <c r="AY2498" t="inlineStr">
        <is>
          <t>2255979860002656</t>
        </is>
      </c>
      <c r="AZ2498" t="inlineStr">
        <is>
          <t>BOOK</t>
        </is>
      </c>
      <c r="BB2498" t="inlineStr">
        <is>
          <t>9780691053080</t>
        </is>
      </c>
      <c r="BC2498" t="inlineStr">
        <is>
          <t>32285000370295</t>
        </is>
      </c>
      <c r="BD2498" t="inlineStr">
        <is>
          <t>893713269</t>
        </is>
      </c>
    </row>
    <row r="2499">
      <c r="A2499" t="inlineStr">
        <is>
          <t>No</t>
        </is>
      </c>
      <c r="B2499" t="inlineStr">
        <is>
          <t>DS869.A3 M54 2003</t>
        </is>
      </c>
      <c r="C2499" t="inlineStr">
        <is>
          <t>0                      DS 0869000A  3                  M  54          2003</t>
        </is>
      </c>
      <c r="D2499" t="inlineStr">
        <is>
          <t>Samurai William : the Englishman who opened Japan / Giles Milton.</t>
        </is>
      </c>
      <c r="F2499" t="inlineStr">
        <is>
          <t>No</t>
        </is>
      </c>
      <c r="G2499" t="inlineStr">
        <is>
          <t>1</t>
        </is>
      </c>
      <c r="H2499" t="inlineStr">
        <is>
          <t>No</t>
        </is>
      </c>
      <c r="I2499" t="inlineStr">
        <is>
          <t>No</t>
        </is>
      </c>
      <c r="J2499" t="inlineStr">
        <is>
          <t>0</t>
        </is>
      </c>
      <c r="K2499" t="inlineStr">
        <is>
          <t>Milton, Giles.</t>
        </is>
      </c>
      <c r="L2499" t="inlineStr">
        <is>
          <t>New York : Farrar, Straus and Giroux, 2003.</t>
        </is>
      </c>
      <c r="M2499" t="inlineStr">
        <is>
          <t>2003</t>
        </is>
      </c>
      <c r="N2499" t="inlineStr">
        <is>
          <t>1st American ed.</t>
        </is>
      </c>
      <c r="O2499" t="inlineStr">
        <is>
          <t>eng</t>
        </is>
      </c>
      <c r="P2499" t="inlineStr">
        <is>
          <t>nyu</t>
        </is>
      </c>
      <c r="R2499" t="inlineStr">
        <is>
          <t xml:space="preserve">DS </t>
        </is>
      </c>
      <c r="S2499" t="n">
        <v>2</v>
      </c>
      <c r="T2499" t="n">
        <v>2</v>
      </c>
      <c r="U2499" t="inlineStr">
        <is>
          <t>2003-04-07</t>
        </is>
      </c>
      <c r="V2499" t="inlineStr">
        <is>
          <t>2003-04-07</t>
        </is>
      </c>
      <c r="W2499" t="inlineStr">
        <is>
          <t>2003-03-05</t>
        </is>
      </c>
      <c r="X2499" t="inlineStr">
        <is>
          <t>2003-03-05</t>
        </is>
      </c>
      <c r="Y2499" t="n">
        <v>805</v>
      </c>
      <c r="Z2499" t="n">
        <v>781</v>
      </c>
      <c r="AA2499" t="n">
        <v>861</v>
      </c>
      <c r="AB2499" t="n">
        <v>4</v>
      </c>
      <c r="AC2499" t="n">
        <v>5</v>
      </c>
      <c r="AD2499" t="n">
        <v>23</v>
      </c>
      <c r="AE2499" t="n">
        <v>23</v>
      </c>
      <c r="AF2499" t="n">
        <v>12</v>
      </c>
      <c r="AG2499" t="n">
        <v>12</v>
      </c>
      <c r="AH2499" t="n">
        <v>3</v>
      </c>
      <c r="AI2499" t="n">
        <v>3</v>
      </c>
      <c r="AJ2499" t="n">
        <v>10</v>
      </c>
      <c r="AK2499" t="n">
        <v>10</v>
      </c>
      <c r="AL2499" t="n">
        <v>3</v>
      </c>
      <c r="AM2499" t="n">
        <v>3</v>
      </c>
      <c r="AN2499" t="n">
        <v>0</v>
      </c>
      <c r="AO2499" t="n">
        <v>0</v>
      </c>
      <c r="AP2499" t="inlineStr">
        <is>
          <t>No</t>
        </is>
      </c>
      <c r="AQ2499" t="inlineStr">
        <is>
          <t>No</t>
        </is>
      </c>
      <c r="AS2499">
        <f>HYPERLINK("https://creighton-primo.hosted.exlibrisgroup.com/primo-explore/search?tab=default_tab&amp;search_scope=EVERYTHING&amp;vid=01CRU&amp;lang=en_US&amp;offset=0&amp;query=any,contains,991004002829702656","Catalog Record")</f>
        <v/>
      </c>
      <c r="AT2499">
        <f>HYPERLINK("http://www.worldcat.org/oclc/49901743","WorldCat Record")</f>
        <v/>
      </c>
      <c r="AU2499" t="inlineStr">
        <is>
          <t>3373120942:eng</t>
        </is>
      </c>
      <c r="AV2499" t="inlineStr">
        <is>
          <t>49901743</t>
        </is>
      </c>
      <c r="AW2499" t="inlineStr">
        <is>
          <t>991004002829702656</t>
        </is>
      </c>
      <c r="AX2499" t="inlineStr">
        <is>
          <t>991004002829702656</t>
        </is>
      </c>
      <c r="AY2499" t="inlineStr">
        <is>
          <t>2257909490002656</t>
        </is>
      </c>
      <c r="AZ2499" t="inlineStr">
        <is>
          <t>BOOK</t>
        </is>
      </c>
      <c r="BB2499" t="inlineStr">
        <is>
          <t>9780374253851</t>
        </is>
      </c>
      <c r="BC2499" t="inlineStr">
        <is>
          <t>32285004682356</t>
        </is>
      </c>
      <c r="BD2499" t="inlineStr">
        <is>
          <t>893247040</t>
        </is>
      </c>
    </row>
    <row r="2500">
      <c r="A2500" t="inlineStr">
        <is>
          <t>No</t>
        </is>
      </c>
      <c r="B2500" t="inlineStr">
        <is>
          <t>DS87 .F55 1990</t>
        </is>
      </c>
      <c r="C2500" t="inlineStr">
        <is>
          <t>0                      DS 0087000F  55          1990</t>
        </is>
      </c>
      <c r="D2500" t="inlineStr">
        <is>
          <t>Pity the nation : the abduction of Lebanon / Robert Fisk.</t>
        </is>
      </c>
      <c r="F2500" t="inlineStr">
        <is>
          <t>No</t>
        </is>
      </c>
      <c r="G2500" t="inlineStr">
        <is>
          <t>1</t>
        </is>
      </c>
      <c r="H2500" t="inlineStr">
        <is>
          <t>No</t>
        </is>
      </c>
      <c r="I2500" t="inlineStr">
        <is>
          <t>No</t>
        </is>
      </c>
      <c r="J2500" t="inlineStr">
        <is>
          <t>0</t>
        </is>
      </c>
      <c r="K2500" t="inlineStr">
        <is>
          <t>Fisk, Robert.</t>
        </is>
      </c>
      <c r="L2500" t="inlineStr">
        <is>
          <t>New York : Atheneum : Maxwell Macmillan International, 1990.</t>
        </is>
      </c>
      <c r="M2500" t="inlineStr">
        <is>
          <t>1990</t>
        </is>
      </c>
      <c r="O2500" t="inlineStr">
        <is>
          <t>eng</t>
        </is>
      </c>
      <c r="P2500" t="inlineStr">
        <is>
          <t>nyu</t>
        </is>
      </c>
      <c r="R2500" t="inlineStr">
        <is>
          <t xml:space="preserve">DS </t>
        </is>
      </c>
      <c r="S2500" t="n">
        <v>13</v>
      </c>
      <c r="T2500" t="n">
        <v>13</v>
      </c>
      <c r="U2500" t="inlineStr">
        <is>
          <t>2002-04-02</t>
        </is>
      </c>
      <c r="V2500" t="inlineStr">
        <is>
          <t>2002-04-02</t>
        </is>
      </c>
      <c r="W2500" t="inlineStr">
        <is>
          <t>1991-06-11</t>
        </is>
      </c>
      <c r="X2500" t="inlineStr">
        <is>
          <t>1991-06-11</t>
        </is>
      </c>
      <c r="Y2500" t="n">
        <v>778</v>
      </c>
      <c r="Z2500" t="n">
        <v>738</v>
      </c>
      <c r="AA2500" t="n">
        <v>787</v>
      </c>
      <c r="AB2500" t="n">
        <v>4</v>
      </c>
      <c r="AC2500" t="n">
        <v>4</v>
      </c>
      <c r="AD2500" t="n">
        <v>23</v>
      </c>
      <c r="AE2500" t="n">
        <v>25</v>
      </c>
      <c r="AF2500" t="n">
        <v>11</v>
      </c>
      <c r="AG2500" t="n">
        <v>12</v>
      </c>
      <c r="AH2500" t="n">
        <v>5</v>
      </c>
      <c r="AI2500" t="n">
        <v>6</v>
      </c>
      <c r="AJ2500" t="n">
        <v>10</v>
      </c>
      <c r="AK2500" t="n">
        <v>11</v>
      </c>
      <c r="AL2500" t="n">
        <v>2</v>
      </c>
      <c r="AM2500" t="n">
        <v>2</v>
      </c>
      <c r="AN2500" t="n">
        <v>0</v>
      </c>
      <c r="AO2500" t="n">
        <v>0</v>
      </c>
      <c r="AP2500" t="inlineStr">
        <is>
          <t>No</t>
        </is>
      </c>
      <c r="AQ2500" t="inlineStr">
        <is>
          <t>Yes</t>
        </is>
      </c>
      <c r="AR2500">
        <f>HYPERLINK("http://catalog.hathitrust.org/Record/002235318","HathiTrust Record")</f>
        <v/>
      </c>
      <c r="AS2500">
        <f>HYPERLINK("https://creighton-primo.hosted.exlibrisgroup.com/primo-explore/search?tab=default_tab&amp;search_scope=EVERYTHING&amp;vid=01CRU&amp;lang=en_US&amp;offset=0&amp;query=any,contains,991005412329702656","Catalog Record")</f>
        <v/>
      </c>
      <c r="AT2500">
        <f>HYPERLINK("http://www.worldcat.org/oclc/21679122","WorldCat Record")</f>
        <v/>
      </c>
      <c r="AU2500" t="inlineStr">
        <is>
          <t>3132964735:eng</t>
        </is>
      </c>
      <c r="AV2500" t="inlineStr">
        <is>
          <t>21679122</t>
        </is>
      </c>
      <c r="AW2500" t="inlineStr">
        <is>
          <t>991005412329702656</t>
        </is>
      </c>
      <c r="AX2500" t="inlineStr">
        <is>
          <t>991005412329702656</t>
        </is>
      </c>
      <c r="AY2500" t="inlineStr">
        <is>
          <t>2261326720002656</t>
        </is>
      </c>
      <c r="AZ2500" t="inlineStr">
        <is>
          <t>BOOK</t>
        </is>
      </c>
      <c r="BB2500" t="inlineStr">
        <is>
          <t>9780689121050</t>
        </is>
      </c>
      <c r="BC2500" t="inlineStr">
        <is>
          <t>32285000594878</t>
        </is>
      </c>
      <c r="BD2500" t="inlineStr">
        <is>
          <t>893808425</t>
        </is>
      </c>
    </row>
    <row r="2501">
      <c r="A2501" t="inlineStr">
        <is>
          <t>No</t>
        </is>
      </c>
      <c r="B2501" t="inlineStr">
        <is>
          <t>DS87 .G54 1984</t>
        </is>
      </c>
      <c r="C2501" t="inlineStr">
        <is>
          <t>0                      DS 0087000G  54          1984</t>
        </is>
      </c>
      <c r="D2501" t="inlineStr">
        <is>
          <t>Lebanon, the fractured country / David Gilmour.</t>
        </is>
      </c>
      <c r="F2501" t="inlineStr">
        <is>
          <t>No</t>
        </is>
      </c>
      <c r="G2501" t="inlineStr">
        <is>
          <t>1</t>
        </is>
      </c>
      <c r="H2501" t="inlineStr">
        <is>
          <t>No</t>
        </is>
      </c>
      <c r="I2501" t="inlineStr">
        <is>
          <t>No</t>
        </is>
      </c>
      <c r="J2501" t="inlineStr">
        <is>
          <t>0</t>
        </is>
      </c>
      <c r="K2501" t="inlineStr">
        <is>
          <t>Gilmour, David, 1952-</t>
        </is>
      </c>
      <c r="L2501" t="inlineStr">
        <is>
          <t>New York : St. Martin's Press, 1983, c1984.</t>
        </is>
      </c>
      <c r="M2501" t="inlineStr">
        <is>
          <t>1983</t>
        </is>
      </c>
      <c r="O2501" t="inlineStr">
        <is>
          <t>eng</t>
        </is>
      </c>
      <c r="P2501" t="inlineStr">
        <is>
          <t>nyu</t>
        </is>
      </c>
      <c r="R2501" t="inlineStr">
        <is>
          <t xml:space="preserve">DS </t>
        </is>
      </c>
      <c r="S2501" t="n">
        <v>10</v>
      </c>
      <c r="T2501" t="n">
        <v>10</v>
      </c>
      <c r="U2501" t="inlineStr">
        <is>
          <t>2007-11-26</t>
        </is>
      </c>
      <c r="V2501" t="inlineStr">
        <is>
          <t>2007-11-26</t>
        </is>
      </c>
      <c r="W2501" t="inlineStr">
        <is>
          <t>1990-09-18</t>
        </is>
      </c>
      <c r="X2501" t="inlineStr">
        <is>
          <t>1990-09-18</t>
        </is>
      </c>
      <c r="Y2501" t="n">
        <v>245</v>
      </c>
      <c r="Z2501" t="n">
        <v>233</v>
      </c>
      <c r="AA2501" t="n">
        <v>580</v>
      </c>
      <c r="AB2501" t="n">
        <v>1</v>
      </c>
      <c r="AC2501" t="n">
        <v>3</v>
      </c>
      <c r="AD2501" t="n">
        <v>9</v>
      </c>
      <c r="AE2501" t="n">
        <v>18</v>
      </c>
      <c r="AF2501" t="n">
        <v>5</v>
      </c>
      <c r="AG2501" t="n">
        <v>6</v>
      </c>
      <c r="AH2501" t="n">
        <v>1</v>
      </c>
      <c r="AI2501" t="n">
        <v>4</v>
      </c>
      <c r="AJ2501" t="n">
        <v>5</v>
      </c>
      <c r="AK2501" t="n">
        <v>11</v>
      </c>
      <c r="AL2501" t="n">
        <v>0</v>
      </c>
      <c r="AM2501" t="n">
        <v>1</v>
      </c>
      <c r="AN2501" t="n">
        <v>0</v>
      </c>
      <c r="AO2501" t="n">
        <v>0</v>
      </c>
      <c r="AP2501" t="inlineStr">
        <is>
          <t>No</t>
        </is>
      </c>
      <c r="AQ2501" t="inlineStr">
        <is>
          <t>No</t>
        </is>
      </c>
      <c r="AS2501">
        <f>HYPERLINK("https://creighton-primo.hosted.exlibrisgroup.com/primo-explore/search?tab=default_tab&amp;search_scope=EVERYTHING&amp;vid=01CRU&amp;lang=en_US&amp;offset=0&amp;query=any,contains,991000353379702656","Catalog Record")</f>
        <v/>
      </c>
      <c r="AT2501">
        <f>HYPERLINK("http://www.worldcat.org/oclc/10322463","WorldCat Record")</f>
        <v/>
      </c>
      <c r="AU2501" t="inlineStr">
        <is>
          <t>3244244:eng</t>
        </is>
      </c>
      <c r="AV2501" t="inlineStr">
        <is>
          <t>10322463</t>
        </is>
      </c>
      <c r="AW2501" t="inlineStr">
        <is>
          <t>991000353379702656</t>
        </is>
      </c>
      <c r="AX2501" t="inlineStr">
        <is>
          <t>991000353379702656</t>
        </is>
      </c>
      <c r="AY2501" t="inlineStr">
        <is>
          <t>2266722030002656</t>
        </is>
      </c>
      <c r="AZ2501" t="inlineStr">
        <is>
          <t>BOOK</t>
        </is>
      </c>
      <c r="BB2501" t="inlineStr">
        <is>
          <t>9780312477394</t>
        </is>
      </c>
      <c r="BC2501" t="inlineStr">
        <is>
          <t>32285000292200</t>
        </is>
      </c>
      <c r="BD2501" t="inlineStr">
        <is>
          <t>893796570</t>
        </is>
      </c>
    </row>
    <row r="2502">
      <c r="A2502" t="inlineStr">
        <is>
          <t>No</t>
        </is>
      </c>
      <c r="B2502" t="inlineStr">
        <is>
          <t>DS87 .G67</t>
        </is>
      </c>
      <c r="C2502" t="inlineStr">
        <is>
          <t>0                      DS 0087000G  67</t>
        </is>
      </c>
      <c r="D2502" t="inlineStr">
        <is>
          <t>Lebanon, the fragmented nation / David C. Gordon.</t>
        </is>
      </c>
      <c r="F2502" t="inlineStr">
        <is>
          <t>No</t>
        </is>
      </c>
      <c r="G2502" t="inlineStr">
        <is>
          <t>1</t>
        </is>
      </c>
      <c r="H2502" t="inlineStr">
        <is>
          <t>No</t>
        </is>
      </c>
      <c r="I2502" t="inlineStr">
        <is>
          <t>No</t>
        </is>
      </c>
      <c r="J2502" t="inlineStr">
        <is>
          <t>0</t>
        </is>
      </c>
      <c r="K2502" t="inlineStr">
        <is>
          <t>Gordon, David C.</t>
        </is>
      </c>
      <c r="L2502" t="inlineStr">
        <is>
          <t>London : Croom Helm ; Stanford, Calif. : Hoover Institution Press, c1980.</t>
        </is>
      </c>
      <c r="M2502" t="inlineStr">
        <is>
          <t>1980</t>
        </is>
      </c>
      <c r="O2502" t="inlineStr">
        <is>
          <t>eng</t>
        </is>
      </c>
      <c r="P2502" t="inlineStr">
        <is>
          <t>enk</t>
        </is>
      </c>
      <c r="Q2502" t="inlineStr">
        <is>
          <t>Hoover Institution Press</t>
        </is>
      </c>
      <c r="R2502" t="inlineStr">
        <is>
          <t xml:space="preserve">DS </t>
        </is>
      </c>
      <c r="S2502" t="n">
        <v>7</v>
      </c>
      <c r="T2502" t="n">
        <v>7</v>
      </c>
      <c r="U2502" t="inlineStr">
        <is>
          <t>2002-04-02</t>
        </is>
      </c>
      <c r="V2502" t="inlineStr">
        <is>
          <t>2002-04-02</t>
        </is>
      </c>
      <c r="W2502" t="inlineStr">
        <is>
          <t>1990-08-16</t>
        </is>
      </c>
      <c r="X2502" t="inlineStr">
        <is>
          <t>1990-08-16</t>
        </is>
      </c>
      <c r="Y2502" t="n">
        <v>390</v>
      </c>
      <c r="Z2502" t="n">
        <v>292</v>
      </c>
      <c r="AA2502" t="n">
        <v>341</v>
      </c>
      <c r="AB2502" t="n">
        <v>2</v>
      </c>
      <c r="AC2502" t="n">
        <v>2</v>
      </c>
      <c r="AD2502" t="n">
        <v>12</v>
      </c>
      <c r="AE2502" t="n">
        <v>12</v>
      </c>
      <c r="AF2502" t="n">
        <v>3</v>
      </c>
      <c r="AG2502" t="n">
        <v>3</v>
      </c>
      <c r="AH2502" t="n">
        <v>5</v>
      </c>
      <c r="AI2502" t="n">
        <v>5</v>
      </c>
      <c r="AJ2502" t="n">
        <v>6</v>
      </c>
      <c r="AK2502" t="n">
        <v>6</v>
      </c>
      <c r="AL2502" t="n">
        <v>1</v>
      </c>
      <c r="AM2502" t="n">
        <v>1</v>
      </c>
      <c r="AN2502" t="n">
        <v>0</v>
      </c>
      <c r="AO2502" t="n">
        <v>0</v>
      </c>
      <c r="AP2502" t="inlineStr">
        <is>
          <t>No</t>
        </is>
      </c>
      <c r="AQ2502" t="inlineStr">
        <is>
          <t>Yes</t>
        </is>
      </c>
      <c r="AR2502">
        <f>HYPERLINK("http://catalog.hathitrust.org/Record/000709518","HathiTrust Record")</f>
        <v/>
      </c>
      <c r="AS2502">
        <f>HYPERLINK("https://creighton-primo.hosted.exlibrisgroup.com/primo-explore/search?tab=default_tab&amp;search_scope=EVERYTHING&amp;vid=01CRU&amp;lang=en_US&amp;offset=0&amp;query=any,contains,991004923609702656","Catalog Record")</f>
        <v/>
      </c>
      <c r="AT2502">
        <f>HYPERLINK("http://www.worldcat.org/oclc/6066245","WorldCat Record")</f>
        <v/>
      </c>
      <c r="AU2502" t="inlineStr">
        <is>
          <t>20728107:eng</t>
        </is>
      </c>
      <c r="AV2502" t="inlineStr">
        <is>
          <t>6066245</t>
        </is>
      </c>
      <c r="AW2502" t="inlineStr">
        <is>
          <t>991004923609702656</t>
        </is>
      </c>
      <c r="AX2502" t="inlineStr">
        <is>
          <t>991004923609702656</t>
        </is>
      </c>
      <c r="AY2502" t="inlineStr">
        <is>
          <t>2271257880002656</t>
        </is>
      </c>
      <c r="AZ2502" t="inlineStr">
        <is>
          <t>BOOK</t>
        </is>
      </c>
      <c r="BB2502" t="inlineStr">
        <is>
          <t>9780817962715</t>
        </is>
      </c>
      <c r="BC2502" t="inlineStr">
        <is>
          <t>32285000274687</t>
        </is>
      </c>
      <c r="BD2502" t="inlineStr">
        <is>
          <t>893707004</t>
        </is>
      </c>
    </row>
    <row r="2503">
      <c r="A2503" t="inlineStr">
        <is>
          <t>No</t>
        </is>
      </c>
      <c r="B2503" t="inlineStr">
        <is>
          <t>DS87 .H3723 1997</t>
        </is>
      </c>
      <c r="C2503" t="inlineStr">
        <is>
          <t>0                      DS 0087000H  3723        1997</t>
        </is>
      </c>
      <c r="D2503" t="inlineStr">
        <is>
          <t>Faces of Lebanon : sects, wars, and global extensions / William W. Harris.</t>
        </is>
      </c>
      <c r="F2503" t="inlineStr">
        <is>
          <t>No</t>
        </is>
      </c>
      <c r="G2503" t="inlineStr">
        <is>
          <t>1</t>
        </is>
      </c>
      <c r="H2503" t="inlineStr">
        <is>
          <t>No</t>
        </is>
      </c>
      <c r="I2503" t="inlineStr">
        <is>
          <t>No</t>
        </is>
      </c>
      <c r="J2503" t="inlineStr">
        <is>
          <t>0</t>
        </is>
      </c>
      <c r="K2503" t="inlineStr">
        <is>
          <t>Harris, William W.</t>
        </is>
      </c>
      <c r="L2503" t="inlineStr">
        <is>
          <t>Princeton, NJ : Markus Wiener Publishers, c1997.</t>
        </is>
      </c>
      <c r="M2503" t="inlineStr">
        <is>
          <t>1997</t>
        </is>
      </c>
      <c r="O2503" t="inlineStr">
        <is>
          <t>eng</t>
        </is>
      </c>
      <c r="P2503" t="inlineStr">
        <is>
          <t>nju</t>
        </is>
      </c>
      <c r="Q2503" t="inlineStr">
        <is>
          <t>Princeton series on the Middle East</t>
        </is>
      </c>
      <c r="R2503" t="inlineStr">
        <is>
          <t xml:space="preserve">DS </t>
        </is>
      </c>
      <c r="S2503" t="n">
        <v>10</v>
      </c>
      <c r="T2503" t="n">
        <v>10</v>
      </c>
      <c r="U2503" t="inlineStr">
        <is>
          <t>2007-11-26</t>
        </is>
      </c>
      <c r="V2503" t="inlineStr">
        <is>
          <t>2007-11-26</t>
        </is>
      </c>
      <c r="W2503" t="inlineStr">
        <is>
          <t>1997-11-03</t>
        </is>
      </c>
      <c r="X2503" t="inlineStr">
        <is>
          <t>1997-11-03</t>
        </is>
      </c>
      <c r="Y2503" t="n">
        <v>491</v>
      </c>
      <c r="Z2503" t="n">
        <v>427</v>
      </c>
      <c r="AA2503" t="n">
        <v>433</v>
      </c>
      <c r="AB2503" t="n">
        <v>3</v>
      </c>
      <c r="AC2503" t="n">
        <v>3</v>
      </c>
      <c r="AD2503" t="n">
        <v>13</v>
      </c>
      <c r="AE2503" t="n">
        <v>13</v>
      </c>
      <c r="AF2503" t="n">
        <v>5</v>
      </c>
      <c r="AG2503" t="n">
        <v>5</v>
      </c>
      <c r="AH2503" t="n">
        <v>4</v>
      </c>
      <c r="AI2503" t="n">
        <v>4</v>
      </c>
      <c r="AJ2503" t="n">
        <v>7</v>
      </c>
      <c r="AK2503" t="n">
        <v>7</v>
      </c>
      <c r="AL2503" t="n">
        <v>1</v>
      </c>
      <c r="AM2503" t="n">
        <v>1</v>
      </c>
      <c r="AN2503" t="n">
        <v>0</v>
      </c>
      <c r="AO2503" t="n">
        <v>0</v>
      </c>
      <c r="AP2503" t="inlineStr">
        <is>
          <t>No</t>
        </is>
      </c>
      <c r="AQ2503" t="inlineStr">
        <is>
          <t>Yes</t>
        </is>
      </c>
      <c r="AR2503">
        <f>HYPERLINK("http://catalog.hathitrust.org/Record/003124566","HathiTrust Record")</f>
        <v/>
      </c>
      <c r="AS2503">
        <f>HYPERLINK("https://creighton-primo.hosted.exlibrisgroup.com/primo-explore/search?tab=default_tab&amp;search_scope=EVERYTHING&amp;vid=01CRU&amp;lang=en_US&amp;offset=0&amp;query=any,contains,991002658979702656","Catalog Record")</f>
        <v/>
      </c>
      <c r="AT2503">
        <f>HYPERLINK("http://www.worldcat.org/oclc/34753518","WorldCat Record")</f>
        <v/>
      </c>
      <c r="AU2503" t="inlineStr">
        <is>
          <t>197498045:eng</t>
        </is>
      </c>
      <c r="AV2503" t="inlineStr">
        <is>
          <t>34753518</t>
        </is>
      </c>
      <c r="AW2503" t="inlineStr">
        <is>
          <t>991002658979702656</t>
        </is>
      </c>
      <c r="AX2503" t="inlineStr">
        <is>
          <t>991002658979702656</t>
        </is>
      </c>
      <c r="AY2503" t="inlineStr">
        <is>
          <t>2267093220002656</t>
        </is>
      </c>
      <c r="AZ2503" t="inlineStr">
        <is>
          <t>BOOK</t>
        </is>
      </c>
      <c r="BB2503" t="inlineStr">
        <is>
          <t>9781558761155</t>
        </is>
      </c>
      <c r="BC2503" t="inlineStr">
        <is>
          <t>32285003259297</t>
        </is>
      </c>
      <c r="BD2503" t="inlineStr">
        <is>
          <t>893798837</t>
        </is>
      </c>
    </row>
    <row r="2504">
      <c r="A2504" t="inlineStr">
        <is>
          <t>No</t>
        </is>
      </c>
      <c r="B2504" t="inlineStr">
        <is>
          <t>DS87 .H8</t>
        </is>
      </c>
      <c r="C2504" t="inlineStr">
        <is>
          <t>0                      DS 0087000H  8</t>
        </is>
      </c>
      <c r="D2504" t="inlineStr">
        <is>
          <t>The precarious republic; political modernization in Lebanon [by] Michael C. Hudson. Consulting editor: Leonard Binder.</t>
        </is>
      </c>
      <c r="F2504" t="inlineStr">
        <is>
          <t>No</t>
        </is>
      </c>
      <c r="G2504" t="inlineStr">
        <is>
          <t>1</t>
        </is>
      </c>
      <c r="H2504" t="inlineStr">
        <is>
          <t>No</t>
        </is>
      </c>
      <c r="I2504" t="inlineStr">
        <is>
          <t>No</t>
        </is>
      </c>
      <c r="J2504" t="inlineStr">
        <is>
          <t>0</t>
        </is>
      </c>
      <c r="K2504" t="inlineStr">
        <is>
          <t>Hudson, Michael C.</t>
        </is>
      </c>
      <c r="L2504" t="inlineStr">
        <is>
          <t>New York, Random House [c1968]</t>
        </is>
      </c>
      <c r="M2504" t="inlineStr">
        <is>
          <t>1968</t>
        </is>
      </c>
      <c r="O2504" t="inlineStr">
        <is>
          <t>eng</t>
        </is>
      </c>
      <c r="P2504" t="inlineStr">
        <is>
          <t>nyu</t>
        </is>
      </c>
      <c r="R2504" t="inlineStr">
        <is>
          <t xml:space="preserve">DS </t>
        </is>
      </c>
      <c r="S2504" t="n">
        <v>3</v>
      </c>
      <c r="T2504" t="n">
        <v>3</v>
      </c>
      <c r="U2504" t="inlineStr">
        <is>
          <t>2000-10-07</t>
        </is>
      </c>
      <c r="V2504" t="inlineStr">
        <is>
          <t>2000-10-07</t>
        </is>
      </c>
      <c r="W2504" t="inlineStr">
        <is>
          <t>1997-02-24</t>
        </is>
      </c>
      <c r="X2504" t="inlineStr">
        <is>
          <t>1997-02-24</t>
        </is>
      </c>
      <c r="Y2504" t="n">
        <v>433</v>
      </c>
      <c r="Z2504" t="n">
        <v>351</v>
      </c>
      <c r="AA2504" t="n">
        <v>401</v>
      </c>
      <c r="AB2504" t="n">
        <v>3</v>
      </c>
      <c r="AC2504" t="n">
        <v>3</v>
      </c>
      <c r="AD2504" t="n">
        <v>16</v>
      </c>
      <c r="AE2504" t="n">
        <v>17</v>
      </c>
      <c r="AF2504" t="n">
        <v>7</v>
      </c>
      <c r="AG2504" t="n">
        <v>8</v>
      </c>
      <c r="AH2504" t="n">
        <v>4</v>
      </c>
      <c r="AI2504" t="n">
        <v>4</v>
      </c>
      <c r="AJ2504" t="n">
        <v>7</v>
      </c>
      <c r="AK2504" t="n">
        <v>8</v>
      </c>
      <c r="AL2504" t="n">
        <v>2</v>
      </c>
      <c r="AM2504" t="n">
        <v>2</v>
      </c>
      <c r="AN2504" t="n">
        <v>0</v>
      </c>
      <c r="AO2504" t="n">
        <v>0</v>
      </c>
      <c r="AP2504" t="inlineStr">
        <is>
          <t>No</t>
        </is>
      </c>
      <c r="AQ2504" t="inlineStr">
        <is>
          <t>Yes</t>
        </is>
      </c>
      <c r="AR2504">
        <f>HYPERLINK("http://catalog.hathitrust.org/Record/001241745","HathiTrust Record")</f>
        <v/>
      </c>
      <c r="AS2504">
        <f>HYPERLINK("https://creighton-primo.hosted.exlibrisgroup.com/primo-explore/search?tab=default_tab&amp;search_scope=EVERYTHING&amp;vid=01CRU&amp;lang=en_US&amp;offset=0&amp;query=any,contains,991002791809702656","Catalog Record")</f>
        <v/>
      </c>
      <c r="AT2504">
        <f>HYPERLINK("http://www.worldcat.org/oclc/443795","WorldCat Record")</f>
        <v/>
      </c>
      <c r="AU2504" t="inlineStr">
        <is>
          <t>1575773:eng</t>
        </is>
      </c>
      <c r="AV2504" t="inlineStr">
        <is>
          <t>443795</t>
        </is>
      </c>
      <c r="AW2504" t="inlineStr">
        <is>
          <t>991002791809702656</t>
        </is>
      </c>
      <c r="AX2504" t="inlineStr">
        <is>
          <t>991002791809702656</t>
        </is>
      </c>
      <c r="AY2504" t="inlineStr">
        <is>
          <t>2264436660002656</t>
        </is>
      </c>
      <c r="AZ2504" t="inlineStr">
        <is>
          <t>BOOK</t>
        </is>
      </c>
      <c r="BC2504" t="inlineStr">
        <is>
          <t>32285002460375</t>
        </is>
      </c>
      <c r="BD2504" t="inlineStr">
        <is>
          <t>893721638</t>
        </is>
      </c>
    </row>
    <row r="2505">
      <c r="A2505" t="inlineStr">
        <is>
          <t>No</t>
        </is>
      </c>
      <c r="B2505" t="inlineStr">
        <is>
          <t>DS87 .O33 1985</t>
        </is>
      </c>
      <c r="C2505" t="inlineStr">
        <is>
          <t>0                      DS 0087000O  33          1985</t>
        </is>
      </c>
      <c r="D2505" t="inlineStr">
        <is>
          <t>Lebanon, dynamics of conflict : a modern political history / B.J. Odeh.</t>
        </is>
      </c>
      <c r="F2505" t="inlineStr">
        <is>
          <t>No</t>
        </is>
      </c>
      <c r="G2505" t="inlineStr">
        <is>
          <t>1</t>
        </is>
      </c>
      <c r="H2505" t="inlineStr">
        <is>
          <t>No</t>
        </is>
      </c>
      <c r="I2505" t="inlineStr">
        <is>
          <t>No</t>
        </is>
      </c>
      <c r="J2505" t="inlineStr">
        <is>
          <t>0</t>
        </is>
      </c>
      <c r="K2505" t="inlineStr">
        <is>
          <t>Odeh, B. J.</t>
        </is>
      </c>
      <c r="L2505" t="inlineStr">
        <is>
          <t>London : Zed Books ; Totowa, N.J. : US distributor, Biblio Distribution Center, 1985.</t>
        </is>
      </c>
      <c r="M2505" t="inlineStr">
        <is>
          <t>1985</t>
        </is>
      </c>
      <c r="O2505" t="inlineStr">
        <is>
          <t>eng</t>
        </is>
      </c>
      <c r="P2505" t="inlineStr">
        <is>
          <t>enk</t>
        </is>
      </c>
      <c r="Q2505" t="inlineStr">
        <is>
          <t>Third World books</t>
        </is>
      </c>
      <c r="R2505" t="inlineStr">
        <is>
          <t xml:space="preserve">DS </t>
        </is>
      </c>
      <c r="S2505" t="n">
        <v>8</v>
      </c>
      <c r="T2505" t="n">
        <v>8</v>
      </c>
      <c r="U2505" t="inlineStr">
        <is>
          <t>2002-04-02</t>
        </is>
      </c>
      <c r="V2505" t="inlineStr">
        <is>
          <t>2002-04-02</t>
        </is>
      </c>
      <c r="W2505" t="inlineStr">
        <is>
          <t>1990-09-18</t>
        </is>
      </c>
      <c r="X2505" t="inlineStr">
        <is>
          <t>1990-09-18</t>
        </is>
      </c>
      <c r="Y2505" t="n">
        <v>331</v>
      </c>
      <c r="Z2505" t="n">
        <v>238</v>
      </c>
      <c r="AA2505" t="n">
        <v>245</v>
      </c>
      <c r="AB2505" t="n">
        <v>3</v>
      </c>
      <c r="AC2505" t="n">
        <v>3</v>
      </c>
      <c r="AD2505" t="n">
        <v>10</v>
      </c>
      <c r="AE2505" t="n">
        <v>10</v>
      </c>
      <c r="AF2505" t="n">
        <v>0</v>
      </c>
      <c r="AG2505" t="n">
        <v>0</v>
      </c>
      <c r="AH2505" t="n">
        <v>5</v>
      </c>
      <c r="AI2505" t="n">
        <v>5</v>
      </c>
      <c r="AJ2505" t="n">
        <v>5</v>
      </c>
      <c r="AK2505" t="n">
        <v>5</v>
      </c>
      <c r="AL2505" t="n">
        <v>2</v>
      </c>
      <c r="AM2505" t="n">
        <v>2</v>
      </c>
      <c r="AN2505" t="n">
        <v>0</v>
      </c>
      <c r="AO2505" t="n">
        <v>0</v>
      </c>
      <c r="AP2505" t="inlineStr">
        <is>
          <t>No</t>
        </is>
      </c>
      <c r="AQ2505" t="inlineStr">
        <is>
          <t>Yes</t>
        </is>
      </c>
      <c r="AR2505">
        <f>HYPERLINK("http://catalog.hathitrust.org/Record/000570592","HathiTrust Record")</f>
        <v/>
      </c>
      <c r="AS2505">
        <f>HYPERLINK("https://creighton-primo.hosted.exlibrisgroup.com/primo-explore/search?tab=default_tab&amp;search_scope=EVERYTHING&amp;vid=01CRU&amp;lang=en_US&amp;offset=0&amp;query=any,contains,991000676709702656","Catalog Record")</f>
        <v/>
      </c>
      <c r="AT2505">
        <f>HYPERLINK("http://www.worldcat.org/oclc/12362098","WorldCat Record")</f>
        <v/>
      </c>
      <c r="AU2505" t="inlineStr">
        <is>
          <t>836724731:eng</t>
        </is>
      </c>
      <c r="AV2505" t="inlineStr">
        <is>
          <t>12362098</t>
        </is>
      </c>
      <c r="AW2505" t="inlineStr">
        <is>
          <t>991000676709702656</t>
        </is>
      </c>
      <c r="AX2505" t="inlineStr">
        <is>
          <t>991000676709702656</t>
        </is>
      </c>
      <c r="AY2505" t="inlineStr">
        <is>
          <t>2257093010002656</t>
        </is>
      </c>
      <c r="AZ2505" t="inlineStr">
        <is>
          <t>BOOK</t>
        </is>
      </c>
      <c r="BB2505" t="inlineStr">
        <is>
          <t>9780862322120</t>
        </is>
      </c>
      <c r="BC2505" t="inlineStr">
        <is>
          <t>32285000292218</t>
        </is>
      </c>
      <c r="BD2505" t="inlineStr">
        <is>
          <t>893425933</t>
        </is>
      </c>
    </row>
    <row r="2506">
      <c r="A2506" t="inlineStr">
        <is>
          <t>No</t>
        </is>
      </c>
      <c r="B2506" t="inlineStr">
        <is>
          <t>DS87 .R32</t>
        </is>
      </c>
      <c r="C2506" t="inlineStr">
        <is>
          <t>0                      DS 0087000R  32</t>
        </is>
      </c>
      <c r="D2506" t="inlineStr">
        <is>
          <t>Syria under the Baʻth, 1963-66; the Army Party symbiosis.</t>
        </is>
      </c>
      <c r="F2506" t="inlineStr">
        <is>
          <t>No</t>
        </is>
      </c>
      <c r="G2506" t="inlineStr">
        <is>
          <t>1</t>
        </is>
      </c>
      <c r="H2506" t="inlineStr">
        <is>
          <t>No</t>
        </is>
      </c>
      <c r="I2506" t="inlineStr">
        <is>
          <t>No</t>
        </is>
      </c>
      <c r="J2506" t="inlineStr">
        <is>
          <t>0</t>
        </is>
      </c>
      <c r="K2506" t="inlineStr">
        <is>
          <t>Rabinovich, Itamar, 1942-</t>
        </is>
      </c>
      <c r="L2506" t="inlineStr">
        <is>
          <t>Jerusalem, Israel Universities Press [c1972]</t>
        </is>
      </c>
      <c r="M2506" t="inlineStr">
        <is>
          <t>1972</t>
        </is>
      </c>
      <c r="O2506" t="inlineStr">
        <is>
          <t>eng</t>
        </is>
      </c>
      <c r="P2506" t="inlineStr">
        <is>
          <t xml:space="preserve">is </t>
        </is>
      </c>
      <c r="Q2506" t="inlineStr">
        <is>
          <t>Shiloah Center for Middle Eastern and African Studies. Monograph series</t>
        </is>
      </c>
      <c r="R2506" t="inlineStr">
        <is>
          <t xml:space="preserve">DS </t>
        </is>
      </c>
      <c r="S2506" t="n">
        <v>2</v>
      </c>
      <c r="T2506" t="n">
        <v>2</v>
      </c>
      <c r="U2506" t="inlineStr">
        <is>
          <t>2006-03-24</t>
        </is>
      </c>
      <c r="V2506" t="inlineStr">
        <is>
          <t>2006-03-24</t>
        </is>
      </c>
      <c r="W2506" t="inlineStr">
        <is>
          <t>1997-02-24</t>
        </is>
      </c>
      <c r="X2506" t="inlineStr">
        <is>
          <t>1997-02-24</t>
        </is>
      </c>
      <c r="Y2506" t="n">
        <v>397</v>
      </c>
      <c r="Z2506" t="n">
        <v>306</v>
      </c>
      <c r="AA2506" t="n">
        <v>314</v>
      </c>
      <c r="AB2506" t="n">
        <v>3</v>
      </c>
      <c r="AC2506" t="n">
        <v>3</v>
      </c>
      <c r="AD2506" t="n">
        <v>15</v>
      </c>
      <c r="AE2506" t="n">
        <v>15</v>
      </c>
      <c r="AF2506" t="n">
        <v>4</v>
      </c>
      <c r="AG2506" t="n">
        <v>4</v>
      </c>
      <c r="AH2506" t="n">
        <v>6</v>
      </c>
      <c r="AI2506" t="n">
        <v>6</v>
      </c>
      <c r="AJ2506" t="n">
        <v>7</v>
      </c>
      <c r="AK2506" t="n">
        <v>7</v>
      </c>
      <c r="AL2506" t="n">
        <v>2</v>
      </c>
      <c r="AM2506" t="n">
        <v>2</v>
      </c>
      <c r="AN2506" t="n">
        <v>0</v>
      </c>
      <c r="AO2506" t="n">
        <v>0</v>
      </c>
      <c r="AP2506" t="inlineStr">
        <is>
          <t>No</t>
        </is>
      </c>
      <c r="AQ2506" t="inlineStr">
        <is>
          <t>No</t>
        </is>
      </c>
      <c r="AR2506">
        <f>HYPERLINK("http://catalog.hathitrust.org/Record/010090865","HathiTrust Record")</f>
        <v/>
      </c>
      <c r="AS2506">
        <f>HYPERLINK("https://creighton-primo.hosted.exlibrisgroup.com/primo-explore/search?tab=default_tab&amp;search_scope=EVERYTHING&amp;vid=01CRU&amp;lang=en_US&amp;offset=0&amp;query=any,contains,991003045259702656","Catalog Record")</f>
        <v/>
      </c>
      <c r="AT2506">
        <f>HYPERLINK("http://www.worldcat.org/oclc/605989","WorldCat Record")</f>
        <v/>
      </c>
      <c r="AU2506" t="inlineStr">
        <is>
          <t>1622918:eng</t>
        </is>
      </c>
      <c r="AV2506" t="inlineStr">
        <is>
          <t>605989</t>
        </is>
      </c>
      <c r="AW2506" t="inlineStr">
        <is>
          <t>991003045259702656</t>
        </is>
      </c>
      <c r="AX2506" t="inlineStr">
        <is>
          <t>991003045259702656</t>
        </is>
      </c>
      <c r="AY2506" t="inlineStr">
        <is>
          <t>2263571760002656</t>
        </is>
      </c>
      <c r="AZ2506" t="inlineStr">
        <is>
          <t>BOOK</t>
        </is>
      </c>
      <c r="BB2506" t="inlineStr">
        <is>
          <t>9780706512663</t>
        </is>
      </c>
      <c r="BC2506" t="inlineStr">
        <is>
          <t>32285002460383</t>
        </is>
      </c>
      <c r="BD2506" t="inlineStr">
        <is>
          <t>893323704</t>
        </is>
      </c>
    </row>
    <row r="2507">
      <c r="A2507" t="inlineStr">
        <is>
          <t>No</t>
        </is>
      </c>
      <c r="B2507" t="inlineStr">
        <is>
          <t>DS87 .R332 1984</t>
        </is>
      </c>
      <c r="C2507" t="inlineStr">
        <is>
          <t>0                      DS 0087000R  332         1984</t>
        </is>
      </c>
      <c r="D2507" t="inlineStr">
        <is>
          <t>The war for Lebanon, 1970-1983 / Itamar Rabinovich.</t>
        </is>
      </c>
      <c r="F2507" t="inlineStr">
        <is>
          <t>No</t>
        </is>
      </c>
      <c r="G2507" t="inlineStr">
        <is>
          <t>1</t>
        </is>
      </c>
      <c r="H2507" t="inlineStr">
        <is>
          <t>No</t>
        </is>
      </c>
      <c r="I2507" t="inlineStr">
        <is>
          <t>No</t>
        </is>
      </c>
      <c r="J2507" t="inlineStr">
        <is>
          <t>0</t>
        </is>
      </c>
      <c r="K2507" t="inlineStr">
        <is>
          <t>Rabinovich, Itamar, 1942-</t>
        </is>
      </c>
      <c r="L2507" t="inlineStr">
        <is>
          <t>Ithaca, N.Y. : Cornell University Press, 1984.</t>
        </is>
      </c>
      <c r="M2507" t="inlineStr">
        <is>
          <t>1984</t>
        </is>
      </c>
      <c r="O2507" t="inlineStr">
        <is>
          <t>eng</t>
        </is>
      </c>
      <c r="P2507" t="inlineStr">
        <is>
          <t>nyu</t>
        </is>
      </c>
      <c r="R2507" t="inlineStr">
        <is>
          <t xml:space="preserve">DS </t>
        </is>
      </c>
      <c r="S2507" t="n">
        <v>8</v>
      </c>
      <c r="T2507" t="n">
        <v>8</v>
      </c>
      <c r="U2507" t="inlineStr">
        <is>
          <t>2007-11-20</t>
        </is>
      </c>
      <c r="V2507" t="inlineStr">
        <is>
          <t>2007-11-20</t>
        </is>
      </c>
      <c r="W2507" t="inlineStr">
        <is>
          <t>1990-09-18</t>
        </is>
      </c>
      <c r="X2507" t="inlineStr">
        <is>
          <t>1990-09-18</t>
        </is>
      </c>
      <c r="Y2507" t="n">
        <v>858</v>
      </c>
      <c r="Z2507" t="n">
        <v>757</v>
      </c>
      <c r="AA2507" t="n">
        <v>1169</v>
      </c>
      <c r="AB2507" t="n">
        <v>6</v>
      </c>
      <c r="AC2507" t="n">
        <v>8</v>
      </c>
      <c r="AD2507" t="n">
        <v>23</v>
      </c>
      <c r="AE2507" t="n">
        <v>38</v>
      </c>
      <c r="AF2507" t="n">
        <v>8</v>
      </c>
      <c r="AG2507" t="n">
        <v>17</v>
      </c>
      <c r="AH2507" t="n">
        <v>6</v>
      </c>
      <c r="AI2507" t="n">
        <v>9</v>
      </c>
      <c r="AJ2507" t="n">
        <v>10</v>
      </c>
      <c r="AK2507" t="n">
        <v>15</v>
      </c>
      <c r="AL2507" t="n">
        <v>5</v>
      </c>
      <c r="AM2507" t="n">
        <v>7</v>
      </c>
      <c r="AN2507" t="n">
        <v>0</v>
      </c>
      <c r="AO2507" t="n">
        <v>1</v>
      </c>
      <c r="AP2507" t="inlineStr">
        <is>
          <t>No</t>
        </is>
      </c>
      <c r="AQ2507" t="inlineStr">
        <is>
          <t>Yes</t>
        </is>
      </c>
      <c r="AR2507">
        <f>HYPERLINK("http://catalog.hathitrust.org/Record/000280925","HathiTrust Record")</f>
        <v/>
      </c>
      <c r="AS2507">
        <f>HYPERLINK("https://creighton-primo.hosted.exlibrisgroup.com/primo-explore/search?tab=default_tab&amp;search_scope=EVERYTHING&amp;vid=01CRU&amp;lang=en_US&amp;offset=0&amp;query=any,contains,991000361949702656","Catalog Record")</f>
        <v/>
      </c>
      <c r="AT2507">
        <f>HYPERLINK("http://www.worldcat.org/oclc/10374930","WorldCat Record")</f>
        <v/>
      </c>
      <c r="AU2507" t="inlineStr">
        <is>
          <t>1074677:eng</t>
        </is>
      </c>
      <c r="AV2507" t="inlineStr">
        <is>
          <t>10374930</t>
        </is>
      </c>
      <c r="AW2507" t="inlineStr">
        <is>
          <t>991000361949702656</t>
        </is>
      </c>
      <c r="AX2507" t="inlineStr">
        <is>
          <t>991000361949702656</t>
        </is>
      </c>
      <c r="AY2507" t="inlineStr">
        <is>
          <t>2257884750002656</t>
        </is>
      </c>
      <c r="AZ2507" t="inlineStr">
        <is>
          <t>BOOK</t>
        </is>
      </c>
      <c r="BB2507" t="inlineStr">
        <is>
          <t>9780801416279</t>
        </is>
      </c>
      <c r="BC2507" t="inlineStr">
        <is>
          <t>32285000292226</t>
        </is>
      </c>
      <c r="BD2507" t="inlineStr">
        <is>
          <t>893515204</t>
        </is>
      </c>
    </row>
    <row r="2508">
      <c r="A2508" t="inlineStr">
        <is>
          <t>No</t>
        </is>
      </c>
      <c r="B2508" t="inlineStr">
        <is>
          <t>DS87 .S2</t>
        </is>
      </c>
      <c r="C2508" t="inlineStr">
        <is>
          <t>0                      DS 0087000S  2</t>
        </is>
      </c>
      <c r="D2508" t="inlineStr">
        <is>
          <t>Cross roads to civil war : Lebanon, 1958-1976 / Kamal S. Salibi.</t>
        </is>
      </c>
      <c r="F2508" t="inlineStr">
        <is>
          <t>No</t>
        </is>
      </c>
      <c r="G2508" t="inlineStr">
        <is>
          <t>1</t>
        </is>
      </c>
      <c r="H2508" t="inlineStr">
        <is>
          <t>No</t>
        </is>
      </c>
      <c r="I2508" t="inlineStr">
        <is>
          <t>No</t>
        </is>
      </c>
      <c r="J2508" t="inlineStr">
        <is>
          <t>0</t>
        </is>
      </c>
      <c r="K2508" t="inlineStr">
        <is>
          <t>Salibi, Kamal S. (Kamal Suleiman), 1929-2011.</t>
        </is>
      </c>
      <c r="L2508" t="inlineStr">
        <is>
          <t>Delmar, N.Y. : Caravan Books, 1976.</t>
        </is>
      </c>
      <c r="M2508" t="inlineStr">
        <is>
          <t>1976</t>
        </is>
      </c>
      <c r="O2508" t="inlineStr">
        <is>
          <t>eng</t>
        </is>
      </c>
      <c r="P2508" t="inlineStr">
        <is>
          <t>nyu</t>
        </is>
      </c>
      <c r="R2508" t="inlineStr">
        <is>
          <t xml:space="preserve">DS </t>
        </is>
      </c>
      <c r="S2508" t="n">
        <v>6</v>
      </c>
      <c r="T2508" t="n">
        <v>6</v>
      </c>
      <c r="U2508" t="inlineStr">
        <is>
          <t>1999-04-15</t>
        </is>
      </c>
      <c r="V2508" t="inlineStr">
        <is>
          <t>1999-04-15</t>
        </is>
      </c>
      <c r="W2508" t="inlineStr">
        <is>
          <t>1992-11-30</t>
        </is>
      </c>
      <c r="X2508" t="inlineStr">
        <is>
          <t>1992-11-30</t>
        </is>
      </c>
      <c r="Y2508" t="n">
        <v>530</v>
      </c>
      <c r="Z2508" t="n">
        <v>436</v>
      </c>
      <c r="AA2508" t="n">
        <v>457</v>
      </c>
      <c r="AB2508" t="n">
        <v>5</v>
      </c>
      <c r="AC2508" t="n">
        <v>6</v>
      </c>
      <c r="AD2508" t="n">
        <v>20</v>
      </c>
      <c r="AE2508" t="n">
        <v>22</v>
      </c>
      <c r="AF2508" t="n">
        <v>9</v>
      </c>
      <c r="AG2508" t="n">
        <v>9</v>
      </c>
      <c r="AH2508" t="n">
        <v>5</v>
      </c>
      <c r="AI2508" t="n">
        <v>5</v>
      </c>
      <c r="AJ2508" t="n">
        <v>7</v>
      </c>
      <c r="AK2508" t="n">
        <v>8</v>
      </c>
      <c r="AL2508" t="n">
        <v>4</v>
      </c>
      <c r="AM2508" t="n">
        <v>5</v>
      </c>
      <c r="AN2508" t="n">
        <v>0</v>
      </c>
      <c r="AO2508" t="n">
        <v>0</v>
      </c>
      <c r="AP2508" t="inlineStr">
        <is>
          <t>No</t>
        </is>
      </c>
      <c r="AQ2508" t="inlineStr">
        <is>
          <t>Yes</t>
        </is>
      </c>
      <c r="AR2508">
        <f>HYPERLINK("http://catalog.hathitrust.org/Record/000693370","HathiTrust Record")</f>
        <v/>
      </c>
      <c r="AS2508">
        <f>HYPERLINK("https://creighton-primo.hosted.exlibrisgroup.com/primo-explore/search?tab=default_tab&amp;search_scope=EVERYTHING&amp;vid=01CRU&amp;lang=en_US&amp;offset=0&amp;query=any,contains,991003969529702656","Catalog Record")</f>
        <v/>
      </c>
      <c r="AT2508">
        <f>HYPERLINK("http://www.worldcat.org/oclc/1991304","WorldCat Record")</f>
        <v/>
      </c>
      <c r="AU2508" t="inlineStr">
        <is>
          <t>6904435:eng</t>
        </is>
      </c>
      <c r="AV2508" t="inlineStr">
        <is>
          <t>1991304</t>
        </is>
      </c>
      <c r="AW2508" t="inlineStr">
        <is>
          <t>991003969529702656</t>
        </is>
      </c>
      <c r="AX2508" t="inlineStr">
        <is>
          <t>991003969529702656</t>
        </is>
      </c>
      <c r="AY2508" t="inlineStr">
        <is>
          <t>2263934840002656</t>
        </is>
      </c>
      <c r="AZ2508" t="inlineStr">
        <is>
          <t>BOOK</t>
        </is>
      </c>
      <c r="BB2508" t="inlineStr">
        <is>
          <t>9780882060101</t>
        </is>
      </c>
      <c r="BC2508" t="inlineStr">
        <is>
          <t>32285001410496</t>
        </is>
      </c>
      <c r="BD2508" t="inlineStr">
        <is>
          <t>893781703</t>
        </is>
      </c>
    </row>
    <row r="2509">
      <c r="A2509" t="inlineStr">
        <is>
          <t>No</t>
        </is>
      </c>
      <c r="B2509" t="inlineStr">
        <is>
          <t>DS87.2.H37 I853 2006</t>
        </is>
      </c>
      <c r="C2509" t="inlineStr">
        <is>
          <t>0                      DS 0087200H  37                 I  853         2006</t>
        </is>
      </c>
      <c r="D2509" t="inlineStr">
        <is>
          <t>Rafiq Hariri and the fate of Lebanon / Marwan Iskandar.</t>
        </is>
      </c>
      <c r="F2509" t="inlineStr">
        <is>
          <t>No</t>
        </is>
      </c>
      <c r="G2509" t="inlineStr">
        <is>
          <t>1</t>
        </is>
      </c>
      <c r="H2509" t="inlineStr">
        <is>
          <t>No</t>
        </is>
      </c>
      <c r="I2509" t="inlineStr">
        <is>
          <t>No</t>
        </is>
      </c>
      <c r="J2509" t="inlineStr">
        <is>
          <t>0</t>
        </is>
      </c>
      <c r="K2509" t="inlineStr">
        <is>
          <t>Iskandar, Marwan.</t>
        </is>
      </c>
      <c r="L2509" t="inlineStr">
        <is>
          <t>London ; San Francisco : Saqi, 2006.</t>
        </is>
      </c>
      <c r="M2509" t="inlineStr">
        <is>
          <t>2006</t>
        </is>
      </c>
      <c r="N2509" t="inlineStr">
        <is>
          <t>Updated and augmented 2nd ed.</t>
        </is>
      </c>
      <c r="O2509" t="inlineStr">
        <is>
          <t>eng</t>
        </is>
      </c>
      <c r="P2509" t="inlineStr">
        <is>
          <t>enk</t>
        </is>
      </c>
      <c r="R2509" t="inlineStr">
        <is>
          <t xml:space="preserve">DS </t>
        </is>
      </c>
      <c r="S2509" t="n">
        <v>2</v>
      </c>
      <c r="T2509" t="n">
        <v>2</v>
      </c>
      <c r="U2509" t="inlineStr">
        <is>
          <t>2007-11-26</t>
        </is>
      </c>
      <c r="V2509" t="inlineStr">
        <is>
          <t>2007-11-26</t>
        </is>
      </c>
      <c r="W2509" t="inlineStr">
        <is>
          <t>2007-02-20</t>
        </is>
      </c>
      <c r="X2509" t="inlineStr">
        <is>
          <t>2007-02-20</t>
        </is>
      </c>
      <c r="Y2509" t="n">
        <v>208</v>
      </c>
      <c r="Z2509" t="n">
        <v>163</v>
      </c>
      <c r="AA2509" t="n">
        <v>167</v>
      </c>
      <c r="AB2509" t="n">
        <v>1</v>
      </c>
      <c r="AC2509" t="n">
        <v>1</v>
      </c>
      <c r="AD2509" t="n">
        <v>8</v>
      </c>
      <c r="AE2509" t="n">
        <v>9</v>
      </c>
      <c r="AF2509" t="n">
        <v>2</v>
      </c>
      <c r="AG2509" t="n">
        <v>3</v>
      </c>
      <c r="AH2509" t="n">
        <v>5</v>
      </c>
      <c r="AI2509" t="n">
        <v>5</v>
      </c>
      <c r="AJ2509" t="n">
        <v>4</v>
      </c>
      <c r="AK2509" t="n">
        <v>5</v>
      </c>
      <c r="AL2509" t="n">
        <v>0</v>
      </c>
      <c r="AM2509" t="n">
        <v>0</v>
      </c>
      <c r="AN2509" t="n">
        <v>0</v>
      </c>
      <c r="AO2509" t="n">
        <v>0</v>
      </c>
      <c r="AP2509" t="inlineStr">
        <is>
          <t>No</t>
        </is>
      </c>
      <c r="AQ2509" t="inlineStr">
        <is>
          <t>Yes</t>
        </is>
      </c>
      <c r="AR2509">
        <f>HYPERLINK("http://catalog.hathitrust.org/Record/005376027","HathiTrust Record")</f>
        <v/>
      </c>
      <c r="AS2509">
        <f>HYPERLINK("https://creighton-primo.hosted.exlibrisgroup.com/primo-explore/search?tab=default_tab&amp;search_scope=EVERYTHING&amp;vid=01CRU&amp;lang=en_US&amp;offset=0&amp;query=any,contains,991005033199702656","Catalog Record")</f>
        <v/>
      </c>
      <c r="AT2509">
        <f>HYPERLINK("http://www.worldcat.org/oclc/70954844","WorldCat Record")</f>
        <v/>
      </c>
      <c r="AU2509" t="inlineStr">
        <is>
          <t>48652016:eng</t>
        </is>
      </c>
      <c r="AV2509" t="inlineStr">
        <is>
          <t>70954844</t>
        </is>
      </c>
      <c r="AW2509" t="inlineStr">
        <is>
          <t>991005033199702656</t>
        </is>
      </c>
      <c r="AX2509" t="inlineStr">
        <is>
          <t>991005033199702656</t>
        </is>
      </c>
      <c r="AY2509" t="inlineStr">
        <is>
          <t>2256406300002656</t>
        </is>
      </c>
      <c r="AZ2509" t="inlineStr">
        <is>
          <t>BOOK</t>
        </is>
      </c>
      <c r="BB2509" t="inlineStr">
        <is>
          <t>9780863563706</t>
        </is>
      </c>
      <c r="BC2509" t="inlineStr">
        <is>
          <t>32285005277511</t>
        </is>
      </c>
      <c r="BD2509" t="inlineStr">
        <is>
          <t>893501217</t>
        </is>
      </c>
    </row>
    <row r="2510">
      <c r="A2510" t="inlineStr">
        <is>
          <t>No</t>
        </is>
      </c>
      <c r="B2510" t="inlineStr">
        <is>
          <t>DS87.2.S24 A3 1995</t>
        </is>
      </c>
      <c r="C2510" t="inlineStr">
        <is>
          <t>0                      DS 0087200S  24                 A  3           1995</t>
        </is>
      </c>
      <c r="D2510" t="inlineStr">
        <is>
          <t>Violence and diplomacy in Lebanon : the troubled years, 1982-1988 / Elie A. Salem.</t>
        </is>
      </c>
      <c r="F2510" t="inlineStr">
        <is>
          <t>No</t>
        </is>
      </c>
      <c r="G2510" t="inlineStr">
        <is>
          <t>1</t>
        </is>
      </c>
      <c r="H2510" t="inlineStr">
        <is>
          <t>No</t>
        </is>
      </c>
      <c r="I2510" t="inlineStr">
        <is>
          <t>No</t>
        </is>
      </c>
      <c r="J2510" t="inlineStr">
        <is>
          <t>0</t>
        </is>
      </c>
      <c r="K2510" t="inlineStr">
        <is>
          <t>Salem, Elie Adib.</t>
        </is>
      </c>
      <c r="L2510" t="inlineStr">
        <is>
          <t>London ; New York : I.B. Tauris ; New York, NY : Distributed by St. Martin's Press, 1995.</t>
        </is>
      </c>
      <c r="M2510" t="inlineStr">
        <is>
          <t>1995</t>
        </is>
      </c>
      <c r="O2510" t="inlineStr">
        <is>
          <t>eng</t>
        </is>
      </c>
      <c r="P2510" t="inlineStr">
        <is>
          <t>enk</t>
        </is>
      </c>
      <c r="R2510" t="inlineStr">
        <is>
          <t xml:space="preserve">DS </t>
        </is>
      </c>
      <c r="S2510" t="n">
        <v>5</v>
      </c>
      <c r="T2510" t="n">
        <v>5</v>
      </c>
      <c r="U2510" t="inlineStr">
        <is>
          <t>2006-06-23</t>
        </is>
      </c>
      <c r="V2510" t="inlineStr">
        <is>
          <t>2006-06-23</t>
        </is>
      </c>
      <c r="W2510" t="inlineStr">
        <is>
          <t>1996-05-17</t>
        </is>
      </c>
      <c r="X2510" t="inlineStr">
        <is>
          <t>1996-05-17</t>
        </is>
      </c>
      <c r="Y2510" t="n">
        <v>327</v>
      </c>
      <c r="Z2510" t="n">
        <v>232</v>
      </c>
      <c r="AA2510" t="n">
        <v>235</v>
      </c>
      <c r="AB2510" t="n">
        <v>1</v>
      </c>
      <c r="AC2510" t="n">
        <v>1</v>
      </c>
      <c r="AD2510" t="n">
        <v>12</v>
      </c>
      <c r="AE2510" t="n">
        <v>12</v>
      </c>
      <c r="AF2510" t="n">
        <v>4</v>
      </c>
      <c r="AG2510" t="n">
        <v>4</v>
      </c>
      <c r="AH2510" t="n">
        <v>6</v>
      </c>
      <c r="AI2510" t="n">
        <v>6</v>
      </c>
      <c r="AJ2510" t="n">
        <v>7</v>
      </c>
      <c r="AK2510" t="n">
        <v>7</v>
      </c>
      <c r="AL2510" t="n">
        <v>0</v>
      </c>
      <c r="AM2510" t="n">
        <v>0</v>
      </c>
      <c r="AN2510" t="n">
        <v>0</v>
      </c>
      <c r="AO2510" t="n">
        <v>0</v>
      </c>
      <c r="AP2510" t="inlineStr">
        <is>
          <t>No</t>
        </is>
      </c>
      <c r="AQ2510" t="inlineStr">
        <is>
          <t>No</t>
        </is>
      </c>
      <c r="AS2510">
        <f>HYPERLINK("https://creighton-primo.hosted.exlibrisgroup.com/primo-explore/search?tab=default_tab&amp;search_scope=EVERYTHING&amp;vid=01CRU&amp;lang=en_US&amp;offset=0&amp;query=any,contains,991002453359702656","Catalog Record")</f>
        <v/>
      </c>
      <c r="AT2510">
        <f>HYPERLINK("http://www.worldcat.org/oclc/32001060","WorldCat Record")</f>
        <v/>
      </c>
      <c r="AU2510" t="inlineStr">
        <is>
          <t>837021632:eng</t>
        </is>
      </c>
      <c r="AV2510" t="inlineStr">
        <is>
          <t>32001060</t>
        </is>
      </c>
      <c r="AW2510" t="inlineStr">
        <is>
          <t>991002453359702656</t>
        </is>
      </c>
      <c r="AX2510" t="inlineStr">
        <is>
          <t>991002453359702656</t>
        </is>
      </c>
      <c r="AY2510" t="inlineStr">
        <is>
          <t>2257000070002656</t>
        </is>
      </c>
      <c r="AZ2510" t="inlineStr">
        <is>
          <t>BOOK</t>
        </is>
      </c>
      <c r="BB2510" t="inlineStr">
        <is>
          <t>9781850438359</t>
        </is>
      </c>
      <c r="BC2510" t="inlineStr">
        <is>
          <t>32285002175056</t>
        </is>
      </c>
      <c r="BD2510" t="inlineStr">
        <is>
          <t>893504399</t>
        </is>
      </c>
    </row>
    <row r="2511">
      <c r="A2511" t="inlineStr">
        <is>
          <t>No</t>
        </is>
      </c>
      <c r="B2511" t="inlineStr">
        <is>
          <t>DS87.2.S87 A3 1996</t>
        </is>
      </c>
      <c r="C2511" t="inlineStr">
        <is>
          <t>0                      DS 0087200S  87                 A  3           1996</t>
        </is>
      </c>
      <c r="D2511" t="inlineStr">
        <is>
          <t>At your own risk : an American chronicle of crisis and captivity in the Middle East / Tom and Jean Sutherland.</t>
        </is>
      </c>
      <c r="F2511" t="inlineStr">
        <is>
          <t>No</t>
        </is>
      </c>
      <c r="G2511" t="inlineStr">
        <is>
          <t>1</t>
        </is>
      </c>
      <c r="H2511" t="inlineStr">
        <is>
          <t>No</t>
        </is>
      </c>
      <c r="I2511" t="inlineStr">
        <is>
          <t>No</t>
        </is>
      </c>
      <c r="J2511" t="inlineStr">
        <is>
          <t>0</t>
        </is>
      </c>
      <c r="K2511" t="inlineStr">
        <is>
          <t>Sutherland, Tom, 1931-</t>
        </is>
      </c>
      <c r="L2511" t="inlineStr">
        <is>
          <t>Golden, Colo. : Fulcrum Pub., c1996.</t>
        </is>
      </c>
      <c r="M2511" t="inlineStr">
        <is>
          <t>1996</t>
        </is>
      </c>
      <c r="O2511" t="inlineStr">
        <is>
          <t>eng</t>
        </is>
      </c>
      <c r="P2511" t="inlineStr">
        <is>
          <t>cou</t>
        </is>
      </c>
      <c r="R2511" t="inlineStr">
        <is>
          <t xml:space="preserve">DS </t>
        </is>
      </c>
      <c r="S2511" t="n">
        <v>1</v>
      </c>
      <c r="T2511" t="n">
        <v>1</v>
      </c>
      <c r="U2511" t="inlineStr">
        <is>
          <t>2003-09-09</t>
        </is>
      </c>
      <c r="V2511" t="inlineStr">
        <is>
          <t>2003-09-09</t>
        </is>
      </c>
      <c r="W2511" t="inlineStr">
        <is>
          <t>2003-09-09</t>
        </is>
      </c>
      <c r="X2511" t="inlineStr">
        <is>
          <t>2003-09-09</t>
        </is>
      </c>
      <c r="Y2511" t="n">
        <v>266</v>
      </c>
      <c r="Z2511" t="n">
        <v>230</v>
      </c>
      <c r="AA2511" t="n">
        <v>247</v>
      </c>
      <c r="AB2511" t="n">
        <v>6</v>
      </c>
      <c r="AC2511" t="n">
        <v>6</v>
      </c>
      <c r="AD2511" t="n">
        <v>8</v>
      </c>
      <c r="AE2511" t="n">
        <v>10</v>
      </c>
      <c r="AF2511" t="n">
        <v>0</v>
      </c>
      <c r="AG2511" t="n">
        <v>1</v>
      </c>
      <c r="AH2511" t="n">
        <v>3</v>
      </c>
      <c r="AI2511" t="n">
        <v>4</v>
      </c>
      <c r="AJ2511" t="n">
        <v>4</v>
      </c>
      <c r="AK2511" t="n">
        <v>4</v>
      </c>
      <c r="AL2511" t="n">
        <v>3</v>
      </c>
      <c r="AM2511" t="n">
        <v>3</v>
      </c>
      <c r="AN2511" t="n">
        <v>0</v>
      </c>
      <c r="AO2511" t="n">
        <v>0</v>
      </c>
      <c r="AP2511" t="inlineStr">
        <is>
          <t>No</t>
        </is>
      </c>
      <c r="AQ2511" t="inlineStr">
        <is>
          <t>Yes</t>
        </is>
      </c>
      <c r="AR2511">
        <f>HYPERLINK("http://catalog.hathitrust.org/Record/003052733","HathiTrust Record")</f>
        <v/>
      </c>
      <c r="AS2511">
        <f>HYPERLINK("https://creighton-primo.hosted.exlibrisgroup.com/primo-explore/search?tab=default_tab&amp;search_scope=EVERYTHING&amp;vid=01CRU&amp;lang=en_US&amp;offset=0&amp;query=any,contains,991004117359702656","Catalog Record")</f>
        <v/>
      </c>
      <c r="AT2511">
        <f>HYPERLINK("http://www.worldcat.org/oclc/33819840","WorldCat Record")</f>
        <v/>
      </c>
      <c r="AU2511" t="inlineStr">
        <is>
          <t>308869617:eng</t>
        </is>
      </c>
      <c r="AV2511" t="inlineStr">
        <is>
          <t>33819840</t>
        </is>
      </c>
      <c r="AW2511" t="inlineStr">
        <is>
          <t>991004117359702656</t>
        </is>
      </c>
      <c r="AX2511" t="inlineStr">
        <is>
          <t>991004117359702656</t>
        </is>
      </c>
      <c r="AY2511" t="inlineStr">
        <is>
          <t>2271278420002656</t>
        </is>
      </c>
      <c r="AZ2511" t="inlineStr">
        <is>
          <t>BOOK</t>
        </is>
      </c>
      <c r="BB2511" t="inlineStr">
        <is>
          <t>9781555912550</t>
        </is>
      </c>
      <c r="BC2511" t="inlineStr">
        <is>
          <t>32285004781505</t>
        </is>
      </c>
      <c r="BD2511" t="inlineStr">
        <is>
          <t>893706013</t>
        </is>
      </c>
    </row>
    <row r="2512">
      <c r="A2512" t="inlineStr">
        <is>
          <t>No</t>
        </is>
      </c>
      <c r="B2512" t="inlineStr">
        <is>
          <t>DS87.5 .D43 1980</t>
        </is>
      </c>
      <c r="C2512" t="inlineStr">
        <is>
          <t>0                      DS 0087500D  43          1980</t>
        </is>
      </c>
      <c r="D2512" t="inlineStr">
        <is>
          <t>The Lebanese civil war / Marius Deeb ; foreword by Charles Issawi.</t>
        </is>
      </c>
      <c r="F2512" t="inlineStr">
        <is>
          <t>No</t>
        </is>
      </c>
      <c r="G2512" t="inlineStr">
        <is>
          <t>1</t>
        </is>
      </c>
      <c r="H2512" t="inlineStr">
        <is>
          <t>No</t>
        </is>
      </c>
      <c r="I2512" t="inlineStr">
        <is>
          <t>No</t>
        </is>
      </c>
      <c r="J2512" t="inlineStr">
        <is>
          <t>0</t>
        </is>
      </c>
      <c r="K2512" t="inlineStr">
        <is>
          <t>Deeb, Marius.</t>
        </is>
      </c>
      <c r="L2512" t="inlineStr">
        <is>
          <t>New York : Praeger, 1980.</t>
        </is>
      </c>
      <c r="M2512" t="inlineStr">
        <is>
          <t>1980</t>
        </is>
      </c>
      <c r="O2512" t="inlineStr">
        <is>
          <t>eng</t>
        </is>
      </c>
      <c r="P2512" t="inlineStr">
        <is>
          <t>nyu</t>
        </is>
      </c>
      <c r="R2512" t="inlineStr">
        <is>
          <t xml:space="preserve">DS </t>
        </is>
      </c>
      <c r="S2512" t="n">
        <v>10</v>
      </c>
      <c r="T2512" t="n">
        <v>10</v>
      </c>
      <c r="U2512" t="inlineStr">
        <is>
          <t>1999-04-08</t>
        </is>
      </c>
      <c r="V2512" t="inlineStr">
        <is>
          <t>1999-04-08</t>
        </is>
      </c>
      <c r="W2512" t="inlineStr">
        <is>
          <t>1990-09-18</t>
        </is>
      </c>
      <c r="X2512" t="inlineStr">
        <is>
          <t>1990-09-18</t>
        </is>
      </c>
      <c r="Y2512" t="n">
        <v>496</v>
      </c>
      <c r="Z2512" t="n">
        <v>392</v>
      </c>
      <c r="AA2512" t="n">
        <v>394</v>
      </c>
      <c r="AB2512" t="n">
        <v>5</v>
      </c>
      <c r="AC2512" t="n">
        <v>5</v>
      </c>
      <c r="AD2512" t="n">
        <v>18</v>
      </c>
      <c r="AE2512" t="n">
        <v>18</v>
      </c>
      <c r="AF2512" t="n">
        <v>6</v>
      </c>
      <c r="AG2512" t="n">
        <v>6</v>
      </c>
      <c r="AH2512" t="n">
        <v>5</v>
      </c>
      <c r="AI2512" t="n">
        <v>5</v>
      </c>
      <c r="AJ2512" t="n">
        <v>8</v>
      </c>
      <c r="AK2512" t="n">
        <v>8</v>
      </c>
      <c r="AL2512" t="n">
        <v>4</v>
      </c>
      <c r="AM2512" t="n">
        <v>4</v>
      </c>
      <c r="AN2512" t="n">
        <v>0</v>
      </c>
      <c r="AO2512" t="n">
        <v>0</v>
      </c>
      <c r="AP2512" t="inlineStr">
        <is>
          <t>No</t>
        </is>
      </c>
      <c r="AQ2512" t="inlineStr">
        <is>
          <t>Yes</t>
        </is>
      </c>
      <c r="AR2512">
        <f>HYPERLINK("http://catalog.hathitrust.org/Record/000695864","HathiTrust Record")</f>
        <v/>
      </c>
      <c r="AS2512">
        <f>HYPERLINK("https://creighton-primo.hosted.exlibrisgroup.com/primo-explore/search?tab=default_tab&amp;search_scope=EVERYTHING&amp;vid=01CRU&amp;lang=en_US&amp;offset=0&amp;query=any,contains,991004820979702656","Catalog Record")</f>
        <v/>
      </c>
      <c r="AT2512">
        <f>HYPERLINK("http://www.worldcat.org/oclc/5333766","WorldCat Record")</f>
        <v/>
      </c>
      <c r="AU2512" t="inlineStr">
        <is>
          <t>431554:eng</t>
        </is>
      </c>
      <c r="AV2512" t="inlineStr">
        <is>
          <t>5333766</t>
        </is>
      </c>
      <c r="AW2512" t="inlineStr">
        <is>
          <t>991004820979702656</t>
        </is>
      </c>
      <c r="AX2512" t="inlineStr">
        <is>
          <t>991004820979702656</t>
        </is>
      </c>
      <c r="AY2512" t="inlineStr">
        <is>
          <t>2265722490002656</t>
        </is>
      </c>
      <c r="AZ2512" t="inlineStr">
        <is>
          <t>BOOK</t>
        </is>
      </c>
      <c r="BB2512" t="inlineStr">
        <is>
          <t>9780030397011</t>
        </is>
      </c>
      <c r="BC2512" t="inlineStr">
        <is>
          <t>32285000292234</t>
        </is>
      </c>
      <c r="BD2512" t="inlineStr">
        <is>
          <t>893870153</t>
        </is>
      </c>
    </row>
    <row r="2513">
      <c r="A2513" t="inlineStr">
        <is>
          <t>No</t>
        </is>
      </c>
      <c r="B2513" t="inlineStr">
        <is>
          <t>DS87.5 .E45 2000</t>
        </is>
      </c>
      <c r="C2513" t="inlineStr">
        <is>
          <t>0                      DS 0087500E  45          2000</t>
        </is>
      </c>
      <c r="D2513" t="inlineStr">
        <is>
          <t>The breakdown of the state in Lebanon, 1967-1976 / Farid el Khazen.</t>
        </is>
      </c>
      <c r="F2513" t="inlineStr">
        <is>
          <t>No</t>
        </is>
      </c>
      <c r="G2513" t="inlineStr">
        <is>
          <t>1</t>
        </is>
      </c>
      <c r="H2513" t="inlineStr">
        <is>
          <t>No</t>
        </is>
      </c>
      <c r="I2513" t="inlineStr">
        <is>
          <t>No</t>
        </is>
      </c>
      <c r="J2513" t="inlineStr">
        <is>
          <t>0</t>
        </is>
      </c>
      <c r="K2513" t="inlineStr">
        <is>
          <t>El-Khazen, Farid.</t>
        </is>
      </c>
      <c r="L2513" t="inlineStr">
        <is>
          <t>Cambridge, Mass. : Harvard University Press, c2000.</t>
        </is>
      </c>
      <c r="M2513" t="inlineStr">
        <is>
          <t>2000</t>
        </is>
      </c>
      <c r="O2513" t="inlineStr">
        <is>
          <t>eng</t>
        </is>
      </c>
      <c r="P2513" t="inlineStr">
        <is>
          <t>mau</t>
        </is>
      </c>
      <c r="R2513" t="inlineStr">
        <is>
          <t xml:space="preserve">DS </t>
        </is>
      </c>
      <c r="S2513" t="n">
        <v>1</v>
      </c>
      <c r="T2513" t="n">
        <v>1</v>
      </c>
      <c r="U2513" t="inlineStr">
        <is>
          <t>2004-08-23</t>
        </is>
      </c>
      <c r="V2513" t="inlineStr">
        <is>
          <t>2004-08-23</t>
        </is>
      </c>
      <c r="W2513" t="inlineStr">
        <is>
          <t>2004-08-23</t>
        </is>
      </c>
      <c r="X2513" t="inlineStr">
        <is>
          <t>2004-08-23</t>
        </is>
      </c>
      <c r="Y2513" t="n">
        <v>262</v>
      </c>
      <c r="Z2513" t="n">
        <v>217</v>
      </c>
      <c r="AA2513" t="n">
        <v>250</v>
      </c>
      <c r="AB2513" t="n">
        <v>3</v>
      </c>
      <c r="AC2513" t="n">
        <v>3</v>
      </c>
      <c r="AD2513" t="n">
        <v>17</v>
      </c>
      <c r="AE2513" t="n">
        <v>18</v>
      </c>
      <c r="AF2513" t="n">
        <v>4</v>
      </c>
      <c r="AG2513" t="n">
        <v>4</v>
      </c>
      <c r="AH2513" t="n">
        <v>4</v>
      </c>
      <c r="AI2513" t="n">
        <v>5</v>
      </c>
      <c r="AJ2513" t="n">
        <v>11</v>
      </c>
      <c r="AK2513" t="n">
        <v>12</v>
      </c>
      <c r="AL2513" t="n">
        <v>2</v>
      </c>
      <c r="AM2513" t="n">
        <v>2</v>
      </c>
      <c r="AN2513" t="n">
        <v>0</v>
      </c>
      <c r="AO2513" t="n">
        <v>0</v>
      </c>
      <c r="AP2513" t="inlineStr">
        <is>
          <t>No</t>
        </is>
      </c>
      <c r="AQ2513" t="inlineStr">
        <is>
          <t>No</t>
        </is>
      </c>
      <c r="AS2513">
        <f>HYPERLINK("https://creighton-primo.hosted.exlibrisgroup.com/primo-explore/search?tab=default_tab&amp;search_scope=EVERYTHING&amp;vid=01CRU&amp;lang=en_US&amp;offset=0&amp;query=any,contains,991004346149702656","Catalog Record")</f>
        <v/>
      </c>
      <c r="AT2513">
        <f>HYPERLINK("http://www.worldcat.org/oclc/41572625","WorldCat Record")</f>
        <v/>
      </c>
      <c r="AU2513" t="inlineStr">
        <is>
          <t>2678384:eng</t>
        </is>
      </c>
      <c r="AV2513" t="inlineStr">
        <is>
          <t>41572625</t>
        </is>
      </c>
      <c r="AW2513" t="inlineStr">
        <is>
          <t>991004346149702656</t>
        </is>
      </c>
      <c r="AX2513" t="inlineStr">
        <is>
          <t>991004346149702656</t>
        </is>
      </c>
      <c r="AY2513" t="inlineStr">
        <is>
          <t>2263154740002656</t>
        </is>
      </c>
      <c r="AZ2513" t="inlineStr">
        <is>
          <t>BOOK</t>
        </is>
      </c>
      <c r="BB2513" t="inlineStr">
        <is>
          <t>9780674081055</t>
        </is>
      </c>
      <c r="BC2513" t="inlineStr">
        <is>
          <t>32285004982624</t>
        </is>
      </c>
      <c r="BD2513" t="inlineStr">
        <is>
          <t>893259616</t>
        </is>
      </c>
    </row>
    <row r="2514">
      <c r="A2514" t="inlineStr">
        <is>
          <t>No</t>
        </is>
      </c>
      <c r="B2514" t="inlineStr">
        <is>
          <t>DS87.5 .L4</t>
        </is>
      </c>
      <c r="C2514" t="inlineStr">
        <is>
          <t>0                      DS 0087500L  4</t>
        </is>
      </c>
      <c r="D2514" t="inlineStr">
        <is>
          <t>Lebanon in crisis : participants and issues / edited by P. Edward Haley and Lewis W. Snider.</t>
        </is>
      </c>
      <c r="F2514" t="inlineStr">
        <is>
          <t>No</t>
        </is>
      </c>
      <c r="G2514" t="inlineStr">
        <is>
          <t>1</t>
        </is>
      </c>
      <c r="H2514" t="inlineStr">
        <is>
          <t>No</t>
        </is>
      </c>
      <c r="I2514" t="inlineStr">
        <is>
          <t>No</t>
        </is>
      </c>
      <c r="J2514" t="inlineStr">
        <is>
          <t>0</t>
        </is>
      </c>
      <c r="L2514" t="inlineStr">
        <is>
          <t>Syracuse, N.Y. : Syracuse University Press, 1979.</t>
        </is>
      </c>
      <c r="M2514" t="inlineStr">
        <is>
          <t>1979</t>
        </is>
      </c>
      <c r="O2514" t="inlineStr">
        <is>
          <t>eng</t>
        </is>
      </c>
      <c r="P2514" t="inlineStr">
        <is>
          <t>nyu</t>
        </is>
      </c>
      <c r="Q2514" t="inlineStr">
        <is>
          <t>Contemporary issues in the Middle East</t>
        </is>
      </c>
      <c r="R2514" t="inlineStr">
        <is>
          <t xml:space="preserve">DS </t>
        </is>
      </c>
      <c r="S2514" t="n">
        <v>11</v>
      </c>
      <c r="T2514" t="n">
        <v>11</v>
      </c>
      <c r="U2514" t="inlineStr">
        <is>
          <t>1999-04-08</t>
        </is>
      </c>
      <c r="V2514" t="inlineStr">
        <is>
          <t>1999-04-08</t>
        </is>
      </c>
      <c r="W2514" t="inlineStr">
        <is>
          <t>1990-08-16</t>
        </is>
      </c>
      <c r="X2514" t="inlineStr">
        <is>
          <t>1990-08-16</t>
        </is>
      </c>
      <c r="Y2514" t="n">
        <v>631</v>
      </c>
      <c r="Z2514" t="n">
        <v>522</v>
      </c>
      <c r="AA2514" t="n">
        <v>530</v>
      </c>
      <c r="AB2514" t="n">
        <v>4</v>
      </c>
      <c r="AC2514" t="n">
        <v>4</v>
      </c>
      <c r="AD2514" t="n">
        <v>21</v>
      </c>
      <c r="AE2514" t="n">
        <v>21</v>
      </c>
      <c r="AF2514" t="n">
        <v>5</v>
      </c>
      <c r="AG2514" t="n">
        <v>5</v>
      </c>
      <c r="AH2514" t="n">
        <v>6</v>
      </c>
      <c r="AI2514" t="n">
        <v>6</v>
      </c>
      <c r="AJ2514" t="n">
        <v>11</v>
      </c>
      <c r="AK2514" t="n">
        <v>11</v>
      </c>
      <c r="AL2514" t="n">
        <v>3</v>
      </c>
      <c r="AM2514" t="n">
        <v>3</v>
      </c>
      <c r="AN2514" t="n">
        <v>0</v>
      </c>
      <c r="AO2514" t="n">
        <v>0</v>
      </c>
      <c r="AP2514" t="inlineStr">
        <is>
          <t>No</t>
        </is>
      </c>
      <c r="AQ2514" t="inlineStr">
        <is>
          <t>Yes</t>
        </is>
      </c>
      <c r="AR2514">
        <f>HYPERLINK("http://catalog.hathitrust.org/Record/000297510","HathiTrust Record")</f>
        <v/>
      </c>
      <c r="AS2514">
        <f>HYPERLINK("https://creighton-primo.hosted.exlibrisgroup.com/primo-explore/search?tab=default_tab&amp;search_scope=EVERYTHING&amp;vid=01CRU&amp;lang=en_US&amp;offset=0&amp;query=any,contains,991004712859702656","Catalog Record")</f>
        <v/>
      </c>
      <c r="AT2514">
        <f>HYPERLINK("http://www.worldcat.org/oclc/4774851","WorldCat Record")</f>
        <v/>
      </c>
      <c r="AU2514" t="inlineStr">
        <is>
          <t>827160672:eng</t>
        </is>
      </c>
      <c r="AV2514" t="inlineStr">
        <is>
          <t>4774851</t>
        </is>
      </c>
      <c r="AW2514" t="inlineStr">
        <is>
          <t>991004712859702656</t>
        </is>
      </c>
      <c r="AX2514" t="inlineStr">
        <is>
          <t>991004712859702656</t>
        </is>
      </c>
      <c r="AY2514" t="inlineStr">
        <is>
          <t>2256755260002656</t>
        </is>
      </c>
      <c r="AZ2514" t="inlineStr">
        <is>
          <t>BOOK</t>
        </is>
      </c>
      <c r="BB2514" t="inlineStr">
        <is>
          <t>9780815622109</t>
        </is>
      </c>
      <c r="BC2514" t="inlineStr">
        <is>
          <t>32285000274695</t>
        </is>
      </c>
      <c r="BD2514" t="inlineStr">
        <is>
          <t>893895389</t>
        </is>
      </c>
    </row>
    <row r="2515">
      <c r="A2515" t="inlineStr">
        <is>
          <t>No</t>
        </is>
      </c>
      <c r="B2515" t="inlineStr">
        <is>
          <t>DS87.53 .H353 1991</t>
        </is>
      </c>
      <c r="C2515" t="inlineStr">
        <is>
          <t>0                      DS 0087530H  353         1991</t>
        </is>
      </c>
      <c r="D2515" t="inlineStr">
        <is>
          <t>Military force as an instrument of U.S. foreign policy : intervention in Lebanon, August 1982-February 1984 / Ralph A. Hallenbeck.</t>
        </is>
      </c>
      <c r="F2515" t="inlineStr">
        <is>
          <t>No</t>
        </is>
      </c>
      <c r="G2515" t="inlineStr">
        <is>
          <t>1</t>
        </is>
      </c>
      <c r="H2515" t="inlineStr">
        <is>
          <t>No</t>
        </is>
      </c>
      <c r="I2515" t="inlineStr">
        <is>
          <t>No</t>
        </is>
      </c>
      <c r="J2515" t="inlineStr">
        <is>
          <t>0</t>
        </is>
      </c>
      <c r="K2515" t="inlineStr">
        <is>
          <t>Hallenbeck, Ralph A.</t>
        </is>
      </c>
      <c r="L2515" t="inlineStr">
        <is>
          <t>New York : Praeger, 1991.</t>
        </is>
      </c>
      <c r="M2515" t="inlineStr">
        <is>
          <t>1991</t>
        </is>
      </c>
      <c r="O2515" t="inlineStr">
        <is>
          <t>eng</t>
        </is>
      </c>
      <c r="P2515" t="inlineStr">
        <is>
          <t>nyu</t>
        </is>
      </c>
      <c r="R2515" t="inlineStr">
        <is>
          <t xml:space="preserve">DS </t>
        </is>
      </c>
      <c r="S2515" t="n">
        <v>4</v>
      </c>
      <c r="T2515" t="n">
        <v>4</v>
      </c>
      <c r="U2515" t="inlineStr">
        <is>
          <t>2002-04-02</t>
        </is>
      </c>
      <c r="V2515" t="inlineStr">
        <is>
          <t>2002-04-02</t>
        </is>
      </c>
      <c r="W2515" t="inlineStr">
        <is>
          <t>1991-11-18</t>
        </is>
      </c>
      <c r="X2515" t="inlineStr">
        <is>
          <t>1991-11-18</t>
        </is>
      </c>
      <c r="Y2515" t="n">
        <v>279</v>
      </c>
      <c r="Z2515" t="n">
        <v>233</v>
      </c>
      <c r="AA2515" t="n">
        <v>564</v>
      </c>
      <c r="AB2515" t="n">
        <v>2</v>
      </c>
      <c r="AC2515" t="n">
        <v>5</v>
      </c>
      <c r="AD2515" t="n">
        <v>12</v>
      </c>
      <c r="AE2515" t="n">
        <v>20</v>
      </c>
      <c r="AF2515" t="n">
        <v>3</v>
      </c>
      <c r="AG2515" t="n">
        <v>7</v>
      </c>
      <c r="AH2515" t="n">
        <v>4</v>
      </c>
      <c r="AI2515" t="n">
        <v>5</v>
      </c>
      <c r="AJ2515" t="n">
        <v>8</v>
      </c>
      <c r="AK2515" t="n">
        <v>10</v>
      </c>
      <c r="AL2515" t="n">
        <v>1</v>
      </c>
      <c r="AM2515" t="n">
        <v>4</v>
      </c>
      <c r="AN2515" t="n">
        <v>0</v>
      </c>
      <c r="AO2515" t="n">
        <v>0</v>
      </c>
      <c r="AP2515" t="inlineStr">
        <is>
          <t>No</t>
        </is>
      </c>
      <c r="AQ2515" t="inlineStr">
        <is>
          <t>Yes</t>
        </is>
      </c>
      <c r="AR2515">
        <f>HYPERLINK("http://catalog.hathitrust.org/Record/002446625","HathiTrust Record")</f>
        <v/>
      </c>
      <c r="AS2515">
        <f>HYPERLINK("https://creighton-primo.hosted.exlibrisgroup.com/primo-explore/search?tab=default_tab&amp;search_scope=EVERYTHING&amp;vid=01CRU&amp;lang=en_US&amp;offset=0&amp;query=any,contains,991001784609702656","Catalog Record")</f>
        <v/>
      </c>
      <c r="AT2515">
        <f>HYPERLINK("http://www.worldcat.org/oclc/22493223","WorldCat Record")</f>
        <v/>
      </c>
      <c r="AU2515" t="inlineStr">
        <is>
          <t>347517384:eng</t>
        </is>
      </c>
      <c r="AV2515" t="inlineStr">
        <is>
          <t>22493223</t>
        </is>
      </c>
      <c r="AW2515" t="inlineStr">
        <is>
          <t>991001784609702656</t>
        </is>
      </c>
      <c r="AX2515" t="inlineStr">
        <is>
          <t>991001784609702656</t>
        </is>
      </c>
      <c r="AY2515" t="inlineStr">
        <is>
          <t>2255941040002656</t>
        </is>
      </c>
      <c r="AZ2515" t="inlineStr">
        <is>
          <t>BOOK</t>
        </is>
      </c>
      <c r="BB2515" t="inlineStr">
        <is>
          <t>9780275937102</t>
        </is>
      </c>
      <c r="BC2515" t="inlineStr">
        <is>
          <t>32285000815802</t>
        </is>
      </c>
      <c r="BD2515" t="inlineStr">
        <is>
          <t>893497370</t>
        </is>
      </c>
    </row>
    <row r="2516">
      <c r="A2516" t="inlineStr">
        <is>
          <t>No</t>
        </is>
      </c>
      <c r="B2516" t="inlineStr">
        <is>
          <t>DS87.53 .L3 1985</t>
        </is>
      </c>
      <c r="C2516" t="inlineStr">
        <is>
          <t>0                      DS 0087530L  3           1985</t>
        </is>
      </c>
      <c r="D2516" t="inlineStr">
        <is>
          <t>The war of desperation : Lebanon 1982-85 / John Laffin.</t>
        </is>
      </c>
      <c r="F2516" t="inlineStr">
        <is>
          <t>No</t>
        </is>
      </c>
      <c r="G2516" t="inlineStr">
        <is>
          <t>1</t>
        </is>
      </c>
      <c r="H2516" t="inlineStr">
        <is>
          <t>No</t>
        </is>
      </c>
      <c r="I2516" t="inlineStr">
        <is>
          <t>No</t>
        </is>
      </c>
      <c r="J2516" t="inlineStr">
        <is>
          <t>0</t>
        </is>
      </c>
      <c r="K2516" t="inlineStr">
        <is>
          <t>Laffin, John.</t>
        </is>
      </c>
      <c r="L2516" t="inlineStr">
        <is>
          <t>London : Osprey, 1985.</t>
        </is>
      </c>
      <c r="M2516" t="inlineStr">
        <is>
          <t>1985</t>
        </is>
      </c>
      <c r="O2516" t="inlineStr">
        <is>
          <t>eng</t>
        </is>
      </c>
      <c r="P2516" t="inlineStr">
        <is>
          <t>enk</t>
        </is>
      </c>
      <c r="R2516" t="inlineStr">
        <is>
          <t xml:space="preserve">DS </t>
        </is>
      </c>
      <c r="S2516" t="n">
        <v>6</v>
      </c>
      <c r="T2516" t="n">
        <v>6</v>
      </c>
      <c r="U2516" t="inlineStr">
        <is>
          <t>1999-04-15</t>
        </is>
      </c>
      <c r="V2516" t="inlineStr">
        <is>
          <t>1999-04-15</t>
        </is>
      </c>
      <c r="W2516" t="inlineStr">
        <is>
          <t>1990-08-16</t>
        </is>
      </c>
      <c r="X2516" t="inlineStr">
        <is>
          <t>1990-08-16</t>
        </is>
      </c>
      <c r="Y2516" t="n">
        <v>78</v>
      </c>
      <c r="Z2516" t="n">
        <v>34</v>
      </c>
      <c r="AA2516" t="n">
        <v>121</v>
      </c>
      <c r="AB2516" t="n">
        <v>3</v>
      </c>
      <c r="AC2516" t="n">
        <v>3</v>
      </c>
      <c r="AD2516" t="n">
        <v>2</v>
      </c>
      <c r="AE2516" t="n">
        <v>4</v>
      </c>
      <c r="AF2516" t="n">
        <v>0</v>
      </c>
      <c r="AG2516" t="n">
        <v>1</v>
      </c>
      <c r="AH2516" t="n">
        <v>0</v>
      </c>
      <c r="AI2516" t="n">
        <v>2</v>
      </c>
      <c r="AJ2516" t="n">
        <v>0</v>
      </c>
      <c r="AK2516" t="n">
        <v>1</v>
      </c>
      <c r="AL2516" t="n">
        <v>2</v>
      </c>
      <c r="AM2516" t="n">
        <v>2</v>
      </c>
      <c r="AN2516" t="n">
        <v>0</v>
      </c>
      <c r="AO2516" t="n">
        <v>0</v>
      </c>
      <c r="AP2516" t="inlineStr">
        <is>
          <t>No</t>
        </is>
      </c>
      <c r="AQ2516" t="inlineStr">
        <is>
          <t>No</t>
        </is>
      </c>
      <c r="AS2516">
        <f>HYPERLINK("https://creighton-primo.hosted.exlibrisgroup.com/primo-explore/search?tab=default_tab&amp;search_scope=EVERYTHING&amp;vid=01CRU&amp;lang=en_US&amp;offset=0&amp;query=any,contains,991000693419702656","Catalog Record")</f>
        <v/>
      </c>
      <c r="AT2516">
        <f>HYPERLINK("http://www.worldcat.org/oclc/60061185","WorldCat Record")</f>
        <v/>
      </c>
      <c r="AU2516" t="inlineStr">
        <is>
          <t>8032571:eng</t>
        </is>
      </c>
      <c r="AV2516" t="inlineStr">
        <is>
          <t>60061185</t>
        </is>
      </c>
      <c r="AW2516" t="inlineStr">
        <is>
          <t>991000693419702656</t>
        </is>
      </c>
      <c r="AX2516" t="inlineStr">
        <is>
          <t>991000693419702656</t>
        </is>
      </c>
      <c r="AY2516" t="inlineStr">
        <is>
          <t>2257765060002656</t>
        </is>
      </c>
      <c r="AZ2516" t="inlineStr">
        <is>
          <t>BOOK</t>
        </is>
      </c>
      <c r="BB2516" t="inlineStr">
        <is>
          <t>9780850456035</t>
        </is>
      </c>
      <c r="BC2516" t="inlineStr">
        <is>
          <t>32285000274745</t>
        </is>
      </c>
      <c r="BD2516" t="inlineStr">
        <is>
          <t>893339796</t>
        </is>
      </c>
    </row>
    <row r="2517">
      <c r="A2517" t="inlineStr">
        <is>
          <t>No</t>
        </is>
      </c>
      <c r="B2517" t="inlineStr">
        <is>
          <t>DS87.53 .L43 1988</t>
        </is>
      </c>
      <c r="C2517" t="inlineStr">
        <is>
          <t>0                      DS 0087530L  43          1988</t>
        </is>
      </c>
      <c r="D2517" t="inlineStr">
        <is>
          <t>Leadership and negotiation in the Middle East / edited by Barbara Kellerman and Jeffrey Z. Rubin ; foreword by Seymour Feshbach.</t>
        </is>
      </c>
      <c r="F2517" t="inlineStr">
        <is>
          <t>No</t>
        </is>
      </c>
      <c r="G2517" t="inlineStr">
        <is>
          <t>1</t>
        </is>
      </c>
      <c r="H2517" t="inlineStr">
        <is>
          <t>No</t>
        </is>
      </c>
      <c r="I2517" t="inlineStr">
        <is>
          <t>No</t>
        </is>
      </c>
      <c r="J2517" t="inlineStr">
        <is>
          <t>0</t>
        </is>
      </c>
      <c r="L2517" t="inlineStr">
        <is>
          <t>New York : Praeger, 1988.</t>
        </is>
      </c>
      <c r="M2517" t="inlineStr">
        <is>
          <t>1988</t>
        </is>
      </c>
      <c r="O2517" t="inlineStr">
        <is>
          <t>eng</t>
        </is>
      </c>
      <c r="P2517" t="inlineStr">
        <is>
          <t>nyu</t>
        </is>
      </c>
      <c r="R2517" t="inlineStr">
        <is>
          <t xml:space="preserve">DS </t>
        </is>
      </c>
      <c r="S2517" t="n">
        <v>2</v>
      </c>
      <c r="T2517" t="n">
        <v>2</v>
      </c>
      <c r="U2517" t="inlineStr">
        <is>
          <t>1992-11-22</t>
        </is>
      </c>
      <c r="V2517" t="inlineStr">
        <is>
          <t>1992-11-22</t>
        </is>
      </c>
      <c r="W2517" t="inlineStr">
        <is>
          <t>1990-02-16</t>
        </is>
      </c>
      <c r="X2517" t="inlineStr">
        <is>
          <t>1990-02-16</t>
        </is>
      </c>
      <c r="Y2517" t="n">
        <v>331</v>
      </c>
      <c r="Z2517" t="n">
        <v>268</v>
      </c>
      <c r="AA2517" t="n">
        <v>275</v>
      </c>
      <c r="AB2517" t="n">
        <v>3</v>
      </c>
      <c r="AC2517" t="n">
        <v>3</v>
      </c>
      <c r="AD2517" t="n">
        <v>15</v>
      </c>
      <c r="AE2517" t="n">
        <v>15</v>
      </c>
      <c r="AF2517" t="n">
        <v>3</v>
      </c>
      <c r="AG2517" t="n">
        <v>3</v>
      </c>
      <c r="AH2517" t="n">
        <v>5</v>
      </c>
      <c r="AI2517" t="n">
        <v>5</v>
      </c>
      <c r="AJ2517" t="n">
        <v>8</v>
      </c>
      <c r="AK2517" t="n">
        <v>8</v>
      </c>
      <c r="AL2517" t="n">
        <v>2</v>
      </c>
      <c r="AM2517" t="n">
        <v>2</v>
      </c>
      <c r="AN2517" t="n">
        <v>0</v>
      </c>
      <c r="AO2517" t="n">
        <v>0</v>
      </c>
      <c r="AP2517" t="inlineStr">
        <is>
          <t>No</t>
        </is>
      </c>
      <c r="AQ2517" t="inlineStr">
        <is>
          <t>Yes</t>
        </is>
      </c>
      <c r="AR2517">
        <f>HYPERLINK("http://catalog.hathitrust.org/Record/001081102","HathiTrust Record")</f>
        <v/>
      </c>
      <c r="AS2517">
        <f>HYPERLINK("https://creighton-primo.hosted.exlibrisgroup.com/primo-explore/search?tab=default_tab&amp;search_scope=EVERYTHING&amp;vid=01CRU&amp;lang=en_US&amp;offset=0&amp;query=any,contains,991001265489702656","Catalog Record")</f>
        <v/>
      </c>
      <c r="AT2517">
        <f>HYPERLINK("http://www.worldcat.org/oclc/17805118","WorldCat Record")</f>
        <v/>
      </c>
      <c r="AU2517" t="inlineStr">
        <is>
          <t>351852577:eng</t>
        </is>
      </c>
      <c r="AV2517" t="inlineStr">
        <is>
          <t>17805118</t>
        </is>
      </c>
      <c r="AW2517" t="inlineStr">
        <is>
          <t>991001265489702656</t>
        </is>
      </c>
      <c r="AX2517" t="inlineStr">
        <is>
          <t>991001265489702656</t>
        </is>
      </c>
      <c r="AY2517" t="inlineStr">
        <is>
          <t>2265881990002656</t>
        </is>
      </c>
      <c r="AZ2517" t="inlineStr">
        <is>
          <t>BOOK</t>
        </is>
      </c>
      <c r="BB2517" t="inlineStr">
        <is>
          <t>9780275924898</t>
        </is>
      </c>
      <c r="BC2517" t="inlineStr">
        <is>
          <t>32285000038843</t>
        </is>
      </c>
      <c r="BD2517" t="inlineStr">
        <is>
          <t>893891442</t>
        </is>
      </c>
    </row>
    <row r="2518">
      <c r="A2518" t="inlineStr">
        <is>
          <t>No</t>
        </is>
      </c>
      <c r="B2518" t="inlineStr">
        <is>
          <t>DS87.65 .H37 2008</t>
        </is>
      </c>
      <c r="C2518" t="inlineStr">
        <is>
          <t>0                      DS 0087650H  37          2008</t>
        </is>
      </c>
      <c r="D2518" t="inlineStr">
        <is>
          <t>34 days : Israel, Hezbollah, and the war in Lebanon / Amos Harel and Avi Issacharoff.</t>
        </is>
      </c>
      <c r="F2518" t="inlineStr">
        <is>
          <t>No</t>
        </is>
      </c>
      <c r="G2518" t="inlineStr">
        <is>
          <t>1</t>
        </is>
      </c>
      <c r="H2518" t="inlineStr">
        <is>
          <t>No</t>
        </is>
      </c>
      <c r="I2518" t="inlineStr">
        <is>
          <t>No</t>
        </is>
      </c>
      <c r="J2518" t="inlineStr">
        <is>
          <t>0</t>
        </is>
      </c>
      <c r="K2518" t="inlineStr">
        <is>
          <t>Harel, Amos.</t>
        </is>
      </c>
      <c r="L2518" t="inlineStr">
        <is>
          <t>New York : Palgrave Macmillan, 2008.</t>
        </is>
      </c>
      <c r="M2518" t="inlineStr">
        <is>
          <t>2008</t>
        </is>
      </c>
      <c r="N2518" t="inlineStr">
        <is>
          <t>1st ed.</t>
        </is>
      </c>
      <c r="O2518" t="inlineStr">
        <is>
          <t>eng</t>
        </is>
      </c>
      <c r="P2518" t="inlineStr">
        <is>
          <t>nyu</t>
        </is>
      </c>
      <c r="R2518" t="inlineStr">
        <is>
          <t xml:space="preserve">DS </t>
        </is>
      </c>
      <c r="S2518" t="n">
        <v>3</v>
      </c>
      <c r="T2518" t="n">
        <v>3</v>
      </c>
      <c r="U2518" t="inlineStr">
        <is>
          <t>2009-02-25</t>
        </is>
      </c>
      <c r="V2518" t="inlineStr">
        <is>
          <t>2009-02-25</t>
        </is>
      </c>
      <c r="W2518" t="inlineStr">
        <is>
          <t>2009-02-25</t>
        </is>
      </c>
      <c r="X2518" t="inlineStr">
        <is>
          <t>2009-02-25</t>
        </is>
      </c>
      <c r="Y2518" t="n">
        <v>372</v>
      </c>
      <c r="Z2518" t="n">
        <v>297</v>
      </c>
      <c r="AA2518" t="n">
        <v>347</v>
      </c>
      <c r="AB2518" t="n">
        <v>2</v>
      </c>
      <c r="AC2518" t="n">
        <v>2</v>
      </c>
      <c r="AD2518" t="n">
        <v>16</v>
      </c>
      <c r="AE2518" t="n">
        <v>16</v>
      </c>
      <c r="AF2518" t="n">
        <v>6</v>
      </c>
      <c r="AG2518" t="n">
        <v>6</v>
      </c>
      <c r="AH2518" t="n">
        <v>4</v>
      </c>
      <c r="AI2518" t="n">
        <v>4</v>
      </c>
      <c r="AJ2518" t="n">
        <v>9</v>
      </c>
      <c r="AK2518" t="n">
        <v>9</v>
      </c>
      <c r="AL2518" t="n">
        <v>1</v>
      </c>
      <c r="AM2518" t="n">
        <v>1</v>
      </c>
      <c r="AN2518" t="n">
        <v>1</v>
      </c>
      <c r="AO2518" t="n">
        <v>1</v>
      </c>
      <c r="AP2518" t="inlineStr">
        <is>
          <t>No</t>
        </is>
      </c>
      <c r="AQ2518" t="inlineStr">
        <is>
          <t>No</t>
        </is>
      </c>
      <c r="AS2518">
        <f>HYPERLINK("https://creighton-primo.hosted.exlibrisgroup.com/primo-explore/search?tab=default_tab&amp;search_scope=EVERYTHING&amp;vid=01CRU&amp;lang=en_US&amp;offset=0&amp;query=any,contains,991005297089702656","Catalog Record")</f>
        <v/>
      </c>
      <c r="AT2518">
        <f>HYPERLINK("http://www.worldcat.org/oclc/181601125","WorldCat Record")</f>
        <v/>
      </c>
      <c r="AU2518" t="inlineStr">
        <is>
          <t>116747576:eng</t>
        </is>
      </c>
      <c r="AV2518" t="inlineStr">
        <is>
          <t>181601125</t>
        </is>
      </c>
      <c r="AW2518" t="inlineStr">
        <is>
          <t>991005297089702656</t>
        </is>
      </c>
      <c r="AX2518" t="inlineStr">
        <is>
          <t>991005297089702656</t>
        </is>
      </c>
      <c r="AY2518" t="inlineStr">
        <is>
          <t>2260034550002656</t>
        </is>
      </c>
      <c r="AZ2518" t="inlineStr">
        <is>
          <t>BOOK</t>
        </is>
      </c>
      <c r="BB2518" t="inlineStr">
        <is>
          <t>9780230604001</t>
        </is>
      </c>
      <c r="BC2518" t="inlineStr">
        <is>
          <t>32285005505747</t>
        </is>
      </c>
      <c r="BD2518" t="inlineStr">
        <is>
          <t>893230494</t>
        </is>
      </c>
    </row>
    <row r="2519">
      <c r="A2519" t="inlineStr">
        <is>
          <t>No</t>
        </is>
      </c>
      <c r="B2519" t="inlineStr">
        <is>
          <t>DS871 .E3</t>
        </is>
      </c>
      <c r="C2519" t="inlineStr">
        <is>
          <t>0                      DS 0871000E  3</t>
        </is>
      </c>
      <c r="D2519" t="inlineStr">
        <is>
          <t>Emperor and nation in Japan; political thinkers of the Tokugawa period.</t>
        </is>
      </c>
      <c r="F2519" t="inlineStr">
        <is>
          <t>No</t>
        </is>
      </c>
      <c r="G2519" t="inlineStr">
        <is>
          <t>1</t>
        </is>
      </c>
      <c r="H2519" t="inlineStr">
        <is>
          <t>No</t>
        </is>
      </c>
      <c r="I2519" t="inlineStr">
        <is>
          <t>No</t>
        </is>
      </c>
      <c r="J2519" t="inlineStr">
        <is>
          <t>0</t>
        </is>
      </c>
      <c r="K2519" t="inlineStr">
        <is>
          <t>Earl, David Magarey, 1911-</t>
        </is>
      </c>
      <c r="L2519" t="inlineStr">
        <is>
          <t>Seattle, University of Washington Press [1964]</t>
        </is>
      </c>
      <c r="M2519" t="inlineStr">
        <is>
          <t>1964</t>
        </is>
      </c>
      <c r="O2519" t="inlineStr">
        <is>
          <t>eng</t>
        </is>
      </c>
      <c r="P2519" t="inlineStr">
        <is>
          <t>wau</t>
        </is>
      </c>
      <c r="R2519" t="inlineStr">
        <is>
          <t xml:space="preserve">DS </t>
        </is>
      </c>
      <c r="S2519" t="n">
        <v>3</v>
      </c>
      <c r="T2519" t="n">
        <v>3</v>
      </c>
      <c r="U2519" t="inlineStr">
        <is>
          <t>2004-05-10</t>
        </is>
      </c>
      <c r="V2519" t="inlineStr">
        <is>
          <t>2004-05-10</t>
        </is>
      </c>
      <c r="W2519" t="inlineStr">
        <is>
          <t>1997-03-17</t>
        </is>
      </c>
      <c r="X2519" t="inlineStr">
        <is>
          <t>1997-03-17</t>
        </is>
      </c>
      <c r="Y2519" t="n">
        <v>673</v>
      </c>
      <c r="Z2519" t="n">
        <v>585</v>
      </c>
      <c r="AA2519" t="n">
        <v>637</v>
      </c>
      <c r="AB2519" t="n">
        <v>6</v>
      </c>
      <c r="AC2519" t="n">
        <v>6</v>
      </c>
      <c r="AD2519" t="n">
        <v>31</v>
      </c>
      <c r="AE2519" t="n">
        <v>33</v>
      </c>
      <c r="AF2519" t="n">
        <v>12</v>
      </c>
      <c r="AG2519" t="n">
        <v>14</v>
      </c>
      <c r="AH2519" t="n">
        <v>7</v>
      </c>
      <c r="AI2519" t="n">
        <v>7</v>
      </c>
      <c r="AJ2519" t="n">
        <v>17</v>
      </c>
      <c r="AK2519" t="n">
        <v>18</v>
      </c>
      <c r="AL2519" t="n">
        <v>5</v>
      </c>
      <c r="AM2519" t="n">
        <v>5</v>
      </c>
      <c r="AN2519" t="n">
        <v>0</v>
      </c>
      <c r="AO2519" t="n">
        <v>0</v>
      </c>
      <c r="AP2519" t="inlineStr">
        <is>
          <t>No</t>
        </is>
      </c>
      <c r="AQ2519" t="inlineStr">
        <is>
          <t>Yes</t>
        </is>
      </c>
      <c r="AR2519">
        <f>HYPERLINK("http://catalog.hathitrust.org/Record/001968355","HathiTrust Record")</f>
        <v/>
      </c>
      <c r="AS2519">
        <f>HYPERLINK("https://creighton-primo.hosted.exlibrisgroup.com/primo-explore/search?tab=default_tab&amp;search_scope=EVERYTHING&amp;vid=01CRU&amp;lang=en_US&amp;offset=0&amp;query=any,contains,991002722509702656","Catalog Record")</f>
        <v/>
      </c>
      <c r="AT2519">
        <f>HYPERLINK("http://www.worldcat.org/oclc/413108","WorldCat Record")</f>
        <v/>
      </c>
      <c r="AU2519" t="inlineStr">
        <is>
          <t>1464965:eng</t>
        </is>
      </c>
      <c r="AV2519" t="inlineStr">
        <is>
          <t>413108</t>
        </is>
      </c>
      <c r="AW2519" t="inlineStr">
        <is>
          <t>991002722509702656</t>
        </is>
      </c>
      <c r="AX2519" t="inlineStr">
        <is>
          <t>991002722509702656</t>
        </is>
      </c>
      <c r="AY2519" t="inlineStr">
        <is>
          <t>2268286970002656</t>
        </is>
      </c>
      <c r="AZ2519" t="inlineStr">
        <is>
          <t>BOOK</t>
        </is>
      </c>
      <c r="BC2519" t="inlineStr">
        <is>
          <t>32285002450285</t>
        </is>
      </c>
      <c r="BD2519" t="inlineStr">
        <is>
          <t>893445323</t>
        </is>
      </c>
    </row>
    <row r="2520">
      <c r="A2520" t="inlineStr">
        <is>
          <t>No</t>
        </is>
      </c>
      <c r="B2520" t="inlineStr">
        <is>
          <t>DS871 .H29</t>
        </is>
      </c>
      <c r="C2520" t="inlineStr">
        <is>
          <t>0                      DS 0871000H  29</t>
        </is>
      </c>
      <c r="D2520" t="inlineStr">
        <is>
          <t>Studies in the institutional history of early modern Japan / edited by John W. Hall and Marius B. Jansen. With an introd. by Joseph R. Strayer. Contributors: Harumi Befu [and others]</t>
        </is>
      </c>
      <c r="F2520" t="inlineStr">
        <is>
          <t>No</t>
        </is>
      </c>
      <c r="G2520" t="inlineStr">
        <is>
          <t>1</t>
        </is>
      </c>
      <c r="H2520" t="inlineStr">
        <is>
          <t>No</t>
        </is>
      </c>
      <c r="I2520" t="inlineStr">
        <is>
          <t>No</t>
        </is>
      </c>
      <c r="J2520" t="inlineStr">
        <is>
          <t>0</t>
        </is>
      </c>
      <c r="K2520" t="inlineStr">
        <is>
          <t>Hall, John Whitney, 1916-1997 compiler.</t>
        </is>
      </c>
      <c r="L2520" t="inlineStr">
        <is>
          <t>Princeton, N.J. : Princeton University Press, 1968.</t>
        </is>
      </c>
      <c r="M2520" t="inlineStr">
        <is>
          <t>1968</t>
        </is>
      </c>
      <c r="O2520" t="inlineStr">
        <is>
          <t>eng</t>
        </is>
      </c>
      <c r="P2520" t="inlineStr">
        <is>
          <t>nju</t>
        </is>
      </c>
      <c r="R2520" t="inlineStr">
        <is>
          <t xml:space="preserve">DS </t>
        </is>
      </c>
      <c r="S2520" t="n">
        <v>7</v>
      </c>
      <c r="T2520" t="n">
        <v>7</v>
      </c>
      <c r="U2520" t="inlineStr">
        <is>
          <t>2001-04-10</t>
        </is>
      </c>
      <c r="V2520" t="inlineStr">
        <is>
          <t>2001-04-10</t>
        </is>
      </c>
      <c r="W2520" t="inlineStr">
        <is>
          <t>1990-10-30</t>
        </is>
      </c>
      <c r="X2520" t="inlineStr">
        <is>
          <t>1990-10-30</t>
        </is>
      </c>
      <c r="Y2520" t="n">
        <v>865</v>
      </c>
      <c r="Z2520" t="n">
        <v>718</v>
      </c>
      <c r="AA2520" t="n">
        <v>913</v>
      </c>
      <c r="AB2520" t="n">
        <v>6</v>
      </c>
      <c r="AC2520" t="n">
        <v>8</v>
      </c>
      <c r="AD2520" t="n">
        <v>36</v>
      </c>
      <c r="AE2520" t="n">
        <v>43</v>
      </c>
      <c r="AF2520" t="n">
        <v>13</v>
      </c>
      <c r="AG2520" t="n">
        <v>19</v>
      </c>
      <c r="AH2520" t="n">
        <v>11</v>
      </c>
      <c r="AI2520" t="n">
        <v>11</v>
      </c>
      <c r="AJ2520" t="n">
        <v>17</v>
      </c>
      <c r="AK2520" t="n">
        <v>19</v>
      </c>
      <c r="AL2520" t="n">
        <v>5</v>
      </c>
      <c r="AM2520" t="n">
        <v>6</v>
      </c>
      <c r="AN2520" t="n">
        <v>0</v>
      </c>
      <c r="AO2520" t="n">
        <v>0</v>
      </c>
      <c r="AP2520" t="inlineStr">
        <is>
          <t>No</t>
        </is>
      </c>
      <c r="AQ2520" t="inlineStr">
        <is>
          <t>No</t>
        </is>
      </c>
      <c r="AS2520">
        <f>HYPERLINK("https://creighton-primo.hosted.exlibrisgroup.com/primo-explore/search?tab=default_tab&amp;search_scope=EVERYTHING&amp;vid=01CRU&amp;lang=en_US&amp;offset=0&amp;query=any,contains,991002184009702656","Catalog Record")</f>
        <v/>
      </c>
      <c r="AT2520">
        <f>HYPERLINK("http://www.worldcat.org/oclc/279633","WorldCat Record")</f>
        <v/>
      </c>
      <c r="AU2520" t="inlineStr">
        <is>
          <t>684717850:eng</t>
        </is>
      </c>
      <c r="AV2520" t="inlineStr">
        <is>
          <t>279633</t>
        </is>
      </c>
      <c r="AW2520" t="inlineStr">
        <is>
          <t>991002184009702656</t>
        </is>
      </c>
      <c r="AX2520" t="inlineStr">
        <is>
          <t>991002184009702656</t>
        </is>
      </c>
      <c r="AY2520" t="inlineStr">
        <is>
          <t>2261714980002656</t>
        </is>
      </c>
      <c r="AZ2520" t="inlineStr">
        <is>
          <t>BOOK</t>
        </is>
      </c>
      <c r="BC2520" t="inlineStr">
        <is>
          <t>32285000370303</t>
        </is>
      </c>
      <c r="BD2520" t="inlineStr">
        <is>
          <t>893621999</t>
        </is>
      </c>
    </row>
    <row r="2521">
      <c r="A2521" t="inlineStr">
        <is>
          <t>No</t>
        </is>
      </c>
      <c r="B2521" t="inlineStr">
        <is>
          <t>DS871 .T6</t>
        </is>
      </c>
      <c r="C2521" t="inlineStr">
        <is>
          <t>0                      DS 0871000T  6</t>
        </is>
      </c>
      <c r="D2521" t="inlineStr">
        <is>
          <t>Politics in the Tokugawa bakufu, 1600-1843 / [by] Conrad D. Totman.</t>
        </is>
      </c>
      <c r="F2521" t="inlineStr">
        <is>
          <t>No</t>
        </is>
      </c>
      <c r="G2521" t="inlineStr">
        <is>
          <t>1</t>
        </is>
      </c>
      <c r="H2521" t="inlineStr">
        <is>
          <t>Yes</t>
        </is>
      </c>
      <c r="I2521" t="inlineStr">
        <is>
          <t>No</t>
        </is>
      </c>
      <c r="J2521" t="inlineStr">
        <is>
          <t>0</t>
        </is>
      </c>
      <c r="K2521" t="inlineStr">
        <is>
          <t>Totman, Conrad D.</t>
        </is>
      </c>
      <c r="L2521" t="inlineStr">
        <is>
          <t>Cambridge : Harvard University Press, 1967.</t>
        </is>
      </c>
      <c r="M2521" t="inlineStr">
        <is>
          <t>1967</t>
        </is>
      </c>
      <c r="O2521" t="inlineStr">
        <is>
          <t>eng</t>
        </is>
      </c>
      <c r="P2521" t="inlineStr">
        <is>
          <t>mau</t>
        </is>
      </c>
      <c r="Q2521" t="inlineStr">
        <is>
          <t>Harvard East Asian series ; 30</t>
        </is>
      </c>
      <c r="R2521" t="inlineStr">
        <is>
          <t xml:space="preserve">DS </t>
        </is>
      </c>
      <c r="S2521" t="n">
        <v>13</v>
      </c>
      <c r="T2521" t="n">
        <v>13</v>
      </c>
      <c r="U2521" t="inlineStr">
        <is>
          <t>2001-04-10</t>
        </is>
      </c>
      <c r="V2521" t="inlineStr">
        <is>
          <t>2001-04-10</t>
        </is>
      </c>
      <c r="W2521" t="inlineStr">
        <is>
          <t>1993-08-03</t>
        </is>
      </c>
      <c r="X2521" t="inlineStr">
        <is>
          <t>1993-08-03</t>
        </is>
      </c>
      <c r="Y2521" t="n">
        <v>625</v>
      </c>
      <c r="Z2521" t="n">
        <v>510</v>
      </c>
      <c r="AA2521" t="n">
        <v>589</v>
      </c>
      <c r="AB2521" t="n">
        <v>5</v>
      </c>
      <c r="AC2521" t="n">
        <v>8</v>
      </c>
      <c r="AD2521" t="n">
        <v>24</v>
      </c>
      <c r="AE2521" t="n">
        <v>34</v>
      </c>
      <c r="AF2521" t="n">
        <v>8</v>
      </c>
      <c r="AG2521" t="n">
        <v>12</v>
      </c>
      <c r="AH2521" t="n">
        <v>7</v>
      </c>
      <c r="AI2521" t="n">
        <v>8</v>
      </c>
      <c r="AJ2521" t="n">
        <v>13</v>
      </c>
      <c r="AK2521" t="n">
        <v>17</v>
      </c>
      <c r="AL2521" t="n">
        <v>3</v>
      </c>
      <c r="AM2521" t="n">
        <v>6</v>
      </c>
      <c r="AN2521" t="n">
        <v>0</v>
      </c>
      <c r="AO2521" t="n">
        <v>0</v>
      </c>
      <c r="AP2521" t="inlineStr">
        <is>
          <t>No</t>
        </is>
      </c>
      <c r="AQ2521" t="inlineStr">
        <is>
          <t>Yes</t>
        </is>
      </c>
      <c r="AR2521">
        <f>HYPERLINK("http://catalog.hathitrust.org/Record/001606380","HathiTrust Record")</f>
        <v/>
      </c>
      <c r="AS2521">
        <f>HYPERLINK("https://creighton-primo.hosted.exlibrisgroup.com/primo-explore/search?tab=default_tab&amp;search_scope=EVERYTHING&amp;vid=01CRU&amp;lang=en_US&amp;offset=0&amp;query=any,contains,991001622529702656","Catalog Record")</f>
        <v/>
      </c>
      <c r="AT2521">
        <f>HYPERLINK("http://www.worldcat.org/oclc/279623","WorldCat Record")</f>
        <v/>
      </c>
      <c r="AU2521" t="inlineStr">
        <is>
          <t>1150897095:eng</t>
        </is>
      </c>
      <c r="AV2521" t="inlineStr">
        <is>
          <t>279623</t>
        </is>
      </c>
      <c r="AW2521" t="inlineStr">
        <is>
          <t>991001622529702656</t>
        </is>
      </c>
      <c r="AX2521" t="inlineStr">
        <is>
          <t>991001622529702656</t>
        </is>
      </c>
      <c r="AY2521" t="inlineStr">
        <is>
          <t>2261719760002656</t>
        </is>
      </c>
      <c r="AZ2521" t="inlineStr">
        <is>
          <t>BOOK</t>
        </is>
      </c>
      <c r="BC2521" t="inlineStr">
        <is>
          <t>32285001748580</t>
        </is>
      </c>
      <c r="BD2521" t="inlineStr">
        <is>
          <t>893696852</t>
        </is>
      </c>
    </row>
    <row r="2522">
      <c r="A2522" t="inlineStr">
        <is>
          <t>No</t>
        </is>
      </c>
      <c r="B2522" t="inlineStr">
        <is>
          <t>DS871 .W3</t>
        </is>
      </c>
      <c r="C2522" t="inlineStr">
        <is>
          <t>0                      DS 0871000W  3</t>
        </is>
      </c>
      <c r="D2522" t="inlineStr">
        <is>
          <t>The Japanese imperial institution in the Tokugawa period.</t>
        </is>
      </c>
      <c r="F2522" t="inlineStr">
        <is>
          <t>No</t>
        </is>
      </c>
      <c r="G2522" t="inlineStr">
        <is>
          <t>1</t>
        </is>
      </c>
      <c r="H2522" t="inlineStr">
        <is>
          <t>No</t>
        </is>
      </c>
      <c r="I2522" t="inlineStr">
        <is>
          <t>No</t>
        </is>
      </c>
      <c r="J2522" t="inlineStr">
        <is>
          <t>0</t>
        </is>
      </c>
      <c r="K2522" t="inlineStr">
        <is>
          <t>Webb, Herschel.</t>
        </is>
      </c>
      <c r="L2522" t="inlineStr">
        <is>
          <t>New York : Columbia University Press, 1968.</t>
        </is>
      </c>
      <c r="M2522" t="inlineStr">
        <is>
          <t>1968</t>
        </is>
      </c>
      <c r="O2522" t="inlineStr">
        <is>
          <t>eng</t>
        </is>
      </c>
      <c r="P2522" t="inlineStr">
        <is>
          <t>nyu</t>
        </is>
      </c>
      <c r="Q2522" t="inlineStr">
        <is>
          <t>Studies of the East Asian Institute, Columbia University</t>
        </is>
      </c>
      <c r="R2522" t="inlineStr">
        <is>
          <t xml:space="preserve">DS </t>
        </is>
      </c>
      <c r="S2522" t="n">
        <v>5</v>
      </c>
      <c r="T2522" t="n">
        <v>5</v>
      </c>
      <c r="U2522" t="inlineStr">
        <is>
          <t>1995-09-26</t>
        </is>
      </c>
      <c r="V2522" t="inlineStr">
        <is>
          <t>1995-09-26</t>
        </is>
      </c>
      <c r="W2522" t="inlineStr">
        <is>
          <t>1993-12-08</t>
        </is>
      </c>
      <c r="X2522" t="inlineStr">
        <is>
          <t>1993-12-08</t>
        </is>
      </c>
      <c r="Y2522" t="n">
        <v>799</v>
      </c>
      <c r="Z2522" t="n">
        <v>656</v>
      </c>
      <c r="AA2522" t="n">
        <v>657</v>
      </c>
      <c r="AB2522" t="n">
        <v>3</v>
      </c>
      <c r="AC2522" t="n">
        <v>3</v>
      </c>
      <c r="AD2522" t="n">
        <v>33</v>
      </c>
      <c r="AE2522" t="n">
        <v>33</v>
      </c>
      <c r="AF2522" t="n">
        <v>16</v>
      </c>
      <c r="AG2522" t="n">
        <v>16</v>
      </c>
      <c r="AH2522" t="n">
        <v>7</v>
      </c>
      <c r="AI2522" t="n">
        <v>7</v>
      </c>
      <c r="AJ2522" t="n">
        <v>19</v>
      </c>
      <c r="AK2522" t="n">
        <v>19</v>
      </c>
      <c r="AL2522" t="n">
        <v>2</v>
      </c>
      <c r="AM2522" t="n">
        <v>2</v>
      </c>
      <c r="AN2522" t="n">
        <v>0</v>
      </c>
      <c r="AO2522" t="n">
        <v>0</v>
      </c>
      <c r="AP2522" t="inlineStr">
        <is>
          <t>No</t>
        </is>
      </c>
      <c r="AQ2522" t="inlineStr">
        <is>
          <t>No</t>
        </is>
      </c>
      <c r="AS2522">
        <f>HYPERLINK("https://creighton-primo.hosted.exlibrisgroup.com/primo-explore/search?tab=default_tab&amp;search_scope=EVERYTHING&amp;vid=01CRU&amp;lang=en_US&amp;offset=0&amp;query=any,contains,991002184249702656","Catalog Record")</f>
        <v/>
      </c>
      <c r="AT2522">
        <f>HYPERLINK("http://www.worldcat.org/oclc/279637","WorldCat Record")</f>
        <v/>
      </c>
      <c r="AU2522" t="inlineStr">
        <is>
          <t>1424153:eng</t>
        </is>
      </c>
      <c r="AV2522" t="inlineStr">
        <is>
          <t>279637</t>
        </is>
      </c>
      <c r="AW2522" t="inlineStr">
        <is>
          <t>991002184249702656</t>
        </is>
      </c>
      <c r="AX2522" t="inlineStr">
        <is>
          <t>991002184249702656</t>
        </is>
      </c>
      <c r="AY2522" t="inlineStr">
        <is>
          <t>2261714290002656</t>
        </is>
      </c>
      <c r="AZ2522" t="inlineStr">
        <is>
          <t>BOOK</t>
        </is>
      </c>
      <c r="BC2522" t="inlineStr">
        <is>
          <t>32285001806248</t>
        </is>
      </c>
      <c r="BD2522" t="inlineStr">
        <is>
          <t>893785820</t>
        </is>
      </c>
    </row>
    <row r="2523">
      <c r="A2523" t="inlineStr">
        <is>
          <t>No</t>
        </is>
      </c>
      <c r="B2523" t="inlineStr">
        <is>
          <t>DS871.5 .P44 1991</t>
        </is>
      </c>
      <c r="C2523" t="inlineStr">
        <is>
          <t>0                      DS 0871500P  44          1991</t>
        </is>
      </c>
      <c r="D2523" t="inlineStr">
        <is>
          <t>Peasant uprisings in Japan : a critical anthology of peasant histories / edited and translated by Anne Walthall.</t>
        </is>
      </c>
      <c r="F2523" t="inlineStr">
        <is>
          <t>No</t>
        </is>
      </c>
      <c r="G2523" t="inlineStr">
        <is>
          <t>1</t>
        </is>
      </c>
      <c r="H2523" t="inlineStr">
        <is>
          <t>No</t>
        </is>
      </c>
      <c r="I2523" t="inlineStr">
        <is>
          <t>No</t>
        </is>
      </c>
      <c r="J2523" t="inlineStr">
        <is>
          <t>0</t>
        </is>
      </c>
      <c r="L2523" t="inlineStr">
        <is>
          <t>Chicago : University of Chicago Press, c1991.</t>
        </is>
      </c>
      <c r="M2523" t="inlineStr">
        <is>
          <t>1991</t>
        </is>
      </c>
      <c r="O2523" t="inlineStr">
        <is>
          <t>eng</t>
        </is>
      </c>
      <c r="P2523" t="inlineStr">
        <is>
          <t>ilu</t>
        </is>
      </c>
      <c r="R2523" t="inlineStr">
        <is>
          <t xml:space="preserve">DS </t>
        </is>
      </c>
      <c r="S2523" t="n">
        <v>6</v>
      </c>
      <c r="T2523" t="n">
        <v>6</v>
      </c>
      <c r="U2523" t="inlineStr">
        <is>
          <t>2003-12-01</t>
        </is>
      </c>
      <c r="V2523" t="inlineStr">
        <is>
          <t>2003-12-01</t>
        </is>
      </c>
      <c r="W2523" t="inlineStr">
        <is>
          <t>1992-05-29</t>
        </is>
      </c>
      <c r="X2523" t="inlineStr">
        <is>
          <t>1992-05-29</t>
        </is>
      </c>
      <c r="Y2523" t="n">
        <v>442</v>
      </c>
      <c r="Z2523" t="n">
        <v>339</v>
      </c>
      <c r="AA2523" t="n">
        <v>339</v>
      </c>
      <c r="AB2523" t="n">
        <v>5</v>
      </c>
      <c r="AC2523" t="n">
        <v>5</v>
      </c>
      <c r="AD2523" t="n">
        <v>23</v>
      </c>
      <c r="AE2523" t="n">
        <v>23</v>
      </c>
      <c r="AF2523" t="n">
        <v>5</v>
      </c>
      <c r="AG2523" t="n">
        <v>5</v>
      </c>
      <c r="AH2523" t="n">
        <v>8</v>
      </c>
      <c r="AI2523" t="n">
        <v>8</v>
      </c>
      <c r="AJ2523" t="n">
        <v>12</v>
      </c>
      <c r="AK2523" t="n">
        <v>12</v>
      </c>
      <c r="AL2523" t="n">
        <v>4</v>
      </c>
      <c r="AM2523" t="n">
        <v>4</v>
      </c>
      <c r="AN2523" t="n">
        <v>0</v>
      </c>
      <c r="AO2523" t="n">
        <v>0</v>
      </c>
      <c r="AP2523" t="inlineStr">
        <is>
          <t>No</t>
        </is>
      </c>
      <c r="AQ2523" t="inlineStr">
        <is>
          <t>No</t>
        </is>
      </c>
      <c r="AS2523">
        <f>HYPERLINK("https://creighton-primo.hosted.exlibrisgroup.com/primo-explore/search?tab=default_tab&amp;search_scope=EVERYTHING&amp;vid=01CRU&amp;lang=en_US&amp;offset=0&amp;query=any,contains,991001848849702656","Catalog Record")</f>
        <v/>
      </c>
      <c r="AT2523">
        <f>HYPERLINK("http://www.worldcat.org/oclc/23213000","WorldCat Record")</f>
        <v/>
      </c>
      <c r="AU2523" t="inlineStr">
        <is>
          <t>795612748:eng</t>
        </is>
      </c>
      <c r="AV2523" t="inlineStr">
        <is>
          <t>23213000</t>
        </is>
      </c>
      <c r="AW2523" t="inlineStr">
        <is>
          <t>991001848849702656</t>
        </is>
      </c>
      <c r="AX2523" t="inlineStr">
        <is>
          <t>991001848849702656</t>
        </is>
      </c>
      <c r="AY2523" t="inlineStr">
        <is>
          <t>2264042080002656</t>
        </is>
      </c>
      <c r="AZ2523" t="inlineStr">
        <is>
          <t>BOOK</t>
        </is>
      </c>
      <c r="BB2523" t="inlineStr">
        <is>
          <t>9780226872346</t>
        </is>
      </c>
      <c r="BC2523" t="inlineStr">
        <is>
          <t>32285001119568</t>
        </is>
      </c>
      <c r="BD2523" t="inlineStr">
        <is>
          <t>893703378</t>
        </is>
      </c>
    </row>
    <row r="2524">
      <c r="A2524" t="inlineStr">
        <is>
          <t>No</t>
        </is>
      </c>
      <c r="B2524" t="inlineStr">
        <is>
          <t>DS871.7 .H47 2002</t>
        </is>
      </c>
      <c r="C2524" t="inlineStr">
        <is>
          <t>0                      DS 0871700H  47          2002</t>
        </is>
      </c>
      <c r="D2524" t="inlineStr">
        <is>
          <t>Prisoners from Nambu : reality and make-believe in seventeenth-century Japanese diplomacy / Reinier H. Hesselink.</t>
        </is>
      </c>
      <c r="F2524" t="inlineStr">
        <is>
          <t>No</t>
        </is>
      </c>
      <c r="G2524" t="inlineStr">
        <is>
          <t>1</t>
        </is>
      </c>
      <c r="H2524" t="inlineStr">
        <is>
          <t>No</t>
        </is>
      </c>
      <c r="I2524" t="inlineStr">
        <is>
          <t>No</t>
        </is>
      </c>
      <c r="J2524" t="inlineStr">
        <is>
          <t>0</t>
        </is>
      </c>
      <c r="K2524" t="inlineStr">
        <is>
          <t>Hesselink, R. H.</t>
        </is>
      </c>
      <c r="L2524" t="inlineStr">
        <is>
          <t>Honolulu, HI : University of Hawai'i Press, c2002.</t>
        </is>
      </c>
      <c r="M2524" t="inlineStr">
        <is>
          <t>2002</t>
        </is>
      </c>
      <c r="O2524" t="inlineStr">
        <is>
          <t>eng</t>
        </is>
      </c>
      <c r="P2524" t="inlineStr">
        <is>
          <t>hiu</t>
        </is>
      </c>
      <c r="R2524" t="inlineStr">
        <is>
          <t xml:space="preserve">DS </t>
        </is>
      </c>
      <c r="S2524" t="n">
        <v>4</v>
      </c>
      <c r="T2524" t="n">
        <v>4</v>
      </c>
      <c r="U2524" t="inlineStr">
        <is>
          <t>2002-12-20</t>
        </is>
      </c>
      <c r="V2524" t="inlineStr">
        <is>
          <t>2002-12-20</t>
        </is>
      </c>
      <c r="W2524" t="inlineStr">
        <is>
          <t>2002-10-14</t>
        </is>
      </c>
      <c r="X2524" t="inlineStr">
        <is>
          <t>2002-10-14</t>
        </is>
      </c>
      <c r="Y2524" t="n">
        <v>329</v>
      </c>
      <c r="Z2524" t="n">
        <v>280</v>
      </c>
      <c r="AA2524" t="n">
        <v>504</v>
      </c>
      <c r="AB2524" t="n">
        <v>3</v>
      </c>
      <c r="AC2524" t="n">
        <v>3</v>
      </c>
      <c r="AD2524" t="n">
        <v>18</v>
      </c>
      <c r="AE2524" t="n">
        <v>26</v>
      </c>
      <c r="AF2524" t="n">
        <v>4</v>
      </c>
      <c r="AG2524" t="n">
        <v>10</v>
      </c>
      <c r="AH2524" t="n">
        <v>6</v>
      </c>
      <c r="AI2524" t="n">
        <v>8</v>
      </c>
      <c r="AJ2524" t="n">
        <v>9</v>
      </c>
      <c r="AK2524" t="n">
        <v>12</v>
      </c>
      <c r="AL2524" t="n">
        <v>2</v>
      </c>
      <c r="AM2524" t="n">
        <v>2</v>
      </c>
      <c r="AN2524" t="n">
        <v>0</v>
      </c>
      <c r="AO2524" t="n">
        <v>1</v>
      </c>
      <c r="AP2524" t="inlineStr">
        <is>
          <t>No</t>
        </is>
      </c>
      <c r="AQ2524" t="inlineStr">
        <is>
          <t>Yes</t>
        </is>
      </c>
      <c r="AR2524">
        <f>HYPERLINK("http://catalog.hathitrust.org/Record/004197845","HathiTrust Record")</f>
        <v/>
      </c>
      <c r="AS2524">
        <f>HYPERLINK("https://creighton-primo.hosted.exlibrisgroup.com/primo-explore/search?tab=default_tab&amp;search_scope=EVERYTHING&amp;vid=01CRU&amp;lang=en_US&amp;offset=0&amp;query=any,contains,991003911569702656","Catalog Record")</f>
        <v/>
      </c>
      <c r="AT2524">
        <f>HYPERLINK("http://www.worldcat.org/oclc/46565103","WorldCat Record")</f>
        <v/>
      </c>
      <c r="AU2524" t="inlineStr">
        <is>
          <t>793879295:eng</t>
        </is>
      </c>
      <c r="AV2524" t="inlineStr">
        <is>
          <t>46565103</t>
        </is>
      </c>
      <c r="AW2524" t="inlineStr">
        <is>
          <t>991003911569702656</t>
        </is>
      </c>
      <c r="AX2524" t="inlineStr">
        <is>
          <t>991003911569702656</t>
        </is>
      </c>
      <c r="AY2524" t="inlineStr">
        <is>
          <t>2264052090002656</t>
        </is>
      </c>
      <c r="AZ2524" t="inlineStr">
        <is>
          <t>BOOK</t>
        </is>
      </c>
      <c r="BB2524" t="inlineStr">
        <is>
          <t>9780824824099</t>
        </is>
      </c>
      <c r="BC2524" t="inlineStr">
        <is>
          <t>32285004654603</t>
        </is>
      </c>
      <c r="BD2524" t="inlineStr">
        <is>
          <t>893800363</t>
        </is>
      </c>
    </row>
    <row r="2525">
      <c r="A2525" t="inlineStr">
        <is>
          <t>No</t>
        </is>
      </c>
      <c r="B2525" t="inlineStr">
        <is>
          <t>DS872.A7 N34 1988</t>
        </is>
      </c>
      <c r="C2525" t="inlineStr">
        <is>
          <t>0                      DS 0872000A  7                  N  34          1988</t>
        </is>
      </c>
      <c r="D2525" t="inlineStr">
        <is>
          <t>Shogunal politics : Arai Hakuseki and the premises of Tokugawa rule / Kate Wildman Nakai.</t>
        </is>
      </c>
      <c r="F2525" t="inlineStr">
        <is>
          <t>No</t>
        </is>
      </c>
      <c r="G2525" t="inlineStr">
        <is>
          <t>1</t>
        </is>
      </c>
      <c r="H2525" t="inlineStr">
        <is>
          <t>No</t>
        </is>
      </c>
      <c r="I2525" t="inlineStr">
        <is>
          <t>No</t>
        </is>
      </c>
      <c r="J2525" t="inlineStr">
        <is>
          <t>0</t>
        </is>
      </c>
      <c r="K2525" t="inlineStr">
        <is>
          <t>Nakai, Kate Wildman.</t>
        </is>
      </c>
      <c r="L2525" t="inlineStr">
        <is>
          <t>Cambridge, Mass. : Council on East Asian Studies, Harvard University : Distributed by Harvard University Press, 1988.</t>
        </is>
      </c>
      <c r="M2525" t="inlineStr">
        <is>
          <t>1988</t>
        </is>
      </c>
      <c r="O2525" t="inlineStr">
        <is>
          <t>eng</t>
        </is>
      </c>
      <c r="P2525" t="inlineStr">
        <is>
          <t>mau</t>
        </is>
      </c>
      <c r="Q2525" t="inlineStr">
        <is>
          <t>Harvard East Asian monographs ; 134</t>
        </is>
      </c>
      <c r="R2525" t="inlineStr">
        <is>
          <t xml:space="preserve">DS </t>
        </is>
      </c>
      <c r="S2525" t="n">
        <v>6</v>
      </c>
      <c r="T2525" t="n">
        <v>6</v>
      </c>
      <c r="U2525" t="inlineStr">
        <is>
          <t>2001-04-10</t>
        </is>
      </c>
      <c r="V2525" t="inlineStr">
        <is>
          <t>2001-04-10</t>
        </is>
      </c>
      <c r="W2525" t="inlineStr">
        <is>
          <t>1999-03-10</t>
        </is>
      </c>
      <c r="X2525" t="inlineStr">
        <is>
          <t>1999-03-10</t>
        </is>
      </c>
      <c r="Y2525" t="n">
        <v>416</v>
      </c>
      <c r="Z2525" t="n">
        <v>308</v>
      </c>
      <c r="AA2525" t="n">
        <v>346</v>
      </c>
      <c r="AB2525" t="n">
        <v>2</v>
      </c>
      <c r="AC2525" t="n">
        <v>3</v>
      </c>
      <c r="AD2525" t="n">
        <v>14</v>
      </c>
      <c r="AE2525" t="n">
        <v>21</v>
      </c>
      <c r="AF2525" t="n">
        <v>4</v>
      </c>
      <c r="AG2525" t="n">
        <v>9</v>
      </c>
      <c r="AH2525" t="n">
        <v>5</v>
      </c>
      <c r="AI2525" t="n">
        <v>6</v>
      </c>
      <c r="AJ2525" t="n">
        <v>8</v>
      </c>
      <c r="AK2525" t="n">
        <v>9</v>
      </c>
      <c r="AL2525" t="n">
        <v>1</v>
      </c>
      <c r="AM2525" t="n">
        <v>2</v>
      </c>
      <c r="AN2525" t="n">
        <v>0</v>
      </c>
      <c r="AO2525" t="n">
        <v>0</v>
      </c>
      <c r="AP2525" t="inlineStr">
        <is>
          <t>No</t>
        </is>
      </c>
      <c r="AQ2525" t="inlineStr">
        <is>
          <t>Yes</t>
        </is>
      </c>
      <c r="AR2525">
        <f>HYPERLINK("http://catalog.hathitrust.org/Record/000951836","HathiTrust Record")</f>
        <v/>
      </c>
      <c r="AS2525">
        <f>HYPERLINK("https://creighton-primo.hosted.exlibrisgroup.com/primo-explore/search?tab=default_tab&amp;search_scope=EVERYTHING&amp;vid=01CRU&amp;lang=en_US&amp;offset=0&amp;query=any,contains,991001178009702656","Catalog Record")</f>
        <v/>
      </c>
      <c r="AT2525">
        <f>HYPERLINK("http://www.worldcat.org/oclc/17105058","WorldCat Record")</f>
        <v/>
      </c>
      <c r="AU2525" t="inlineStr">
        <is>
          <t>38893742:eng</t>
        </is>
      </c>
      <c r="AV2525" t="inlineStr">
        <is>
          <t>17105058</t>
        </is>
      </c>
      <c r="AW2525" t="inlineStr">
        <is>
          <t>991001178009702656</t>
        </is>
      </c>
      <c r="AX2525" t="inlineStr">
        <is>
          <t>991001178009702656</t>
        </is>
      </c>
      <c r="AY2525" t="inlineStr">
        <is>
          <t>2267313520002656</t>
        </is>
      </c>
      <c r="AZ2525" t="inlineStr">
        <is>
          <t>BOOK</t>
        </is>
      </c>
      <c r="BB2525" t="inlineStr">
        <is>
          <t>9780674806535</t>
        </is>
      </c>
      <c r="BC2525" t="inlineStr">
        <is>
          <t>32285003530457</t>
        </is>
      </c>
      <c r="BD2525" t="inlineStr">
        <is>
          <t>893522356</t>
        </is>
      </c>
    </row>
    <row r="2526">
      <c r="A2526" t="inlineStr">
        <is>
          <t>No</t>
        </is>
      </c>
      <c r="B2526" t="inlineStr">
        <is>
          <t>DS872.T3 H34 1982</t>
        </is>
      </c>
      <c r="C2526" t="inlineStr">
        <is>
          <t>0                      DS 0872000T  3                  H  34          1982</t>
        </is>
      </c>
      <c r="D2526" t="inlineStr">
        <is>
          <t>Tanuma Okitsugu, 1719-1788 : forerunner of modern Japan / John Whitney Hall.</t>
        </is>
      </c>
      <c r="F2526" t="inlineStr">
        <is>
          <t>No</t>
        </is>
      </c>
      <c r="G2526" t="inlineStr">
        <is>
          <t>1</t>
        </is>
      </c>
      <c r="H2526" t="inlineStr">
        <is>
          <t>No</t>
        </is>
      </c>
      <c r="I2526" t="inlineStr">
        <is>
          <t>No</t>
        </is>
      </c>
      <c r="J2526" t="inlineStr">
        <is>
          <t>0</t>
        </is>
      </c>
      <c r="K2526" t="inlineStr">
        <is>
          <t>Hall, John Whitney, 1916-1997.</t>
        </is>
      </c>
      <c r="L2526" t="inlineStr">
        <is>
          <t>Westport, Conn. : Greenwood Press, [1982], c1955.</t>
        </is>
      </c>
      <c r="M2526" t="inlineStr">
        <is>
          <t>1982</t>
        </is>
      </c>
      <c r="O2526" t="inlineStr">
        <is>
          <t>eng</t>
        </is>
      </c>
      <c r="P2526" t="inlineStr">
        <is>
          <t>ctu</t>
        </is>
      </c>
      <c r="Q2526" t="inlineStr">
        <is>
          <t>Harvard-Yenching Institute monograph series ; 14</t>
        </is>
      </c>
      <c r="R2526" t="inlineStr">
        <is>
          <t xml:space="preserve">DS </t>
        </is>
      </c>
      <c r="S2526" t="n">
        <v>4</v>
      </c>
      <c r="T2526" t="n">
        <v>4</v>
      </c>
      <c r="U2526" t="inlineStr">
        <is>
          <t>1996-06-21</t>
        </is>
      </c>
      <c r="V2526" t="inlineStr">
        <is>
          <t>1996-06-21</t>
        </is>
      </c>
      <c r="W2526" t="inlineStr">
        <is>
          <t>1990-10-30</t>
        </is>
      </c>
      <c r="X2526" t="inlineStr">
        <is>
          <t>1990-10-30</t>
        </is>
      </c>
      <c r="Y2526" t="n">
        <v>60</v>
      </c>
      <c r="Z2526" t="n">
        <v>48</v>
      </c>
      <c r="AA2526" t="n">
        <v>365</v>
      </c>
      <c r="AB2526" t="n">
        <v>2</v>
      </c>
      <c r="AC2526" t="n">
        <v>3</v>
      </c>
      <c r="AD2526" t="n">
        <v>5</v>
      </c>
      <c r="AE2526" t="n">
        <v>16</v>
      </c>
      <c r="AF2526" t="n">
        <v>2</v>
      </c>
      <c r="AG2526" t="n">
        <v>7</v>
      </c>
      <c r="AH2526" t="n">
        <v>0</v>
      </c>
      <c r="AI2526" t="n">
        <v>5</v>
      </c>
      <c r="AJ2526" t="n">
        <v>3</v>
      </c>
      <c r="AK2526" t="n">
        <v>9</v>
      </c>
      <c r="AL2526" t="n">
        <v>1</v>
      </c>
      <c r="AM2526" t="n">
        <v>2</v>
      </c>
      <c r="AN2526" t="n">
        <v>0</v>
      </c>
      <c r="AO2526" t="n">
        <v>0</v>
      </c>
      <c r="AP2526" t="inlineStr">
        <is>
          <t>No</t>
        </is>
      </c>
      <c r="AQ2526" t="inlineStr">
        <is>
          <t>No</t>
        </is>
      </c>
      <c r="AS2526">
        <f>HYPERLINK("https://creighton-primo.hosted.exlibrisgroup.com/primo-explore/search?tab=default_tab&amp;search_scope=EVERYTHING&amp;vid=01CRU&amp;lang=en_US&amp;offset=0&amp;query=any,contains,991005212389702656","Catalog Record")</f>
        <v/>
      </c>
      <c r="AT2526">
        <f>HYPERLINK("http://www.worldcat.org/oclc/8170365","WorldCat Record")</f>
        <v/>
      </c>
      <c r="AU2526" t="inlineStr">
        <is>
          <t>692043312:eng</t>
        </is>
      </c>
      <c r="AV2526" t="inlineStr">
        <is>
          <t>8170365</t>
        </is>
      </c>
      <c r="AW2526" t="inlineStr">
        <is>
          <t>991005212389702656</t>
        </is>
      </c>
      <c r="AX2526" t="inlineStr">
        <is>
          <t>991005212389702656</t>
        </is>
      </c>
      <c r="AY2526" t="inlineStr">
        <is>
          <t>2256599210002656</t>
        </is>
      </c>
      <c r="AZ2526" t="inlineStr">
        <is>
          <t>BOOK</t>
        </is>
      </c>
      <c r="BB2526" t="inlineStr">
        <is>
          <t>9780313233692</t>
        </is>
      </c>
      <c r="BC2526" t="inlineStr">
        <is>
          <t>32285000370329</t>
        </is>
      </c>
      <c r="BD2526" t="inlineStr">
        <is>
          <t>893260732</t>
        </is>
      </c>
    </row>
    <row r="2527">
      <c r="A2527" t="inlineStr">
        <is>
          <t>No</t>
        </is>
      </c>
      <c r="B2527" t="inlineStr">
        <is>
          <t>DS881 .B62 1968</t>
        </is>
      </c>
      <c r="C2527" t="inlineStr">
        <is>
          <t>0                      DS 0881000B  62          1968</t>
        </is>
      </c>
      <c r="D2527" t="inlineStr">
        <is>
          <t>Young Japan: Yokohama and Yedo, 1858-79 / by John R. Black. With an introduction by Grace Fox.</t>
        </is>
      </c>
      <c r="F2527" t="inlineStr">
        <is>
          <t>Yes</t>
        </is>
      </c>
      <c r="G2527" t="inlineStr">
        <is>
          <t>1</t>
        </is>
      </c>
      <c r="H2527" t="inlineStr">
        <is>
          <t>Yes</t>
        </is>
      </c>
      <c r="I2527" t="inlineStr">
        <is>
          <t>No</t>
        </is>
      </c>
      <c r="J2527" t="inlineStr">
        <is>
          <t>0</t>
        </is>
      </c>
      <c r="K2527" t="inlineStr">
        <is>
          <t>Black, John Reddie, 1827-1880.</t>
        </is>
      </c>
      <c r="L2527" t="inlineStr">
        <is>
          <t>Tokyo ; New York : Oxford Univ. P., 1968.</t>
        </is>
      </c>
      <c r="M2527" t="inlineStr">
        <is>
          <t>1968</t>
        </is>
      </c>
      <c r="O2527" t="inlineStr">
        <is>
          <t>eng</t>
        </is>
      </c>
      <c r="P2527" t="inlineStr">
        <is>
          <t xml:space="preserve">ja </t>
        </is>
      </c>
      <c r="Q2527" t="inlineStr">
        <is>
          <t>Oxford in Asia historical reprints</t>
        </is>
      </c>
      <c r="R2527" t="inlineStr">
        <is>
          <t xml:space="preserve">DS </t>
        </is>
      </c>
      <c r="S2527" t="n">
        <v>4</v>
      </c>
      <c r="T2527" t="n">
        <v>7</v>
      </c>
      <c r="U2527" t="inlineStr">
        <is>
          <t>1996-03-29</t>
        </is>
      </c>
      <c r="V2527" t="inlineStr">
        <is>
          <t>1996-03-29</t>
        </is>
      </c>
      <c r="W2527" t="inlineStr">
        <is>
          <t>1990-10-30</t>
        </is>
      </c>
      <c r="X2527" t="inlineStr">
        <is>
          <t>1990-10-30</t>
        </is>
      </c>
      <c r="Y2527" t="n">
        <v>381</v>
      </c>
      <c r="Z2527" t="n">
        <v>320</v>
      </c>
      <c r="AA2527" t="n">
        <v>322</v>
      </c>
      <c r="AB2527" t="n">
        <v>2</v>
      </c>
      <c r="AC2527" t="n">
        <v>2</v>
      </c>
      <c r="AD2527" t="n">
        <v>14</v>
      </c>
      <c r="AE2527" t="n">
        <v>14</v>
      </c>
      <c r="AF2527" t="n">
        <v>5</v>
      </c>
      <c r="AG2527" t="n">
        <v>5</v>
      </c>
      <c r="AH2527" t="n">
        <v>4</v>
      </c>
      <c r="AI2527" t="n">
        <v>4</v>
      </c>
      <c r="AJ2527" t="n">
        <v>9</v>
      </c>
      <c r="AK2527" t="n">
        <v>9</v>
      </c>
      <c r="AL2527" t="n">
        <v>1</v>
      </c>
      <c r="AM2527" t="n">
        <v>1</v>
      </c>
      <c r="AN2527" t="n">
        <v>0</v>
      </c>
      <c r="AO2527" t="n">
        <v>0</v>
      </c>
      <c r="AP2527" t="inlineStr">
        <is>
          <t>No</t>
        </is>
      </c>
      <c r="AQ2527" t="inlineStr">
        <is>
          <t>Yes</t>
        </is>
      </c>
      <c r="AR2527">
        <f>HYPERLINK("http://catalog.hathitrust.org/Record/001604976","HathiTrust Record")</f>
        <v/>
      </c>
      <c r="AS2527">
        <f>HYPERLINK("https://creighton-primo.hosted.exlibrisgroup.com/primo-explore/search?tab=default_tab&amp;search_scope=EVERYTHING&amp;vid=01CRU&amp;lang=en_US&amp;offset=0&amp;query=any,contains,991000128169702656","Catalog Record")</f>
        <v/>
      </c>
      <c r="AT2527">
        <f>HYPERLINK("http://www.worldcat.org/oclc/52794","WorldCat Record")</f>
        <v/>
      </c>
      <c r="AU2527" t="inlineStr">
        <is>
          <t>2890490189:eng</t>
        </is>
      </c>
      <c r="AV2527" t="inlineStr">
        <is>
          <t>52794</t>
        </is>
      </c>
      <c r="AW2527" t="inlineStr">
        <is>
          <t>991000128169702656</t>
        </is>
      </c>
      <c r="AX2527" t="inlineStr">
        <is>
          <t>991000128169702656</t>
        </is>
      </c>
      <c r="AY2527" t="inlineStr">
        <is>
          <t>2259224680002656</t>
        </is>
      </c>
      <c r="AZ2527" t="inlineStr">
        <is>
          <t>BOOK</t>
        </is>
      </c>
      <c r="BC2527" t="inlineStr">
        <is>
          <t>32285000370337</t>
        </is>
      </c>
      <c r="BD2527" t="inlineStr">
        <is>
          <t>893796442</t>
        </is>
      </c>
    </row>
    <row r="2528">
      <c r="A2528" t="inlineStr">
        <is>
          <t>No</t>
        </is>
      </c>
      <c r="B2528" t="inlineStr">
        <is>
          <t>DS881 .B62 1968 V.2</t>
        </is>
      </c>
      <c r="C2528" t="inlineStr">
        <is>
          <t>0                      DS 0881000B  62          1968                                        V.2</t>
        </is>
      </c>
      <c r="D2528" t="inlineStr">
        <is>
          <t>Young Japan: Yokohama and Yedo, 1858-79 / by John R. Black. With an introduction by Grace Fox.</t>
        </is>
      </c>
      <c r="E2528" t="inlineStr">
        <is>
          <t>V.2*</t>
        </is>
      </c>
      <c r="F2528" t="inlineStr">
        <is>
          <t>Yes</t>
        </is>
      </c>
      <c r="G2528" t="inlineStr">
        <is>
          <t>1</t>
        </is>
      </c>
      <c r="H2528" t="inlineStr">
        <is>
          <t>No</t>
        </is>
      </c>
      <c r="I2528" t="inlineStr">
        <is>
          <t>No</t>
        </is>
      </c>
      <c r="J2528" t="inlineStr">
        <is>
          <t>0</t>
        </is>
      </c>
      <c r="K2528" t="inlineStr">
        <is>
          <t>Black, John Reddie, 1827-1880.</t>
        </is>
      </c>
      <c r="L2528" t="inlineStr">
        <is>
          <t>Tokyo ; New York : Oxford Univ. P., 1968.</t>
        </is>
      </c>
      <c r="M2528" t="inlineStr">
        <is>
          <t>1968</t>
        </is>
      </c>
      <c r="O2528" t="inlineStr">
        <is>
          <t>eng</t>
        </is>
      </c>
      <c r="P2528" t="inlineStr">
        <is>
          <t xml:space="preserve">ja </t>
        </is>
      </c>
      <c r="Q2528" t="inlineStr">
        <is>
          <t>Oxford in Asia historical reprints</t>
        </is>
      </c>
      <c r="R2528" t="inlineStr">
        <is>
          <t xml:space="preserve">DS </t>
        </is>
      </c>
      <c r="S2528" t="n">
        <v>3</v>
      </c>
      <c r="T2528" t="n">
        <v>7</v>
      </c>
      <c r="U2528" t="inlineStr">
        <is>
          <t>1996-03-29</t>
        </is>
      </c>
      <c r="V2528" t="inlineStr">
        <is>
          <t>1996-03-29</t>
        </is>
      </c>
      <c r="W2528" t="inlineStr">
        <is>
          <t>1990-10-30</t>
        </is>
      </c>
      <c r="X2528" t="inlineStr">
        <is>
          <t>1990-10-30</t>
        </is>
      </c>
      <c r="Y2528" t="n">
        <v>381</v>
      </c>
      <c r="Z2528" t="n">
        <v>320</v>
      </c>
      <c r="AA2528" t="n">
        <v>322</v>
      </c>
      <c r="AB2528" t="n">
        <v>2</v>
      </c>
      <c r="AC2528" t="n">
        <v>2</v>
      </c>
      <c r="AD2528" t="n">
        <v>14</v>
      </c>
      <c r="AE2528" t="n">
        <v>14</v>
      </c>
      <c r="AF2528" t="n">
        <v>5</v>
      </c>
      <c r="AG2528" t="n">
        <v>5</v>
      </c>
      <c r="AH2528" t="n">
        <v>4</v>
      </c>
      <c r="AI2528" t="n">
        <v>4</v>
      </c>
      <c r="AJ2528" t="n">
        <v>9</v>
      </c>
      <c r="AK2528" t="n">
        <v>9</v>
      </c>
      <c r="AL2528" t="n">
        <v>1</v>
      </c>
      <c r="AM2528" t="n">
        <v>1</v>
      </c>
      <c r="AN2528" t="n">
        <v>0</v>
      </c>
      <c r="AO2528" t="n">
        <v>0</v>
      </c>
      <c r="AP2528" t="inlineStr">
        <is>
          <t>No</t>
        </is>
      </c>
      <c r="AQ2528" t="inlineStr">
        <is>
          <t>Yes</t>
        </is>
      </c>
      <c r="AR2528">
        <f>HYPERLINK("http://catalog.hathitrust.org/Record/001604976","HathiTrust Record")</f>
        <v/>
      </c>
      <c r="AS2528">
        <f>HYPERLINK("https://creighton-primo.hosted.exlibrisgroup.com/primo-explore/search?tab=default_tab&amp;search_scope=EVERYTHING&amp;vid=01CRU&amp;lang=en_US&amp;offset=0&amp;query=any,contains,991000128169702656","Catalog Record")</f>
        <v/>
      </c>
      <c r="AT2528">
        <f>HYPERLINK("http://www.worldcat.org/oclc/52794","WorldCat Record")</f>
        <v/>
      </c>
      <c r="AU2528" t="inlineStr">
        <is>
          <t>2890490189:eng</t>
        </is>
      </c>
      <c r="AV2528" t="inlineStr">
        <is>
          <t>52794</t>
        </is>
      </c>
      <c r="AW2528" t="inlineStr">
        <is>
          <t>991000128169702656</t>
        </is>
      </c>
      <c r="AX2528" t="inlineStr">
        <is>
          <t>991000128169702656</t>
        </is>
      </c>
      <c r="AY2528" t="inlineStr">
        <is>
          <t>2259224680002656</t>
        </is>
      </c>
      <c r="AZ2528" t="inlineStr">
        <is>
          <t>BOOK</t>
        </is>
      </c>
      <c r="BC2528" t="inlineStr">
        <is>
          <t>32285000370345</t>
        </is>
      </c>
      <c r="BD2528" t="inlineStr">
        <is>
          <t>893783996</t>
        </is>
      </c>
    </row>
    <row r="2529">
      <c r="A2529" t="inlineStr">
        <is>
          <t>No</t>
        </is>
      </c>
      <c r="B2529" t="inlineStr">
        <is>
          <t>DS881 .H36 2001</t>
        </is>
      </c>
      <c r="C2529" t="inlineStr">
        <is>
          <t>0                      DS 0881000H  36          2001</t>
        </is>
      </c>
      <c r="D2529" t="inlineStr">
        <is>
          <t>Modern Japan : a historical survey / Mikiso Hane.</t>
        </is>
      </c>
      <c r="F2529" t="inlineStr">
        <is>
          <t>No</t>
        </is>
      </c>
      <c r="G2529" t="inlineStr">
        <is>
          <t>1</t>
        </is>
      </c>
      <c r="H2529" t="inlineStr">
        <is>
          <t>No</t>
        </is>
      </c>
      <c r="I2529" t="inlineStr">
        <is>
          <t>No</t>
        </is>
      </c>
      <c r="J2529" t="inlineStr">
        <is>
          <t>0</t>
        </is>
      </c>
      <c r="K2529" t="inlineStr">
        <is>
          <t>Hane, Mikiso.</t>
        </is>
      </c>
      <c r="L2529" t="inlineStr">
        <is>
          <t>Boulder, Colo. : Westview Press, c2001.</t>
        </is>
      </c>
      <c r="M2529" t="inlineStr">
        <is>
          <t>2001</t>
        </is>
      </c>
      <c r="N2529" t="inlineStr">
        <is>
          <t>3rd ed.</t>
        </is>
      </c>
      <c r="O2529" t="inlineStr">
        <is>
          <t>eng</t>
        </is>
      </c>
      <c r="P2529" t="inlineStr">
        <is>
          <t>cou</t>
        </is>
      </c>
      <c r="R2529" t="inlineStr">
        <is>
          <t xml:space="preserve">DS </t>
        </is>
      </c>
      <c r="S2529" t="n">
        <v>8</v>
      </c>
      <c r="T2529" t="n">
        <v>8</v>
      </c>
      <c r="U2529" t="inlineStr">
        <is>
          <t>2008-03-26</t>
        </is>
      </c>
      <c r="V2529" t="inlineStr">
        <is>
          <t>2008-03-26</t>
        </is>
      </c>
      <c r="W2529" t="inlineStr">
        <is>
          <t>2001-10-16</t>
        </is>
      </c>
      <c r="X2529" t="inlineStr">
        <is>
          <t>2001-10-16</t>
        </is>
      </c>
      <c r="Y2529" t="n">
        <v>320</v>
      </c>
      <c r="Z2529" t="n">
        <v>238</v>
      </c>
      <c r="AA2529" t="n">
        <v>1214</v>
      </c>
      <c r="AB2529" t="n">
        <v>3</v>
      </c>
      <c r="AC2529" t="n">
        <v>7</v>
      </c>
      <c r="AD2529" t="n">
        <v>14</v>
      </c>
      <c r="AE2529" t="n">
        <v>48</v>
      </c>
      <c r="AF2529" t="n">
        <v>6</v>
      </c>
      <c r="AG2529" t="n">
        <v>23</v>
      </c>
      <c r="AH2529" t="n">
        <v>3</v>
      </c>
      <c r="AI2529" t="n">
        <v>10</v>
      </c>
      <c r="AJ2529" t="n">
        <v>10</v>
      </c>
      <c r="AK2529" t="n">
        <v>22</v>
      </c>
      <c r="AL2529" t="n">
        <v>2</v>
      </c>
      <c r="AM2529" t="n">
        <v>6</v>
      </c>
      <c r="AN2529" t="n">
        <v>0</v>
      </c>
      <c r="AO2529" t="n">
        <v>0</v>
      </c>
      <c r="AP2529" t="inlineStr">
        <is>
          <t>No</t>
        </is>
      </c>
      <c r="AQ2529" t="inlineStr">
        <is>
          <t>Yes</t>
        </is>
      </c>
      <c r="AR2529">
        <f>HYPERLINK("http://catalog.hathitrust.org/Record/004159629","HathiTrust Record")</f>
        <v/>
      </c>
      <c r="AS2529">
        <f>HYPERLINK("https://creighton-primo.hosted.exlibrisgroup.com/primo-explore/search?tab=default_tab&amp;search_scope=EVERYTHING&amp;vid=01CRU&amp;lang=en_US&amp;offset=0&amp;query=any,contains,991003632909702656","Catalog Record")</f>
        <v/>
      </c>
      <c r="AT2529">
        <f>HYPERLINK("http://www.worldcat.org/oclc/45100139","WorldCat Record")</f>
        <v/>
      </c>
      <c r="AU2529" t="inlineStr">
        <is>
          <t>4924341023:eng</t>
        </is>
      </c>
      <c r="AV2529" t="inlineStr">
        <is>
          <t>45100139</t>
        </is>
      </c>
      <c r="AW2529" t="inlineStr">
        <is>
          <t>991003632909702656</t>
        </is>
      </c>
      <c r="AX2529" t="inlineStr">
        <is>
          <t>991003632909702656</t>
        </is>
      </c>
      <c r="AY2529" t="inlineStr">
        <is>
          <t>2269683200002656</t>
        </is>
      </c>
      <c r="AZ2529" t="inlineStr">
        <is>
          <t>BOOK</t>
        </is>
      </c>
      <c r="BB2529" t="inlineStr">
        <is>
          <t>9780813337562</t>
        </is>
      </c>
      <c r="BC2529" t="inlineStr">
        <is>
          <t>32285004397351</t>
        </is>
      </c>
      <c r="BD2529" t="inlineStr">
        <is>
          <t>893512166</t>
        </is>
      </c>
    </row>
    <row r="2530">
      <c r="A2530" t="inlineStr">
        <is>
          <t>No</t>
        </is>
      </c>
      <c r="B2530" t="inlineStr">
        <is>
          <t>DS881.3 .C66 1982</t>
        </is>
      </c>
      <c r="C2530" t="inlineStr">
        <is>
          <t>0                      DS 0881300C  66          1982</t>
        </is>
      </c>
      <c r="D2530" t="inlineStr">
        <is>
          <t>Conflict in modern Japanese history : the neglected tradition / edited by Tetsuo Najita and J. Victor Koschmann.</t>
        </is>
      </c>
      <c r="F2530" t="inlineStr">
        <is>
          <t>No</t>
        </is>
      </c>
      <c r="G2530" t="inlineStr">
        <is>
          <t>1</t>
        </is>
      </c>
      <c r="H2530" t="inlineStr">
        <is>
          <t>No</t>
        </is>
      </c>
      <c r="I2530" t="inlineStr">
        <is>
          <t>No</t>
        </is>
      </c>
      <c r="J2530" t="inlineStr">
        <is>
          <t>0</t>
        </is>
      </c>
      <c r="L2530" t="inlineStr">
        <is>
          <t>Princeton, N.J. : Princeton University Press, c1982.</t>
        </is>
      </c>
      <c r="M2530" t="inlineStr">
        <is>
          <t>1982</t>
        </is>
      </c>
      <c r="O2530" t="inlineStr">
        <is>
          <t>eng</t>
        </is>
      </c>
      <c r="P2530" t="inlineStr">
        <is>
          <t>nju</t>
        </is>
      </c>
      <c r="R2530" t="inlineStr">
        <is>
          <t xml:space="preserve">DS </t>
        </is>
      </c>
      <c r="S2530" t="n">
        <v>4</v>
      </c>
      <c r="T2530" t="n">
        <v>4</v>
      </c>
      <c r="U2530" t="inlineStr">
        <is>
          <t>1999-11-21</t>
        </is>
      </c>
      <c r="V2530" t="inlineStr">
        <is>
          <t>1999-11-21</t>
        </is>
      </c>
      <c r="W2530" t="inlineStr">
        <is>
          <t>1990-10-30</t>
        </is>
      </c>
      <c r="X2530" t="inlineStr">
        <is>
          <t>1990-10-30</t>
        </is>
      </c>
      <c r="Y2530" t="n">
        <v>526</v>
      </c>
      <c r="Z2530" t="n">
        <v>377</v>
      </c>
      <c r="AA2530" t="n">
        <v>390</v>
      </c>
      <c r="AB2530" t="n">
        <v>4</v>
      </c>
      <c r="AC2530" t="n">
        <v>4</v>
      </c>
      <c r="AD2530" t="n">
        <v>21</v>
      </c>
      <c r="AE2530" t="n">
        <v>21</v>
      </c>
      <c r="AF2530" t="n">
        <v>9</v>
      </c>
      <c r="AG2530" t="n">
        <v>9</v>
      </c>
      <c r="AH2530" t="n">
        <v>4</v>
      </c>
      <c r="AI2530" t="n">
        <v>4</v>
      </c>
      <c r="AJ2530" t="n">
        <v>13</v>
      </c>
      <c r="AK2530" t="n">
        <v>13</v>
      </c>
      <c r="AL2530" t="n">
        <v>3</v>
      </c>
      <c r="AM2530" t="n">
        <v>3</v>
      </c>
      <c r="AN2530" t="n">
        <v>0</v>
      </c>
      <c r="AO2530" t="n">
        <v>0</v>
      </c>
      <c r="AP2530" t="inlineStr">
        <is>
          <t>No</t>
        </is>
      </c>
      <c r="AQ2530" t="inlineStr">
        <is>
          <t>No</t>
        </is>
      </c>
      <c r="AS2530">
        <f>HYPERLINK("https://creighton-primo.hosted.exlibrisgroup.com/primo-explore/search?tab=default_tab&amp;search_scope=EVERYTHING&amp;vid=01CRU&amp;lang=en_US&amp;offset=0&amp;query=any,contains,991005227929702656","Catalog Record")</f>
        <v/>
      </c>
      <c r="AT2530">
        <f>HYPERLINK("http://www.worldcat.org/oclc/8284272","WorldCat Record")</f>
        <v/>
      </c>
      <c r="AU2530" t="inlineStr">
        <is>
          <t>345988769:eng</t>
        </is>
      </c>
      <c r="AV2530" t="inlineStr">
        <is>
          <t>8284272</t>
        </is>
      </c>
      <c r="AW2530" t="inlineStr">
        <is>
          <t>991005227929702656</t>
        </is>
      </c>
      <c r="AX2530" t="inlineStr">
        <is>
          <t>991005227929702656</t>
        </is>
      </c>
      <c r="AY2530" t="inlineStr">
        <is>
          <t>2267856900002656</t>
        </is>
      </c>
      <c r="AZ2530" t="inlineStr">
        <is>
          <t>BOOK</t>
        </is>
      </c>
      <c r="BB2530" t="inlineStr">
        <is>
          <t>9780691053646</t>
        </is>
      </c>
      <c r="BC2530" t="inlineStr">
        <is>
          <t>32285000370352</t>
        </is>
      </c>
      <c r="BD2530" t="inlineStr">
        <is>
          <t>893248578</t>
        </is>
      </c>
    </row>
    <row r="2531">
      <c r="A2531" t="inlineStr">
        <is>
          <t>No</t>
        </is>
      </c>
      <c r="B2531" t="inlineStr">
        <is>
          <t>DS881.3 .H28 1970</t>
        </is>
      </c>
      <c r="C2531" t="inlineStr">
        <is>
          <t>0                      DS 0881300H  28          1970</t>
        </is>
      </c>
      <c r="D2531" t="inlineStr">
        <is>
          <t>Toward restoration : the growth of political consciousness in Tokugawa Japan / [by] H. D. Harootunian.</t>
        </is>
      </c>
      <c r="F2531" t="inlineStr">
        <is>
          <t>No</t>
        </is>
      </c>
      <c r="G2531" t="inlineStr">
        <is>
          <t>1</t>
        </is>
      </c>
      <c r="H2531" t="inlineStr">
        <is>
          <t>No</t>
        </is>
      </c>
      <c r="I2531" t="inlineStr">
        <is>
          <t>No</t>
        </is>
      </c>
      <c r="J2531" t="inlineStr">
        <is>
          <t>0</t>
        </is>
      </c>
      <c r="K2531" t="inlineStr">
        <is>
          <t>Harootunian, Harry D., 1929-</t>
        </is>
      </c>
      <c r="L2531" t="inlineStr">
        <is>
          <t>Berkeley : University of California Press, 1970.</t>
        </is>
      </c>
      <c r="M2531" t="inlineStr">
        <is>
          <t>1970</t>
        </is>
      </c>
      <c r="O2531" t="inlineStr">
        <is>
          <t>eng</t>
        </is>
      </c>
      <c r="P2531" t="inlineStr">
        <is>
          <t>cau</t>
        </is>
      </c>
      <c r="Q2531" t="inlineStr">
        <is>
          <t>Publications of the Center for Japanese and Korean Studies</t>
        </is>
      </c>
      <c r="R2531" t="inlineStr">
        <is>
          <t xml:space="preserve">DS </t>
        </is>
      </c>
      <c r="S2531" t="n">
        <v>1</v>
      </c>
      <c r="T2531" t="n">
        <v>1</v>
      </c>
      <c r="U2531" t="inlineStr">
        <is>
          <t>2001-04-10</t>
        </is>
      </c>
      <c r="V2531" t="inlineStr">
        <is>
          <t>2001-04-10</t>
        </is>
      </c>
      <c r="W2531" t="inlineStr">
        <is>
          <t>1993-12-08</t>
        </is>
      </c>
      <c r="X2531" t="inlineStr">
        <is>
          <t>1993-12-08</t>
        </is>
      </c>
      <c r="Y2531" t="n">
        <v>781</v>
      </c>
      <c r="Z2531" t="n">
        <v>631</v>
      </c>
      <c r="AA2531" t="n">
        <v>645</v>
      </c>
      <c r="AB2531" t="n">
        <v>7</v>
      </c>
      <c r="AC2531" t="n">
        <v>7</v>
      </c>
      <c r="AD2531" t="n">
        <v>32</v>
      </c>
      <c r="AE2531" t="n">
        <v>32</v>
      </c>
      <c r="AF2531" t="n">
        <v>10</v>
      </c>
      <c r="AG2531" t="n">
        <v>10</v>
      </c>
      <c r="AH2531" t="n">
        <v>7</v>
      </c>
      <c r="AI2531" t="n">
        <v>7</v>
      </c>
      <c r="AJ2531" t="n">
        <v>16</v>
      </c>
      <c r="AK2531" t="n">
        <v>16</v>
      </c>
      <c r="AL2531" t="n">
        <v>6</v>
      </c>
      <c r="AM2531" t="n">
        <v>6</v>
      </c>
      <c r="AN2531" t="n">
        <v>0</v>
      </c>
      <c r="AO2531" t="n">
        <v>0</v>
      </c>
      <c r="AP2531" t="inlineStr">
        <is>
          <t>No</t>
        </is>
      </c>
      <c r="AQ2531" t="inlineStr">
        <is>
          <t>No</t>
        </is>
      </c>
      <c r="AS2531">
        <f>HYPERLINK("https://creighton-primo.hosted.exlibrisgroup.com/primo-explore/search?tab=default_tab&amp;search_scope=EVERYTHING&amp;vid=01CRU&amp;lang=en_US&amp;offset=0&amp;query=any,contains,991000446389702656","Catalog Record")</f>
        <v/>
      </c>
      <c r="AT2531">
        <f>HYPERLINK("http://www.worldcat.org/oclc/76627","WorldCat Record")</f>
        <v/>
      </c>
      <c r="AU2531" t="inlineStr">
        <is>
          <t>1250420:eng</t>
        </is>
      </c>
      <c r="AV2531" t="inlineStr">
        <is>
          <t>76627</t>
        </is>
      </c>
      <c r="AW2531" t="inlineStr">
        <is>
          <t>991000446389702656</t>
        </is>
      </c>
      <c r="AX2531" t="inlineStr">
        <is>
          <t>991000446389702656</t>
        </is>
      </c>
      <c r="AY2531" t="inlineStr">
        <is>
          <t>2256885680002656</t>
        </is>
      </c>
      <c r="AZ2531" t="inlineStr">
        <is>
          <t>BOOK</t>
        </is>
      </c>
      <c r="BB2531" t="inlineStr">
        <is>
          <t>9780520015661</t>
        </is>
      </c>
      <c r="BC2531" t="inlineStr">
        <is>
          <t>32285001806222</t>
        </is>
      </c>
      <c r="BD2531" t="inlineStr">
        <is>
          <t>893884385</t>
        </is>
      </c>
    </row>
    <row r="2532">
      <c r="A2532" t="inlineStr">
        <is>
          <t>No</t>
        </is>
      </c>
      <c r="B2532" t="inlineStr">
        <is>
          <t>DS881.3 .J28</t>
        </is>
      </c>
      <c r="C2532" t="inlineStr">
        <is>
          <t>0                      DS 0881300J  28</t>
        </is>
      </c>
      <c r="D2532" t="inlineStr">
        <is>
          <t>Sakamoto Ryōma and the Meiji Restoration.</t>
        </is>
      </c>
      <c r="F2532" t="inlineStr">
        <is>
          <t>No</t>
        </is>
      </c>
      <c r="G2532" t="inlineStr">
        <is>
          <t>1</t>
        </is>
      </c>
      <c r="H2532" t="inlineStr">
        <is>
          <t>No</t>
        </is>
      </c>
      <c r="I2532" t="inlineStr">
        <is>
          <t>Yes</t>
        </is>
      </c>
      <c r="J2532" t="inlineStr">
        <is>
          <t>0</t>
        </is>
      </c>
      <c r="K2532" t="inlineStr">
        <is>
          <t>Jansen, Marius B.</t>
        </is>
      </c>
      <c r="L2532" t="inlineStr">
        <is>
          <t>Princeton, N.J. : Princeton University Press, 1961.</t>
        </is>
      </c>
      <c r="M2532" t="inlineStr">
        <is>
          <t>1961</t>
        </is>
      </c>
      <c r="O2532" t="inlineStr">
        <is>
          <t>eng</t>
        </is>
      </c>
      <c r="P2532" t="inlineStr">
        <is>
          <t>nju</t>
        </is>
      </c>
      <c r="R2532" t="inlineStr">
        <is>
          <t xml:space="preserve">DS </t>
        </is>
      </c>
      <c r="S2532" t="n">
        <v>4</v>
      </c>
      <c r="T2532" t="n">
        <v>4</v>
      </c>
      <c r="U2532" t="inlineStr">
        <is>
          <t>1999-11-21</t>
        </is>
      </c>
      <c r="V2532" t="inlineStr">
        <is>
          <t>1999-11-21</t>
        </is>
      </c>
      <c r="W2532" t="inlineStr">
        <is>
          <t>1993-09-03</t>
        </is>
      </c>
      <c r="X2532" t="inlineStr">
        <is>
          <t>1993-09-03</t>
        </is>
      </c>
      <c r="Y2532" t="n">
        <v>581</v>
      </c>
      <c r="Z2532" t="n">
        <v>483</v>
      </c>
      <c r="AA2532" t="n">
        <v>920</v>
      </c>
      <c r="AB2532" t="n">
        <v>3</v>
      </c>
      <c r="AC2532" t="n">
        <v>5</v>
      </c>
      <c r="AD2532" t="n">
        <v>21</v>
      </c>
      <c r="AE2532" t="n">
        <v>44</v>
      </c>
      <c r="AF2532" t="n">
        <v>8</v>
      </c>
      <c r="AG2532" t="n">
        <v>24</v>
      </c>
      <c r="AH2532" t="n">
        <v>6</v>
      </c>
      <c r="AI2532" t="n">
        <v>9</v>
      </c>
      <c r="AJ2532" t="n">
        <v>10</v>
      </c>
      <c r="AK2532" t="n">
        <v>20</v>
      </c>
      <c r="AL2532" t="n">
        <v>2</v>
      </c>
      <c r="AM2532" t="n">
        <v>4</v>
      </c>
      <c r="AN2532" t="n">
        <v>0</v>
      </c>
      <c r="AO2532" t="n">
        <v>0</v>
      </c>
      <c r="AP2532" t="inlineStr">
        <is>
          <t>No</t>
        </is>
      </c>
      <c r="AQ2532" t="inlineStr">
        <is>
          <t>Yes</t>
        </is>
      </c>
      <c r="AR2532">
        <f>HYPERLINK("http://catalog.hathitrust.org/Record/001606393","HathiTrust Record")</f>
        <v/>
      </c>
      <c r="AS2532">
        <f>HYPERLINK("https://creighton-primo.hosted.exlibrisgroup.com/primo-explore/search?tab=default_tab&amp;search_scope=EVERYTHING&amp;vid=01CRU&amp;lang=en_US&amp;offset=0&amp;query=any,contains,991002722539702656","Catalog Record")</f>
        <v/>
      </c>
      <c r="AT2532">
        <f>HYPERLINK("http://www.worldcat.org/oclc/413111","WorldCat Record")</f>
        <v/>
      </c>
      <c r="AU2532" t="inlineStr">
        <is>
          <t>1251009:eng</t>
        </is>
      </c>
      <c r="AV2532" t="inlineStr">
        <is>
          <t>413111</t>
        </is>
      </c>
      <c r="AW2532" t="inlineStr">
        <is>
          <t>991002722539702656</t>
        </is>
      </c>
      <c r="AX2532" t="inlineStr">
        <is>
          <t>991002722539702656</t>
        </is>
      </c>
      <c r="AY2532" t="inlineStr">
        <is>
          <t>2268271530002656</t>
        </is>
      </c>
      <c r="AZ2532" t="inlineStr">
        <is>
          <t>BOOK</t>
        </is>
      </c>
      <c r="BC2532" t="inlineStr">
        <is>
          <t>32285001763233</t>
        </is>
      </c>
      <c r="BD2532" t="inlineStr">
        <is>
          <t>893504743</t>
        </is>
      </c>
    </row>
    <row r="2533">
      <c r="A2533" t="inlineStr">
        <is>
          <t>No</t>
        </is>
      </c>
      <c r="B2533" t="inlineStr">
        <is>
          <t>DS881.3 .J28 1994</t>
        </is>
      </c>
      <c r="C2533" t="inlineStr">
        <is>
          <t>0                      DS 0881300J  28          1994</t>
        </is>
      </c>
      <c r="D2533" t="inlineStr">
        <is>
          <t>Sakamoto Ryōma and the Meiji restoration / by Marius B. Jansen.</t>
        </is>
      </c>
      <c r="F2533" t="inlineStr">
        <is>
          <t>No</t>
        </is>
      </c>
      <c r="G2533" t="inlineStr">
        <is>
          <t>1</t>
        </is>
      </c>
      <c r="H2533" t="inlineStr">
        <is>
          <t>No</t>
        </is>
      </c>
      <c r="I2533" t="inlineStr">
        <is>
          <t>Yes</t>
        </is>
      </c>
      <c r="J2533" t="inlineStr">
        <is>
          <t>0</t>
        </is>
      </c>
      <c r="K2533" t="inlineStr">
        <is>
          <t>Jansen, Marius B.</t>
        </is>
      </c>
      <c r="L2533" t="inlineStr">
        <is>
          <t>New York : Columbia University Press, c1994.</t>
        </is>
      </c>
      <c r="M2533" t="inlineStr">
        <is>
          <t>1994</t>
        </is>
      </c>
      <c r="N2533" t="inlineStr">
        <is>
          <t>Morningside ed.</t>
        </is>
      </c>
      <c r="O2533" t="inlineStr">
        <is>
          <t>eng</t>
        </is>
      </c>
      <c r="P2533" t="inlineStr">
        <is>
          <t>nyu</t>
        </is>
      </c>
      <c r="R2533" t="inlineStr">
        <is>
          <t xml:space="preserve">DS </t>
        </is>
      </c>
      <c r="S2533" t="n">
        <v>1</v>
      </c>
      <c r="T2533" t="n">
        <v>1</v>
      </c>
      <c r="U2533" t="inlineStr">
        <is>
          <t>2009-04-02</t>
        </is>
      </c>
      <c r="V2533" t="inlineStr">
        <is>
          <t>2009-04-02</t>
        </is>
      </c>
      <c r="W2533" t="inlineStr">
        <is>
          <t>2009-04-02</t>
        </is>
      </c>
      <c r="X2533" t="inlineStr">
        <is>
          <t>2009-04-02</t>
        </is>
      </c>
      <c r="Y2533" t="n">
        <v>273</v>
      </c>
      <c r="Z2533" t="n">
        <v>203</v>
      </c>
      <c r="AA2533" t="n">
        <v>920</v>
      </c>
      <c r="AB2533" t="n">
        <v>1</v>
      </c>
      <c r="AC2533" t="n">
        <v>5</v>
      </c>
      <c r="AD2533" t="n">
        <v>10</v>
      </c>
      <c r="AE2533" t="n">
        <v>44</v>
      </c>
      <c r="AF2533" t="n">
        <v>5</v>
      </c>
      <c r="AG2533" t="n">
        <v>24</v>
      </c>
      <c r="AH2533" t="n">
        <v>3</v>
      </c>
      <c r="AI2533" t="n">
        <v>9</v>
      </c>
      <c r="AJ2533" t="n">
        <v>6</v>
      </c>
      <c r="AK2533" t="n">
        <v>20</v>
      </c>
      <c r="AL2533" t="n">
        <v>0</v>
      </c>
      <c r="AM2533" t="n">
        <v>4</v>
      </c>
      <c r="AN2533" t="n">
        <v>0</v>
      </c>
      <c r="AO2533" t="n">
        <v>0</v>
      </c>
      <c r="AP2533" t="inlineStr">
        <is>
          <t>No</t>
        </is>
      </c>
      <c r="AQ2533" t="inlineStr">
        <is>
          <t>No</t>
        </is>
      </c>
      <c r="AS2533">
        <f>HYPERLINK("https://creighton-primo.hosted.exlibrisgroup.com/primo-explore/search?tab=default_tab&amp;search_scope=EVERYTHING&amp;vid=01CRU&amp;lang=en_US&amp;offset=0&amp;query=any,contains,991005307569702656","Catalog Record")</f>
        <v/>
      </c>
      <c r="AT2533">
        <f>HYPERLINK("http://www.worldcat.org/oclc/31374601","WorldCat Record")</f>
        <v/>
      </c>
      <c r="AU2533" t="inlineStr">
        <is>
          <t>1251009:eng</t>
        </is>
      </c>
      <c r="AV2533" t="inlineStr">
        <is>
          <t>31374601</t>
        </is>
      </c>
      <c r="AW2533" t="inlineStr">
        <is>
          <t>991005307569702656</t>
        </is>
      </c>
      <c r="AX2533" t="inlineStr">
        <is>
          <t>991005307569702656</t>
        </is>
      </c>
      <c r="AY2533" t="inlineStr">
        <is>
          <t>2255196730002656</t>
        </is>
      </c>
      <c r="AZ2533" t="inlineStr">
        <is>
          <t>BOOK</t>
        </is>
      </c>
      <c r="BB2533" t="inlineStr">
        <is>
          <t>9780231101738</t>
        </is>
      </c>
      <c r="BC2533" t="inlineStr">
        <is>
          <t>32285005513287</t>
        </is>
      </c>
      <c r="BD2533" t="inlineStr">
        <is>
          <t>893332756</t>
        </is>
      </c>
    </row>
    <row r="2534">
      <c r="A2534" t="inlineStr">
        <is>
          <t>No</t>
        </is>
      </c>
      <c r="B2534" t="inlineStr">
        <is>
          <t>DS881.3 .T63</t>
        </is>
      </c>
      <c r="C2534" t="inlineStr">
        <is>
          <t>0                      DS 0881300T  63</t>
        </is>
      </c>
      <c r="D2534" t="inlineStr">
        <is>
          <t>The collapse of the Tokugawa bakufu, 1862-1868 / Conrad Totman.</t>
        </is>
      </c>
      <c r="F2534" t="inlineStr">
        <is>
          <t>No</t>
        </is>
      </c>
      <c r="G2534" t="inlineStr">
        <is>
          <t>1</t>
        </is>
      </c>
      <c r="H2534" t="inlineStr">
        <is>
          <t>No</t>
        </is>
      </c>
      <c r="I2534" t="inlineStr">
        <is>
          <t>No</t>
        </is>
      </c>
      <c r="J2534" t="inlineStr">
        <is>
          <t>0</t>
        </is>
      </c>
      <c r="K2534" t="inlineStr">
        <is>
          <t>Totman, Conrad D.</t>
        </is>
      </c>
      <c r="L2534" t="inlineStr">
        <is>
          <t>Honolulu : University Press of Hawaii, c1980.</t>
        </is>
      </c>
      <c r="M2534" t="inlineStr">
        <is>
          <t>1980</t>
        </is>
      </c>
      <c r="O2534" t="inlineStr">
        <is>
          <t>eng</t>
        </is>
      </c>
      <c r="P2534" t="inlineStr">
        <is>
          <t>hiu</t>
        </is>
      </c>
      <c r="R2534" t="inlineStr">
        <is>
          <t xml:space="preserve">DS </t>
        </is>
      </c>
      <c r="S2534" t="n">
        <v>8</v>
      </c>
      <c r="T2534" t="n">
        <v>8</v>
      </c>
      <c r="U2534" t="inlineStr">
        <is>
          <t>2005-03-24</t>
        </is>
      </c>
      <c r="V2534" t="inlineStr">
        <is>
          <t>2005-03-24</t>
        </is>
      </c>
      <c r="W2534" t="inlineStr">
        <is>
          <t>1990-10-30</t>
        </is>
      </c>
      <c r="X2534" t="inlineStr">
        <is>
          <t>1990-10-30</t>
        </is>
      </c>
      <c r="Y2534" t="n">
        <v>671</v>
      </c>
      <c r="Z2534" t="n">
        <v>537</v>
      </c>
      <c r="AA2534" t="n">
        <v>721</v>
      </c>
      <c r="AB2534" t="n">
        <v>6</v>
      </c>
      <c r="AC2534" t="n">
        <v>6</v>
      </c>
      <c r="AD2534" t="n">
        <v>32</v>
      </c>
      <c r="AE2534" t="n">
        <v>33</v>
      </c>
      <c r="AF2534" t="n">
        <v>14</v>
      </c>
      <c r="AG2534" t="n">
        <v>15</v>
      </c>
      <c r="AH2534" t="n">
        <v>6</v>
      </c>
      <c r="AI2534" t="n">
        <v>6</v>
      </c>
      <c r="AJ2534" t="n">
        <v>16</v>
      </c>
      <c r="AK2534" t="n">
        <v>16</v>
      </c>
      <c r="AL2534" t="n">
        <v>5</v>
      </c>
      <c r="AM2534" t="n">
        <v>5</v>
      </c>
      <c r="AN2534" t="n">
        <v>0</v>
      </c>
      <c r="AO2534" t="n">
        <v>0</v>
      </c>
      <c r="AP2534" t="inlineStr">
        <is>
          <t>No</t>
        </is>
      </c>
      <c r="AQ2534" t="inlineStr">
        <is>
          <t>Yes</t>
        </is>
      </c>
      <c r="AR2534">
        <f>HYPERLINK("http://catalog.hathitrust.org/Record/000031620","HathiTrust Record")</f>
        <v/>
      </c>
      <c r="AS2534">
        <f>HYPERLINK("https://creighton-primo.hosted.exlibrisgroup.com/primo-explore/search?tab=default_tab&amp;search_scope=EVERYTHING&amp;vid=01CRU&amp;lang=en_US&amp;offset=0&amp;query=any,contains,991004839679702656","Catalog Record")</f>
        <v/>
      </c>
      <c r="AT2534">
        <f>HYPERLINK("http://www.worldcat.org/oclc/5495030","WorldCat Record")</f>
        <v/>
      </c>
      <c r="AU2534" t="inlineStr">
        <is>
          <t>18056417:eng</t>
        </is>
      </c>
      <c r="AV2534" t="inlineStr">
        <is>
          <t>5495030</t>
        </is>
      </c>
      <c r="AW2534" t="inlineStr">
        <is>
          <t>991004839679702656</t>
        </is>
      </c>
      <c r="AX2534" t="inlineStr">
        <is>
          <t>991004839679702656</t>
        </is>
      </c>
      <c r="AY2534" t="inlineStr">
        <is>
          <t>2265600670002656</t>
        </is>
      </c>
      <c r="AZ2534" t="inlineStr">
        <is>
          <t>BOOK</t>
        </is>
      </c>
      <c r="BC2534" t="inlineStr">
        <is>
          <t>32285000370360</t>
        </is>
      </c>
      <c r="BD2534" t="inlineStr">
        <is>
          <t>893789151</t>
        </is>
      </c>
    </row>
    <row r="2535">
      <c r="A2535" t="inlineStr">
        <is>
          <t>No</t>
        </is>
      </c>
      <c r="B2535" t="inlineStr">
        <is>
          <t>DS881.3 .Y285 1973</t>
        </is>
      </c>
      <c r="C2535" t="inlineStr">
        <is>
          <t>0                      DS 0881300Y  285         1973</t>
        </is>
      </c>
      <c r="D2535" t="inlineStr">
        <is>
          <t>Kinsé shiriaku : a history of Japan, from the first visit of Commodore Perry in 1853 to the capture of Hakodate by the Mikado's forces in 1869 / translated from the Japanese by Sir Ernest Mason Satow.</t>
        </is>
      </c>
      <c r="F2535" t="inlineStr">
        <is>
          <t>No</t>
        </is>
      </c>
      <c r="G2535" t="inlineStr">
        <is>
          <t>1</t>
        </is>
      </c>
      <c r="H2535" t="inlineStr">
        <is>
          <t>No</t>
        </is>
      </c>
      <c r="I2535" t="inlineStr">
        <is>
          <t>No</t>
        </is>
      </c>
      <c r="J2535" t="inlineStr">
        <is>
          <t>0</t>
        </is>
      </c>
      <c r="K2535" t="inlineStr">
        <is>
          <t>Yamaguchi, Ken.</t>
        </is>
      </c>
      <c r="L2535" t="inlineStr">
        <is>
          <t>Wilmington, Del. : Scholarly Resources, [1973]</t>
        </is>
      </c>
      <c r="M2535" t="inlineStr">
        <is>
          <t>1973</t>
        </is>
      </c>
      <c r="N2535" t="inlineStr">
        <is>
          <t>Rev. ed. / with supplementary notes by Shuziro Watanabe.</t>
        </is>
      </c>
      <c r="O2535" t="inlineStr">
        <is>
          <t>eng</t>
        </is>
      </c>
      <c r="P2535" t="inlineStr">
        <is>
          <t>deu</t>
        </is>
      </c>
      <c r="R2535" t="inlineStr">
        <is>
          <t xml:space="preserve">DS </t>
        </is>
      </c>
      <c r="S2535" t="n">
        <v>5</v>
      </c>
      <c r="T2535" t="n">
        <v>5</v>
      </c>
      <c r="U2535" t="inlineStr">
        <is>
          <t>1995-11-15</t>
        </is>
      </c>
      <c r="V2535" t="inlineStr">
        <is>
          <t>1995-11-15</t>
        </is>
      </c>
      <c r="W2535" t="inlineStr">
        <is>
          <t>1993-12-08</t>
        </is>
      </c>
      <c r="X2535" t="inlineStr">
        <is>
          <t>1993-12-08</t>
        </is>
      </c>
      <c r="Y2535" t="n">
        <v>131</v>
      </c>
      <c r="Z2535" t="n">
        <v>108</v>
      </c>
      <c r="AA2535" t="n">
        <v>139</v>
      </c>
      <c r="AB2535" t="n">
        <v>1</v>
      </c>
      <c r="AC2535" t="n">
        <v>2</v>
      </c>
      <c r="AD2535" t="n">
        <v>1</v>
      </c>
      <c r="AE2535" t="n">
        <v>4</v>
      </c>
      <c r="AF2535" t="n">
        <v>0</v>
      </c>
      <c r="AG2535" t="n">
        <v>0</v>
      </c>
      <c r="AH2535" t="n">
        <v>1</v>
      </c>
      <c r="AI2535" t="n">
        <v>3</v>
      </c>
      <c r="AJ2535" t="n">
        <v>1</v>
      </c>
      <c r="AK2535" t="n">
        <v>1</v>
      </c>
      <c r="AL2535" t="n">
        <v>0</v>
      </c>
      <c r="AM2535" t="n">
        <v>1</v>
      </c>
      <c r="AN2535" t="n">
        <v>0</v>
      </c>
      <c r="AO2535" t="n">
        <v>0</v>
      </c>
      <c r="AP2535" t="inlineStr">
        <is>
          <t>No</t>
        </is>
      </c>
      <c r="AQ2535" t="inlineStr">
        <is>
          <t>No</t>
        </is>
      </c>
      <c r="AS2535">
        <f>HYPERLINK("https://creighton-primo.hosted.exlibrisgroup.com/primo-explore/search?tab=default_tab&amp;search_scope=EVERYTHING&amp;vid=01CRU&amp;lang=en_US&amp;offset=0&amp;query=any,contains,991003194899702656","Catalog Record")</f>
        <v/>
      </c>
      <c r="AT2535">
        <f>HYPERLINK("http://www.worldcat.org/oclc/720304","WorldCat Record")</f>
        <v/>
      </c>
      <c r="AU2535" t="inlineStr">
        <is>
          <t>1700775:eng</t>
        </is>
      </c>
      <c r="AV2535" t="inlineStr">
        <is>
          <t>720304</t>
        </is>
      </c>
      <c r="AW2535" t="inlineStr">
        <is>
          <t>991003194899702656</t>
        </is>
      </c>
      <c r="AX2535" t="inlineStr">
        <is>
          <t>991003194899702656</t>
        </is>
      </c>
      <c r="AY2535" t="inlineStr">
        <is>
          <t>2256232930002656</t>
        </is>
      </c>
      <c r="AZ2535" t="inlineStr">
        <is>
          <t>BOOK</t>
        </is>
      </c>
      <c r="BB2535" t="inlineStr">
        <is>
          <t>9780842014113</t>
        </is>
      </c>
      <c r="BC2535" t="inlineStr">
        <is>
          <t>32285001806214</t>
        </is>
      </c>
      <c r="BD2535" t="inlineStr">
        <is>
          <t>893409999</t>
        </is>
      </c>
    </row>
    <row r="2536">
      <c r="A2536" t="inlineStr">
        <is>
          <t>No</t>
        </is>
      </c>
      <c r="B2536" t="inlineStr">
        <is>
          <t>DS881.5.M323 W35 1998</t>
        </is>
      </c>
      <c r="C2536" t="inlineStr">
        <is>
          <t>0                      DS 0881500M  323                W  35          1998</t>
        </is>
      </c>
      <c r="D2536" t="inlineStr">
        <is>
          <t>The weak body of a useless woman : Matsuo Taseko and the Meiji Restoration / Anne Walthall.</t>
        </is>
      </c>
      <c r="F2536" t="inlineStr">
        <is>
          <t>No</t>
        </is>
      </c>
      <c r="G2536" t="inlineStr">
        <is>
          <t>1</t>
        </is>
      </c>
      <c r="H2536" t="inlineStr">
        <is>
          <t>No</t>
        </is>
      </c>
      <c r="I2536" t="inlineStr">
        <is>
          <t>No</t>
        </is>
      </c>
      <c r="J2536" t="inlineStr">
        <is>
          <t>0</t>
        </is>
      </c>
      <c r="K2536" t="inlineStr">
        <is>
          <t>Walthall, Anne.</t>
        </is>
      </c>
      <c r="L2536" t="inlineStr">
        <is>
          <t>Chicago, Ill : University of Chicago Press, 1998.</t>
        </is>
      </c>
      <c r="M2536" t="inlineStr">
        <is>
          <t>1998</t>
        </is>
      </c>
      <c r="O2536" t="inlineStr">
        <is>
          <t>eng</t>
        </is>
      </c>
      <c r="P2536" t="inlineStr">
        <is>
          <t>ilu</t>
        </is>
      </c>
      <c r="Q2536" t="inlineStr">
        <is>
          <t>Women in culture and society</t>
        </is>
      </c>
      <c r="R2536" t="inlineStr">
        <is>
          <t xml:space="preserve">DS </t>
        </is>
      </c>
      <c r="S2536" t="n">
        <v>5</v>
      </c>
      <c r="T2536" t="n">
        <v>5</v>
      </c>
      <c r="U2536" t="inlineStr">
        <is>
          <t>2006-04-19</t>
        </is>
      </c>
      <c r="V2536" t="inlineStr">
        <is>
          <t>2006-04-19</t>
        </is>
      </c>
      <c r="W2536" t="inlineStr">
        <is>
          <t>1998-11-16</t>
        </is>
      </c>
      <c r="X2536" t="inlineStr">
        <is>
          <t>1998-11-16</t>
        </is>
      </c>
      <c r="Y2536" t="n">
        <v>460</v>
      </c>
      <c r="Z2536" t="n">
        <v>377</v>
      </c>
      <c r="AA2536" t="n">
        <v>383</v>
      </c>
      <c r="AB2536" t="n">
        <v>3</v>
      </c>
      <c r="AC2536" t="n">
        <v>3</v>
      </c>
      <c r="AD2536" t="n">
        <v>19</v>
      </c>
      <c r="AE2536" t="n">
        <v>19</v>
      </c>
      <c r="AF2536" t="n">
        <v>6</v>
      </c>
      <c r="AG2536" t="n">
        <v>6</v>
      </c>
      <c r="AH2536" t="n">
        <v>6</v>
      </c>
      <c r="AI2536" t="n">
        <v>6</v>
      </c>
      <c r="AJ2536" t="n">
        <v>10</v>
      </c>
      <c r="AK2536" t="n">
        <v>10</v>
      </c>
      <c r="AL2536" t="n">
        <v>2</v>
      </c>
      <c r="AM2536" t="n">
        <v>2</v>
      </c>
      <c r="AN2536" t="n">
        <v>0</v>
      </c>
      <c r="AO2536" t="n">
        <v>0</v>
      </c>
      <c r="AP2536" t="inlineStr">
        <is>
          <t>No</t>
        </is>
      </c>
      <c r="AQ2536" t="inlineStr">
        <is>
          <t>No</t>
        </is>
      </c>
      <c r="AS2536">
        <f>HYPERLINK("https://creighton-primo.hosted.exlibrisgroup.com/primo-explore/search?tab=default_tab&amp;search_scope=EVERYTHING&amp;vid=01CRU&amp;lang=en_US&amp;offset=0&amp;query=any,contains,991002928509702656","Catalog Record")</f>
        <v/>
      </c>
      <c r="AT2536">
        <f>HYPERLINK("http://www.worldcat.org/oclc/38930536","WorldCat Record")</f>
        <v/>
      </c>
      <c r="AU2536" t="inlineStr">
        <is>
          <t>43901825:eng</t>
        </is>
      </c>
      <c r="AV2536" t="inlineStr">
        <is>
          <t>38930536</t>
        </is>
      </c>
      <c r="AW2536" t="inlineStr">
        <is>
          <t>991002928509702656</t>
        </is>
      </c>
      <c r="AX2536" t="inlineStr">
        <is>
          <t>991002928509702656</t>
        </is>
      </c>
      <c r="AY2536" t="inlineStr">
        <is>
          <t>2260338070002656</t>
        </is>
      </c>
      <c r="AZ2536" t="inlineStr">
        <is>
          <t>BOOK</t>
        </is>
      </c>
      <c r="BB2536" t="inlineStr">
        <is>
          <t>9780226872353</t>
        </is>
      </c>
      <c r="BC2536" t="inlineStr">
        <is>
          <t>32285003489084</t>
        </is>
      </c>
      <c r="BD2536" t="inlineStr">
        <is>
          <t>893428226</t>
        </is>
      </c>
    </row>
    <row r="2537">
      <c r="A2537" t="inlineStr">
        <is>
          <t>No</t>
        </is>
      </c>
      <c r="B2537" t="inlineStr">
        <is>
          <t>DS881.5.M6 H34 1973</t>
        </is>
      </c>
      <c r="C2537" t="inlineStr">
        <is>
          <t>0                      DS 0881500M  6                  H  34          1973</t>
        </is>
      </c>
      <c r="D2537" t="inlineStr">
        <is>
          <t>Mori Arinori / Ivan Parker Hall.</t>
        </is>
      </c>
      <c r="F2537" t="inlineStr">
        <is>
          <t>No</t>
        </is>
      </c>
      <c r="G2537" t="inlineStr">
        <is>
          <t>1</t>
        </is>
      </c>
      <c r="H2537" t="inlineStr">
        <is>
          <t>No</t>
        </is>
      </c>
      <c r="I2537" t="inlineStr">
        <is>
          <t>No</t>
        </is>
      </c>
      <c r="J2537" t="inlineStr">
        <is>
          <t>0</t>
        </is>
      </c>
      <c r="K2537" t="inlineStr">
        <is>
          <t>Hall, Ivan Parker.</t>
        </is>
      </c>
      <c r="L2537" t="inlineStr">
        <is>
          <t>Cambridge, Mass. : Harvard University Press, 1973.</t>
        </is>
      </c>
      <c r="M2537" t="inlineStr">
        <is>
          <t>1973</t>
        </is>
      </c>
      <c r="O2537" t="inlineStr">
        <is>
          <t>eng</t>
        </is>
      </c>
      <c r="P2537" t="inlineStr">
        <is>
          <t>mau</t>
        </is>
      </c>
      <c r="Q2537" t="inlineStr">
        <is>
          <t>Harvard East Asian series ; 68</t>
        </is>
      </c>
      <c r="R2537" t="inlineStr">
        <is>
          <t xml:space="preserve">DS </t>
        </is>
      </c>
      <c r="S2537" t="n">
        <v>2</v>
      </c>
      <c r="T2537" t="n">
        <v>2</v>
      </c>
      <c r="U2537" t="inlineStr">
        <is>
          <t>2003-02-26</t>
        </is>
      </c>
      <c r="V2537" t="inlineStr">
        <is>
          <t>2003-02-26</t>
        </is>
      </c>
      <c r="W2537" t="inlineStr">
        <is>
          <t>2003-02-26</t>
        </is>
      </c>
      <c r="X2537" t="inlineStr">
        <is>
          <t>2003-02-26</t>
        </is>
      </c>
      <c r="Y2537" t="n">
        <v>503</v>
      </c>
      <c r="Z2537" t="n">
        <v>381</v>
      </c>
      <c r="AA2537" t="n">
        <v>389</v>
      </c>
      <c r="AB2537" t="n">
        <v>2</v>
      </c>
      <c r="AC2537" t="n">
        <v>2</v>
      </c>
      <c r="AD2537" t="n">
        <v>20</v>
      </c>
      <c r="AE2537" t="n">
        <v>20</v>
      </c>
      <c r="AF2537" t="n">
        <v>7</v>
      </c>
      <c r="AG2537" t="n">
        <v>7</v>
      </c>
      <c r="AH2537" t="n">
        <v>6</v>
      </c>
      <c r="AI2537" t="n">
        <v>6</v>
      </c>
      <c r="AJ2537" t="n">
        <v>11</v>
      </c>
      <c r="AK2537" t="n">
        <v>11</v>
      </c>
      <c r="AL2537" t="n">
        <v>1</v>
      </c>
      <c r="AM2537" t="n">
        <v>1</v>
      </c>
      <c r="AN2537" t="n">
        <v>0</v>
      </c>
      <c r="AO2537" t="n">
        <v>0</v>
      </c>
      <c r="AP2537" t="inlineStr">
        <is>
          <t>No</t>
        </is>
      </c>
      <c r="AQ2537" t="inlineStr">
        <is>
          <t>Yes</t>
        </is>
      </c>
      <c r="AR2537">
        <f>HYPERLINK("http://catalog.hathitrust.org/Record/001652815","HathiTrust Record")</f>
        <v/>
      </c>
      <c r="AS2537">
        <f>HYPERLINK("https://creighton-primo.hosted.exlibrisgroup.com/primo-explore/search?tab=default_tab&amp;search_scope=EVERYTHING&amp;vid=01CRU&amp;lang=en_US&amp;offset=0&amp;query=any,contains,991003997159702656","Catalog Record")</f>
        <v/>
      </c>
      <c r="AT2537">
        <f>HYPERLINK("http://www.worldcat.org/oclc/623165","WorldCat Record")</f>
        <v/>
      </c>
      <c r="AU2537" t="inlineStr">
        <is>
          <t>57098:eng</t>
        </is>
      </c>
      <c r="AV2537" t="inlineStr">
        <is>
          <t>623165</t>
        </is>
      </c>
      <c r="AW2537" t="inlineStr">
        <is>
          <t>991003997159702656</t>
        </is>
      </c>
      <c r="AX2537" t="inlineStr">
        <is>
          <t>991003997159702656</t>
        </is>
      </c>
      <c r="AY2537" t="inlineStr">
        <is>
          <t>2256125710002656</t>
        </is>
      </c>
      <c r="AZ2537" t="inlineStr">
        <is>
          <t>BOOK</t>
        </is>
      </c>
      <c r="BB2537" t="inlineStr">
        <is>
          <t>9780674587304</t>
        </is>
      </c>
      <c r="BC2537" t="inlineStr">
        <is>
          <t>32285004681200</t>
        </is>
      </c>
      <c r="BD2537" t="inlineStr">
        <is>
          <t>893519137</t>
        </is>
      </c>
    </row>
    <row r="2538">
      <c r="A2538" t="inlineStr">
        <is>
          <t>No</t>
        </is>
      </c>
      <c r="B2538" t="inlineStr">
        <is>
          <t>DS881.5.S2 R35 2004</t>
        </is>
      </c>
      <c r="C2538" t="inlineStr">
        <is>
          <t>0                      DS 0881500S  2                  R  35          2004</t>
        </is>
      </c>
      <c r="D2538" t="inlineStr">
        <is>
          <t>The last samurai : the life and battles of Saigō Takamori / Mark Ravina.</t>
        </is>
      </c>
      <c r="F2538" t="inlineStr">
        <is>
          <t>No</t>
        </is>
      </c>
      <c r="G2538" t="inlineStr">
        <is>
          <t>1</t>
        </is>
      </c>
      <c r="H2538" t="inlineStr">
        <is>
          <t>No</t>
        </is>
      </c>
      <c r="I2538" t="inlineStr">
        <is>
          <t>No</t>
        </is>
      </c>
      <c r="J2538" t="inlineStr">
        <is>
          <t>0</t>
        </is>
      </c>
      <c r="K2538" t="inlineStr">
        <is>
          <t>Ravina, Mark, 1961-</t>
        </is>
      </c>
      <c r="L2538" t="inlineStr">
        <is>
          <t>Hoboken, N.J. : John Wiley &amp; Sons, Inc., c2004.</t>
        </is>
      </c>
      <c r="M2538" t="inlineStr">
        <is>
          <t>2003</t>
        </is>
      </c>
      <c r="O2538" t="inlineStr">
        <is>
          <t>eng</t>
        </is>
      </c>
      <c r="P2538" t="inlineStr">
        <is>
          <t>nju</t>
        </is>
      </c>
      <c r="R2538" t="inlineStr">
        <is>
          <t xml:space="preserve">DS </t>
        </is>
      </c>
      <c r="S2538" t="n">
        <v>4</v>
      </c>
      <c r="T2538" t="n">
        <v>4</v>
      </c>
      <c r="U2538" t="inlineStr">
        <is>
          <t>2008-12-04</t>
        </is>
      </c>
      <c r="V2538" t="inlineStr">
        <is>
          <t>2008-12-04</t>
        </is>
      </c>
      <c r="W2538" t="inlineStr">
        <is>
          <t>2007-08-27</t>
        </is>
      </c>
      <c r="X2538" t="inlineStr">
        <is>
          <t>2007-08-27</t>
        </is>
      </c>
      <c r="Y2538" t="n">
        <v>872</v>
      </c>
      <c r="Z2538" t="n">
        <v>729</v>
      </c>
      <c r="AA2538" t="n">
        <v>1394</v>
      </c>
      <c r="AB2538" t="n">
        <v>6</v>
      </c>
      <c r="AC2538" t="n">
        <v>34</v>
      </c>
      <c r="AD2538" t="n">
        <v>20</v>
      </c>
      <c r="AE2538" t="n">
        <v>36</v>
      </c>
      <c r="AF2538" t="n">
        <v>9</v>
      </c>
      <c r="AG2538" t="n">
        <v>13</v>
      </c>
      <c r="AH2538" t="n">
        <v>4</v>
      </c>
      <c r="AI2538" t="n">
        <v>6</v>
      </c>
      <c r="AJ2538" t="n">
        <v>10</v>
      </c>
      <c r="AK2538" t="n">
        <v>12</v>
      </c>
      <c r="AL2538" t="n">
        <v>2</v>
      </c>
      <c r="AM2538" t="n">
        <v>12</v>
      </c>
      <c r="AN2538" t="n">
        <v>0</v>
      </c>
      <c r="AO2538" t="n">
        <v>0</v>
      </c>
      <c r="AP2538" t="inlineStr">
        <is>
          <t>No</t>
        </is>
      </c>
      <c r="AQ2538" t="inlineStr">
        <is>
          <t>No</t>
        </is>
      </c>
      <c r="AS2538">
        <f>HYPERLINK("https://creighton-primo.hosted.exlibrisgroup.com/primo-explore/search?tab=default_tab&amp;search_scope=EVERYTHING&amp;vid=01CRU&amp;lang=en_US&amp;offset=0&amp;query=any,contains,991005106119702656","Catalog Record")</f>
        <v/>
      </c>
      <c r="AT2538">
        <f>HYPERLINK("http://www.worldcat.org/oclc/51898842","WorldCat Record")</f>
        <v/>
      </c>
      <c r="AU2538" t="inlineStr">
        <is>
          <t>799776983:eng</t>
        </is>
      </c>
      <c r="AV2538" t="inlineStr">
        <is>
          <t>51898842</t>
        </is>
      </c>
      <c r="AW2538" t="inlineStr">
        <is>
          <t>991005106119702656</t>
        </is>
      </c>
      <c r="AX2538" t="inlineStr">
        <is>
          <t>991005106119702656</t>
        </is>
      </c>
      <c r="AY2538" t="inlineStr">
        <is>
          <t>2259309390002656</t>
        </is>
      </c>
      <c r="AZ2538" t="inlineStr">
        <is>
          <t>BOOK</t>
        </is>
      </c>
      <c r="BB2538" t="inlineStr">
        <is>
          <t>9780471089704</t>
        </is>
      </c>
      <c r="BC2538" t="inlineStr">
        <is>
          <t>32285005322937</t>
        </is>
      </c>
      <c r="BD2538" t="inlineStr">
        <is>
          <t>893889677</t>
        </is>
      </c>
    </row>
    <row r="2539">
      <c r="A2539" t="inlineStr">
        <is>
          <t>No</t>
        </is>
      </c>
      <c r="B2539" t="inlineStr">
        <is>
          <t>DS881.9 .A613 1994</t>
        </is>
      </c>
      <c r="C2539" t="inlineStr">
        <is>
          <t>0                      DS 0881900A  613         1994</t>
        </is>
      </c>
      <c r="D2539" t="inlineStr">
        <is>
          <t>The government and politics of Japan / Hitoshi Abe, Muneyuki Shindō, Sadafumi Kawato ; translated by James W. White.</t>
        </is>
      </c>
      <c r="F2539" t="inlineStr">
        <is>
          <t>No</t>
        </is>
      </c>
      <c r="G2539" t="inlineStr">
        <is>
          <t>1</t>
        </is>
      </c>
      <c r="H2539" t="inlineStr">
        <is>
          <t>No</t>
        </is>
      </c>
      <c r="I2539" t="inlineStr">
        <is>
          <t>No</t>
        </is>
      </c>
      <c r="J2539" t="inlineStr">
        <is>
          <t>0</t>
        </is>
      </c>
      <c r="K2539" t="inlineStr">
        <is>
          <t>Abe, Hitoshi.</t>
        </is>
      </c>
      <c r="L2539" t="inlineStr">
        <is>
          <t>[Tokyo] : University of Tokyo Press, c1994.</t>
        </is>
      </c>
      <c r="M2539" t="inlineStr">
        <is>
          <t>1994</t>
        </is>
      </c>
      <c r="O2539" t="inlineStr">
        <is>
          <t>eng</t>
        </is>
      </c>
      <c r="P2539" t="inlineStr">
        <is>
          <t xml:space="preserve">ja </t>
        </is>
      </c>
      <c r="R2539" t="inlineStr">
        <is>
          <t xml:space="preserve">DS </t>
        </is>
      </c>
      <c r="S2539" t="n">
        <v>15</v>
      </c>
      <c r="T2539" t="n">
        <v>15</v>
      </c>
      <c r="U2539" t="inlineStr">
        <is>
          <t>2008-03-26</t>
        </is>
      </c>
      <c r="V2539" t="inlineStr">
        <is>
          <t>2008-03-26</t>
        </is>
      </c>
      <c r="W2539" t="inlineStr">
        <is>
          <t>1996-02-23</t>
        </is>
      </c>
      <c r="X2539" t="inlineStr">
        <is>
          <t>1996-02-23</t>
        </is>
      </c>
      <c r="Y2539" t="n">
        <v>504</v>
      </c>
      <c r="Z2539" t="n">
        <v>359</v>
      </c>
      <c r="AA2539" t="n">
        <v>365</v>
      </c>
      <c r="AB2539" t="n">
        <v>5</v>
      </c>
      <c r="AC2539" t="n">
        <v>5</v>
      </c>
      <c r="AD2539" t="n">
        <v>23</v>
      </c>
      <c r="AE2539" t="n">
        <v>23</v>
      </c>
      <c r="AF2539" t="n">
        <v>6</v>
      </c>
      <c r="AG2539" t="n">
        <v>6</v>
      </c>
      <c r="AH2539" t="n">
        <v>6</v>
      </c>
      <c r="AI2539" t="n">
        <v>6</v>
      </c>
      <c r="AJ2539" t="n">
        <v>10</v>
      </c>
      <c r="AK2539" t="n">
        <v>10</v>
      </c>
      <c r="AL2539" t="n">
        <v>4</v>
      </c>
      <c r="AM2539" t="n">
        <v>4</v>
      </c>
      <c r="AN2539" t="n">
        <v>1</v>
      </c>
      <c r="AO2539" t="n">
        <v>1</v>
      </c>
      <c r="AP2539" t="inlineStr">
        <is>
          <t>No</t>
        </is>
      </c>
      <c r="AQ2539" t="inlineStr">
        <is>
          <t>Yes</t>
        </is>
      </c>
      <c r="AR2539">
        <f>HYPERLINK("http://catalog.hathitrust.org/Record/002887663","HathiTrust Record")</f>
        <v/>
      </c>
      <c r="AS2539">
        <f>HYPERLINK("https://creighton-primo.hosted.exlibrisgroup.com/primo-explore/search?tab=default_tab&amp;search_scope=EVERYTHING&amp;vid=01CRU&amp;lang=en_US&amp;offset=0&amp;query=any,contains,991002365879702656","Catalog Record")</f>
        <v/>
      </c>
      <c r="AT2539">
        <f>HYPERLINK("http://www.worldcat.org/oclc/30753057","WorldCat Record")</f>
        <v/>
      </c>
      <c r="AU2539" t="inlineStr">
        <is>
          <t>1079851:eng</t>
        </is>
      </c>
      <c r="AV2539" t="inlineStr">
        <is>
          <t>30753057</t>
        </is>
      </c>
      <c r="AW2539" t="inlineStr">
        <is>
          <t>991002365879702656</t>
        </is>
      </c>
      <c r="AX2539" t="inlineStr">
        <is>
          <t>991002365879702656</t>
        </is>
      </c>
      <c r="AY2539" t="inlineStr">
        <is>
          <t>2258759120002656</t>
        </is>
      </c>
      <c r="AZ2539" t="inlineStr">
        <is>
          <t>BOOK</t>
        </is>
      </c>
      <c r="BB2539" t="inlineStr">
        <is>
          <t>9780860085010</t>
        </is>
      </c>
      <c r="BC2539" t="inlineStr">
        <is>
          <t>32285002137759</t>
        </is>
      </c>
      <c r="BD2539" t="inlineStr">
        <is>
          <t>893873420</t>
        </is>
      </c>
    </row>
    <row r="2540">
      <c r="A2540" t="inlineStr">
        <is>
          <t>No</t>
        </is>
      </c>
      <c r="B2540" t="inlineStr">
        <is>
          <t>DS881.9 .A75 1999</t>
        </is>
      </c>
      <c r="C2540" t="inlineStr">
        <is>
          <t>0                      DS 0881900A  75          1999</t>
        </is>
      </c>
      <c r="D2540" t="inlineStr">
        <is>
          <t>The Columbia guide to modern Japanese history / Gary D. Allinson.</t>
        </is>
      </c>
      <c r="F2540" t="inlineStr">
        <is>
          <t>No</t>
        </is>
      </c>
      <c r="G2540" t="inlineStr">
        <is>
          <t>1</t>
        </is>
      </c>
      <c r="H2540" t="inlineStr">
        <is>
          <t>No</t>
        </is>
      </c>
      <c r="I2540" t="inlineStr">
        <is>
          <t>No</t>
        </is>
      </c>
      <c r="J2540" t="inlineStr">
        <is>
          <t>0</t>
        </is>
      </c>
      <c r="K2540" t="inlineStr">
        <is>
          <t>Allinson, Gary D.</t>
        </is>
      </c>
      <c r="L2540" t="inlineStr">
        <is>
          <t>New York : Columbia University Press, 1999.</t>
        </is>
      </c>
      <c r="M2540" t="inlineStr">
        <is>
          <t>1999</t>
        </is>
      </c>
      <c r="O2540" t="inlineStr">
        <is>
          <t>eng</t>
        </is>
      </c>
      <c r="P2540" t="inlineStr">
        <is>
          <t>nyu</t>
        </is>
      </c>
      <c r="Q2540" t="inlineStr">
        <is>
          <t>Columbia guides to Asian history</t>
        </is>
      </c>
      <c r="R2540" t="inlineStr">
        <is>
          <t xml:space="preserve">DS </t>
        </is>
      </c>
      <c r="S2540" t="n">
        <v>4</v>
      </c>
      <c r="T2540" t="n">
        <v>4</v>
      </c>
      <c r="U2540" t="inlineStr">
        <is>
          <t>2003-10-28</t>
        </is>
      </c>
      <c r="V2540" t="inlineStr">
        <is>
          <t>2003-10-28</t>
        </is>
      </c>
      <c r="W2540" t="inlineStr">
        <is>
          <t>2002-10-14</t>
        </is>
      </c>
      <c r="X2540" t="inlineStr">
        <is>
          <t>2002-10-14</t>
        </is>
      </c>
      <c r="Y2540" t="n">
        <v>675</v>
      </c>
      <c r="Z2540" t="n">
        <v>573</v>
      </c>
      <c r="AA2540" t="n">
        <v>577</v>
      </c>
      <c r="AB2540" t="n">
        <v>5</v>
      </c>
      <c r="AC2540" t="n">
        <v>5</v>
      </c>
      <c r="AD2540" t="n">
        <v>35</v>
      </c>
      <c r="AE2540" t="n">
        <v>35</v>
      </c>
      <c r="AF2540" t="n">
        <v>15</v>
      </c>
      <c r="AG2540" t="n">
        <v>15</v>
      </c>
      <c r="AH2540" t="n">
        <v>8</v>
      </c>
      <c r="AI2540" t="n">
        <v>8</v>
      </c>
      <c r="AJ2540" t="n">
        <v>14</v>
      </c>
      <c r="AK2540" t="n">
        <v>14</v>
      </c>
      <c r="AL2540" t="n">
        <v>4</v>
      </c>
      <c r="AM2540" t="n">
        <v>4</v>
      </c>
      <c r="AN2540" t="n">
        <v>0</v>
      </c>
      <c r="AO2540" t="n">
        <v>0</v>
      </c>
      <c r="AP2540" t="inlineStr">
        <is>
          <t>No</t>
        </is>
      </c>
      <c r="AQ2540" t="inlineStr">
        <is>
          <t>No</t>
        </is>
      </c>
      <c r="AS2540">
        <f>HYPERLINK("https://creighton-primo.hosted.exlibrisgroup.com/primo-explore/search?tab=default_tab&amp;search_scope=EVERYTHING&amp;vid=01CRU&amp;lang=en_US&amp;offset=0&amp;query=any,contains,991003913209702656","Catalog Record")</f>
        <v/>
      </c>
      <c r="AT2540">
        <f>HYPERLINK("http://www.worldcat.org/oclc/40609354","WorldCat Record")</f>
        <v/>
      </c>
      <c r="AU2540" t="inlineStr">
        <is>
          <t>991576:eng</t>
        </is>
      </c>
      <c r="AV2540" t="inlineStr">
        <is>
          <t>40609354</t>
        </is>
      </c>
      <c r="AW2540" t="inlineStr">
        <is>
          <t>991003913209702656</t>
        </is>
      </c>
      <c r="AX2540" t="inlineStr">
        <is>
          <t>991003913209702656</t>
        </is>
      </c>
      <c r="AY2540" t="inlineStr">
        <is>
          <t>2269780680002656</t>
        </is>
      </c>
      <c r="AZ2540" t="inlineStr">
        <is>
          <t>BOOK</t>
        </is>
      </c>
      <c r="BB2540" t="inlineStr">
        <is>
          <t>9780231111447</t>
        </is>
      </c>
      <c r="BC2540" t="inlineStr">
        <is>
          <t>32285004654629</t>
        </is>
      </c>
      <c r="BD2540" t="inlineStr">
        <is>
          <t>893318570</t>
        </is>
      </c>
    </row>
    <row r="2541">
      <c r="A2541" t="inlineStr">
        <is>
          <t>No</t>
        </is>
      </c>
      <c r="B2541" t="inlineStr">
        <is>
          <t>DS881.9 .B87 2003</t>
        </is>
      </c>
      <c r="C2541" t="inlineStr">
        <is>
          <t>0                      DS 0881900B  87          2003</t>
        </is>
      </c>
      <c r="D2541" t="inlineStr">
        <is>
          <t>Inventing Japan, 1853-1964 / Ian Buruma.</t>
        </is>
      </c>
      <c r="F2541" t="inlineStr">
        <is>
          <t>No</t>
        </is>
      </c>
      <c r="G2541" t="inlineStr">
        <is>
          <t>1</t>
        </is>
      </c>
      <c r="H2541" t="inlineStr">
        <is>
          <t>No</t>
        </is>
      </c>
      <c r="I2541" t="inlineStr">
        <is>
          <t>No</t>
        </is>
      </c>
      <c r="J2541" t="inlineStr">
        <is>
          <t>0</t>
        </is>
      </c>
      <c r="K2541" t="inlineStr">
        <is>
          <t>Buruma, Ian.</t>
        </is>
      </c>
      <c r="L2541" t="inlineStr">
        <is>
          <t>New York : The Modern Library, 2003.</t>
        </is>
      </c>
      <c r="M2541" t="inlineStr">
        <is>
          <t>2003</t>
        </is>
      </c>
      <c r="N2541" t="inlineStr">
        <is>
          <t>Modern Library ed.</t>
        </is>
      </c>
      <c r="O2541" t="inlineStr">
        <is>
          <t>eng</t>
        </is>
      </c>
      <c r="P2541" t="inlineStr">
        <is>
          <t>nyu</t>
        </is>
      </c>
      <c r="Q2541" t="inlineStr">
        <is>
          <t>Modern Library chronicles ; 12</t>
        </is>
      </c>
      <c r="R2541" t="inlineStr">
        <is>
          <t xml:space="preserve">DS </t>
        </is>
      </c>
      <c r="S2541" t="n">
        <v>7</v>
      </c>
      <c r="T2541" t="n">
        <v>7</v>
      </c>
      <c r="U2541" t="inlineStr">
        <is>
          <t>2009-11-30</t>
        </is>
      </c>
      <c r="V2541" t="inlineStr">
        <is>
          <t>2009-11-30</t>
        </is>
      </c>
      <c r="W2541" t="inlineStr">
        <is>
          <t>2004-02-24</t>
        </is>
      </c>
      <c r="X2541" t="inlineStr">
        <is>
          <t>2004-02-24</t>
        </is>
      </c>
      <c r="Y2541" t="n">
        <v>1079</v>
      </c>
      <c r="Z2541" t="n">
        <v>974</v>
      </c>
      <c r="AA2541" t="n">
        <v>1057</v>
      </c>
      <c r="AB2541" t="n">
        <v>10</v>
      </c>
      <c r="AC2541" t="n">
        <v>11</v>
      </c>
      <c r="AD2541" t="n">
        <v>36</v>
      </c>
      <c r="AE2541" t="n">
        <v>36</v>
      </c>
      <c r="AF2541" t="n">
        <v>15</v>
      </c>
      <c r="AG2541" t="n">
        <v>15</v>
      </c>
      <c r="AH2541" t="n">
        <v>8</v>
      </c>
      <c r="AI2541" t="n">
        <v>8</v>
      </c>
      <c r="AJ2541" t="n">
        <v>14</v>
      </c>
      <c r="AK2541" t="n">
        <v>14</v>
      </c>
      <c r="AL2541" t="n">
        <v>7</v>
      </c>
      <c r="AM2541" t="n">
        <v>7</v>
      </c>
      <c r="AN2541" t="n">
        <v>0</v>
      </c>
      <c r="AO2541" t="n">
        <v>0</v>
      </c>
      <c r="AP2541" t="inlineStr">
        <is>
          <t>No</t>
        </is>
      </c>
      <c r="AQ2541" t="inlineStr">
        <is>
          <t>Yes</t>
        </is>
      </c>
      <c r="AR2541">
        <f>HYPERLINK("http://catalog.hathitrust.org/Record/004355901","HathiTrust Record")</f>
        <v/>
      </c>
      <c r="AS2541">
        <f>HYPERLINK("https://creighton-primo.hosted.exlibrisgroup.com/primo-explore/search?tab=default_tab&amp;search_scope=EVERYTHING&amp;vid=01CRU&amp;lang=en_US&amp;offset=0&amp;query=any,contains,991004233919702656","Catalog Record")</f>
        <v/>
      </c>
      <c r="AT2541">
        <f>HYPERLINK("http://www.worldcat.org/oclc/50041628","WorldCat Record")</f>
        <v/>
      </c>
      <c r="AU2541" t="inlineStr">
        <is>
          <t>1983575:eng</t>
        </is>
      </c>
      <c r="AV2541" t="inlineStr">
        <is>
          <t>50041628</t>
        </is>
      </c>
      <c r="AW2541" t="inlineStr">
        <is>
          <t>991004233919702656</t>
        </is>
      </c>
      <c r="AX2541" t="inlineStr">
        <is>
          <t>991004233919702656</t>
        </is>
      </c>
      <c r="AY2541" t="inlineStr">
        <is>
          <t>2257080550002656</t>
        </is>
      </c>
      <c r="AZ2541" t="inlineStr">
        <is>
          <t>BOOK</t>
        </is>
      </c>
      <c r="BB2541" t="inlineStr">
        <is>
          <t>9780679640851</t>
        </is>
      </c>
      <c r="BC2541" t="inlineStr">
        <is>
          <t>32285004890058</t>
        </is>
      </c>
      <c r="BD2541" t="inlineStr">
        <is>
          <t>893775794</t>
        </is>
      </c>
    </row>
    <row r="2542">
      <c r="A2542" t="inlineStr">
        <is>
          <t>No</t>
        </is>
      </c>
      <c r="B2542" t="inlineStr">
        <is>
          <t>DS881.9 .D88 1998</t>
        </is>
      </c>
      <c r="C2542" t="inlineStr">
        <is>
          <t>0                      DS 0881900D  88          1998</t>
        </is>
      </c>
      <c r="D2542" t="inlineStr">
        <is>
          <t>Modern Japan / Peter Duus.</t>
        </is>
      </c>
      <c r="F2542" t="inlineStr">
        <is>
          <t>No</t>
        </is>
      </c>
      <c r="G2542" t="inlineStr">
        <is>
          <t>1</t>
        </is>
      </c>
      <c r="H2542" t="inlineStr">
        <is>
          <t>No</t>
        </is>
      </c>
      <c r="I2542" t="inlineStr">
        <is>
          <t>No</t>
        </is>
      </c>
      <c r="J2542" t="inlineStr">
        <is>
          <t>0</t>
        </is>
      </c>
      <c r="K2542" t="inlineStr">
        <is>
          <t>Duus, Peter, 1933-</t>
        </is>
      </c>
      <c r="L2542" t="inlineStr">
        <is>
          <t>Boston : Houghton Mifflin, c1998.</t>
        </is>
      </c>
      <c r="M2542" t="inlineStr">
        <is>
          <t>1998</t>
        </is>
      </c>
      <c r="N2542" t="inlineStr">
        <is>
          <t>2nd ed.</t>
        </is>
      </c>
      <c r="O2542" t="inlineStr">
        <is>
          <t>eng</t>
        </is>
      </c>
      <c r="P2542" t="inlineStr">
        <is>
          <t>mau</t>
        </is>
      </c>
      <c r="R2542" t="inlineStr">
        <is>
          <t xml:space="preserve">DS </t>
        </is>
      </c>
      <c r="S2542" t="n">
        <v>11</v>
      </c>
      <c r="T2542" t="n">
        <v>11</v>
      </c>
      <c r="U2542" t="inlineStr">
        <is>
          <t>2006-04-25</t>
        </is>
      </c>
      <c r="V2542" t="inlineStr">
        <is>
          <t>2006-04-25</t>
        </is>
      </c>
      <c r="W2542" t="inlineStr">
        <is>
          <t>2000-03-23</t>
        </is>
      </c>
      <c r="X2542" t="inlineStr">
        <is>
          <t>2000-03-23</t>
        </is>
      </c>
      <c r="Y2542" t="n">
        <v>488</v>
      </c>
      <c r="Z2542" t="n">
        <v>377</v>
      </c>
      <c r="AA2542" t="n">
        <v>383</v>
      </c>
      <c r="AB2542" t="n">
        <v>2</v>
      </c>
      <c r="AC2542" t="n">
        <v>2</v>
      </c>
      <c r="AD2542" t="n">
        <v>17</v>
      </c>
      <c r="AE2542" t="n">
        <v>17</v>
      </c>
      <c r="AF2542" t="n">
        <v>8</v>
      </c>
      <c r="AG2542" t="n">
        <v>8</v>
      </c>
      <c r="AH2542" t="n">
        <v>6</v>
      </c>
      <c r="AI2542" t="n">
        <v>6</v>
      </c>
      <c r="AJ2542" t="n">
        <v>10</v>
      </c>
      <c r="AK2542" t="n">
        <v>10</v>
      </c>
      <c r="AL2542" t="n">
        <v>1</v>
      </c>
      <c r="AM2542" t="n">
        <v>1</v>
      </c>
      <c r="AN2542" t="n">
        <v>0</v>
      </c>
      <c r="AO2542" t="n">
        <v>0</v>
      </c>
      <c r="AP2542" t="inlineStr">
        <is>
          <t>No</t>
        </is>
      </c>
      <c r="AQ2542" t="inlineStr">
        <is>
          <t>Yes</t>
        </is>
      </c>
      <c r="AR2542">
        <f>HYPERLINK("http://catalog.hathitrust.org/Record/003529917","HathiTrust Record")</f>
        <v/>
      </c>
      <c r="AS2542">
        <f>HYPERLINK("https://creighton-primo.hosted.exlibrisgroup.com/primo-explore/search?tab=default_tab&amp;search_scope=EVERYTHING&amp;vid=01CRU&amp;lang=en_US&amp;offset=0&amp;query=any,contains,991002899929702656","Catalog Record")</f>
        <v/>
      </c>
      <c r="AT2542">
        <f>HYPERLINK("http://www.worldcat.org/oclc/38228076","WorldCat Record")</f>
        <v/>
      </c>
      <c r="AU2542" t="inlineStr">
        <is>
          <t>42128642:eng</t>
        </is>
      </c>
      <c r="AV2542" t="inlineStr">
        <is>
          <t>38228076</t>
        </is>
      </c>
      <c r="AW2542" t="inlineStr">
        <is>
          <t>991002899929702656</t>
        </is>
      </c>
      <c r="AX2542" t="inlineStr">
        <is>
          <t>991002899929702656</t>
        </is>
      </c>
      <c r="AY2542" t="inlineStr">
        <is>
          <t>2255670890002656</t>
        </is>
      </c>
      <c r="AZ2542" t="inlineStr">
        <is>
          <t>BOOK</t>
        </is>
      </c>
      <c r="BB2542" t="inlineStr">
        <is>
          <t>9780395746042</t>
        </is>
      </c>
      <c r="BC2542" t="inlineStr">
        <is>
          <t>32285003673711</t>
        </is>
      </c>
      <c r="BD2542" t="inlineStr">
        <is>
          <t>893409691</t>
        </is>
      </c>
    </row>
    <row r="2543">
      <c r="A2543" t="inlineStr">
        <is>
          <t>No</t>
        </is>
      </c>
      <c r="B2543" t="inlineStr">
        <is>
          <t>DS881.9 .G54 1994</t>
        </is>
      </c>
      <c r="C2543" t="inlineStr">
        <is>
          <t>0                      DS 0881900G  54          1994</t>
        </is>
      </c>
      <c r="D2543" t="inlineStr">
        <is>
          <t>Japan among the powers, 1890-1990 / Sydney Giffard.</t>
        </is>
      </c>
      <c r="F2543" t="inlineStr">
        <is>
          <t>No</t>
        </is>
      </c>
      <c r="G2543" t="inlineStr">
        <is>
          <t>1</t>
        </is>
      </c>
      <c r="H2543" t="inlineStr">
        <is>
          <t>No</t>
        </is>
      </c>
      <c r="I2543" t="inlineStr">
        <is>
          <t>No</t>
        </is>
      </c>
      <c r="J2543" t="inlineStr">
        <is>
          <t>0</t>
        </is>
      </c>
      <c r="K2543" t="inlineStr">
        <is>
          <t>Giffard, Sydney.</t>
        </is>
      </c>
      <c r="L2543" t="inlineStr">
        <is>
          <t>New Haven : Yale University Press, 1994.</t>
        </is>
      </c>
      <c r="M2543" t="inlineStr">
        <is>
          <t>1994</t>
        </is>
      </c>
      <c r="O2543" t="inlineStr">
        <is>
          <t>eng</t>
        </is>
      </c>
      <c r="P2543" t="inlineStr">
        <is>
          <t>ctu</t>
        </is>
      </c>
      <c r="R2543" t="inlineStr">
        <is>
          <t xml:space="preserve">DS </t>
        </is>
      </c>
      <c r="S2543" t="n">
        <v>2</v>
      </c>
      <c r="T2543" t="n">
        <v>2</v>
      </c>
      <c r="U2543" t="inlineStr">
        <is>
          <t>2003-06-18</t>
        </is>
      </c>
      <c r="V2543" t="inlineStr">
        <is>
          <t>2003-06-18</t>
        </is>
      </c>
      <c r="W2543" t="inlineStr">
        <is>
          <t>1999-04-28</t>
        </is>
      </c>
      <c r="X2543" t="inlineStr">
        <is>
          <t>1999-04-28</t>
        </is>
      </c>
      <c r="Y2543" t="n">
        <v>873</v>
      </c>
      <c r="Z2543" t="n">
        <v>691</v>
      </c>
      <c r="AA2543" t="n">
        <v>846</v>
      </c>
      <c r="AB2543" t="n">
        <v>8</v>
      </c>
      <c r="AC2543" t="n">
        <v>8</v>
      </c>
      <c r="AD2543" t="n">
        <v>35</v>
      </c>
      <c r="AE2543" t="n">
        <v>40</v>
      </c>
      <c r="AF2543" t="n">
        <v>13</v>
      </c>
      <c r="AG2543" t="n">
        <v>17</v>
      </c>
      <c r="AH2543" t="n">
        <v>6</v>
      </c>
      <c r="AI2543" t="n">
        <v>8</v>
      </c>
      <c r="AJ2543" t="n">
        <v>17</v>
      </c>
      <c r="AK2543" t="n">
        <v>18</v>
      </c>
      <c r="AL2543" t="n">
        <v>7</v>
      </c>
      <c r="AM2543" t="n">
        <v>7</v>
      </c>
      <c r="AN2543" t="n">
        <v>1</v>
      </c>
      <c r="AO2543" t="n">
        <v>1</v>
      </c>
      <c r="AP2543" t="inlineStr">
        <is>
          <t>No</t>
        </is>
      </c>
      <c r="AQ2543" t="inlineStr">
        <is>
          <t>No</t>
        </is>
      </c>
      <c r="AS2543">
        <f>HYPERLINK("https://creighton-primo.hosted.exlibrisgroup.com/primo-explore/search?tab=default_tab&amp;search_scope=EVERYTHING&amp;vid=01CRU&amp;lang=en_US&amp;offset=0&amp;query=any,contains,991002249519702656","Catalog Record")</f>
        <v/>
      </c>
      <c r="AT2543">
        <f>HYPERLINK("http://www.worldcat.org/oclc/29029686","WorldCat Record")</f>
        <v/>
      </c>
      <c r="AU2543" t="inlineStr">
        <is>
          <t>31327746:eng</t>
        </is>
      </c>
      <c r="AV2543" t="inlineStr">
        <is>
          <t>29029686</t>
        </is>
      </c>
      <c r="AW2543" t="inlineStr">
        <is>
          <t>991002249519702656</t>
        </is>
      </c>
      <c r="AX2543" t="inlineStr">
        <is>
          <t>991002249519702656</t>
        </is>
      </c>
      <c r="AY2543" t="inlineStr">
        <is>
          <t>2256017820002656</t>
        </is>
      </c>
      <c r="AZ2543" t="inlineStr">
        <is>
          <t>BOOK</t>
        </is>
      </c>
      <c r="BB2543" t="inlineStr">
        <is>
          <t>9780300058475</t>
        </is>
      </c>
      <c r="BC2543" t="inlineStr">
        <is>
          <t>32285003557039</t>
        </is>
      </c>
      <c r="BD2543" t="inlineStr">
        <is>
          <t>893232734</t>
        </is>
      </c>
    </row>
    <row r="2544">
      <c r="A2544" t="inlineStr">
        <is>
          <t>No</t>
        </is>
      </c>
      <c r="B2544" t="inlineStr">
        <is>
          <t>DS881.9 .J3</t>
        </is>
      </c>
      <c r="C2544" t="inlineStr">
        <is>
          <t>0                      DS 0881900J  3</t>
        </is>
      </c>
      <c r="D2544" t="inlineStr">
        <is>
          <t>Japan's modern century; a special issue of Monumenta Nipponica prepared in celebration of the centennial of the Meiji restoration / edited by Edmund Skrzypczak.</t>
        </is>
      </c>
      <c r="F2544" t="inlineStr">
        <is>
          <t>No</t>
        </is>
      </c>
      <c r="G2544" t="inlineStr">
        <is>
          <t>1</t>
        </is>
      </c>
      <c r="H2544" t="inlineStr">
        <is>
          <t>No</t>
        </is>
      </c>
      <c r="I2544" t="inlineStr">
        <is>
          <t>No</t>
        </is>
      </c>
      <c r="J2544" t="inlineStr">
        <is>
          <t>0</t>
        </is>
      </c>
      <c r="L2544" t="inlineStr">
        <is>
          <t>Tokyo : Sophia University in cooperation with Charles E. Tuttle, 1968.</t>
        </is>
      </c>
      <c r="M2544" t="inlineStr">
        <is>
          <t>1968</t>
        </is>
      </c>
      <c r="O2544" t="inlineStr">
        <is>
          <t>eng</t>
        </is>
      </c>
      <c r="P2544" t="inlineStr">
        <is>
          <t xml:space="preserve">ja </t>
        </is>
      </c>
      <c r="R2544" t="inlineStr">
        <is>
          <t xml:space="preserve">DS </t>
        </is>
      </c>
      <c r="S2544" t="n">
        <v>3</v>
      </c>
      <c r="T2544" t="n">
        <v>3</v>
      </c>
      <c r="U2544" t="inlineStr">
        <is>
          <t>1997-04-23</t>
        </is>
      </c>
      <c r="V2544" t="inlineStr">
        <is>
          <t>1997-04-23</t>
        </is>
      </c>
      <c r="W2544" t="inlineStr">
        <is>
          <t>1990-10-30</t>
        </is>
      </c>
      <c r="X2544" t="inlineStr">
        <is>
          <t>1990-10-30</t>
        </is>
      </c>
      <c r="Y2544" t="n">
        <v>401</v>
      </c>
      <c r="Z2544" t="n">
        <v>327</v>
      </c>
      <c r="AA2544" t="n">
        <v>333</v>
      </c>
      <c r="AB2544" t="n">
        <v>2</v>
      </c>
      <c r="AC2544" t="n">
        <v>2</v>
      </c>
      <c r="AD2544" t="n">
        <v>17</v>
      </c>
      <c r="AE2544" t="n">
        <v>17</v>
      </c>
      <c r="AF2544" t="n">
        <v>6</v>
      </c>
      <c r="AG2544" t="n">
        <v>6</v>
      </c>
      <c r="AH2544" t="n">
        <v>6</v>
      </c>
      <c r="AI2544" t="n">
        <v>6</v>
      </c>
      <c r="AJ2544" t="n">
        <v>10</v>
      </c>
      <c r="AK2544" t="n">
        <v>10</v>
      </c>
      <c r="AL2544" t="n">
        <v>1</v>
      </c>
      <c r="AM2544" t="n">
        <v>1</v>
      </c>
      <c r="AN2544" t="n">
        <v>0</v>
      </c>
      <c r="AO2544" t="n">
        <v>0</v>
      </c>
      <c r="AP2544" t="inlineStr">
        <is>
          <t>No</t>
        </is>
      </c>
      <c r="AQ2544" t="inlineStr">
        <is>
          <t>Yes</t>
        </is>
      </c>
      <c r="AR2544">
        <f>HYPERLINK("http://catalog.hathitrust.org/Record/001606407","HathiTrust Record")</f>
        <v/>
      </c>
      <c r="AS2544">
        <f>HYPERLINK("https://creighton-primo.hosted.exlibrisgroup.com/primo-explore/search?tab=default_tab&amp;search_scope=EVERYTHING&amp;vid=01CRU&amp;lang=en_US&amp;offset=0&amp;query=any,contains,991002751989702656","Catalog Record")</f>
        <v/>
      </c>
      <c r="AT2544">
        <f>HYPERLINK("http://www.worldcat.org/oclc/425073","WorldCat Record")</f>
        <v/>
      </c>
      <c r="AU2544" t="inlineStr">
        <is>
          <t>1516820:eng</t>
        </is>
      </c>
      <c r="AV2544" t="inlineStr">
        <is>
          <t>425073</t>
        </is>
      </c>
      <c r="AW2544" t="inlineStr">
        <is>
          <t>991002751989702656</t>
        </is>
      </c>
      <c r="AX2544" t="inlineStr">
        <is>
          <t>991002751989702656</t>
        </is>
      </c>
      <c r="AY2544" t="inlineStr">
        <is>
          <t>2267905540002656</t>
        </is>
      </c>
      <c r="AZ2544" t="inlineStr">
        <is>
          <t>BOOK</t>
        </is>
      </c>
      <c r="BC2544" t="inlineStr">
        <is>
          <t>32285000370394</t>
        </is>
      </c>
      <c r="BD2544" t="inlineStr">
        <is>
          <t>893245582</t>
        </is>
      </c>
    </row>
    <row r="2545">
      <c r="A2545" t="inlineStr">
        <is>
          <t>No</t>
        </is>
      </c>
      <c r="B2545" t="inlineStr">
        <is>
          <t>DS881.9 .M34 2002</t>
        </is>
      </c>
      <c r="C2545" t="inlineStr">
        <is>
          <t>0                      DS 0881900M  34          2002</t>
        </is>
      </c>
      <c r="D2545" t="inlineStr">
        <is>
          <t>Japan, a modern history / James L. McClain.</t>
        </is>
      </c>
      <c r="F2545" t="inlineStr">
        <is>
          <t>No</t>
        </is>
      </c>
      <c r="G2545" t="inlineStr">
        <is>
          <t>1</t>
        </is>
      </c>
      <c r="H2545" t="inlineStr">
        <is>
          <t>No</t>
        </is>
      </c>
      <c r="I2545" t="inlineStr">
        <is>
          <t>No</t>
        </is>
      </c>
      <c r="J2545" t="inlineStr">
        <is>
          <t>0</t>
        </is>
      </c>
      <c r="K2545" t="inlineStr">
        <is>
          <t>McClain, James L., 1944-</t>
        </is>
      </c>
      <c r="L2545" t="inlineStr">
        <is>
          <t>New York : W.W. Norton &amp; Co., c2002.</t>
        </is>
      </c>
      <c r="M2545" t="inlineStr">
        <is>
          <t>2002</t>
        </is>
      </c>
      <c r="N2545" t="inlineStr">
        <is>
          <t>1st ed.</t>
        </is>
      </c>
      <c r="O2545" t="inlineStr">
        <is>
          <t>eng</t>
        </is>
      </c>
      <c r="P2545" t="inlineStr">
        <is>
          <t>nyu</t>
        </is>
      </c>
      <c r="R2545" t="inlineStr">
        <is>
          <t xml:space="preserve">DS </t>
        </is>
      </c>
      <c r="S2545" t="n">
        <v>11</v>
      </c>
      <c r="T2545" t="n">
        <v>11</v>
      </c>
      <c r="U2545" t="inlineStr">
        <is>
          <t>2009-09-21</t>
        </is>
      </c>
      <c r="V2545" t="inlineStr">
        <is>
          <t>2009-09-21</t>
        </is>
      </c>
      <c r="W2545" t="inlineStr">
        <is>
          <t>2001-11-26</t>
        </is>
      </c>
      <c r="X2545" t="inlineStr">
        <is>
          <t>2001-11-26</t>
        </is>
      </c>
      <c r="Y2545" t="n">
        <v>1717</v>
      </c>
      <c r="Z2545" t="n">
        <v>1543</v>
      </c>
      <c r="AA2545" t="n">
        <v>1570</v>
      </c>
      <c r="AB2545" t="n">
        <v>9</v>
      </c>
      <c r="AC2545" t="n">
        <v>9</v>
      </c>
      <c r="AD2545" t="n">
        <v>41</v>
      </c>
      <c r="AE2545" t="n">
        <v>41</v>
      </c>
      <c r="AF2545" t="n">
        <v>21</v>
      </c>
      <c r="AG2545" t="n">
        <v>21</v>
      </c>
      <c r="AH2545" t="n">
        <v>11</v>
      </c>
      <c r="AI2545" t="n">
        <v>11</v>
      </c>
      <c r="AJ2545" t="n">
        <v>18</v>
      </c>
      <c r="AK2545" t="n">
        <v>18</v>
      </c>
      <c r="AL2545" t="n">
        <v>4</v>
      </c>
      <c r="AM2545" t="n">
        <v>4</v>
      </c>
      <c r="AN2545" t="n">
        <v>0</v>
      </c>
      <c r="AO2545" t="n">
        <v>0</v>
      </c>
      <c r="AP2545" t="inlineStr">
        <is>
          <t>No</t>
        </is>
      </c>
      <c r="AQ2545" t="inlineStr">
        <is>
          <t>No</t>
        </is>
      </c>
      <c r="AS2545">
        <f>HYPERLINK("https://creighton-primo.hosted.exlibrisgroup.com/primo-explore/search?tab=default_tab&amp;search_scope=EVERYTHING&amp;vid=01CRU&amp;lang=en_US&amp;offset=0&amp;query=any,contains,991003649569702656","Catalog Record")</f>
        <v/>
      </c>
      <c r="AT2545">
        <f>HYPERLINK("http://www.worldcat.org/oclc/47013231","WorldCat Record")</f>
        <v/>
      </c>
      <c r="AU2545" t="inlineStr">
        <is>
          <t>1011093:eng</t>
        </is>
      </c>
      <c r="AV2545" t="inlineStr">
        <is>
          <t>47013231</t>
        </is>
      </c>
      <c r="AW2545" t="inlineStr">
        <is>
          <t>991003649569702656</t>
        </is>
      </c>
      <c r="AX2545" t="inlineStr">
        <is>
          <t>991003649569702656</t>
        </is>
      </c>
      <c r="AY2545" t="inlineStr">
        <is>
          <t>2255020520002656</t>
        </is>
      </c>
      <c r="AZ2545" t="inlineStr">
        <is>
          <t>BOOK</t>
        </is>
      </c>
      <c r="BB2545" t="inlineStr">
        <is>
          <t>9780393041569</t>
        </is>
      </c>
      <c r="BC2545" t="inlineStr">
        <is>
          <t>32285004413752</t>
        </is>
      </c>
      <c r="BD2545" t="inlineStr">
        <is>
          <t>893793860</t>
        </is>
      </c>
    </row>
    <row r="2546">
      <c r="A2546" t="inlineStr">
        <is>
          <t>No</t>
        </is>
      </c>
      <c r="B2546" t="inlineStr">
        <is>
          <t>DS881.9 .M63</t>
        </is>
      </c>
      <c r="C2546" t="inlineStr">
        <is>
          <t>0                      DS 0881900M  63</t>
        </is>
      </c>
      <c r="D2546" t="inlineStr">
        <is>
          <t>Japan's foreign policy, 1868-1941 : a research guide / edited by James William Morley.</t>
        </is>
      </c>
      <c r="F2546" t="inlineStr">
        <is>
          <t>No</t>
        </is>
      </c>
      <c r="G2546" t="inlineStr">
        <is>
          <t>1</t>
        </is>
      </c>
      <c r="H2546" t="inlineStr">
        <is>
          <t>No</t>
        </is>
      </c>
      <c r="I2546" t="inlineStr">
        <is>
          <t>No</t>
        </is>
      </c>
      <c r="J2546" t="inlineStr">
        <is>
          <t>0</t>
        </is>
      </c>
      <c r="K2546" t="inlineStr">
        <is>
          <t>Morley, James William, 1921-</t>
        </is>
      </c>
      <c r="L2546" t="inlineStr">
        <is>
          <t>New York : Columbia University Press, 1974.</t>
        </is>
      </c>
      <c r="M2546" t="inlineStr">
        <is>
          <t>1974</t>
        </is>
      </c>
      <c r="O2546" t="inlineStr">
        <is>
          <t>eng</t>
        </is>
      </c>
      <c r="P2546" t="inlineStr">
        <is>
          <t>nyu</t>
        </is>
      </c>
      <c r="Q2546" t="inlineStr">
        <is>
          <t>Studies of the East Asian Institute, Columbia University</t>
        </is>
      </c>
      <c r="R2546" t="inlineStr">
        <is>
          <t xml:space="preserve">DS </t>
        </is>
      </c>
      <c r="S2546" t="n">
        <v>7</v>
      </c>
      <c r="T2546" t="n">
        <v>7</v>
      </c>
      <c r="U2546" t="inlineStr">
        <is>
          <t>1997-04-23</t>
        </is>
      </c>
      <c r="V2546" t="inlineStr">
        <is>
          <t>1997-04-23</t>
        </is>
      </c>
      <c r="W2546" t="inlineStr">
        <is>
          <t>1992-03-25</t>
        </is>
      </c>
      <c r="X2546" t="inlineStr">
        <is>
          <t>1992-03-25</t>
        </is>
      </c>
      <c r="Y2546" t="n">
        <v>732</v>
      </c>
      <c r="Z2546" t="n">
        <v>594</v>
      </c>
      <c r="AA2546" t="n">
        <v>600</v>
      </c>
      <c r="AB2546" t="n">
        <v>4</v>
      </c>
      <c r="AC2546" t="n">
        <v>4</v>
      </c>
      <c r="AD2546" t="n">
        <v>21</v>
      </c>
      <c r="AE2546" t="n">
        <v>21</v>
      </c>
      <c r="AF2546" t="n">
        <v>6</v>
      </c>
      <c r="AG2546" t="n">
        <v>6</v>
      </c>
      <c r="AH2546" t="n">
        <v>7</v>
      </c>
      <c r="AI2546" t="n">
        <v>7</v>
      </c>
      <c r="AJ2546" t="n">
        <v>9</v>
      </c>
      <c r="AK2546" t="n">
        <v>9</v>
      </c>
      <c r="AL2546" t="n">
        <v>3</v>
      </c>
      <c r="AM2546" t="n">
        <v>3</v>
      </c>
      <c r="AN2546" t="n">
        <v>0</v>
      </c>
      <c r="AO2546" t="n">
        <v>0</v>
      </c>
      <c r="AP2546" t="inlineStr">
        <is>
          <t>No</t>
        </is>
      </c>
      <c r="AQ2546" t="inlineStr">
        <is>
          <t>Yes</t>
        </is>
      </c>
      <c r="AR2546">
        <f>HYPERLINK("http://catalog.hathitrust.org/Record/001604978","HathiTrust Record")</f>
        <v/>
      </c>
      <c r="AS2546">
        <f>HYPERLINK("https://creighton-primo.hosted.exlibrisgroup.com/primo-explore/search?tab=default_tab&amp;search_scope=EVERYTHING&amp;vid=01CRU&amp;lang=en_US&amp;offset=0&amp;query=any,contains,991003214799702656","Catalog Record")</f>
        <v/>
      </c>
      <c r="AT2546">
        <f>HYPERLINK("http://www.worldcat.org/oclc/740958","WorldCat Record")</f>
        <v/>
      </c>
      <c r="AU2546" t="inlineStr">
        <is>
          <t>867236298:eng</t>
        </is>
      </c>
      <c r="AV2546" t="inlineStr">
        <is>
          <t>740958</t>
        </is>
      </c>
      <c r="AW2546" t="inlineStr">
        <is>
          <t>991003214799702656</t>
        </is>
      </c>
      <c r="AX2546" t="inlineStr">
        <is>
          <t>991003214799702656</t>
        </is>
      </c>
      <c r="AY2546" t="inlineStr">
        <is>
          <t>2272587040002656</t>
        </is>
      </c>
      <c r="AZ2546" t="inlineStr">
        <is>
          <t>BOOK</t>
        </is>
      </c>
      <c r="BC2546" t="inlineStr">
        <is>
          <t>32285001028579</t>
        </is>
      </c>
      <c r="BD2546" t="inlineStr">
        <is>
          <t>893511690</t>
        </is>
      </c>
    </row>
    <row r="2547">
      <c r="A2547" t="inlineStr">
        <is>
          <t>No</t>
        </is>
      </c>
      <c r="B2547" t="inlineStr">
        <is>
          <t>DS881.9 .P94</t>
        </is>
      </c>
      <c r="C2547" t="inlineStr">
        <is>
          <t>0                      DS 0881900P  94</t>
        </is>
      </c>
      <c r="D2547" t="inlineStr">
        <is>
          <t>The making of modern Japan / Kenneth B. Pyle.</t>
        </is>
      </c>
      <c r="F2547" t="inlineStr">
        <is>
          <t>No</t>
        </is>
      </c>
      <c r="G2547" t="inlineStr">
        <is>
          <t>1</t>
        </is>
      </c>
      <c r="H2547" t="inlineStr">
        <is>
          <t>No</t>
        </is>
      </c>
      <c r="I2547" t="inlineStr">
        <is>
          <t>No</t>
        </is>
      </c>
      <c r="J2547" t="inlineStr">
        <is>
          <t>0</t>
        </is>
      </c>
      <c r="K2547" t="inlineStr">
        <is>
          <t>Pyle, Kenneth B.</t>
        </is>
      </c>
      <c r="L2547" t="inlineStr">
        <is>
          <t>Lexington, Mass. : Heath, c1978.</t>
        </is>
      </c>
      <c r="M2547" t="inlineStr">
        <is>
          <t>1978</t>
        </is>
      </c>
      <c r="O2547" t="inlineStr">
        <is>
          <t>eng</t>
        </is>
      </c>
      <c r="P2547" t="inlineStr">
        <is>
          <t>mau</t>
        </is>
      </c>
      <c r="Q2547" t="inlineStr">
        <is>
          <t>Civilization and society</t>
        </is>
      </c>
      <c r="R2547" t="inlineStr">
        <is>
          <t xml:space="preserve">DS </t>
        </is>
      </c>
      <c r="S2547" t="n">
        <v>11</v>
      </c>
      <c r="T2547" t="n">
        <v>11</v>
      </c>
      <c r="U2547" t="inlineStr">
        <is>
          <t>2010-02-27</t>
        </is>
      </c>
      <c r="V2547" t="inlineStr">
        <is>
          <t>2010-02-27</t>
        </is>
      </c>
      <c r="W2547" t="inlineStr">
        <is>
          <t>1990-05-10</t>
        </is>
      </c>
      <c r="X2547" t="inlineStr">
        <is>
          <t>1990-05-10</t>
        </is>
      </c>
      <c r="Y2547" t="n">
        <v>336</v>
      </c>
      <c r="Z2547" t="n">
        <v>257</v>
      </c>
      <c r="AA2547" t="n">
        <v>431</v>
      </c>
      <c r="AB2547" t="n">
        <v>4</v>
      </c>
      <c r="AC2547" t="n">
        <v>4</v>
      </c>
      <c r="AD2547" t="n">
        <v>9</v>
      </c>
      <c r="AE2547" t="n">
        <v>16</v>
      </c>
      <c r="AF2547" t="n">
        <v>1</v>
      </c>
      <c r="AG2547" t="n">
        <v>6</v>
      </c>
      <c r="AH2547" t="n">
        <v>3</v>
      </c>
      <c r="AI2547" t="n">
        <v>4</v>
      </c>
      <c r="AJ2547" t="n">
        <v>3</v>
      </c>
      <c r="AK2547" t="n">
        <v>8</v>
      </c>
      <c r="AL2547" t="n">
        <v>3</v>
      </c>
      <c r="AM2547" t="n">
        <v>3</v>
      </c>
      <c r="AN2547" t="n">
        <v>0</v>
      </c>
      <c r="AO2547" t="n">
        <v>0</v>
      </c>
      <c r="AP2547" t="inlineStr">
        <is>
          <t>No</t>
        </is>
      </c>
      <c r="AQ2547" t="inlineStr">
        <is>
          <t>Yes</t>
        </is>
      </c>
      <c r="AR2547">
        <f>HYPERLINK("http://catalog.hathitrust.org/Record/003084089","HathiTrust Record")</f>
        <v/>
      </c>
      <c r="AS2547">
        <f>HYPERLINK("https://creighton-primo.hosted.exlibrisgroup.com/primo-explore/search?tab=default_tab&amp;search_scope=EVERYTHING&amp;vid=01CRU&amp;lang=en_US&amp;offset=0&amp;query=any,contains,991004544749702656","Catalog Record")</f>
        <v/>
      </c>
      <c r="AT2547">
        <f>HYPERLINK("http://www.worldcat.org/oclc/3912804","WorldCat Record")</f>
        <v/>
      </c>
      <c r="AU2547" t="inlineStr">
        <is>
          <t>13156055:eng</t>
        </is>
      </c>
      <c r="AV2547" t="inlineStr">
        <is>
          <t>3912804</t>
        </is>
      </c>
      <c r="AW2547" t="inlineStr">
        <is>
          <t>991004544749702656</t>
        </is>
      </c>
      <c r="AX2547" t="inlineStr">
        <is>
          <t>991004544749702656</t>
        </is>
      </c>
      <c r="AY2547" t="inlineStr">
        <is>
          <t>2260393010002656</t>
        </is>
      </c>
      <c r="AZ2547" t="inlineStr">
        <is>
          <t>BOOK</t>
        </is>
      </c>
      <c r="BB2547" t="inlineStr">
        <is>
          <t>9780669846577</t>
        </is>
      </c>
      <c r="BC2547" t="inlineStr">
        <is>
          <t>32285000151851</t>
        </is>
      </c>
      <c r="BD2547" t="inlineStr">
        <is>
          <t>893247706</t>
        </is>
      </c>
    </row>
    <row r="2548">
      <c r="A2548" t="inlineStr">
        <is>
          <t>No</t>
        </is>
      </c>
      <c r="B2548" t="inlineStr">
        <is>
          <t>DS881.9 .S5665 2001</t>
        </is>
      </c>
      <c r="C2548" t="inlineStr">
        <is>
          <t>0                      DS 0881900S  5665        2001</t>
        </is>
      </c>
      <c r="D2548" t="inlineStr">
        <is>
          <t>Japanese political history since the Meiji renovation, 1868-2000 / Richard Sims.</t>
        </is>
      </c>
      <c r="F2548" t="inlineStr">
        <is>
          <t>No</t>
        </is>
      </c>
      <c r="G2548" t="inlineStr">
        <is>
          <t>1</t>
        </is>
      </c>
      <c r="H2548" t="inlineStr">
        <is>
          <t>No</t>
        </is>
      </c>
      <c r="I2548" t="inlineStr">
        <is>
          <t>No</t>
        </is>
      </c>
      <c r="J2548" t="inlineStr">
        <is>
          <t>0</t>
        </is>
      </c>
      <c r="K2548" t="inlineStr">
        <is>
          <t>Sims, R. L. (Richard L.)</t>
        </is>
      </c>
      <c r="L2548" t="inlineStr">
        <is>
          <t>New York : Palgrave, c2001.</t>
        </is>
      </c>
      <c r="M2548" t="inlineStr">
        <is>
          <t>2001</t>
        </is>
      </c>
      <c r="O2548" t="inlineStr">
        <is>
          <t>eng</t>
        </is>
      </c>
      <c r="P2548" t="inlineStr">
        <is>
          <t>nyu</t>
        </is>
      </c>
      <c r="R2548" t="inlineStr">
        <is>
          <t xml:space="preserve">DS </t>
        </is>
      </c>
      <c r="S2548" t="n">
        <v>4</v>
      </c>
      <c r="T2548" t="n">
        <v>4</v>
      </c>
      <c r="U2548" t="inlineStr">
        <is>
          <t>2006-06-02</t>
        </is>
      </c>
      <c r="V2548" t="inlineStr">
        <is>
          <t>2006-06-02</t>
        </is>
      </c>
      <c r="W2548" t="inlineStr">
        <is>
          <t>2003-11-01</t>
        </is>
      </c>
      <c r="X2548" t="inlineStr">
        <is>
          <t>2003-11-01</t>
        </is>
      </c>
      <c r="Y2548" t="n">
        <v>271</v>
      </c>
      <c r="Z2548" t="n">
        <v>232</v>
      </c>
      <c r="AA2548" t="n">
        <v>252</v>
      </c>
      <c r="AB2548" t="n">
        <v>2</v>
      </c>
      <c r="AC2548" t="n">
        <v>2</v>
      </c>
      <c r="AD2548" t="n">
        <v>9</v>
      </c>
      <c r="AE2548" t="n">
        <v>11</v>
      </c>
      <c r="AF2548" t="n">
        <v>3</v>
      </c>
      <c r="AG2548" t="n">
        <v>3</v>
      </c>
      <c r="AH2548" t="n">
        <v>2</v>
      </c>
      <c r="AI2548" t="n">
        <v>4</v>
      </c>
      <c r="AJ2548" t="n">
        <v>5</v>
      </c>
      <c r="AK2548" t="n">
        <v>7</v>
      </c>
      <c r="AL2548" t="n">
        <v>1</v>
      </c>
      <c r="AM2548" t="n">
        <v>1</v>
      </c>
      <c r="AN2548" t="n">
        <v>0</v>
      </c>
      <c r="AO2548" t="n">
        <v>0</v>
      </c>
      <c r="AP2548" t="inlineStr">
        <is>
          <t>No</t>
        </is>
      </c>
      <c r="AQ2548" t="inlineStr">
        <is>
          <t>No</t>
        </is>
      </c>
      <c r="AS2548">
        <f>HYPERLINK("https://creighton-primo.hosted.exlibrisgroup.com/primo-explore/search?tab=default_tab&amp;search_scope=EVERYTHING&amp;vid=01CRU&amp;lang=en_US&amp;offset=0&amp;query=any,contains,991004158379702656","Catalog Record")</f>
        <v/>
      </c>
      <c r="AT2548">
        <f>HYPERLINK("http://www.worldcat.org/oclc/45172740","WorldCat Record")</f>
        <v/>
      </c>
      <c r="AU2548" t="inlineStr">
        <is>
          <t>192309462:eng</t>
        </is>
      </c>
      <c r="AV2548" t="inlineStr">
        <is>
          <t>45172740</t>
        </is>
      </c>
      <c r="AW2548" t="inlineStr">
        <is>
          <t>991004158379702656</t>
        </is>
      </c>
      <c r="AX2548" t="inlineStr">
        <is>
          <t>991004158379702656</t>
        </is>
      </c>
      <c r="AY2548" t="inlineStr">
        <is>
          <t>2258958770002656</t>
        </is>
      </c>
      <c r="AZ2548" t="inlineStr">
        <is>
          <t>BOOK</t>
        </is>
      </c>
      <c r="BB2548" t="inlineStr">
        <is>
          <t>9780312239145</t>
        </is>
      </c>
      <c r="BC2548" t="inlineStr">
        <is>
          <t>32285004790654</t>
        </is>
      </c>
      <c r="BD2548" t="inlineStr">
        <is>
          <t>893699921</t>
        </is>
      </c>
    </row>
    <row r="2549">
      <c r="A2549" t="inlineStr">
        <is>
          <t>No</t>
        </is>
      </c>
      <c r="B2549" t="inlineStr">
        <is>
          <t>DS881.9 .W37</t>
        </is>
      </c>
      <c r="C2549" t="inlineStr">
        <is>
          <t>0                      DS 0881900W  37</t>
        </is>
      </c>
      <c r="D2549" t="inlineStr">
        <is>
          <t>Political development in modern Japan, edited by Robert E. Ward. Contributors: Ardath W. Burks [and others]</t>
        </is>
      </c>
      <c r="F2549" t="inlineStr">
        <is>
          <t>No</t>
        </is>
      </c>
      <c r="G2549" t="inlineStr">
        <is>
          <t>1</t>
        </is>
      </c>
      <c r="H2549" t="inlineStr">
        <is>
          <t>No</t>
        </is>
      </c>
      <c r="I2549" t="inlineStr">
        <is>
          <t>No</t>
        </is>
      </c>
      <c r="J2549" t="inlineStr">
        <is>
          <t>0</t>
        </is>
      </c>
      <c r="K2549" t="inlineStr">
        <is>
          <t>Ward, Robert E., 1916-2009.</t>
        </is>
      </c>
      <c r="L2549" t="inlineStr">
        <is>
          <t>Princeton, N.J., Princeton University Press, 1968.</t>
        </is>
      </c>
      <c r="M2549" t="inlineStr">
        <is>
          <t>1968</t>
        </is>
      </c>
      <c r="O2549" t="inlineStr">
        <is>
          <t>eng</t>
        </is>
      </c>
      <c r="P2549" t="inlineStr">
        <is>
          <t>nju</t>
        </is>
      </c>
      <c r="Q2549" t="inlineStr">
        <is>
          <t>Studies in the modernization of Japan ; 4</t>
        </is>
      </c>
      <c r="R2549" t="inlineStr">
        <is>
          <t xml:space="preserve">DS </t>
        </is>
      </c>
      <c r="S2549" t="n">
        <v>6</v>
      </c>
      <c r="T2549" t="n">
        <v>6</v>
      </c>
      <c r="U2549" t="inlineStr">
        <is>
          <t>2005-12-15</t>
        </is>
      </c>
      <c r="V2549" t="inlineStr">
        <is>
          <t>2005-12-15</t>
        </is>
      </c>
      <c r="W2549" t="inlineStr">
        <is>
          <t>1997-03-17</t>
        </is>
      </c>
      <c r="X2549" t="inlineStr">
        <is>
          <t>1997-03-17</t>
        </is>
      </c>
      <c r="Y2549" t="n">
        <v>1017</v>
      </c>
      <c r="Z2549" t="n">
        <v>843</v>
      </c>
      <c r="AA2549" t="n">
        <v>872</v>
      </c>
      <c r="AB2549" t="n">
        <v>10</v>
      </c>
      <c r="AC2549" t="n">
        <v>10</v>
      </c>
      <c r="AD2549" t="n">
        <v>44</v>
      </c>
      <c r="AE2549" t="n">
        <v>47</v>
      </c>
      <c r="AF2549" t="n">
        <v>17</v>
      </c>
      <c r="AG2549" t="n">
        <v>19</v>
      </c>
      <c r="AH2549" t="n">
        <v>9</v>
      </c>
      <c r="AI2549" t="n">
        <v>9</v>
      </c>
      <c r="AJ2549" t="n">
        <v>23</v>
      </c>
      <c r="AK2549" t="n">
        <v>23</v>
      </c>
      <c r="AL2549" t="n">
        <v>8</v>
      </c>
      <c r="AM2549" t="n">
        <v>8</v>
      </c>
      <c r="AN2549" t="n">
        <v>0</v>
      </c>
      <c r="AO2549" t="n">
        <v>1</v>
      </c>
      <c r="AP2549" t="inlineStr">
        <is>
          <t>No</t>
        </is>
      </c>
      <c r="AQ2549" t="inlineStr">
        <is>
          <t>No</t>
        </is>
      </c>
      <c r="AS2549">
        <f>HYPERLINK("https://creighton-primo.hosted.exlibrisgroup.com/primo-explore/search?tab=default_tab&amp;search_scope=EVERYTHING&amp;vid=01CRU&amp;lang=en_US&amp;offset=0&amp;query=any,contains,991002728119702656","Catalog Record")</f>
        <v/>
      </c>
      <c r="AT2549">
        <f>HYPERLINK("http://www.worldcat.org/oclc/414986","WorldCat Record")</f>
        <v/>
      </c>
      <c r="AU2549" t="inlineStr">
        <is>
          <t>4928014453:eng</t>
        </is>
      </c>
      <c r="AV2549" t="inlineStr">
        <is>
          <t>414986</t>
        </is>
      </c>
      <c r="AW2549" t="inlineStr">
        <is>
          <t>991002728119702656</t>
        </is>
      </c>
      <c r="AX2549" t="inlineStr">
        <is>
          <t>991002728119702656</t>
        </is>
      </c>
      <c r="AY2549" t="inlineStr">
        <is>
          <t>2265484890002656</t>
        </is>
      </c>
      <c r="AZ2549" t="inlineStr">
        <is>
          <t>BOOK</t>
        </is>
      </c>
      <c r="BC2549" t="inlineStr">
        <is>
          <t>32285002450400</t>
        </is>
      </c>
      <c r="BD2549" t="inlineStr">
        <is>
          <t>893511109</t>
        </is>
      </c>
    </row>
    <row r="2550">
      <c r="A2550" t="inlineStr">
        <is>
          <t>No</t>
        </is>
      </c>
      <c r="B2550" t="inlineStr">
        <is>
          <t>DS881.9 .W383 1996</t>
        </is>
      </c>
      <c r="C2550" t="inlineStr">
        <is>
          <t>0                      DS 0881900W  383         1996</t>
        </is>
      </c>
      <c r="D2550" t="inlineStr">
        <is>
          <t>Modern Japanese society, 1868-1994 / Ann Waswo.</t>
        </is>
      </c>
      <c r="F2550" t="inlineStr">
        <is>
          <t>No</t>
        </is>
      </c>
      <c r="G2550" t="inlineStr">
        <is>
          <t>1</t>
        </is>
      </c>
      <c r="H2550" t="inlineStr">
        <is>
          <t>No</t>
        </is>
      </c>
      <c r="I2550" t="inlineStr">
        <is>
          <t>No</t>
        </is>
      </c>
      <c r="J2550" t="inlineStr">
        <is>
          <t>0</t>
        </is>
      </c>
      <c r="K2550" t="inlineStr">
        <is>
          <t>Waswo, Ann.</t>
        </is>
      </c>
      <c r="L2550" t="inlineStr">
        <is>
          <t>Oxford ; New York : Oxford University Press, 1996.</t>
        </is>
      </c>
      <c r="M2550" t="inlineStr">
        <is>
          <t>1996</t>
        </is>
      </c>
      <c r="O2550" t="inlineStr">
        <is>
          <t>eng</t>
        </is>
      </c>
      <c r="P2550" t="inlineStr">
        <is>
          <t>enk</t>
        </is>
      </c>
      <c r="R2550" t="inlineStr">
        <is>
          <t xml:space="preserve">DS </t>
        </is>
      </c>
      <c r="S2550" t="n">
        <v>7</v>
      </c>
      <c r="T2550" t="n">
        <v>7</v>
      </c>
      <c r="U2550" t="inlineStr">
        <is>
          <t>2006-04-10</t>
        </is>
      </c>
      <c r="V2550" t="inlineStr">
        <is>
          <t>2006-04-10</t>
        </is>
      </c>
      <c r="W2550" t="inlineStr">
        <is>
          <t>1999-04-28</t>
        </is>
      </c>
      <c r="X2550" t="inlineStr">
        <is>
          <t>1999-04-28</t>
        </is>
      </c>
      <c r="Y2550" t="n">
        <v>446</v>
      </c>
      <c r="Z2550" t="n">
        <v>277</v>
      </c>
      <c r="AA2550" t="n">
        <v>277</v>
      </c>
      <c r="AB2550" t="n">
        <v>3</v>
      </c>
      <c r="AC2550" t="n">
        <v>3</v>
      </c>
      <c r="AD2550" t="n">
        <v>18</v>
      </c>
      <c r="AE2550" t="n">
        <v>18</v>
      </c>
      <c r="AF2550" t="n">
        <v>5</v>
      </c>
      <c r="AG2550" t="n">
        <v>5</v>
      </c>
      <c r="AH2550" t="n">
        <v>6</v>
      </c>
      <c r="AI2550" t="n">
        <v>6</v>
      </c>
      <c r="AJ2550" t="n">
        <v>11</v>
      </c>
      <c r="AK2550" t="n">
        <v>11</v>
      </c>
      <c r="AL2550" t="n">
        <v>2</v>
      </c>
      <c r="AM2550" t="n">
        <v>2</v>
      </c>
      <c r="AN2550" t="n">
        <v>1</v>
      </c>
      <c r="AO2550" t="n">
        <v>1</v>
      </c>
      <c r="AP2550" t="inlineStr">
        <is>
          <t>No</t>
        </is>
      </c>
      <c r="AQ2550" t="inlineStr">
        <is>
          <t>No</t>
        </is>
      </c>
      <c r="AS2550">
        <f>HYPERLINK("https://creighton-primo.hosted.exlibrisgroup.com/primo-explore/search?tab=default_tab&amp;search_scope=EVERYTHING&amp;vid=01CRU&amp;lang=en_US&amp;offset=0&amp;query=any,contains,991002521079702656","Catalog Record")</f>
        <v/>
      </c>
      <c r="AT2550">
        <f>HYPERLINK("http://www.worldcat.org/oclc/32779675","WorldCat Record")</f>
        <v/>
      </c>
      <c r="AU2550" t="inlineStr">
        <is>
          <t>36894278:eng</t>
        </is>
      </c>
      <c r="AV2550" t="inlineStr">
        <is>
          <t>32779675</t>
        </is>
      </c>
      <c r="AW2550" t="inlineStr">
        <is>
          <t>991002521079702656</t>
        </is>
      </c>
      <c r="AX2550" t="inlineStr">
        <is>
          <t>991002521079702656</t>
        </is>
      </c>
      <c r="AY2550" t="inlineStr">
        <is>
          <t>2259627260002656</t>
        </is>
      </c>
      <c r="AZ2550" t="inlineStr">
        <is>
          <t>BOOK</t>
        </is>
      </c>
      <c r="BB2550" t="inlineStr">
        <is>
          <t>9780192892287</t>
        </is>
      </c>
      <c r="BC2550" t="inlineStr">
        <is>
          <t>32285005240568</t>
        </is>
      </c>
      <c r="BD2550" t="inlineStr">
        <is>
          <t>893427679</t>
        </is>
      </c>
    </row>
    <row r="2551">
      <c r="A2551" t="inlineStr">
        <is>
          <t>No</t>
        </is>
      </c>
      <c r="B2551" t="inlineStr">
        <is>
          <t>DS881.95 .G58 1985</t>
        </is>
      </c>
      <c r="C2551" t="inlineStr">
        <is>
          <t>0                      DS 0881950G  58          1985</t>
        </is>
      </c>
      <c r="D2551" t="inlineStr">
        <is>
          <t>Japan's modern myths : ideology in the late Meiji period / Carol Gluck.</t>
        </is>
      </c>
      <c r="F2551" t="inlineStr">
        <is>
          <t>No</t>
        </is>
      </c>
      <c r="G2551" t="inlineStr">
        <is>
          <t>1</t>
        </is>
      </c>
      <c r="H2551" t="inlineStr">
        <is>
          <t>No</t>
        </is>
      </c>
      <c r="I2551" t="inlineStr">
        <is>
          <t>No</t>
        </is>
      </c>
      <c r="J2551" t="inlineStr">
        <is>
          <t>0</t>
        </is>
      </c>
      <c r="K2551" t="inlineStr">
        <is>
          <t>Gluck, Carol, 1941-</t>
        </is>
      </c>
      <c r="L2551" t="inlineStr">
        <is>
          <t>Princeton, N.J. : Princeton University Press, c1985.</t>
        </is>
      </c>
      <c r="M2551" t="inlineStr">
        <is>
          <t>1985</t>
        </is>
      </c>
      <c r="O2551" t="inlineStr">
        <is>
          <t>eng</t>
        </is>
      </c>
      <c r="P2551" t="inlineStr">
        <is>
          <t>nju</t>
        </is>
      </c>
      <c r="Q2551" t="inlineStr">
        <is>
          <t>Studies of the East Asian Institute, Columbia University</t>
        </is>
      </c>
      <c r="R2551" t="inlineStr">
        <is>
          <t xml:space="preserve">DS </t>
        </is>
      </c>
      <c r="S2551" t="n">
        <v>6</v>
      </c>
      <c r="T2551" t="n">
        <v>6</v>
      </c>
      <c r="U2551" t="inlineStr">
        <is>
          <t>2005-04-04</t>
        </is>
      </c>
      <c r="V2551" t="inlineStr">
        <is>
          <t>2005-04-04</t>
        </is>
      </c>
      <c r="W2551" t="inlineStr">
        <is>
          <t>1990-10-30</t>
        </is>
      </c>
      <c r="X2551" t="inlineStr">
        <is>
          <t>1990-10-30</t>
        </is>
      </c>
      <c r="Y2551" t="n">
        <v>801</v>
      </c>
      <c r="Z2551" t="n">
        <v>600</v>
      </c>
      <c r="AA2551" t="n">
        <v>600</v>
      </c>
      <c r="AB2551" t="n">
        <v>5</v>
      </c>
      <c r="AC2551" t="n">
        <v>5</v>
      </c>
      <c r="AD2551" t="n">
        <v>31</v>
      </c>
      <c r="AE2551" t="n">
        <v>31</v>
      </c>
      <c r="AF2551" t="n">
        <v>7</v>
      </c>
      <c r="AG2551" t="n">
        <v>7</v>
      </c>
      <c r="AH2551" t="n">
        <v>10</v>
      </c>
      <c r="AI2551" t="n">
        <v>10</v>
      </c>
      <c r="AJ2551" t="n">
        <v>18</v>
      </c>
      <c r="AK2551" t="n">
        <v>18</v>
      </c>
      <c r="AL2551" t="n">
        <v>4</v>
      </c>
      <c r="AM2551" t="n">
        <v>4</v>
      </c>
      <c r="AN2551" t="n">
        <v>0</v>
      </c>
      <c r="AO2551" t="n">
        <v>0</v>
      </c>
      <c r="AP2551" t="inlineStr">
        <is>
          <t>No</t>
        </is>
      </c>
      <c r="AQ2551" t="inlineStr">
        <is>
          <t>No</t>
        </is>
      </c>
      <c r="AS2551">
        <f>HYPERLINK("https://creighton-primo.hosted.exlibrisgroup.com/primo-explore/search?tab=default_tab&amp;search_scope=EVERYTHING&amp;vid=01CRU&amp;lang=en_US&amp;offset=0&amp;query=any,contains,991000574669702656","Catalog Record")</f>
        <v/>
      </c>
      <c r="AT2551">
        <f>HYPERLINK("http://www.worldcat.org/oclc/11676767","WorldCat Record")</f>
        <v/>
      </c>
      <c r="AU2551" t="inlineStr">
        <is>
          <t>287334482:eng</t>
        </is>
      </c>
      <c r="AV2551" t="inlineStr">
        <is>
          <t>11676767</t>
        </is>
      </c>
      <c r="AW2551" t="inlineStr">
        <is>
          <t>991000574669702656</t>
        </is>
      </c>
      <c r="AX2551" t="inlineStr">
        <is>
          <t>991000574669702656</t>
        </is>
      </c>
      <c r="AY2551" t="inlineStr">
        <is>
          <t>2256529770002656</t>
        </is>
      </c>
      <c r="AZ2551" t="inlineStr">
        <is>
          <t>BOOK</t>
        </is>
      </c>
      <c r="BB2551" t="inlineStr">
        <is>
          <t>9780691054490</t>
        </is>
      </c>
      <c r="BC2551" t="inlineStr">
        <is>
          <t>32285000370410</t>
        </is>
      </c>
      <c r="BD2551" t="inlineStr">
        <is>
          <t>893261522</t>
        </is>
      </c>
    </row>
    <row r="2552">
      <c r="A2552" t="inlineStr">
        <is>
          <t>No</t>
        </is>
      </c>
      <c r="B2552" t="inlineStr">
        <is>
          <t>DS881.96 .I865 2000</t>
        </is>
      </c>
      <c r="C2552" t="inlineStr">
        <is>
          <t>0                      DS 0881960I  865         2000</t>
        </is>
      </c>
      <c r="D2552" t="inlineStr">
        <is>
          <t>Globalization of Japan : Japanese Sakoku mentality and U.S. efforts to open Japan / Mayumi Itoh.</t>
        </is>
      </c>
      <c r="F2552" t="inlineStr">
        <is>
          <t>No</t>
        </is>
      </c>
      <c r="G2552" t="inlineStr">
        <is>
          <t>1</t>
        </is>
      </c>
      <c r="H2552" t="inlineStr">
        <is>
          <t>No</t>
        </is>
      </c>
      <c r="I2552" t="inlineStr">
        <is>
          <t>No</t>
        </is>
      </c>
      <c r="J2552" t="inlineStr">
        <is>
          <t>0</t>
        </is>
      </c>
      <c r="K2552" t="inlineStr">
        <is>
          <t>Itoh, Mayumi, 1954-</t>
        </is>
      </c>
      <c r="L2552" t="inlineStr">
        <is>
          <t>New York : St. Martin's Press, 2000.</t>
        </is>
      </c>
      <c r="M2552" t="inlineStr">
        <is>
          <t>2000</t>
        </is>
      </c>
      <c r="N2552" t="inlineStr">
        <is>
          <t>1st pbk. ed.</t>
        </is>
      </c>
      <c r="O2552" t="inlineStr">
        <is>
          <t>eng</t>
        </is>
      </c>
      <c r="P2552" t="inlineStr">
        <is>
          <t>enk</t>
        </is>
      </c>
      <c r="R2552" t="inlineStr">
        <is>
          <t xml:space="preserve">DS </t>
        </is>
      </c>
      <c r="S2552" t="n">
        <v>13</v>
      </c>
      <c r="T2552" t="n">
        <v>13</v>
      </c>
      <c r="U2552" t="inlineStr">
        <is>
          <t>2009-04-14</t>
        </is>
      </c>
      <c r="V2552" t="inlineStr">
        <is>
          <t>2009-04-14</t>
        </is>
      </c>
      <c r="W2552" t="inlineStr">
        <is>
          <t>2001-01-17</t>
        </is>
      </c>
      <c r="X2552" t="inlineStr">
        <is>
          <t>2001-01-17</t>
        </is>
      </c>
      <c r="Y2552" t="n">
        <v>13</v>
      </c>
      <c r="Z2552" t="n">
        <v>3</v>
      </c>
      <c r="AA2552" t="n">
        <v>364</v>
      </c>
      <c r="AB2552" t="n">
        <v>1</v>
      </c>
      <c r="AC2552" t="n">
        <v>4</v>
      </c>
      <c r="AD2552" t="n">
        <v>0</v>
      </c>
      <c r="AE2552" t="n">
        <v>23</v>
      </c>
      <c r="AF2552" t="n">
        <v>0</v>
      </c>
      <c r="AG2552" t="n">
        <v>7</v>
      </c>
      <c r="AH2552" t="n">
        <v>0</v>
      </c>
      <c r="AI2552" t="n">
        <v>7</v>
      </c>
      <c r="AJ2552" t="n">
        <v>0</v>
      </c>
      <c r="AK2552" t="n">
        <v>15</v>
      </c>
      <c r="AL2552" t="n">
        <v>0</v>
      </c>
      <c r="AM2552" t="n">
        <v>3</v>
      </c>
      <c r="AN2552" t="n">
        <v>0</v>
      </c>
      <c r="AO2552" t="n">
        <v>0</v>
      </c>
      <c r="AP2552" t="inlineStr">
        <is>
          <t>No</t>
        </is>
      </c>
      <c r="AQ2552" t="inlineStr">
        <is>
          <t>No</t>
        </is>
      </c>
      <c r="AS2552">
        <f>HYPERLINK("https://creighton-primo.hosted.exlibrisgroup.com/primo-explore/search?tab=default_tab&amp;search_scope=EVERYTHING&amp;vid=01CRU&amp;lang=en_US&amp;offset=0&amp;query=any,contains,991003358289702656","Catalog Record")</f>
        <v/>
      </c>
      <c r="AT2552">
        <f>HYPERLINK("http://www.worldcat.org/oclc/44851995","WorldCat Record")</f>
        <v/>
      </c>
      <c r="AU2552" t="inlineStr">
        <is>
          <t>610082:eng</t>
        </is>
      </c>
      <c r="AV2552" t="inlineStr">
        <is>
          <t>44851995</t>
        </is>
      </c>
      <c r="AW2552" t="inlineStr">
        <is>
          <t>991003358289702656</t>
        </is>
      </c>
      <c r="AX2552" t="inlineStr">
        <is>
          <t>991003358289702656</t>
        </is>
      </c>
      <c r="AY2552" t="inlineStr">
        <is>
          <t>2261701660002656</t>
        </is>
      </c>
      <c r="AZ2552" t="inlineStr">
        <is>
          <t>BOOK</t>
        </is>
      </c>
      <c r="BB2552" t="inlineStr">
        <is>
          <t>9780312235055</t>
        </is>
      </c>
      <c r="BC2552" t="inlineStr">
        <is>
          <t>32285004284559</t>
        </is>
      </c>
      <c r="BD2552" t="inlineStr">
        <is>
          <t>893610963</t>
        </is>
      </c>
    </row>
    <row r="2553">
      <c r="A2553" t="inlineStr">
        <is>
          <t>No</t>
        </is>
      </c>
      <c r="B2553" t="inlineStr">
        <is>
          <t>DS881.97 .H69 1993</t>
        </is>
      </c>
      <c r="C2553" t="inlineStr">
        <is>
          <t>0                      DS 0881970H  69          1993</t>
        </is>
      </c>
      <c r="D2553" t="inlineStr">
        <is>
          <t>Three military leaders : Heihachiro Togo, Isoroku Yamamoto, Tomoyuki Yamashita / Edwin P. Hoyt.</t>
        </is>
      </c>
      <c r="F2553" t="inlineStr">
        <is>
          <t>No</t>
        </is>
      </c>
      <c r="G2553" t="inlineStr">
        <is>
          <t>1</t>
        </is>
      </c>
      <c r="H2553" t="inlineStr">
        <is>
          <t>No</t>
        </is>
      </c>
      <c r="I2553" t="inlineStr">
        <is>
          <t>No</t>
        </is>
      </c>
      <c r="J2553" t="inlineStr">
        <is>
          <t>0</t>
        </is>
      </c>
      <c r="K2553" t="inlineStr">
        <is>
          <t>Hoyt, Edwin P. (Edwin Palmer), 1923-2005.</t>
        </is>
      </c>
      <c r="L2553" t="inlineStr">
        <is>
          <t>Tokyo ; New York : Kodansha International, 1993.</t>
        </is>
      </c>
      <c r="M2553" t="inlineStr">
        <is>
          <t>1993</t>
        </is>
      </c>
      <c r="N2553" t="inlineStr">
        <is>
          <t>1st ed.</t>
        </is>
      </c>
      <c r="O2553" t="inlineStr">
        <is>
          <t>eng</t>
        </is>
      </c>
      <c r="P2553" t="inlineStr">
        <is>
          <t xml:space="preserve">ja </t>
        </is>
      </c>
      <c r="Q2553" t="inlineStr">
        <is>
          <t>Kodansha biographies</t>
        </is>
      </c>
      <c r="R2553" t="inlineStr">
        <is>
          <t xml:space="preserve">DS </t>
        </is>
      </c>
      <c r="S2553" t="n">
        <v>3</v>
      </c>
      <c r="T2553" t="n">
        <v>3</v>
      </c>
      <c r="U2553" t="inlineStr">
        <is>
          <t>2003-06-18</t>
        </is>
      </c>
      <c r="V2553" t="inlineStr">
        <is>
          <t>2003-06-18</t>
        </is>
      </c>
      <c r="W2553" t="inlineStr">
        <is>
          <t>1996-05-07</t>
        </is>
      </c>
      <c r="X2553" t="inlineStr">
        <is>
          <t>1996-05-07</t>
        </is>
      </c>
      <c r="Y2553" t="n">
        <v>227</v>
      </c>
      <c r="Z2553" t="n">
        <v>163</v>
      </c>
      <c r="AA2553" t="n">
        <v>174</v>
      </c>
      <c r="AB2553" t="n">
        <v>2</v>
      </c>
      <c r="AC2553" t="n">
        <v>2</v>
      </c>
      <c r="AD2553" t="n">
        <v>12</v>
      </c>
      <c r="AE2553" t="n">
        <v>12</v>
      </c>
      <c r="AF2553" t="n">
        <v>4</v>
      </c>
      <c r="AG2553" t="n">
        <v>4</v>
      </c>
      <c r="AH2553" t="n">
        <v>4</v>
      </c>
      <c r="AI2553" t="n">
        <v>4</v>
      </c>
      <c r="AJ2553" t="n">
        <v>7</v>
      </c>
      <c r="AK2553" t="n">
        <v>7</v>
      </c>
      <c r="AL2553" t="n">
        <v>1</v>
      </c>
      <c r="AM2553" t="n">
        <v>1</v>
      </c>
      <c r="AN2553" t="n">
        <v>0</v>
      </c>
      <c r="AO2553" t="n">
        <v>0</v>
      </c>
      <c r="AP2553" t="inlineStr">
        <is>
          <t>No</t>
        </is>
      </c>
      <c r="AQ2553" t="inlineStr">
        <is>
          <t>No</t>
        </is>
      </c>
      <c r="AS2553">
        <f>HYPERLINK("https://creighton-primo.hosted.exlibrisgroup.com/primo-explore/search?tab=default_tab&amp;search_scope=EVERYTHING&amp;vid=01CRU&amp;lang=en_US&amp;offset=0&amp;query=any,contains,991002213649702656","Catalog Record")</f>
        <v/>
      </c>
      <c r="AT2553">
        <f>HYPERLINK("http://www.worldcat.org/oclc/28503994","WorldCat Record")</f>
        <v/>
      </c>
      <c r="AU2553" t="inlineStr">
        <is>
          <t>307032560:eng</t>
        </is>
      </c>
      <c r="AV2553" t="inlineStr">
        <is>
          <t>28503994</t>
        </is>
      </c>
      <c r="AW2553" t="inlineStr">
        <is>
          <t>991002213649702656</t>
        </is>
      </c>
      <c r="AX2553" t="inlineStr">
        <is>
          <t>991002213649702656</t>
        </is>
      </c>
      <c r="AY2553" t="inlineStr">
        <is>
          <t>2270534520002656</t>
        </is>
      </c>
      <c r="AZ2553" t="inlineStr">
        <is>
          <t>BOOK</t>
        </is>
      </c>
      <c r="BB2553" t="inlineStr">
        <is>
          <t>9784770017376</t>
        </is>
      </c>
      <c r="BC2553" t="inlineStr">
        <is>
          <t>32285002165172</t>
        </is>
      </c>
      <c r="BD2553" t="inlineStr">
        <is>
          <t>893615840</t>
        </is>
      </c>
    </row>
    <row r="2554">
      <c r="A2554" t="inlineStr">
        <is>
          <t>No</t>
        </is>
      </c>
      <c r="B2554" t="inlineStr">
        <is>
          <t>DS881.97 .R44 1986</t>
        </is>
      </c>
      <c r="C2554" t="inlineStr">
        <is>
          <t>0                      DS 0881970R  44          1986</t>
        </is>
      </c>
      <c r="D2554" t="inlineStr">
        <is>
          <t>Samurai and silk : a Japanese and American heritage / Haru Matsukata Reischauer.</t>
        </is>
      </c>
      <c r="F2554" t="inlineStr">
        <is>
          <t>No</t>
        </is>
      </c>
      <c r="G2554" t="inlineStr">
        <is>
          <t>1</t>
        </is>
      </c>
      <c r="H2554" t="inlineStr">
        <is>
          <t>No</t>
        </is>
      </c>
      <c r="I2554" t="inlineStr">
        <is>
          <t>No</t>
        </is>
      </c>
      <c r="J2554" t="inlineStr">
        <is>
          <t>0</t>
        </is>
      </c>
      <c r="K2554" t="inlineStr">
        <is>
          <t>Reischauer, Haru Matsukata, 1915-1998.</t>
        </is>
      </c>
      <c r="L2554" t="inlineStr">
        <is>
          <t>Cambridge, Mass. : Harvard University Press, 1986.</t>
        </is>
      </c>
      <c r="M2554" t="inlineStr">
        <is>
          <t>1986</t>
        </is>
      </c>
      <c r="O2554" t="inlineStr">
        <is>
          <t>eng</t>
        </is>
      </c>
      <c r="P2554" t="inlineStr">
        <is>
          <t>mau</t>
        </is>
      </c>
      <c r="R2554" t="inlineStr">
        <is>
          <t xml:space="preserve">DS </t>
        </is>
      </c>
      <c r="S2554" t="n">
        <v>8</v>
      </c>
      <c r="T2554" t="n">
        <v>8</v>
      </c>
      <c r="U2554" t="inlineStr">
        <is>
          <t>2000-02-29</t>
        </is>
      </c>
      <c r="V2554" t="inlineStr">
        <is>
          <t>2000-02-29</t>
        </is>
      </c>
      <c r="W2554" t="inlineStr">
        <is>
          <t>1990-10-30</t>
        </is>
      </c>
      <c r="X2554" t="inlineStr">
        <is>
          <t>1990-10-30</t>
        </is>
      </c>
      <c r="Y2554" t="n">
        <v>1192</v>
      </c>
      <c r="Z2554" t="n">
        <v>1030</v>
      </c>
      <c r="AA2554" t="n">
        <v>1056</v>
      </c>
      <c r="AB2554" t="n">
        <v>5</v>
      </c>
      <c r="AC2554" t="n">
        <v>5</v>
      </c>
      <c r="AD2554" t="n">
        <v>32</v>
      </c>
      <c r="AE2554" t="n">
        <v>32</v>
      </c>
      <c r="AF2554" t="n">
        <v>11</v>
      </c>
      <c r="AG2554" t="n">
        <v>11</v>
      </c>
      <c r="AH2554" t="n">
        <v>11</v>
      </c>
      <c r="AI2554" t="n">
        <v>11</v>
      </c>
      <c r="AJ2554" t="n">
        <v>17</v>
      </c>
      <c r="AK2554" t="n">
        <v>17</v>
      </c>
      <c r="AL2554" t="n">
        <v>4</v>
      </c>
      <c r="AM2554" t="n">
        <v>4</v>
      </c>
      <c r="AN2554" t="n">
        <v>0</v>
      </c>
      <c r="AO2554" t="n">
        <v>0</v>
      </c>
      <c r="AP2554" t="inlineStr">
        <is>
          <t>No</t>
        </is>
      </c>
      <c r="AQ2554" t="inlineStr">
        <is>
          <t>Yes</t>
        </is>
      </c>
      <c r="AR2554">
        <f>HYPERLINK("http://catalog.hathitrust.org/Record/000430907","HathiTrust Record")</f>
        <v/>
      </c>
      <c r="AS2554">
        <f>HYPERLINK("https://creighton-primo.hosted.exlibrisgroup.com/primo-explore/search?tab=default_tab&amp;search_scope=EVERYTHING&amp;vid=01CRU&amp;lang=en_US&amp;offset=0&amp;query=any,contains,991000710709702656","Catalog Record")</f>
        <v/>
      </c>
      <c r="AT2554">
        <f>HYPERLINK("http://www.worldcat.org/oclc/12582732","WorldCat Record")</f>
        <v/>
      </c>
      <c r="AU2554" t="inlineStr">
        <is>
          <t>2684013:eng</t>
        </is>
      </c>
      <c r="AV2554" t="inlineStr">
        <is>
          <t>12582732</t>
        </is>
      </c>
      <c r="AW2554" t="inlineStr">
        <is>
          <t>991000710709702656</t>
        </is>
      </c>
      <c r="AX2554" t="inlineStr">
        <is>
          <t>991000710709702656</t>
        </is>
      </c>
      <c r="AY2554" t="inlineStr">
        <is>
          <t>2272255030002656</t>
        </is>
      </c>
      <c r="AZ2554" t="inlineStr">
        <is>
          <t>BOOK</t>
        </is>
      </c>
      <c r="BB2554" t="inlineStr">
        <is>
          <t>9780674788008</t>
        </is>
      </c>
      <c r="BC2554" t="inlineStr">
        <is>
          <t>32285000370428</t>
        </is>
      </c>
      <c r="BD2554" t="inlineStr">
        <is>
          <t>893231343</t>
        </is>
      </c>
    </row>
    <row r="2555">
      <c r="A2555" t="inlineStr">
        <is>
          <t>No</t>
        </is>
      </c>
      <c r="B2555" t="inlineStr">
        <is>
          <t>DS882 .M5</t>
        </is>
      </c>
      <c r="C2555" t="inlineStr">
        <is>
          <t>0                      DS 0882000M  5</t>
        </is>
      </c>
      <c r="D2555" t="inlineStr">
        <is>
          <t>Meiji Japan's centennial : aspects of political thought and action / edited by David Wurfel.</t>
        </is>
      </c>
      <c r="F2555" t="inlineStr">
        <is>
          <t>No</t>
        </is>
      </c>
      <c r="G2555" t="inlineStr">
        <is>
          <t>1</t>
        </is>
      </c>
      <c r="H2555" t="inlineStr">
        <is>
          <t>No</t>
        </is>
      </c>
      <c r="I2555" t="inlineStr">
        <is>
          <t>No</t>
        </is>
      </c>
      <c r="J2555" t="inlineStr">
        <is>
          <t>0</t>
        </is>
      </c>
      <c r="K2555" t="inlineStr">
        <is>
          <t>Midwest Conference on Asian Affairs (17th : 1968 : Western Michigan University)</t>
        </is>
      </c>
      <c r="L2555" t="inlineStr">
        <is>
          <t>Lawrence : University Press of Kansas, [1971]</t>
        </is>
      </c>
      <c r="M2555" t="inlineStr">
        <is>
          <t>1971</t>
        </is>
      </c>
      <c r="O2555" t="inlineStr">
        <is>
          <t>eng</t>
        </is>
      </c>
      <c r="P2555" t="inlineStr">
        <is>
          <t>ksu</t>
        </is>
      </c>
      <c r="Q2555" t="inlineStr">
        <is>
          <t>Studies on Asia ; 2d ser., v. 1</t>
        </is>
      </c>
      <c r="R2555" t="inlineStr">
        <is>
          <t xml:space="preserve">DS </t>
        </is>
      </c>
      <c r="S2555" t="n">
        <v>3</v>
      </c>
      <c r="T2555" t="n">
        <v>3</v>
      </c>
      <c r="U2555" t="inlineStr">
        <is>
          <t>1999-11-11</t>
        </is>
      </c>
      <c r="V2555" t="inlineStr">
        <is>
          <t>1999-11-11</t>
        </is>
      </c>
      <c r="W2555" t="inlineStr">
        <is>
          <t>1993-12-08</t>
        </is>
      </c>
      <c r="X2555" t="inlineStr">
        <is>
          <t>1993-12-08</t>
        </is>
      </c>
      <c r="Y2555" t="n">
        <v>338</v>
      </c>
      <c r="Z2555" t="n">
        <v>283</v>
      </c>
      <c r="AA2555" t="n">
        <v>285</v>
      </c>
      <c r="AB2555" t="n">
        <v>5</v>
      </c>
      <c r="AC2555" t="n">
        <v>5</v>
      </c>
      <c r="AD2555" t="n">
        <v>12</v>
      </c>
      <c r="AE2555" t="n">
        <v>12</v>
      </c>
      <c r="AF2555" t="n">
        <v>1</v>
      </c>
      <c r="AG2555" t="n">
        <v>1</v>
      </c>
      <c r="AH2555" t="n">
        <v>5</v>
      </c>
      <c r="AI2555" t="n">
        <v>5</v>
      </c>
      <c r="AJ2555" t="n">
        <v>5</v>
      </c>
      <c r="AK2555" t="n">
        <v>5</v>
      </c>
      <c r="AL2555" t="n">
        <v>4</v>
      </c>
      <c r="AM2555" t="n">
        <v>4</v>
      </c>
      <c r="AN2555" t="n">
        <v>0</v>
      </c>
      <c r="AO2555" t="n">
        <v>0</v>
      </c>
      <c r="AP2555" t="inlineStr">
        <is>
          <t>No</t>
        </is>
      </c>
      <c r="AQ2555" t="inlineStr">
        <is>
          <t>Yes</t>
        </is>
      </c>
      <c r="AR2555">
        <f>HYPERLINK("http://catalog.hathitrust.org/Record/006035034","HathiTrust Record")</f>
        <v/>
      </c>
      <c r="AS2555">
        <f>HYPERLINK("https://creighton-primo.hosted.exlibrisgroup.com/primo-explore/search?tab=default_tab&amp;search_scope=EVERYTHING&amp;vid=01CRU&amp;lang=en_US&amp;offset=0&amp;query=any,contains,991002175519702656","Catalog Record")</f>
        <v/>
      </c>
      <c r="AT2555">
        <f>HYPERLINK("http://www.worldcat.org/oclc/277985","WorldCat Record")</f>
        <v/>
      </c>
      <c r="AU2555" t="inlineStr">
        <is>
          <t>1418255:eng</t>
        </is>
      </c>
      <c r="AV2555" t="inlineStr">
        <is>
          <t>277985</t>
        </is>
      </c>
      <c r="AW2555" t="inlineStr">
        <is>
          <t>991002175519702656</t>
        </is>
      </c>
      <c r="AX2555" t="inlineStr">
        <is>
          <t>991002175519702656</t>
        </is>
      </c>
      <c r="AY2555" t="inlineStr">
        <is>
          <t>2260361320002656</t>
        </is>
      </c>
      <c r="AZ2555" t="inlineStr">
        <is>
          <t>BOOK</t>
        </is>
      </c>
      <c r="BB2555" t="inlineStr">
        <is>
          <t>9780700600762</t>
        </is>
      </c>
      <c r="BC2555" t="inlineStr">
        <is>
          <t>32285001806206</t>
        </is>
      </c>
      <c r="BD2555" t="inlineStr">
        <is>
          <t>893414907</t>
        </is>
      </c>
    </row>
    <row r="2556">
      <c r="A2556" t="inlineStr">
        <is>
          <t>No</t>
        </is>
      </c>
      <c r="B2556" t="inlineStr">
        <is>
          <t>DS882 .N64 1975</t>
        </is>
      </c>
      <c r="C2556" t="inlineStr">
        <is>
          <t>0                      DS 0882000N  64          1975</t>
        </is>
      </c>
      <c r="D2556" t="inlineStr">
        <is>
          <t>Origins of the modern Japanese state : selected writings of E. H. Norman / edited, with an introd. on "E. H. Norman, Japan, and the uses of history," by John W. Dower.</t>
        </is>
      </c>
      <c r="F2556" t="inlineStr">
        <is>
          <t>No</t>
        </is>
      </c>
      <c r="G2556" t="inlineStr">
        <is>
          <t>1</t>
        </is>
      </c>
      <c r="H2556" t="inlineStr">
        <is>
          <t>No</t>
        </is>
      </c>
      <c r="I2556" t="inlineStr">
        <is>
          <t>No</t>
        </is>
      </c>
      <c r="J2556" t="inlineStr">
        <is>
          <t>0</t>
        </is>
      </c>
      <c r="K2556" t="inlineStr">
        <is>
          <t>Norman, E. Herbert, 1909-1957.</t>
        </is>
      </c>
      <c r="L2556" t="inlineStr">
        <is>
          <t>New York : Pantheon Books, [1975]</t>
        </is>
      </c>
      <c r="M2556" t="inlineStr">
        <is>
          <t>1975</t>
        </is>
      </c>
      <c r="N2556" t="inlineStr">
        <is>
          <t>1st ed.</t>
        </is>
      </c>
      <c r="O2556" t="inlineStr">
        <is>
          <t>eng</t>
        </is>
      </c>
      <c r="P2556" t="inlineStr">
        <is>
          <t>nyu</t>
        </is>
      </c>
      <c r="Q2556" t="inlineStr">
        <is>
          <t>The Pantheon Asia library : new approaches to the new Asia</t>
        </is>
      </c>
      <c r="R2556" t="inlineStr">
        <is>
          <t xml:space="preserve">DS </t>
        </is>
      </c>
      <c r="S2556" t="n">
        <v>5</v>
      </c>
      <c r="T2556" t="n">
        <v>5</v>
      </c>
      <c r="U2556" t="inlineStr">
        <is>
          <t>2001-02-19</t>
        </is>
      </c>
      <c r="V2556" t="inlineStr">
        <is>
          <t>2001-02-19</t>
        </is>
      </c>
      <c r="W2556" t="inlineStr">
        <is>
          <t>1993-12-08</t>
        </is>
      </c>
      <c r="X2556" t="inlineStr">
        <is>
          <t>1993-12-08</t>
        </is>
      </c>
      <c r="Y2556" t="n">
        <v>713</v>
      </c>
      <c r="Z2556" t="n">
        <v>549</v>
      </c>
      <c r="AA2556" t="n">
        <v>554</v>
      </c>
      <c r="AB2556" t="n">
        <v>4</v>
      </c>
      <c r="AC2556" t="n">
        <v>4</v>
      </c>
      <c r="AD2556" t="n">
        <v>29</v>
      </c>
      <c r="AE2556" t="n">
        <v>29</v>
      </c>
      <c r="AF2556" t="n">
        <v>11</v>
      </c>
      <c r="AG2556" t="n">
        <v>11</v>
      </c>
      <c r="AH2556" t="n">
        <v>7</v>
      </c>
      <c r="AI2556" t="n">
        <v>7</v>
      </c>
      <c r="AJ2556" t="n">
        <v>15</v>
      </c>
      <c r="AK2556" t="n">
        <v>15</v>
      </c>
      <c r="AL2556" t="n">
        <v>3</v>
      </c>
      <c r="AM2556" t="n">
        <v>3</v>
      </c>
      <c r="AN2556" t="n">
        <v>0</v>
      </c>
      <c r="AO2556" t="n">
        <v>0</v>
      </c>
      <c r="AP2556" t="inlineStr">
        <is>
          <t>No</t>
        </is>
      </c>
      <c r="AQ2556" t="inlineStr">
        <is>
          <t>Yes</t>
        </is>
      </c>
      <c r="AR2556">
        <f>HYPERLINK("http://catalog.hathitrust.org/Record/000032144","HathiTrust Record")</f>
        <v/>
      </c>
      <c r="AS2556">
        <f>HYPERLINK("https://creighton-primo.hosted.exlibrisgroup.com/primo-explore/search?tab=default_tab&amp;search_scope=EVERYTHING&amp;vid=01CRU&amp;lang=en_US&amp;offset=0&amp;query=any,contains,991003537439702656","Catalog Record")</f>
        <v/>
      </c>
      <c r="AT2556">
        <f>HYPERLINK("http://www.worldcat.org/oclc/1102943","WorldCat Record")</f>
        <v/>
      </c>
      <c r="AU2556" t="inlineStr">
        <is>
          <t>891263299:eng</t>
        </is>
      </c>
      <c r="AV2556" t="inlineStr">
        <is>
          <t>1102943</t>
        </is>
      </c>
      <c r="AW2556" t="inlineStr">
        <is>
          <t>991003537439702656</t>
        </is>
      </c>
      <c r="AX2556" t="inlineStr">
        <is>
          <t>991003537439702656</t>
        </is>
      </c>
      <c r="AY2556" t="inlineStr">
        <is>
          <t>2270251710002656</t>
        </is>
      </c>
      <c r="AZ2556" t="inlineStr">
        <is>
          <t>BOOK</t>
        </is>
      </c>
      <c r="BB2556" t="inlineStr">
        <is>
          <t>9780394494135</t>
        </is>
      </c>
      <c r="BC2556" t="inlineStr">
        <is>
          <t>32285001806198</t>
        </is>
      </c>
      <c r="BD2556" t="inlineStr">
        <is>
          <t>893512057</t>
        </is>
      </c>
    </row>
    <row r="2557">
      <c r="A2557" t="inlineStr">
        <is>
          <t>No</t>
        </is>
      </c>
      <c r="B2557" t="inlineStr">
        <is>
          <t>DS882.5 .B68</t>
        </is>
      </c>
      <c r="C2557" t="inlineStr">
        <is>
          <t>0                      DS 0882500B  68</t>
        </is>
      </c>
      <c r="D2557" t="inlineStr">
        <is>
          <t>Rebellion and democracy in Meiji Japan : a study of commoners in the popular rights movement / Roger W. Bowen.</t>
        </is>
      </c>
      <c r="F2557" t="inlineStr">
        <is>
          <t>No</t>
        </is>
      </c>
      <c r="G2557" t="inlineStr">
        <is>
          <t>1</t>
        </is>
      </c>
      <c r="H2557" t="inlineStr">
        <is>
          <t>No</t>
        </is>
      </c>
      <c r="I2557" t="inlineStr">
        <is>
          <t>No</t>
        </is>
      </c>
      <c r="J2557" t="inlineStr">
        <is>
          <t>0</t>
        </is>
      </c>
      <c r="K2557" t="inlineStr">
        <is>
          <t>Bowen, Roger W., 1947-</t>
        </is>
      </c>
      <c r="L2557" t="inlineStr">
        <is>
          <t>Berkeley : University of California Press, c1980.</t>
        </is>
      </c>
      <c r="M2557" t="inlineStr">
        <is>
          <t>1980</t>
        </is>
      </c>
      <c r="O2557" t="inlineStr">
        <is>
          <t>eng</t>
        </is>
      </c>
      <c r="P2557" t="inlineStr">
        <is>
          <t>cau</t>
        </is>
      </c>
      <c r="R2557" t="inlineStr">
        <is>
          <t xml:space="preserve">DS </t>
        </is>
      </c>
      <c r="S2557" t="n">
        <v>3</v>
      </c>
      <c r="T2557" t="n">
        <v>3</v>
      </c>
      <c r="U2557" t="inlineStr">
        <is>
          <t>1995-07-02</t>
        </is>
      </c>
      <c r="V2557" t="inlineStr">
        <is>
          <t>1995-07-02</t>
        </is>
      </c>
      <c r="W2557" t="inlineStr">
        <is>
          <t>1990-10-30</t>
        </is>
      </c>
      <c r="X2557" t="inlineStr">
        <is>
          <t>1990-10-30</t>
        </is>
      </c>
      <c r="Y2557" t="n">
        <v>631</v>
      </c>
      <c r="Z2557" t="n">
        <v>490</v>
      </c>
      <c r="AA2557" t="n">
        <v>492</v>
      </c>
      <c r="AB2557" t="n">
        <v>3</v>
      </c>
      <c r="AC2557" t="n">
        <v>3</v>
      </c>
      <c r="AD2557" t="n">
        <v>25</v>
      </c>
      <c r="AE2557" t="n">
        <v>25</v>
      </c>
      <c r="AF2557" t="n">
        <v>11</v>
      </c>
      <c r="AG2557" t="n">
        <v>11</v>
      </c>
      <c r="AH2557" t="n">
        <v>8</v>
      </c>
      <c r="AI2557" t="n">
        <v>8</v>
      </c>
      <c r="AJ2557" t="n">
        <v>12</v>
      </c>
      <c r="AK2557" t="n">
        <v>12</v>
      </c>
      <c r="AL2557" t="n">
        <v>2</v>
      </c>
      <c r="AM2557" t="n">
        <v>2</v>
      </c>
      <c r="AN2557" t="n">
        <v>0</v>
      </c>
      <c r="AO2557" t="n">
        <v>0</v>
      </c>
      <c r="AP2557" t="inlineStr">
        <is>
          <t>No</t>
        </is>
      </c>
      <c r="AQ2557" t="inlineStr">
        <is>
          <t>No</t>
        </is>
      </c>
      <c r="AS2557">
        <f>HYPERLINK("https://creighton-primo.hosted.exlibrisgroup.com/primo-explore/search?tab=default_tab&amp;search_scope=EVERYTHING&amp;vid=01CRU&amp;lang=en_US&amp;offset=0&amp;query=any,contains,991004809479702656","Catalog Record")</f>
        <v/>
      </c>
      <c r="AT2557">
        <f>HYPERLINK("http://www.worldcat.org/oclc/5265194","WorldCat Record")</f>
        <v/>
      </c>
      <c r="AU2557" t="inlineStr">
        <is>
          <t>889474933:eng</t>
        </is>
      </c>
      <c r="AV2557" t="inlineStr">
        <is>
          <t>5265194</t>
        </is>
      </c>
      <c r="AW2557" t="inlineStr">
        <is>
          <t>991004809479702656</t>
        </is>
      </c>
      <c r="AX2557" t="inlineStr">
        <is>
          <t>991004809479702656</t>
        </is>
      </c>
      <c r="AY2557" t="inlineStr">
        <is>
          <t>2259264360002656</t>
        </is>
      </c>
      <c r="AZ2557" t="inlineStr">
        <is>
          <t>BOOK</t>
        </is>
      </c>
      <c r="BB2557" t="inlineStr">
        <is>
          <t>9780520036659</t>
        </is>
      </c>
      <c r="BC2557" t="inlineStr">
        <is>
          <t>32285000370436</t>
        </is>
      </c>
      <c r="BD2557" t="inlineStr">
        <is>
          <t>893706859</t>
        </is>
      </c>
    </row>
    <row r="2558">
      <c r="A2558" t="inlineStr">
        <is>
          <t>No</t>
        </is>
      </c>
      <c r="B2558" t="inlineStr">
        <is>
          <t>DS882.5 .M68 1979</t>
        </is>
      </c>
      <c r="C2558" t="inlineStr">
        <is>
          <t>0                      DS 0882500M  68          1979</t>
        </is>
      </c>
      <c r="D2558" t="inlineStr">
        <is>
          <t>The Satsuma Rebellion : an episode of modern Japanese history / by Augustus H. Mounsey.</t>
        </is>
      </c>
      <c r="F2558" t="inlineStr">
        <is>
          <t>No</t>
        </is>
      </c>
      <c r="G2558" t="inlineStr">
        <is>
          <t>1</t>
        </is>
      </c>
      <c r="H2558" t="inlineStr">
        <is>
          <t>No</t>
        </is>
      </c>
      <c r="I2558" t="inlineStr">
        <is>
          <t>No</t>
        </is>
      </c>
      <c r="J2558" t="inlineStr">
        <is>
          <t>0</t>
        </is>
      </c>
      <c r="K2558" t="inlineStr">
        <is>
          <t>Mounsey, Augustus Henry, 1834-1882.</t>
        </is>
      </c>
      <c r="L2558" t="inlineStr">
        <is>
          <t>Washington : University Publications of America, 1979.</t>
        </is>
      </c>
      <c r="M2558" t="inlineStr">
        <is>
          <t>1979</t>
        </is>
      </c>
      <c r="O2558" t="inlineStr">
        <is>
          <t>eng</t>
        </is>
      </c>
      <c r="P2558" t="inlineStr">
        <is>
          <t xml:space="preserve">xx </t>
        </is>
      </c>
      <c r="Q2558" t="inlineStr">
        <is>
          <t>Japan studies. Studies in Japanese history and civilization</t>
        </is>
      </c>
      <c r="R2558" t="inlineStr">
        <is>
          <t xml:space="preserve">DS </t>
        </is>
      </c>
      <c r="S2558" t="n">
        <v>1</v>
      </c>
      <c r="T2558" t="n">
        <v>1</v>
      </c>
      <c r="U2558" t="inlineStr">
        <is>
          <t>2004-01-13</t>
        </is>
      </c>
      <c r="V2558" t="inlineStr">
        <is>
          <t>2004-01-13</t>
        </is>
      </c>
      <c r="W2558" t="inlineStr">
        <is>
          <t>1990-10-30</t>
        </is>
      </c>
      <c r="X2558" t="inlineStr">
        <is>
          <t>1990-10-30</t>
        </is>
      </c>
      <c r="Y2558" t="n">
        <v>129</v>
      </c>
      <c r="Z2558" t="n">
        <v>99</v>
      </c>
      <c r="AA2558" t="n">
        <v>151</v>
      </c>
      <c r="AB2558" t="n">
        <v>1</v>
      </c>
      <c r="AC2558" t="n">
        <v>1</v>
      </c>
      <c r="AD2558" t="n">
        <v>4</v>
      </c>
      <c r="AE2558" t="n">
        <v>5</v>
      </c>
      <c r="AF2558" t="n">
        <v>2</v>
      </c>
      <c r="AG2558" t="n">
        <v>2</v>
      </c>
      <c r="AH2558" t="n">
        <v>1</v>
      </c>
      <c r="AI2558" t="n">
        <v>2</v>
      </c>
      <c r="AJ2558" t="n">
        <v>3</v>
      </c>
      <c r="AK2558" t="n">
        <v>4</v>
      </c>
      <c r="AL2558" t="n">
        <v>0</v>
      </c>
      <c r="AM2558" t="n">
        <v>0</v>
      </c>
      <c r="AN2558" t="n">
        <v>0</v>
      </c>
      <c r="AO2558" t="n">
        <v>0</v>
      </c>
      <c r="AP2558" t="inlineStr">
        <is>
          <t>No</t>
        </is>
      </c>
      <c r="AQ2558" t="inlineStr">
        <is>
          <t>Yes</t>
        </is>
      </c>
      <c r="AR2558">
        <f>HYPERLINK("http://catalog.hathitrust.org/Record/000099488","HathiTrust Record")</f>
        <v/>
      </c>
      <c r="AS2558">
        <f>HYPERLINK("https://creighton-primo.hosted.exlibrisgroup.com/primo-explore/search?tab=default_tab&amp;search_scope=EVERYTHING&amp;vid=01CRU&amp;lang=en_US&amp;offset=0&amp;query=any,contains,991004833609702656","Catalog Record")</f>
        <v/>
      </c>
      <c r="AT2558">
        <f>HYPERLINK("http://www.worldcat.org/oclc/5423458","WorldCat Record")</f>
        <v/>
      </c>
      <c r="AU2558" t="inlineStr">
        <is>
          <t>17559636:eng</t>
        </is>
      </c>
      <c r="AV2558" t="inlineStr">
        <is>
          <t>5423458</t>
        </is>
      </c>
      <c r="AW2558" t="inlineStr">
        <is>
          <t>991004833609702656</t>
        </is>
      </c>
      <c r="AX2558" t="inlineStr">
        <is>
          <t>991004833609702656</t>
        </is>
      </c>
      <c r="AY2558" t="inlineStr">
        <is>
          <t>2260719280002656</t>
        </is>
      </c>
      <c r="AZ2558" t="inlineStr">
        <is>
          <t>BOOK</t>
        </is>
      </c>
      <c r="BB2558" t="inlineStr">
        <is>
          <t>9780890932599</t>
        </is>
      </c>
      <c r="BC2558" t="inlineStr">
        <is>
          <t>32285000370444</t>
        </is>
      </c>
      <c r="BD2558" t="inlineStr">
        <is>
          <t>893507278</t>
        </is>
      </c>
    </row>
    <row r="2559">
      <c r="A2559" t="inlineStr">
        <is>
          <t>No</t>
        </is>
      </c>
      <c r="B2559" t="inlineStr">
        <is>
          <t>DS882.7 .S29 1999</t>
        </is>
      </c>
      <c r="C2559" t="inlineStr">
        <is>
          <t>0                      DS 0882700S  29          1999</t>
        </is>
      </c>
      <c r="D2559" t="inlineStr">
        <is>
          <t>The Yamato dynasty : the secret history of Japan's imperial family / by Sterling Seagrave and Peggy Seagrave.</t>
        </is>
      </c>
      <c r="F2559" t="inlineStr">
        <is>
          <t>No</t>
        </is>
      </c>
      <c r="G2559" t="inlineStr">
        <is>
          <t>1</t>
        </is>
      </c>
      <c r="H2559" t="inlineStr">
        <is>
          <t>No</t>
        </is>
      </c>
      <c r="I2559" t="inlineStr">
        <is>
          <t>No</t>
        </is>
      </c>
      <c r="J2559" t="inlineStr">
        <is>
          <t>0</t>
        </is>
      </c>
      <c r="K2559" t="inlineStr">
        <is>
          <t>Seagrave, Sterling.</t>
        </is>
      </c>
      <c r="L2559" t="inlineStr">
        <is>
          <t>New York : Broadway Books, c1999.</t>
        </is>
      </c>
      <c r="M2559" t="inlineStr">
        <is>
          <t>1999</t>
        </is>
      </c>
      <c r="O2559" t="inlineStr">
        <is>
          <t>eng</t>
        </is>
      </c>
      <c r="P2559" t="inlineStr">
        <is>
          <t>nyu</t>
        </is>
      </c>
      <c r="R2559" t="inlineStr">
        <is>
          <t xml:space="preserve">DS </t>
        </is>
      </c>
      <c r="S2559" t="n">
        <v>2</v>
      </c>
      <c r="T2559" t="n">
        <v>2</v>
      </c>
      <c r="U2559" t="inlineStr">
        <is>
          <t>2010-09-22</t>
        </is>
      </c>
      <c r="V2559" t="inlineStr">
        <is>
          <t>2010-09-22</t>
        </is>
      </c>
      <c r="W2559" t="inlineStr">
        <is>
          <t>2001-10-16</t>
        </is>
      </c>
      <c r="X2559" t="inlineStr">
        <is>
          <t>2001-10-16</t>
        </is>
      </c>
      <c r="Y2559" t="n">
        <v>955</v>
      </c>
      <c r="Z2559" t="n">
        <v>913</v>
      </c>
      <c r="AA2559" t="n">
        <v>1007</v>
      </c>
      <c r="AB2559" t="n">
        <v>8</v>
      </c>
      <c r="AC2559" t="n">
        <v>8</v>
      </c>
      <c r="AD2559" t="n">
        <v>28</v>
      </c>
      <c r="AE2559" t="n">
        <v>31</v>
      </c>
      <c r="AF2559" t="n">
        <v>10</v>
      </c>
      <c r="AG2559" t="n">
        <v>12</v>
      </c>
      <c r="AH2559" t="n">
        <v>8</v>
      </c>
      <c r="AI2559" t="n">
        <v>8</v>
      </c>
      <c r="AJ2559" t="n">
        <v>13</v>
      </c>
      <c r="AK2559" t="n">
        <v>15</v>
      </c>
      <c r="AL2559" t="n">
        <v>4</v>
      </c>
      <c r="AM2559" t="n">
        <v>4</v>
      </c>
      <c r="AN2559" t="n">
        <v>0</v>
      </c>
      <c r="AO2559" t="n">
        <v>0</v>
      </c>
      <c r="AP2559" t="inlineStr">
        <is>
          <t>No</t>
        </is>
      </c>
      <c r="AQ2559" t="inlineStr">
        <is>
          <t>Yes</t>
        </is>
      </c>
      <c r="AR2559">
        <f>HYPERLINK("http://catalog.hathitrust.org/Record/004094441","HathiTrust Record")</f>
        <v/>
      </c>
      <c r="AS2559">
        <f>HYPERLINK("https://creighton-primo.hosted.exlibrisgroup.com/primo-explore/search?tab=default_tab&amp;search_scope=EVERYTHING&amp;vid=01CRU&amp;lang=en_US&amp;offset=0&amp;query=any,contains,991003623579702656","Catalog Record")</f>
        <v/>
      </c>
      <c r="AT2559">
        <f>HYPERLINK("http://www.worldcat.org/oclc/42476782","WorldCat Record")</f>
        <v/>
      </c>
      <c r="AU2559" t="inlineStr">
        <is>
          <t>949010:eng</t>
        </is>
      </c>
      <c r="AV2559" t="inlineStr">
        <is>
          <t>42476782</t>
        </is>
      </c>
      <c r="AW2559" t="inlineStr">
        <is>
          <t>991003623579702656</t>
        </is>
      </c>
      <c r="AX2559" t="inlineStr">
        <is>
          <t>991003623579702656</t>
        </is>
      </c>
      <c r="AY2559" t="inlineStr">
        <is>
          <t>2262272530002656</t>
        </is>
      </c>
      <c r="AZ2559" t="inlineStr">
        <is>
          <t>BOOK</t>
        </is>
      </c>
      <c r="BB2559" t="inlineStr">
        <is>
          <t>9780767904964</t>
        </is>
      </c>
      <c r="BC2559" t="inlineStr">
        <is>
          <t>32285004397104</t>
        </is>
      </c>
      <c r="BD2559" t="inlineStr">
        <is>
          <t>893531373</t>
        </is>
      </c>
    </row>
    <row r="2560">
      <c r="A2560" t="inlineStr">
        <is>
          <t>No</t>
        </is>
      </c>
      <c r="B2560" t="inlineStr">
        <is>
          <t>DS884.M87 P47 1999</t>
        </is>
      </c>
      <c r="C2560" t="inlineStr">
        <is>
          <t>0                      DS 0884000M  87                 P  47          1999</t>
        </is>
      </c>
      <c r="D2560" t="inlineStr">
        <is>
          <t>Japan comes of age : Mutsu Munemitsu and the revision of the unequal treaties / Louis G. Perez.</t>
        </is>
      </c>
      <c r="F2560" t="inlineStr">
        <is>
          <t>No</t>
        </is>
      </c>
      <c r="G2560" t="inlineStr">
        <is>
          <t>1</t>
        </is>
      </c>
      <c r="H2560" t="inlineStr">
        <is>
          <t>No</t>
        </is>
      </c>
      <c r="I2560" t="inlineStr">
        <is>
          <t>No</t>
        </is>
      </c>
      <c r="J2560" t="inlineStr">
        <is>
          <t>0</t>
        </is>
      </c>
      <c r="K2560" t="inlineStr">
        <is>
          <t>Perez, Louis G.</t>
        </is>
      </c>
      <c r="L2560" t="inlineStr">
        <is>
          <t>Madison, [N.J.] : Fairleigh Dickinson University Press ; London : Associated University Presses, c1999.</t>
        </is>
      </c>
      <c r="M2560" t="inlineStr">
        <is>
          <t>1999</t>
        </is>
      </c>
      <c r="O2560" t="inlineStr">
        <is>
          <t>eng</t>
        </is>
      </c>
      <c r="P2560" t="inlineStr">
        <is>
          <t>nju</t>
        </is>
      </c>
      <c r="R2560" t="inlineStr">
        <is>
          <t xml:space="preserve">DS </t>
        </is>
      </c>
      <c r="S2560" t="n">
        <v>2</v>
      </c>
      <c r="T2560" t="n">
        <v>2</v>
      </c>
      <c r="U2560" t="inlineStr">
        <is>
          <t>2006-04-13</t>
        </is>
      </c>
      <c r="V2560" t="inlineStr">
        <is>
          <t>2006-04-13</t>
        </is>
      </c>
      <c r="W2560" t="inlineStr">
        <is>
          <t>2002-01-09</t>
        </is>
      </c>
      <c r="X2560" t="inlineStr">
        <is>
          <t>2002-01-09</t>
        </is>
      </c>
      <c r="Y2560" t="n">
        <v>304</v>
      </c>
      <c r="Z2560" t="n">
        <v>244</v>
      </c>
      <c r="AA2560" t="n">
        <v>250</v>
      </c>
      <c r="AB2560" t="n">
        <v>3</v>
      </c>
      <c r="AC2560" t="n">
        <v>3</v>
      </c>
      <c r="AD2560" t="n">
        <v>15</v>
      </c>
      <c r="AE2560" t="n">
        <v>15</v>
      </c>
      <c r="AF2560" t="n">
        <v>5</v>
      </c>
      <c r="AG2560" t="n">
        <v>5</v>
      </c>
      <c r="AH2560" t="n">
        <v>3</v>
      </c>
      <c r="AI2560" t="n">
        <v>3</v>
      </c>
      <c r="AJ2560" t="n">
        <v>10</v>
      </c>
      <c r="AK2560" t="n">
        <v>10</v>
      </c>
      <c r="AL2560" t="n">
        <v>2</v>
      </c>
      <c r="AM2560" t="n">
        <v>2</v>
      </c>
      <c r="AN2560" t="n">
        <v>0</v>
      </c>
      <c r="AO2560" t="n">
        <v>0</v>
      </c>
      <c r="AP2560" t="inlineStr">
        <is>
          <t>No</t>
        </is>
      </c>
      <c r="AQ2560" t="inlineStr">
        <is>
          <t>Yes</t>
        </is>
      </c>
      <c r="AR2560">
        <f>HYPERLINK("http://catalog.hathitrust.org/Record/004049021","HathiTrust Record")</f>
        <v/>
      </c>
      <c r="AS2560">
        <f>HYPERLINK("https://creighton-primo.hosted.exlibrisgroup.com/primo-explore/search?tab=default_tab&amp;search_scope=EVERYTHING&amp;vid=01CRU&amp;lang=en_US&amp;offset=0&amp;query=any,contains,991003687509702656","Catalog Record")</f>
        <v/>
      </c>
      <c r="AT2560">
        <f>HYPERLINK("http://www.worldcat.org/oclc/40397853","WorldCat Record")</f>
        <v/>
      </c>
      <c r="AU2560" t="inlineStr">
        <is>
          <t>311808775:eng</t>
        </is>
      </c>
      <c r="AV2560" t="inlineStr">
        <is>
          <t>40397853</t>
        </is>
      </c>
      <c r="AW2560" t="inlineStr">
        <is>
          <t>991003687509702656</t>
        </is>
      </c>
      <c r="AX2560" t="inlineStr">
        <is>
          <t>991003687509702656</t>
        </is>
      </c>
      <c r="AY2560" t="inlineStr">
        <is>
          <t>2271938440002656</t>
        </is>
      </c>
      <c r="AZ2560" t="inlineStr">
        <is>
          <t>BOOK</t>
        </is>
      </c>
      <c r="BB2560" t="inlineStr">
        <is>
          <t>9780838638040</t>
        </is>
      </c>
      <c r="BC2560" t="inlineStr">
        <is>
          <t>32285004446869</t>
        </is>
      </c>
      <c r="BD2560" t="inlineStr">
        <is>
          <t>893800026</t>
        </is>
      </c>
    </row>
    <row r="2561">
      <c r="A2561" t="inlineStr">
        <is>
          <t>No</t>
        </is>
      </c>
      <c r="B2561" t="inlineStr">
        <is>
          <t>DS884.O45 D38</t>
        </is>
      </c>
      <c r="C2561" t="inlineStr">
        <is>
          <t>0                      DS 0884000O  45                 D  38</t>
        </is>
      </c>
      <c r="D2561" t="inlineStr">
        <is>
          <t>Intellectual change and political development in early modern Japan : Ono Azusa, a case study / Sandra T. W. Davis.</t>
        </is>
      </c>
      <c r="F2561" t="inlineStr">
        <is>
          <t>No</t>
        </is>
      </c>
      <c r="G2561" t="inlineStr">
        <is>
          <t>1</t>
        </is>
      </c>
      <c r="H2561" t="inlineStr">
        <is>
          <t>No</t>
        </is>
      </c>
      <c r="I2561" t="inlineStr">
        <is>
          <t>No</t>
        </is>
      </c>
      <c r="J2561" t="inlineStr">
        <is>
          <t>0</t>
        </is>
      </c>
      <c r="K2561" t="inlineStr">
        <is>
          <t>Davis, Sandra T. W.</t>
        </is>
      </c>
      <c r="L2561" t="inlineStr">
        <is>
          <t>Rutherford, [N.J.] : Fairleigh Dickinson University Press, [1979]</t>
        </is>
      </c>
      <c r="M2561" t="inlineStr">
        <is>
          <t>1979</t>
        </is>
      </c>
      <c r="O2561" t="inlineStr">
        <is>
          <t>eng</t>
        </is>
      </c>
      <c r="P2561" t="inlineStr">
        <is>
          <t>nju</t>
        </is>
      </c>
      <c r="R2561" t="inlineStr">
        <is>
          <t xml:space="preserve">DS </t>
        </is>
      </c>
      <c r="S2561" t="n">
        <v>3</v>
      </c>
      <c r="T2561" t="n">
        <v>3</v>
      </c>
      <c r="U2561" t="inlineStr">
        <is>
          <t>2001-04-17</t>
        </is>
      </c>
      <c r="V2561" t="inlineStr">
        <is>
          <t>2001-04-17</t>
        </is>
      </c>
      <c r="W2561" t="inlineStr">
        <is>
          <t>1990-10-30</t>
        </is>
      </c>
      <c r="X2561" t="inlineStr">
        <is>
          <t>1990-10-30</t>
        </is>
      </c>
      <c r="Y2561" t="n">
        <v>241</v>
      </c>
      <c r="Z2561" t="n">
        <v>189</v>
      </c>
      <c r="AA2561" t="n">
        <v>200</v>
      </c>
      <c r="AB2561" t="n">
        <v>3</v>
      </c>
      <c r="AC2561" t="n">
        <v>3</v>
      </c>
      <c r="AD2561" t="n">
        <v>7</v>
      </c>
      <c r="AE2561" t="n">
        <v>8</v>
      </c>
      <c r="AF2561" t="n">
        <v>1</v>
      </c>
      <c r="AG2561" t="n">
        <v>1</v>
      </c>
      <c r="AH2561" t="n">
        <v>3</v>
      </c>
      <c r="AI2561" t="n">
        <v>4</v>
      </c>
      <c r="AJ2561" t="n">
        <v>3</v>
      </c>
      <c r="AK2561" t="n">
        <v>4</v>
      </c>
      <c r="AL2561" t="n">
        <v>2</v>
      </c>
      <c r="AM2561" t="n">
        <v>2</v>
      </c>
      <c r="AN2561" t="n">
        <v>0</v>
      </c>
      <c r="AO2561" t="n">
        <v>0</v>
      </c>
      <c r="AP2561" t="inlineStr">
        <is>
          <t>No</t>
        </is>
      </c>
      <c r="AQ2561" t="inlineStr">
        <is>
          <t>Yes</t>
        </is>
      </c>
      <c r="AR2561">
        <f>HYPERLINK("http://catalog.hathitrust.org/Record/000741965","HathiTrust Record")</f>
        <v/>
      </c>
      <c r="AS2561">
        <f>HYPERLINK("https://creighton-primo.hosted.exlibrisgroup.com/primo-explore/search?tab=default_tab&amp;search_scope=EVERYTHING&amp;vid=01CRU&amp;lang=en_US&amp;offset=0&amp;query=any,contains,991004664859702656","Catalog Record")</f>
        <v/>
      </c>
      <c r="AT2561">
        <f>HYPERLINK("http://www.worldcat.org/oclc/4500394","WorldCat Record")</f>
        <v/>
      </c>
      <c r="AU2561" t="inlineStr">
        <is>
          <t>836617939:eng</t>
        </is>
      </c>
      <c r="AV2561" t="inlineStr">
        <is>
          <t>4500394</t>
        </is>
      </c>
      <c r="AW2561" t="inlineStr">
        <is>
          <t>991004664859702656</t>
        </is>
      </c>
      <c r="AX2561" t="inlineStr">
        <is>
          <t>991004664859702656</t>
        </is>
      </c>
      <c r="AY2561" t="inlineStr">
        <is>
          <t>2266710250002656</t>
        </is>
      </c>
      <c r="AZ2561" t="inlineStr">
        <is>
          <t>BOOK</t>
        </is>
      </c>
      <c r="BB2561" t="inlineStr">
        <is>
          <t>9780838619537</t>
        </is>
      </c>
      <c r="BC2561" t="inlineStr">
        <is>
          <t>32285000370451</t>
        </is>
      </c>
      <c r="BD2561" t="inlineStr">
        <is>
          <t>893350253</t>
        </is>
      </c>
    </row>
    <row r="2562">
      <c r="A2562" t="inlineStr">
        <is>
          <t>No</t>
        </is>
      </c>
      <c r="B2562" t="inlineStr">
        <is>
          <t>DS884.S3 O5</t>
        </is>
      </c>
      <c r="C2562" t="inlineStr">
        <is>
          <t>0                      DS 0884000S  3                  O  5</t>
        </is>
      </c>
      <c r="D2562" t="inlineStr">
        <is>
          <t>The last genro, Prince Saionji, the man who westernized Japan, by Bunji Omura.</t>
        </is>
      </c>
      <c r="F2562" t="inlineStr">
        <is>
          <t>No</t>
        </is>
      </c>
      <c r="G2562" t="inlineStr">
        <is>
          <t>1</t>
        </is>
      </c>
      <c r="H2562" t="inlineStr">
        <is>
          <t>No</t>
        </is>
      </c>
      <c r="I2562" t="inlineStr">
        <is>
          <t>No</t>
        </is>
      </c>
      <c r="J2562" t="inlineStr">
        <is>
          <t>0</t>
        </is>
      </c>
      <c r="K2562" t="inlineStr">
        <is>
          <t>Omura, Bunji.</t>
        </is>
      </c>
      <c r="L2562" t="inlineStr">
        <is>
          <t>Philadelphia, New York [etc.] J.B. Lippincott Company [c1938]</t>
        </is>
      </c>
      <c r="M2562" t="inlineStr">
        <is>
          <t>1938</t>
        </is>
      </c>
      <c r="O2562" t="inlineStr">
        <is>
          <t>eng</t>
        </is>
      </c>
      <c r="P2562" t="inlineStr">
        <is>
          <t>pau</t>
        </is>
      </c>
      <c r="R2562" t="inlineStr">
        <is>
          <t xml:space="preserve">DS </t>
        </is>
      </c>
      <c r="S2562" t="n">
        <v>4</v>
      </c>
      <c r="T2562" t="n">
        <v>4</v>
      </c>
      <c r="U2562" t="inlineStr">
        <is>
          <t>2004-03-11</t>
        </is>
      </c>
      <c r="V2562" t="inlineStr">
        <is>
          <t>2004-03-11</t>
        </is>
      </c>
      <c r="W2562" t="inlineStr">
        <is>
          <t>1997-03-17</t>
        </is>
      </c>
      <c r="X2562" t="inlineStr">
        <is>
          <t>1997-03-17</t>
        </is>
      </c>
      <c r="Y2562" t="n">
        <v>278</v>
      </c>
      <c r="Z2562" t="n">
        <v>251</v>
      </c>
      <c r="AA2562" t="n">
        <v>252</v>
      </c>
      <c r="AB2562" t="n">
        <v>3</v>
      </c>
      <c r="AC2562" t="n">
        <v>3</v>
      </c>
      <c r="AD2562" t="n">
        <v>12</v>
      </c>
      <c r="AE2562" t="n">
        <v>12</v>
      </c>
      <c r="AF2562" t="n">
        <v>3</v>
      </c>
      <c r="AG2562" t="n">
        <v>3</v>
      </c>
      <c r="AH2562" t="n">
        <v>4</v>
      </c>
      <c r="AI2562" t="n">
        <v>4</v>
      </c>
      <c r="AJ2562" t="n">
        <v>8</v>
      </c>
      <c r="AK2562" t="n">
        <v>8</v>
      </c>
      <c r="AL2562" t="n">
        <v>2</v>
      </c>
      <c r="AM2562" t="n">
        <v>2</v>
      </c>
      <c r="AN2562" t="n">
        <v>0</v>
      </c>
      <c r="AO2562" t="n">
        <v>0</v>
      </c>
      <c r="AP2562" t="inlineStr">
        <is>
          <t>No</t>
        </is>
      </c>
      <c r="AQ2562" t="inlineStr">
        <is>
          <t>Yes</t>
        </is>
      </c>
      <c r="AR2562">
        <f>HYPERLINK("http://catalog.hathitrust.org/Record/001606429","HathiTrust Record")</f>
        <v/>
      </c>
      <c r="AS2562">
        <f>HYPERLINK("https://creighton-primo.hosted.exlibrisgroup.com/primo-explore/search?tab=default_tab&amp;search_scope=EVERYTHING&amp;vid=01CRU&amp;lang=en_US&amp;offset=0&amp;query=any,contains,991002722559702656","Catalog Record")</f>
        <v/>
      </c>
      <c r="AT2562">
        <f>HYPERLINK("http://www.worldcat.org/oclc/413121","WorldCat Record")</f>
        <v/>
      </c>
      <c r="AU2562" t="inlineStr">
        <is>
          <t>1465017:eng</t>
        </is>
      </c>
      <c r="AV2562" t="inlineStr">
        <is>
          <t>413121</t>
        </is>
      </c>
      <c r="AW2562" t="inlineStr">
        <is>
          <t>991002722559702656</t>
        </is>
      </c>
      <c r="AX2562" t="inlineStr">
        <is>
          <t>991002722559702656</t>
        </is>
      </c>
      <c r="AY2562" t="inlineStr">
        <is>
          <t>2268294050002656</t>
        </is>
      </c>
      <c r="AZ2562" t="inlineStr">
        <is>
          <t>BOOK</t>
        </is>
      </c>
      <c r="BC2562" t="inlineStr">
        <is>
          <t>32285002450475</t>
        </is>
      </c>
      <c r="BD2562" t="inlineStr">
        <is>
          <t>893710596</t>
        </is>
      </c>
    </row>
    <row r="2563">
      <c r="A2563" t="inlineStr">
        <is>
          <t>No</t>
        </is>
      </c>
      <c r="B2563" t="inlineStr">
        <is>
          <t>DS884.Y3 M3</t>
        </is>
      </c>
      <c r="C2563" t="inlineStr">
        <is>
          <t>0                      DS 0884000Y  3                  M  3</t>
        </is>
      </c>
      <c r="D2563" t="inlineStr">
        <is>
          <t>Yamagata Aritomo in the rise of modern Japan, 1838-1922 [by] Roger F. Hackett.</t>
        </is>
      </c>
      <c r="F2563" t="inlineStr">
        <is>
          <t>No</t>
        </is>
      </c>
      <c r="G2563" t="inlineStr">
        <is>
          <t>1</t>
        </is>
      </c>
      <c r="H2563" t="inlineStr">
        <is>
          <t>No</t>
        </is>
      </c>
      <c r="I2563" t="inlineStr">
        <is>
          <t>No</t>
        </is>
      </c>
      <c r="J2563" t="inlineStr">
        <is>
          <t>0</t>
        </is>
      </c>
      <c r="K2563" t="inlineStr">
        <is>
          <t>Hackett, Roger F.</t>
        </is>
      </c>
      <c r="L2563" t="inlineStr">
        <is>
          <t>Cambridge, Harvard University Press, 1971.</t>
        </is>
      </c>
      <c r="M2563" t="inlineStr">
        <is>
          <t>1971</t>
        </is>
      </c>
      <c r="O2563" t="inlineStr">
        <is>
          <t>eng</t>
        </is>
      </c>
      <c r="P2563" t="inlineStr">
        <is>
          <t>mau</t>
        </is>
      </c>
      <c r="Q2563" t="inlineStr">
        <is>
          <t>Harvard East Asian series ; 60</t>
        </is>
      </c>
      <c r="R2563" t="inlineStr">
        <is>
          <t xml:space="preserve">DS </t>
        </is>
      </c>
      <c r="S2563" t="n">
        <v>1</v>
      </c>
      <c r="T2563" t="n">
        <v>1</v>
      </c>
      <c r="U2563" t="inlineStr">
        <is>
          <t>2005-03-16</t>
        </is>
      </c>
      <c r="V2563" t="inlineStr">
        <is>
          <t>2005-03-16</t>
        </is>
      </c>
      <c r="W2563" t="inlineStr">
        <is>
          <t>1997-03-17</t>
        </is>
      </c>
      <c r="X2563" t="inlineStr">
        <is>
          <t>1997-03-17</t>
        </is>
      </c>
      <c r="Y2563" t="n">
        <v>592</v>
      </c>
      <c r="Z2563" t="n">
        <v>484</v>
      </c>
      <c r="AA2563" t="n">
        <v>491</v>
      </c>
      <c r="AB2563" t="n">
        <v>4</v>
      </c>
      <c r="AC2563" t="n">
        <v>4</v>
      </c>
      <c r="AD2563" t="n">
        <v>26</v>
      </c>
      <c r="AE2563" t="n">
        <v>26</v>
      </c>
      <c r="AF2563" t="n">
        <v>10</v>
      </c>
      <c r="AG2563" t="n">
        <v>10</v>
      </c>
      <c r="AH2563" t="n">
        <v>8</v>
      </c>
      <c r="AI2563" t="n">
        <v>8</v>
      </c>
      <c r="AJ2563" t="n">
        <v>14</v>
      </c>
      <c r="AK2563" t="n">
        <v>14</v>
      </c>
      <c r="AL2563" t="n">
        <v>3</v>
      </c>
      <c r="AM2563" t="n">
        <v>3</v>
      </c>
      <c r="AN2563" t="n">
        <v>0</v>
      </c>
      <c r="AO2563" t="n">
        <v>0</v>
      </c>
      <c r="AP2563" t="inlineStr">
        <is>
          <t>No</t>
        </is>
      </c>
      <c r="AQ2563" t="inlineStr">
        <is>
          <t>Yes</t>
        </is>
      </c>
      <c r="AR2563">
        <f>HYPERLINK("http://catalog.hathitrust.org/Record/001662693","HathiTrust Record")</f>
        <v/>
      </c>
      <c r="AS2563">
        <f>HYPERLINK("https://creighton-primo.hosted.exlibrisgroup.com/primo-explore/search?tab=default_tab&amp;search_scope=EVERYTHING&amp;vid=01CRU&amp;lang=en_US&amp;offset=0&amp;query=any,contains,991000820359702656","Catalog Record")</f>
        <v/>
      </c>
      <c r="AT2563">
        <f>HYPERLINK("http://www.worldcat.org/oclc/144501","WorldCat Record")</f>
        <v/>
      </c>
      <c r="AU2563" t="inlineStr">
        <is>
          <t>1318903:eng</t>
        </is>
      </c>
      <c r="AV2563" t="inlineStr">
        <is>
          <t>144501</t>
        </is>
      </c>
      <c r="AW2563" t="inlineStr">
        <is>
          <t>991000820359702656</t>
        </is>
      </c>
      <c r="AX2563" t="inlineStr">
        <is>
          <t>991000820359702656</t>
        </is>
      </c>
      <c r="AY2563" t="inlineStr">
        <is>
          <t>2257537070002656</t>
        </is>
      </c>
      <c r="AZ2563" t="inlineStr">
        <is>
          <t>BOOK</t>
        </is>
      </c>
      <c r="BB2563" t="inlineStr">
        <is>
          <t>9780674963016</t>
        </is>
      </c>
      <c r="BC2563" t="inlineStr">
        <is>
          <t>32285002450483</t>
        </is>
      </c>
      <c r="BD2563" t="inlineStr">
        <is>
          <t>893522052</t>
        </is>
      </c>
    </row>
    <row r="2564">
      <c r="A2564" t="inlineStr">
        <is>
          <t>No</t>
        </is>
      </c>
      <c r="B2564" t="inlineStr">
        <is>
          <t>DS885 .A63</t>
        </is>
      </c>
      <c r="C2564" t="inlineStr">
        <is>
          <t>0                      DS 0885000A  63</t>
        </is>
      </c>
      <c r="D2564" t="inlineStr">
        <is>
          <t>Japan, the years of triumph : from feudal isolation to Pacific empire.</t>
        </is>
      </c>
      <c r="F2564" t="inlineStr">
        <is>
          <t>No</t>
        </is>
      </c>
      <c r="G2564" t="inlineStr">
        <is>
          <t>1</t>
        </is>
      </c>
      <c r="H2564" t="inlineStr">
        <is>
          <t>No</t>
        </is>
      </c>
      <c r="I2564" t="inlineStr">
        <is>
          <t>No</t>
        </is>
      </c>
      <c r="J2564" t="inlineStr">
        <is>
          <t>0</t>
        </is>
      </c>
      <c r="K2564" t="inlineStr">
        <is>
          <t>Allen, Louis, 1922-1991.</t>
        </is>
      </c>
      <c r="L2564" t="inlineStr">
        <is>
          <t>[New York] : American Heritage Press, [1971]</t>
        </is>
      </c>
      <c r="M2564" t="inlineStr">
        <is>
          <t>1971</t>
        </is>
      </c>
      <c r="O2564" t="inlineStr">
        <is>
          <t>eng</t>
        </is>
      </c>
      <c r="P2564" t="inlineStr">
        <is>
          <t>nyu</t>
        </is>
      </c>
      <c r="Q2564" t="inlineStr">
        <is>
          <t>Library of the 20th century</t>
        </is>
      </c>
      <c r="R2564" t="inlineStr">
        <is>
          <t xml:space="preserve">DS </t>
        </is>
      </c>
      <c r="S2564" t="n">
        <v>7</v>
      </c>
      <c r="T2564" t="n">
        <v>7</v>
      </c>
      <c r="U2564" t="inlineStr">
        <is>
          <t>1995-02-25</t>
        </is>
      </c>
      <c r="V2564" t="inlineStr">
        <is>
          <t>1995-02-25</t>
        </is>
      </c>
      <c r="W2564" t="inlineStr">
        <is>
          <t>1992-02-17</t>
        </is>
      </c>
      <c r="X2564" t="inlineStr">
        <is>
          <t>1992-02-17</t>
        </is>
      </c>
      <c r="Y2564" t="n">
        <v>346</v>
      </c>
      <c r="Z2564" t="n">
        <v>287</v>
      </c>
      <c r="AA2564" t="n">
        <v>288</v>
      </c>
      <c r="AB2564" t="n">
        <v>3</v>
      </c>
      <c r="AC2564" t="n">
        <v>3</v>
      </c>
      <c r="AD2564" t="n">
        <v>9</v>
      </c>
      <c r="AE2564" t="n">
        <v>9</v>
      </c>
      <c r="AF2564" t="n">
        <v>2</v>
      </c>
      <c r="AG2564" t="n">
        <v>2</v>
      </c>
      <c r="AH2564" t="n">
        <v>4</v>
      </c>
      <c r="AI2564" t="n">
        <v>4</v>
      </c>
      <c r="AJ2564" t="n">
        <v>4</v>
      </c>
      <c r="AK2564" t="n">
        <v>4</v>
      </c>
      <c r="AL2564" t="n">
        <v>1</v>
      </c>
      <c r="AM2564" t="n">
        <v>1</v>
      </c>
      <c r="AN2564" t="n">
        <v>0</v>
      </c>
      <c r="AO2564" t="n">
        <v>0</v>
      </c>
      <c r="AP2564" t="inlineStr">
        <is>
          <t>No</t>
        </is>
      </c>
      <c r="AQ2564" t="inlineStr">
        <is>
          <t>Yes</t>
        </is>
      </c>
      <c r="AR2564">
        <f>HYPERLINK("http://catalog.hathitrust.org/Record/001606434","HathiTrust Record")</f>
        <v/>
      </c>
      <c r="AS2564">
        <f>HYPERLINK("https://creighton-primo.hosted.exlibrisgroup.com/primo-explore/search?tab=default_tab&amp;search_scope=EVERYTHING&amp;vid=01CRU&amp;lang=en_US&amp;offset=0&amp;query=any,contains,991000904989702656","Catalog Record")</f>
        <v/>
      </c>
      <c r="AT2564">
        <f>HYPERLINK("http://www.worldcat.org/oclc/156699","WorldCat Record")</f>
        <v/>
      </c>
      <c r="AU2564" t="inlineStr">
        <is>
          <t>321819446:eng</t>
        </is>
      </c>
      <c r="AV2564" t="inlineStr">
        <is>
          <t>156699</t>
        </is>
      </c>
      <c r="AW2564" t="inlineStr">
        <is>
          <t>991000904989702656</t>
        </is>
      </c>
      <c r="AX2564" t="inlineStr">
        <is>
          <t>991000904989702656</t>
        </is>
      </c>
      <c r="AY2564" t="inlineStr">
        <is>
          <t>2255487220002656</t>
        </is>
      </c>
      <c r="AZ2564" t="inlineStr">
        <is>
          <t>BOOK</t>
        </is>
      </c>
      <c r="BC2564" t="inlineStr">
        <is>
          <t>32285000970433</t>
        </is>
      </c>
      <c r="BD2564" t="inlineStr">
        <is>
          <t>893315340</t>
        </is>
      </c>
    </row>
    <row r="2565">
      <c r="A2565" t="inlineStr">
        <is>
          <t>No</t>
        </is>
      </c>
      <c r="B2565" t="inlineStr">
        <is>
          <t>DS885 .E85</t>
        </is>
      </c>
      <c r="C2565" t="inlineStr">
        <is>
          <t>0                      DS 0885000E  85</t>
        </is>
      </c>
      <c r="D2565" t="inlineStr">
        <is>
          <t>100 years : the amazing development of Japan since 1860.</t>
        </is>
      </c>
      <c r="F2565" t="inlineStr">
        <is>
          <t>No</t>
        </is>
      </c>
      <c r="G2565" t="inlineStr">
        <is>
          <t>1</t>
        </is>
      </c>
      <c r="H2565" t="inlineStr">
        <is>
          <t>No</t>
        </is>
      </c>
      <c r="I2565" t="inlineStr">
        <is>
          <t>No</t>
        </is>
      </c>
      <c r="J2565" t="inlineStr">
        <is>
          <t>0</t>
        </is>
      </c>
      <c r="K2565" t="inlineStr">
        <is>
          <t>Eunson, Roby.</t>
        </is>
      </c>
      <c r="L2565" t="inlineStr">
        <is>
          <t>Tokyo : Kodansha International distributed by Japan Publications Trading Co., Rutland, Vt., 1965.</t>
        </is>
      </c>
      <c r="M2565" t="inlineStr">
        <is>
          <t>1965</t>
        </is>
      </c>
      <c r="O2565" t="inlineStr">
        <is>
          <t>eng</t>
        </is>
      </c>
      <c r="P2565" t="inlineStr">
        <is>
          <t xml:space="preserve">xx </t>
        </is>
      </c>
      <c r="R2565" t="inlineStr">
        <is>
          <t xml:space="preserve">DS </t>
        </is>
      </c>
      <c r="S2565" t="n">
        <v>8</v>
      </c>
      <c r="T2565" t="n">
        <v>8</v>
      </c>
      <c r="U2565" t="inlineStr">
        <is>
          <t>2000-02-29</t>
        </is>
      </c>
      <c r="V2565" t="inlineStr">
        <is>
          <t>2000-02-29</t>
        </is>
      </c>
      <c r="W2565" t="inlineStr">
        <is>
          <t>1992-02-17</t>
        </is>
      </c>
      <c r="X2565" t="inlineStr">
        <is>
          <t>1992-02-17</t>
        </is>
      </c>
      <c r="Y2565" t="n">
        <v>203</v>
      </c>
      <c r="Z2565" t="n">
        <v>163</v>
      </c>
      <c r="AA2565" t="n">
        <v>165</v>
      </c>
      <c r="AB2565" t="n">
        <v>1</v>
      </c>
      <c r="AC2565" t="n">
        <v>1</v>
      </c>
      <c r="AD2565" t="n">
        <v>6</v>
      </c>
      <c r="AE2565" t="n">
        <v>6</v>
      </c>
      <c r="AF2565" t="n">
        <v>2</v>
      </c>
      <c r="AG2565" t="n">
        <v>2</v>
      </c>
      <c r="AH2565" t="n">
        <v>1</v>
      </c>
      <c r="AI2565" t="n">
        <v>1</v>
      </c>
      <c r="AJ2565" t="n">
        <v>4</v>
      </c>
      <c r="AK2565" t="n">
        <v>4</v>
      </c>
      <c r="AL2565" t="n">
        <v>0</v>
      </c>
      <c r="AM2565" t="n">
        <v>0</v>
      </c>
      <c r="AN2565" t="n">
        <v>0</v>
      </c>
      <c r="AO2565" t="n">
        <v>0</v>
      </c>
      <c r="AP2565" t="inlineStr">
        <is>
          <t>No</t>
        </is>
      </c>
      <c r="AQ2565" t="inlineStr">
        <is>
          <t>Yes</t>
        </is>
      </c>
      <c r="AR2565">
        <f>HYPERLINK("http://catalog.hathitrust.org/Record/001968376","HathiTrust Record")</f>
        <v/>
      </c>
      <c r="AS2565">
        <f>HYPERLINK("https://creighton-primo.hosted.exlibrisgroup.com/primo-explore/search?tab=default_tab&amp;search_scope=EVERYTHING&amp;vid=01CRU&amp;lang=en_US&amp;offset=0&amp;query=any,contains,991003732459702656","Catalog Record")</f>
        <v/>
      </c>
      <c r="AT2565">
        <f>HYPERLINK("http://www.worldcat.org/oclc/1384155","WorldCat Record")</f>
        <v/>
      </c>
      <c r="AU2565" t="inlineStr">
        <is>
          <t>197777041:eng</t>
        </is>
      </c>
      <c r="AV2565" t="inlineStr">
        <is>
          <t>1384155</t>
        </is>
      </c>
      <c r="AW2565" t="inlineStr">
        <is>
          <t>991003732459702656</t>
        </is>
      </c>
      <c r="AX2565" t="inlineStr">
        <is>
          <t>991003732459702656</t>
        </is>
      </c>
      <c r="AY2565" t="inlineStr">
        <is>
          <t>2262205420002656</t>
        </is>
      </c>
      <c r="AZ2565" t="inlineStr">
        <is>
          <t>BOOK</t>
        </is>
      </c>
      <c r="BC2565" t="inlineStr">
        <is>
          <t>32285000970425</t>
        </is>
      </c>
      <c r="BD2565" t="inlineStr">
        <is>
          <t>893234506</t>
        </is>
      </c>
    </row>
    <row r="2566">
      <c r="A2566" t="inlineStr">
        <is>
          <t>No</t>
        </is>
      </c>
      <c r="B2566" t="inlineStr">
        <is>
          <t>DS885.5. O9 A3  2001</t>
        </is>
      </c>
      <c r="C2566" t="inlineStr">
        <is>
          <t>0                      DS 0885500O  9                  A  3           2001</t>
        </is>
      </c>
      <c r="D2566" t="inlineStr">
        <is>
          <t>The autobiography of Ozaki Yukio: the struggle for constitutional government in Japan / translated by Fujiko Hara ; with a foreword by Marius B. Jansen.</t>
        </is>
      </c>
      <c r="F2566" t="inlineStr">
        <is>
          <t>No</t>
        </is>
      </c>
      <c r="G2566" t="inlineStr">
        <is>
          <t>1</t>
        </is>
      </c>
      <c r="H2566" t="inlineStr">
        <is>
          <t>No</t>
        </is>
      </c>
      <c r="I2566" t="inlineStr">
        <is>
          <t>No</t>
        </is>
      </c>
      <c r="J2566" t="inlineStr">
        <is>
          <t>0</t>
        </is>
      </c>
      <c r="K2566" t="inlineStr">
        <is>
          <t>Ozaki, Yukio, 1858-1954.</t>
        </is>
      </c>
      <c r="L2566" t="inlineStr">
        <is>
          <t>Princeton, N.J. : Princeton University Press, 2001.</t>
        </is>
      </c>
      <c r="M2566" t="inlineStr">
        <is>
          <t>2001</t>
        </is>
      </c>
      <c r="O2566" t="inlineStr">
        <is>
          <t>eng</t>
        </is>
      </c>
      <c r="P2566" t="inlineStr">
        <is>
          <t>nju</t>
        </is>
      </c>
      <c r="R2566" t="inlineStr">
        <is>
          <t xml:space="preserve">DS </t>
        </is>
      </c>
      <c r="S2566" t="n">
        <v>2</v>
      </c>
      <c r="T2566" t="n">
        <v>2</v>
      </c>
      <c r="U2566" t="inlineStr">
        <is>
          <t>2008-12-01</t>
        </is>
      </c>
      <c r="V2566" t="inlineStr">
        <is>
          <t>2008-12-01</t>
        </is>
      </c>
      <c r="W2566" t="inlineStr">
        <is>
          <t>2003-02-20</t>
        </is>
      </c>
      <c r="X2566" t="inlineStr">
        <is>
          <t>2003-02-20</t>
        </is>
      </c>
      <c r="Y2566" t="n">
        <v>383</v>
      </c>
      <c r="Z2566" t="n">
        <v>319</v>
      </c>
      <c r="AA2566" t="n">
        <v>320</v>
      </c>
      <c r="AB2566" t="n">
        <v>3</v>
      </c>
      <c r="AC2566" t="n">
        <v>3</v>
      </c>
      <c r="AD2566" t="n">
        <v>21</v>
      </c>
      <c r="AE2566" t="n">
        <v>21</v>
      </c>
      <c r="AF2566" t="n">
        <v>7</v>
      </c>
      <c r="AG2566" t="n">
        <v>7</v>
      </c>
      <c r="AH2566" t="n">
        <v>7</v>
      </c>
      <c r="AI2566" t="n">
        <v>7</v>
      </c>
      <c r="AJ2566" t="n">
        <v>10</v>
      </c>
      <c r="AK2566" t="n">
        <v>10</v>
      </c>
      <c r="AL2566" t="n">
        <v>2</v>
      </c>
      <c r="AM2566" t="n">
        <v>2</v>
      </c>
      <c r="AN2566" t="n">
        <v>1</v>
      </c>
      <c r="AO2566" t="n">
        <v>1</v>
      </c>
      <c r="AP2566" t="inlineStr">
        <is>
          <t>No</t>
        </is>
      </c>
      <c r="AQ2566" t="inlineStr">
        <is>
          <t>No</t>
        </is>
      </c>
      <c r="AS2566">
        <f>HYPERLINK("https://creighton-primo.hosted.exlibrisgroup.com/primo-explore/search?tab=default_tab&amp;search_scope=EVERYTHING&amp;vid=01CRU&amp;lang=en_US&amp;offset=0&amp;query=any,contains,991003967159702656","Catalog Record")</f>
        <v/>
      </c>
      <c r="AT2566">
        <f>HYPERLINK("http://www.worldcat.org/oclc/45363447","WorldCat Record")</f>
        <v/>
      </c>
      <c r="AU2566" t="inlineStr">
        <is>
          <t>3856654158:eng</t>
        </is>
      </c>
      <c r="AV2566" t="inlineStr">
        <is>
          <t>45363447</t>
        </is>
      </c>
      <c r="AW2566" t="inlineStr">
        <is>
          <t>991003967159702656</t>
        </is>
      </c>
      <c r="AX2566" t="inlineStr">
        <is>
          <t>991003967159702656</t>
        </is>
      </c>
      <c r="AY2566" t="inlineStr">
        <is>
          <t>2256564510002656</t>
        </is>
      </c>
      <c r="AZ2566" t="inlineStr">
        <is>
          <t>BOOK</t>
        </is>
      </c>
      <c r="BB2566" t="inlineStr">
        <is>
          <t>9780691050959</t>
        </is>
      </c>
      <c r="BC2566" t="inlineStr">
        <is>
          <t>32285004699962</t>
        </is>
      </c>
      <c r="BD2566" t="inlineStr">
        <is>
          <t>893535743</t>
        </is>
      </c>
    </row>
    <row r="2567">
      <c r="A2567" t="inlineStr">
        <is>
          <t>No</t>
        </is>
      </c>
      <c r="B2567" t="inlineStr">
        <is>
          <t>DS885.5.K52 W5</t>
        </is>
      </c>
      <c r="C2567" t="inlineStr">
        <is>
          <t>0                      DS 0885500K  52                 W  5</t>
        </is>
      </c>
      <c r="D2567" t="inlineStr">
        <is>
          <t>Radical nationalist in Japan: Kita Ikki, 1883-1937, [by] George M. Wilson.</t>
        </is>
      </c>
      <c r="F2567" t="inlineStr">
        <is>
          <t>No</t>
        </is>
      </c>
      <c r="G2567" t="inlineStr">
        <is>
          <t>1</t>
        </is>
      </c>
      <c r="H2567" t="inlineStr">
        <is>
          <t>No</t>
        </is>
      </c>
      <c r="I2567" t="inlineStr">
        <is>
          <t>No</t>
        </is>
      </c>
      <c r="J2567" t="inlineStr">
        <is>
          <t>0</t>
        </is>
      </c>
      <c r="K2567" t="inlineStr">
        <is>
          <t>Wilson, George M. (George Macklin), 1937-</t>
        </is>
      </c>
      <c r="L2567" t="inlineStr">
        <is>
          <t>Cambridge, Mass., Harvard University Press, 1969.</t>
        </is>
      </c>
      <c r="M2567" t="inlineStr">
        <is>
          <t>1969</t>
        </is>
      </c>
      <c r="O2567" t="inlineStr">
        <is>
          <t>eng</t>
        </is>
      </c>
      <c r="P2567" t="inlineStr">
        <is>
          <t>mau</t>
        </is>
      </c>
      <c r="Q2567" t="inlineStr">
        <is>
          <t>Harvard East Asian series ; 37</t>
        </is>
      </c>
      <c r="R2567" t="inlineStr">
        <is>
          <t xml:space="preserve">DS </t>
        </is>
      </c>
      <c r="S2567" t="n">
        <v>2</v>
      </c>
      <c r="T2567" t="n">
        <v>2</v>
      </c>
      <c r="U2567" t="inlineStr">
        <is>
          <t>1997-10-22</t>
        </is>
      </c>
      <c r="V2567" t="inlineStr">
        <is>
          <t>1997-10-22</t>
        </is>
      </c>
      <c r="W2567" t="inlineStr">
        <is>
          <t>1997-03-17</t>
        </is>
      </c>
      <c r="X2567" t="inlineStr">
        <is>
          <t>1997-03-17</t>
        </is>
      </c>
      <c r="Y2567" t="n">
        <v>664</v>
      </c>
      <c r="Z2567" t="n">
        <v>555</v>
      </c>
      <c r="AA2567" t="n">
        <v>562</v>
      </c>
      <c r="AB2567" t="n">
        <v>4</v>
      </c>
      <c r="AC2567" t="n">
        <v>4</v>
      </c>
      <c r="AD2567" t="n">
        <v>28</v>
      </c>
      <c r="AE2567" t="n">
        <v>28</v>
      </c>
      <c r="AF2567" t="n">
        <v>10</v>
      </c>
      <c r="AG2567" t="n">
        <v>10</v>
      </c>
      <c r="AH2567" t="n">
        <v>8</v>
      </c>
      <c r="AI2567" t="n">
        <v>8</v>
      </c>
      <c r="AJ2567" t="n">
        <v>16</v>
      </c>
      <c r="AK2567" t="n">
        <v>16</v>
      </c>
      <c r="AL2567" t="n">
        <v>3</v>
      </c>
      <c r="AM2567" t="n">
        <v>3</v>
      </c>
      <c r="AN2567" t="n">
        <v>0</v>
      </c>
      <c r="AO2567" t="n">
        <v>0</v>
      </c>
      <c r="AP2567" t="inlineStr">
        <is>
          <t>No</t>
        </is>
      </c>
      <c r="AQ2567" t="inlineStr">
        <is>
          <t>Yes</t>
        </is>
      </c>
      <c r="AR2567">
        <f>HYPERLINK("http://catalog.hathitrust.org/Record/001604982","HathiTrust Record")</f>
        <v/>
      </c>
      <c r="AS2567">
        <f>HYPERLINK("https://creighton-primo.hosted.exlibrisgroup.com/primo-explore/search?tab=default_tab&amp;search_scope=EVERYTHING&amp;vid=01CRU&amp;lang=en_US&amp;offset=0&amp;query=any,contains,991000003049702656","Catalog Record")</f>
        <v/>
      </c>
      <c r="AT2567">
        <f>HYPERLINK("http://www.worldcat.org/oclc/11889","WorldCat Record")</f>
        <v/>
      </c>
      <c r="AU2567" t="inlineStr">
        <is>
          <t>502938238:eng</t>
        </is>
      </c>
      <c r="AV2567" t="inlineStr">
        <is>
          <t>11889</t>
        </is>
      </c>
      <c r="AW2567" t="inlineStr">
        <is>
          <t>991000003049702656</t>
        </is>
      </c>
      <c r="AX2567" t="inlineStr">
        <is>
          <t>991000003049702656</t>
        </is>
      </c>
      <c r="AY2567" t="inlineStr">
        <is>
          <t>2265503510002656</t>
        </is>
      </c>
      <c r="AZ2567" t="inlineStr">
        <is>
          <t>BOOK</t>
        </is>
      </c>
      <c r="BC2567" t="inlineStr">
        <is>
          <t>32285002450525</t>
        </is>
      </c>
      <c r="BD2567" t="inlineStr">
        <is>
          <t>893720538</t>
        </is>
      </c>
    </row>
    <row r="2568">
      <c r="A2568" t="inlineStr">
        <is>
          <t>No</t>
        </is>
      </c>
      <c r="B2568" t="inlineStr">
        <is>
          <t>DS885.5.O7 B69</t>
        </is>
      </c>
      <c r="C2568" t="inlineStr">
        <is>
          <t>0                      DS 0885500O  7                  B  69</t>
        </is>
      </c>
      <c r="D2568" t="inlineStr">
        <is>
          <t>The extraordinary envoy : General Hiroshi Ōshima and diplomacy in the Third Reich, 1934-1939 / Carl Boyd.</t>
        </is>
      </c>
      <c r="F2568" t="inlineStr">
        <is>
          <t>No</t>
        </is>
      </c>
      <c r="G2568" t="inlineStr">
        <is>
          <t>1</t>
        </is>
      </c>
      <c r="H2568" t="inlineStr">
        <is>
          <t>No</t>
        </is>
      </c>
      <c r="I2568" t="inlineStr">
        <is>
          <t>No</t>
        </is>
      </c>
      <c r="J2568" t="inlineStr">
        <is>
          <t>0</t>
        </is>
      </c>
      <c r="K2568" t="inlineStr">
        <is>
          <t>Boyd, Carl.</t>
        </is>
      </c>
      <c r="L2568" t="inlineStr">
        <is>
          <t>Washington, D.C. : University Press of America, c1980.</t>
        </is>
      </c>
      <c r="M2568" t="inlineStr">
        <is>
          <t>1980</t>
        </is>
      </c>
      <c r="O2568" t="inlineStr">
        <is>
          <t>eng</t>
        </is>
      </c>
      <c r="P2568" t="inlineStr">
        <is>
          <t>dcu</t>
        </is>
      </c>
      <c r="R2568" t="inlineStr">
        <is>
          <t xml:space="preserve">DS </t>
        </is>
      </c>
      <c r="S2568" t="n">
        <v>0</v>
      </c>
      <c r="T2568" t="n">
        <v>0</v>
      </c>
      <c r="U2568" t="inlineStr">
        <is>
          <t>2001-10-30</t>
        </is>
      </c>
      <c r="V2568" t="inlineStr">
        <is>
          <t>2001-10-30</t>
        </is>
      </c>
      <c r="W2568" t="inlineStr">
        <is>
          <t>1990-10-30</t>
        </is>
      </c>
      <c r="X2568" t="inlineStr">
        <is>
          <t>1990-10-30</t>
        </is>
      </c>
      <c r="Y2568" t="n">
        <v>290</v>
      </c>
      <c r="Z2568" t="n">
        <v>249</v>
      </c>
      <c r="AA2568" t="n">
        <v>297</v>
      </c>
      <c r="AB2568" t="n">
        <v>3</v>
      </c>
      <c r="AC2568" t="n">
        <v>3</v>
      </c>
      <c r="AD2568" t="n">
        <v>12</v>
      </c>
      <c r="AE2568" t="n">
        <v>14</v>
      </c>
      <c r="AF2568" t="n">
        <v>3</v>
      </c>
      <c r="AG2568" t="n">
        <v>4</v>
      </c>
      <c r="AH2568" t="n">
        <v>5</v>
      </c>
      <c r="AI2568" t="n">
        <v>5</v>
      </c>
      <c r="AJ2568" t="n">
        <v>7</v>
      </c>
      <c r="AK2568" t="n">
        <v>8</v>
      </c>
      <c r="AL2568" t="n">
        <v>2</v>
      </c>
      <c r="AM2568" t="n">
        <v>2</v>
      </c>
      <c r="AN2568" t="n">
        <v>0</v>
      </c>
      <c r="AO2568" t="n">
        <v>0</v>
      </c>
      <c r="AP2568" t="inlineStr">
        <is>
          <t>No</t>
        </is>
      </c>
      <c r="AQ2568" t="inlineStr">
        <is>
          <t>Yes</t>
        </is>
      </c>
      <c r="AR2568">
        <f>HYPERLINK("http://catalog.hathitrust.org/Record/000702373","HathiTrust Record")</f>
        <v/>
      </c>
      <c r="AS2568">
        <f>HYPERLINK("https://creighton-primo.hosted.exlibrisgroup.com/primo-explore/search?tab=default_tab&amp;search_scope=EVERYTHING&amp;vid=01CRU&amp;lang=en_US&amp;offset=0&amp;query=any,contains,991004894849702656","Catalog Record")</f>
        <v/>
      </c>
      <c r="AT2568">
        <f>HYPERLINK("http://www.worldcat.org/oclc/5892507","WorldCat Record")</f>
        <v/>
      </c>
      <c r="AU2568" t="inlineStr">
        <is>
          <t>483018:eng</t>
        </is>
      </c>
      <c r="AV2568" t="inlineStr">
        <is>
          <t>5892507</t>
        </is>
      </c>
      <c r="AW2568" t="inlineStr">
        <is>
          <t>991004894849702656</t>
        </is>
      </c>
      <c r="AX2568" t="inlineStr">
        <is>
          <t>991004894849702656</t>
        </is>
      </c>
      <c r="AY2568" t="inlineStr">
        <is>
          <t>2265542930002656</t>
        </is>
      </c>
      <c r="AZ2568" t="inlineStr">
        <is>
          <t>BOOK</t>
        </is>
      </c>
      <c r="BB2568" t="inlineStr">
        <is>
          <t>9780819109576</t>
        </is>
      </c>
      <c r="BC2568" t="inlineStr">
        <is>
          <t>32285000370477</t>
        </is>
      </c>
      <c r="BD2568" t="inlineStr">
        <is>
          <t>893606569</t>
        </is>
      </c>
    </row>
    <row r="2569">
      <c r="A2569" t="inlineStr">
        <is>
          <t>No</t>
        </is>
      </c>
      <c r="B2569" t="inlineStr">
        <is>
          <t>DS888.2 .D68 1993</t>
        </is>
      </c>
      <c r="C2569" t="inlineStr">
        <is>
          <t>0                      DS 0888200D  68          1993</t>
        </is>
      </c>
      <c r="D2569" t="inlineStr">
        <is>
          <t>Japan in war and peace : selected essays / John W. Dower.</t>
        </is>
      </c>
      <c r="F2569" t="inlineStr">
        <is>
          <t>No</t>
        </is>
      </c>
      <c r="G2569" t="inlineStr">
        <is>
          <t>1</t>
        </is>
      </c>
      <c r="H2569" t="inlineStr">
        <is>
          <t>No</t>
        </is>
      </c>
      <c r="I2569" t="inlineStr">
        <is>
          <t>No</t>
        </is>
      </c>
      <c r="J2569" t="inlineStr">
        <is>
          <t>0</t>
        </is>
      </c>
      <c r="K2569" t="inlineStr">
        <is>
          <t>Dower, John W.</t>
        </is>
      </c>
      <c r="L2569" t="inlineStr">
        <is>
          <t>New York : New Press : Distributed by W.W. Norton &amp; Co., c1993.</t>
        </is>
      </c>
      <c r="M2569" t="inlineStr">
        <is>
          <t>1993</t>
        </is>
      </c>
      <c r="N2569" t="inlineStr">
        <is>
          <t>1st ed.</t>
        </is>
      </c>
      <c r="O2569" t="inlineStr">
        <is>
          <t>eng</t>
        </is>
      </c>
      <c r="P2569" t="inlineStr">
        <is>
          <t>nyu</t>
        </is>
      </c>
      <c r="R2569" t="inlineStr">
        <is>
          <t xml:space="preserve">DS </t>
        </is>
      </c>
      <c r="S2569" t="n">
        <v>5</v>
      </c>
      <c r="T2569" t="n">
        <v>5</v>
      </c>
      <c r="U2569" t="inlineStr">
        <is>
          <t>2009-02-13</t>
        </is>
      </c>
      <c r="V2569" t="inlineStr">
        <is>
          <t>2009-02-13</t>
        </is>
      </c>
      <c r="W2569" t="inlineStr">
        <is>
          <t>2003-03-25</t>
        </is>
      </c>
      <c r="X2569" t="inlineStr">
        <is>
          <t>2003-03-25</t>
        </is>
      </c>
      <c r="Y2569" t="n">
        <v>609</v>
      </c>
      <c r="Z2569" t="n">
        <v>492</v>
      </c>
      <c r="AA2569" t="n">
        <v>498</v>
      </c>
      <c r="AB2569" t="n">
        <v>2</v>
      </c>
      <c r="AC2569" t="n">
        <v>2</v>
      </c>
      <c r="AD2569" t="n">
        <v>20</v>
      </c>
      <c r="AE2569" t="n">
        <v>20</v>
      </c>
      <c r="AF2569" t="n">
        <v>8</v>
      </c>
      <c r="AG2569" t="n">
        <v>8</v>
      </c>
      <c r="AH2569" t="n">
        <v>8</v>
      </c>
      <c r="AI2569" t="n">
        <v>8</v>
      </c>
      <c r="AJ2569" t="n">
        <v>9</v>
      </c>
      <c r="AK2569" t="n">
        <v>9</v>
      </c>
      <c r="AL2569" t="n">
        <v>1</v>
      </c>
      <c r="AM2569" t="n">
        <v>1</v>
      </c>
      <c r="AN2569" t="n">
        <v>0</v>
      </c>
      <c r="AO2569" t="n">
        <v>0</v>
      </c>
      <c r="AP2569" t="inlineStr">
        <is>
          <t>No</t>
        </is>
      </c>
      <c r="AQ2569" t="inlineStr">
        <is>
          <t>No</t>
        </is>
      </c>
      <c r="AS2569">
        <f>HYPERLINK("https://creighton-primo.hosted.exlibrisgroup.com/primo-explore/search?tab=default_tab&amp;search_scope=EVERYTHING&amp;vid=01CRU&amp;lang=en_US&amp;offset=0&amp;query=any,contains,991003998429702656","Catalog Record")</f>
        <v/>
      </c>
      <c r="AT2569">
        <f>HYPERLINK("http://www.worldcat.org/oclc/27727396","WorldCat Record")</f>
        <v/>
      </c>
      <c r="AU2569" t="inlineStr">
        <is>
          <t>837010977:eng</t>
        </is>
      </c>
      <c r="AV2569" t="inlineStr">
        <is>
          <t>27727396</t>
        </is>
      </c>
      <c r="AW2569" t="inlineStr">
        <is>
          <t>991003998429702656</t>
        </is>
      </c>
      <c r="AX2569" t="inlineStr">
        <is>
          <t>991003998429702656</t>
        </is>
      </c>
      <c r="AY2569" t="inlineStr">
        <is>
          <t>2264284060002656</t>
        </is>
      </c>
      <c r="AZ2569" t="inlineStr">
        <is>
          <t>BOOK</t>
        </is>
      </c>
      <c r="BB2569" t="inlineStr">
        <is>
          <t>9781565840676</t>
        </is>
      </c>
      <c r="BC2569" t="inlineStr">
        <is>
          <t>32285004686464</t>
        </is>
      </c>
      <c r="BD2569" t="inlineStr">
        <is>
          <t>893699696</t>
        </is>
      </c>
    </row>
    <row r="2570">
      <c r="A2570" t="inlineStr">
        <is>
          <t>No</t>
        </is>
      </c>
      <c r="B2570" t="inlineStr">
        <is>
          <t>DS888.2 .S556 1992</t>
        </is>
      </c>
      <c r="C2570" t="inlineStr">
        <is>
          <t>0                      DS 0888200S  556         1992</t>
        </is>
      </c>
      <c r="D2570" t="inlineStr">
        <is>
          <t>Showa : the Japan of Hirohito / Carol Gluck and Stephen R. Graubard, editors.</t>
        </is>
      </c>
      <c r="F2570" t="inlineStr">
        <is>
          <t>No</t>
        </is>
      </c>
      <c r="G2570" t="inlineStr">
        <is>
          <t>1</t>
        </is>
      </c>
      <c r="H2570" t="inlineStr">
        <is>
          <t>No</t>
        </is>
      </c>
      <c r="I2570" t="inlineStr">
        <is>
          <t>No</t>
        </is>
      </c>
      <c r="J2570" t="inlineStr">
        <is>
          <t>0</t>
        </is>
      </c>
      <c r="L2570" t="inlineStr">
        <is>
          <t>New York : Norton, 1992.</t>
        </is>
      </c>
      <c r="M2570" t="inlineStr">
        <is>
          <t>1992</t>
        </is>
      </c>
      <c r="O2570" t="inlineStr">
        <is>
          <t>eng</t>
        </is>
      </c>
      <c r="P2570" t="inlineStr">
        <is>
          <t>nyu</t>
        </is>
      </c>
      <c r="R2570" t="inlineStr">
        <is>
          <t xml:space="preserve">DS </t>
        </is>
      </c>
      <c r="S2570" t="n">
        <v>11</v>
      </c>
      <c r="T2570" t="n">
        <v>11</v>
      </c>
      <c r="U2570" t="inlineStr">
        <is>
          <t>1999-04-29</t>
        </is>
      </c>
      <c r="V2570" t="inlineStr">
        <is>
          <t>1999-04-29</t>
        </is>
      </c>
      <c r="W2570" t="inlineStr">
        <is>
          <t>1992-11-24</t>
        </is>
      </c>
      <c r="X2570" t="inlineStr">
        <is>
          <t>1992-11-24</t>
        </is>
      </c>
      <c r="Y2570" t="n">
        <v>584</v>
      </c>
      <c r="Z2570" t="n">
        <v>421</v>
      </c>
      <c r="AA2570" t="n">
        <v>444</v>
      </c>
      <c r="AB2570" t="n">
        <v>4</v>
      </c>
      <c r="AC2570" t="n">
        <v>4</v>
      </c>
      <c r="AD2570" t="n">
        <v>13</v>
      </c>
      <c r="AE2570" t="n">
        <v>13</v>
      </c>
      <c r="AF2570" t="n">
        <v>4</v>
      </c>
      <c r="AG2570" t="n">
        <v>4</v>
      </c>
      <c r="AH2570" t="n">
        <v>2</v>
      </c>
      <c r="AI2570" t="n">
        <v>2</v>
      </c>
      <c r="AJ2570" t="n">
        <v>7</v>
      </c>
      <c r="AK2570" t="n">
        <v>7</v>
      </c>
      <c r="AL2570" t="n">
        <v>3</v>
      </c>
      <c r="AM2570" t="n">
        <v>3</v>
      </c>
      <c r="AN2570" t="n">
        <v>0</v>
      </c>
      <c r="AO2570" t="n">
        <v>0</v>
      </c>
      <c r="AP2570" t="inlineStr">
        <is>
          <t>No</t>
        </is>
      </c>
      <c r="AQ2570" t="inlineStr">
        <is>
          <t>No</t>
        </is>
      </c>
      <c r="AS2570">
        <f>HYPERLINK("https://creighton-primo.hosted.exlibrisgroup.com/primo-explore/search?tab=default_tab&amp;search_scope=EVERYTHING&amp;vid=01CRU&amp;lang=en_US&amp;offset=0&amp;query=any,contains,991001947349702656","Catalog Record")</f>
        <v/>
      </c>
      <c r="AT2570">
        <f>HYPERLINK("http://www.worldcat.org/oclc/24626726","WorldCat Record")</f>
        <v/>
      </c>
      <c r="AU2570" t="inlineStr">
        <is>
          <t>195512134:eng</t>
        </is>
      </c>
      <c r="AV2570" t="inlineStr">
        <is>
          <t>24626726</t>
        </is>
      </c>
      <c r="AW2570" t="inlineStr">
        <is>
          <t>991001947349702656</t>
        </is>
      </c>
      <c r="AX2570" t="inlineStr">
        <is>
          <t>991001947349702656</t>
        </is>
      </c>
      <c r="AY2570" t="inlineStr">
        <is>
          <t>2260117760002656</t>
        </is>
      </c>
      <c r="AZ2570" t="inlineStr">
        <is>
          <t>BOOK</t>
        </is>
      </c>
      <c r="BB2570" t="inlineStr">
        <is>
          <t>9780393029840</t>
        </is>
      </c>
      <c r="BC2570" t="inlineStr">
        <is>
          <t>32285001364792</t>
        </is>
      </c>
      <c r="BD2570" t="inlineStr">
        <is>
          <t>893779226</t>
        </is>
      </c>
    </row>
    <row r="2571">
      <c r="A2571" t="inlineStr">
        <is>
          <t>No</t>
        </is>
      </c>
      <c r="B2571" t="inlineStr">
        <is>
          <t>DS888.5 .K355 1970</t>
        </is>
      </c>
      <c r="C2571" t="inlineStr">
        <is>
          <t>0                      DS 0888500K  355         1970</t>
        </is>
      </c>
      <c r="D2571" t="inlineStr">
        <is>
          <t>The United States and Japan in the Pacific; American naval maneuvers and Japan's Pacific policy [by] Jiuji G. Kasai.</t>
        </is>
      </c>
      <c r="F2571" t="inlineStr">
        <is>
          <t>No</t>
        </is>
      </c>
      <c r="G2571" t="inlineStr">
        <is>
          <t>1</t>
        </is>
      </c>
      <c r="H2571" t="inlineStr">
        <is>
          <t>No</t>
        </is>
      </c>
      <c r="I2571" t="inlineStr">
        <is>
          <t>No</t>
        </is>
      </c>
      <c r="J2571" t="inlineStr">
        <is>
          <t>0</t>
        </is>
      </c>
      <c r="K2571" t="inlineStr">
        <is>
          <t>Kasai, Jiuji George, 1886-</t>
        </is>
      </c>
      <c r="L2571" t="inlineStr">
        <is>
          <t>New York, Arno Press, 1970.</t>
        </is>
      </c>
      <c r="M2571" t="inlineStr">
        <is>
          <t>1970</t>
        </is>
      </c>
      <c r="O2571" t="inlineStr">
        <is>
          <t>eng</t>
        </is>
      </c>
      <c r="P2571" t="inlineStr">
        <is>
          <t>nyu</t>
        </is>
      </c>
      <c r="Q2571" t="inlineStr">
        <is>
          <t>American imperialism</t>
        </is>
      </c>
      <c r="R2571" t="inlineStr">
        <is>
          <t xml:space="preserve">DS </t>
        </is>
      </c>
      <c r="S2571" t="n">
        <v>8</v>
      </c>
      <c r="T2571" t="n">
        <v>8</v>
      </c>
      <c r="U2571" t="inlineStr">
        <is>
          <t>2007-04-06</t>
        </is>
      </c>
      <c r="V2571" t="inlineStr">
        <is>
          <t>2007-04-06</t>
        </is>
      </c>
      <c r="W2571" t="inlineStr">
        <is>
          <t>1992-08-12</t>
        </is>
      </c>
      <c r="X2571" t="inlineStr">
        <is>
          <t>1992-08-12</t>
        </is>
      </c>
      <c r="Y2571" t="n">
        <v>236</v>
      </c>
      <c r="Z2571" t="n">
        <v>214</v>
      </c>
      <c r="AA2571" t="n">
        <v>238</v>
      </c>
      <c r="AB2571" t="n">
        <v>2</v>
      </c>
      <c r="AC2571" t="n">
        <v>2</v>
      </c>
      <c r="AD2571" t="n">
        <v>12</v>
      </c>
      <c r="AE2571" t="n">
        <v>13</v>
      </c>
      <c r="AF2571" t="n">
        <v>2</v>
      </c>
      <c r="AG2571" t="n">
        <v>2</v>
      </c>
      <c r="AH2571" t="n">
        <v>4</v>
      </c>
      <c r="AI2571" t="n">
        <v>5</v>
      </c>
      <c r="AJ2571" t="n">
        <v>7</v>
      </c>
      <c r="AK2571" t="n">
        <v>7</v>
      </c>
      <c r="AL2571" t="n">
        <v>1</v>
      </c>
      <c r="AM2571" t="n">
        <v>1</v>
      </c>
      <c r="AN2571" t="n">
        <v>0</v>
      </c>
      <c r="AO2571" t="n">
        <v>0</v>
      </c>
      <c r="AP2571" t="inlineStr">
        <is>
          <t>No</t>
        </is>
      </c>
      <c r="AQ2571" t="inlineStr">
        <is>
          <t>Yes</t>
        </is>
      </c>
      <c r="AR2571">
        <f>HYPERLINK("http://catalog.hathitrust.org/Record/001968381","HathiTrust Record")</f>
        <v/>
      </c>
      <c r="AS2571">
        <f>HYPERLINK("https://creighton-primo.hosted.exlibrisgroup.com/primo-explore/search?tab=default_tab&amp;search_scope=EVERYTHING&amp;vid=01CRU&amp;lang=en_US&amp;offset=0&amp;query=any,contains,991000632339702656","Catalog Record")</f>
        <v/>
      </c>
      <c r="AT2571">
        <f>HYPERLINK("http://www.worldcat.org/oclc/106264","WorldCat Record")</f>
        <v/>
      </c>
      <c r="AU2571" t="inlineStr">
        <is>
          <t>1189011:eng</t>
        </is>
      </c>
      <c r="AV2571" t="inlineStr">
        <is>
          <t>106264</t>
        </is>
      </c>
      <c r="AW2571" t="inlineStr">
        <is>
          <t>991000632339702656</t>
        </is>
      </c>
      <c r="AX2571" t="inlineStr">
        <is>
          <t>991000632339702656</t>
        </is>
      </c>
      <c r="AY2571" t="inlineStr">
        <is>
          <t>2263873400002656</t>
        </is>
      </c>
      <c r="AZ2571" t="inlineStr">
        <is>
          <t>BOOK</t>
        </is>
      </c>
      <c r="BB2571" t="inlineStr">
        <is>
          <t>9780405020308</t>
        </is>
      </c>
      <c r="BC2571" t="inlineStr">
        <is>
          <t>32285001253748</t>
        </is>
      </c>
      <c r="BD2571" t="inlineStr">
        <is>
          <t>893890876</t>
        </is>
      </c>
    </row>
    <row r="2572">
      <c r="A2572" t="inlineStr">
        <is>
          <t>No</t>
        </is>
      </c>
      <c r="B2572" t="inlineStr">
        <is>
          <t>DS888.5 .K4613 2006</t>
        </is>
      </c>
      <c r="C2572" t="inlineStr">
        <is>
          <t>0                      DS 0888500K  4613        2006</t>
        </is>
      </c>
      <c r="D2572" t="inlineStr">
        <is>
          <t>From Marco Polo Bridge to Pearl Harbor : who was responsible? / foreword by editor-in-chief Tsuneo Watanabe ; edited by James E. Auer.</t>
        </is>
      </c>
      <c r="F2572" t="inlineStr">
        <is>
          <t>No</t>
        </is>
      </c>
      <c r="G2572" t="inlineStr">
        <is>
          <t>1</t>
        </is>
      </c>
      <c r="H2572" t="inlineStr">
        <is>
          <t>No</t>
        </is>
      </c>
      <c r="I2572" t="inlineStr">
        <is>
          <t>No</t>
        </is>
      </c>
      <c r="J2572" t="inlineStr">
        <is>
          <t>0</t>
        </is>
      </c>
      <c r="K2572" t="inlineStr">
        <is>
          <t>Kenshō sensō sekinin. English.</t>
        </is>
      </c>
      <c r="L2572" t="inlineStr">
        <is>
          <t>Tokyo, Japan : Yomiuri Shimbun, c2006.</t>
        </is>
      </c>
      <c r="M2572" t="inlineStr">
        <is>
          <t>2006</t>
        </is>
      </c>
      <c r="N2572" t="inlineStr">
        <is>
          <t>1st ed.</t>
        </is>
      </c>
      <c r="O2572" t="inlineStr">
        <is>
          <t>eng</t>
        </is>
      </c>
      <c r="P2572" t="inlineStr">
        <is>
          <t xml:space="preserve">ja </t>
        </is>
      </c>
      <c r="R2572" t="inlineStr">
        <is>
          <t xml:space="preserve">DS </t>
        </is>
      </c>
      <c r="S2572" t="n">
        <v>2</v>
      </c>
      <c r="T2572" t="n">
        <v>2</v>
      </c>
      <c r="U2572" t="inlineStr">
        <is>
          <t>2008-12-04</t>
        </is>
      </c>
      <c r="V2572" t="inlineStr">
        <is>
          <t>2008-12-04</t>
        </is>
      </c>
      <c r="W2572" t="inlineStr">
        <is>
          <t>2007-07-19</t>
        </is>
      </c>
      <c r="X2572" t="inlineStr">
        <is>
          <t>2007-07-19</t>
        </is>
      </c>
      <c r="Y2572" t="n">
        <v>390</v>
      </c>
      <c r="Z2572" t="n">
        <v>293</v>
      </c>
      <c r="AA2572" t="n">
        <v>304</v>
      </c>
      <c r="AB2572" t="n">
        <v>2</v>
      </c>
      <c r="AC2572" t="n">
        <v>2</v>
      </c>
      <c r="AD2572" t="n">
        <v>18</v>
      </c>
      <c r="AE2572" t="n">
        <v>18</v>
      </c>
      <c r="AF2572" t="n">
        <v>9</v>
      </c>
      <c r="AG2572" t="n">
        <v>9</v>
      </c>
      <c r="AH2572" t="n">
        <v>7</v>
      </c>
      <c r="AI2572" t="n">
        <v>7</v>
      </c>
      <c r="AJ2572" t="n">
        <v>6</v>
      </c>
      <c r="AK2572" t="n">
        <v>6</v>
      </c>
      <c r="AL2572" t="n">
        <v>1</v>
      </c>
      <c r="AM2572" t="n">
        <v>1</v>
      </c>
      <c r="AN2572" t="n">
        <v>1</v>
      </c>
      <c r="AO2572" t="n">
        <v>1</v>
      </c>
      <c r="AP2572" t="inlineStr">
        <is>
          <t>No</t>
        </is>
      </c>
      <c r="AQ2572" t="inlineStr">
        <is>
          <t>Yes</t>
        </is>
      </c>
      <c r="AR2572">
        <f>HYPERLINK("http://catalog.hathitrust.org/Record/006035138","HathiTrust Record")</f>
        <v/>
      </c>
      <c r="AS2572">
        <f>HYPERLINK("https://creighton-primo.hosted.exlibrisgroup.com/primo-explore/search?tab=default_tab&amp;search_scope=EVERYTHING&amp;vid=01CRU&amp;lang=en_US&amp;offset=0&amp;query=any,contains,991005102619702656","Catalog Record")</f>
        <v/>
      </c>
      <c r="AT2572">
        <f>HYPERLINK("http://www.worldcat.org/oclc/78063709","WorldCat Record")</f>
        <v/>
      </c>
      <c r="AU2572" t="inlineStr">
        <is>
          <t>3857846322:eng</t>
        </is>
      </c>
      <c r="AV2572" t="inlineStr">
        <is>
          <t>78063709</t>
        </is>
      </c>
      <c r="AW2572" t="inlineStr">
        <is>
          <t>991005102619702656</t>
        </is>
      </c>
      <c r="AX2572" t="inlineStr">
        <is>
          <t>991005102619702656</t>
        </is>
      </c>
      <c r="AY2572" t="inlineStr">
        <is>
          <t>2266286400002656</t>
        </is>
      </c>
      <c r="AZ2572" t="inlineStr">
        <is>
          <t>BOOK</t>
        </is>
      </c>
      <c r="BB2572" t="inlineStr">
        <is>
          <t>9784643060126</t>
        </is>
      </c>
      <c r="BC2572" t="inlineStr">
        <is>
          <t>32285005321228</t>
        </is>
      </c>
      <c r="BD2572" t="inlineStr">
        <is>
          <t>893344646</t>
        </is>
      </c>
    </row>
    <row r="2573">
      <c r="A2573" t="inlineStr">
        <is>
          <t>No</t>
        </is>
      </c>
      <c r="B2573" t="inlineStr">
        <is>
          <t>DS888.5 .N34513 1992</t>
        </is>
      </c>
      <c r="C2573" t="inlineStr">
        <is>
          <t>0                      DS 0888500N  34513       1992</t>
        </is>
      </c>
      <c r="D2573" t="inlineStr">
        <is>
          <t>The Japanese monarchy : Ambassador Joseph Grew and the making of the "Symbol emperor system," 1931-1991 / Nakamura Masanori ; translated by Herbert P. Bix, Jonathan Baker-Bates and Derek Bowen.</t>
        </is>
      </c>
      <c r="F2573" t="inlineStr">
        <is>
          <t>No</t>
        </is>
      </c>
      <c r="G2573" t="inlineStr">
        <is>
          <t>1</t>
        </is>
      </c>
      <c r="H2573" t="inlineStr">
        <is>
          <t>No</t>
        </is>
      </c>
      <c r="I2573" t="inlineStr">
        <is>
          <t>No</t>
        </is>
      </c>
      <c r="J2573" t="inlineStr">
        <is>
          <t>0</t>
        </is>
      </c>
      <c r="K2573" t="inlineStr">
        <is>
          <t>Nakamura, Masanori, 1935-2015.</t>
        </is>
      </c>
      <c r="L2573" t="inlineStr">
        <is>
          <t>Armonk, N.Y. : M.E. Sharpe, 1992.</t>
        </is>
      </c>
      <c r="M2573" t="inlineStr">
        <is>
          <t>1992</t>
        </is>
      </c>
      <c r="O2573" t="inlineStr">
        <is>
          <t>eng</t>
        </is>
      </c>
      <c r="P2573" t="inlineStr">
        <is>
          <t>nyu</t>
        </is>
      </c>
      <c r="Q2573" t="inlineStr">
        <is>
          <t>Asia and the Pacific</t>
        </is>
      </c>
      <c r="R2573" t="inlineStr">
        <is>
          <t xml:space="preserve">DS </t>
        </is>
      </c>
      <c r="S2573" t="n">
        <v>2</v>
      </c>
      <c r="T2573" t="n">
        <v>2</v>
      </c>
      <c r="U2573" t="inlineStr">
        <is>
          <t>1997-10-14</t>
        </is>
      </c>
      <c r="V2573" t="inlineStr">
        <is>
          <t>1997-10-14</t>
        </is>
      </c>
      <c r="W2573" t="inlineStr">
        <is>
          <t>1993-08-25</t>
        </is>
      </c>
      <c r="X2573" t="inlineStr">
        <is>
          <t>1993-08-25</t>
        </is>
      </c>
      <c r="Y2573" t="n">
        <v>446</v>
      </c>
      <c r="Z2573" t="n">
        <v>335</v>
      </c>
      <c r="AA2573" t="n">
        <v>354</v>
      </c>
      <c r="AB2573" t="n">
        <v>2</v>
      </c>
      <c r="AC2573" t="n">
        <v>2</v>
      </c>
      <c r="AD2573" t="n">
        <v>16</v>
      </c>
      <c r="AE2573" t="n">
        <v>16</v>
      </c>
      <c r="AF2573" t="n">
        <v>6</v>
      </c>
      <c r="AG2573" t="n">
        <v>6</v>
      </c>
      <c r="AH2573" t="n">
        <v>6</v>
      </c>
      <c r="AI2573" t="n">
        <v>6</v>
      </c>
      <c r="AJ2573" t="n">
        <v>8</v>
      </c>
      <c r="AK2573" t="n">
        <v>8</v>
      </c>
      <c r="AL2573" t="n">
        <v>1</v>
      </c>
      <c r="AM2573" t="n">
        <v>1</v>
      </c>
      <c r="AN2573" t="n">
        <v>0</v>
      </c>
      <c r="AO2573" t="n">
        <v>0</v>
      </c>
      <c r="AP2573" t="inlineStr">
        <is>
          <t>No</t>
        </is>
      </c>
      <c r="AQ2573" t="inlineStr">
        <is>
          <t>Yes</t>
        </is>
      </c>
      <c r="AR2573">
        <f>HYPERLINK("http://catalog.hathitrust.org/Record/002600621","HathiTrust Record")</f>
        <v/>
      </c>
      <c r="AS2573">
        <f>HYPERLINK("https://creighton-primo.hosted.exlibrisgroup.com/primo-explore/search?tab=default_tab&amp;search_scope=EVERYTHING&amp;vid=01CRU&amp;lang=en_US&amp;offset=0&amp;query=any,contains,991002021179702656","Catalog Record")</f>
        <v/>
      </c>
      <c r="AT2573">
        <f>HYPERLINK("http://www.worldcat.org/oclc/25710825","WorldCat Record")</f>
        <v/>
      </c>
      <c r="AU2573" t="inlineStr">
        <is>
          <t>20966312:eng</t>
        </is>
      </c>
      <c r="AV2573" t="inlineStr">
        <is>
          <t>25710825</t>
        </is>
      </c>
      <c r="AW2573" t="inlineStr">
        <is>
          <t>991002021179702656</t>
        </is>
      </c>
      <c r="AX2573" t="inlineStr">
        <is>
          <t>991002021179702656</t>
        </is>
      </c>
      <c r="AY2573" t="inlineStr">
        <is>
          <t>2268266060002656</t>
        </is>
      </c>
      <c r="AZ2573" t="inlineStr">
        <is>
          <t>BOOK</t>
        </is>
      </c>
      <c r="BB2573" t="inlineStr">
        <is>
          <t>9781563241024</t>
        </is>
      </c>
      <c r="BC2573" t="inlineStr">
        <is>
          <t>32285001728632</t>
        </is>
      </c>
      <c r="BD2573" t="inlineStr">
        <is>
          <t>893439682</t>
        </is>
      </c>
    </row>
    <row r="2574">
      <c r="A2574" t="inlineStr">
        <is>
          <t>No</t>
        </is>
      </c>
      <c r="B2574" t="inlineStr">
        <is>
          <t>DS888.5 .Y7 1974</t>
        </is>
      </c>
      <c r="C2574" t="inlineStr">
        <is>
          <t>0                      DS 0888500Y  7           1974</t>
        </is>
      </c>
      <c r="D2574" t="inlineStr">
        <is>
          <t>Imperial Japan, 1926-1938 / by A. Morgan Young.</t>
        </is>
      </c>
      <c r="F2574" t="inlineStr">
        <is>
          <t>No</t>
        </is>
      </c>
      <c r="G2574" t="inlineStr">
        <is>
          <t>1</t>
        </is>
      </c>
      <c r="H2574" t="inlineStr">
        <is>
          <t>No</t>
        </is>
      </c>
      <c r="I2574" t="inlineStr">
        <is>
          <t>No</t>
        </is>
      </c>
      <c r="J2574" t="inlineStr">
        <is>
          <t>0</t>
        </is>
      </c>
      <c r="K2574" t="inlineStr">
        <is>
          <t>Young, A. Morgan (Arthur Morgan), 1874-1942.</t>
        </is>
      </c>
      <c r="L2574" t="inlineStr">
        <is>
          <t>Westport, Conn. : Greenwood Press, [1974]</t>
        </is>
      </c>
      <c r="M2574" t="inlineStr">
        <is>
          <t>1974</t>
        </is>
      </c>
      <c r="O2574" t="inlineStr">
        <is>
          <t>eng</t>
        </is>
      </c>
      <c r="P2574" t="inlineStr">
        <is>
          <t>ctu</t>
        </is>
      </c>
      <c r="R2574" t="inlineStr">
        <is>
          <t xml:space="preserve">DS </t>
        </is>
      </c>
      <c r="S2574" t="n">
        <v>8</v>
      </c>
      <c r="T2574" t="n">
        <v>8</v>
      </c>
      <c r="U2574" t="inlineStr">
        <is>
          <t>1996-04-21</t>
        </is>
      </c>
      <c r="V2574" t="inlineStr">
        <is>
          <t>1996-04-21</t>
        </is>
      </c>
      <c r="W2574" t="inlineStr">
        <is>
          <t>1994-11-02</t>
        </is>
      </c>
      <c r="X2574" t="inlineStr">
        <is>
          <t>1994-11-02</t>
        </is>
      </c>
      <c r="Y2574" t="n">
        <v>106</v>
      </c>
      <c r="Z2574" t="n">
        <v>85</v>
      </c>
      <c r="AA2574" t="n">
        <v>355</v>
      </c>
      <c r="AB2574" t="n">
        <v>1</v>
      </c>
      <c r="AC2574" t="n">
        <v>4</v>
      </c>
      <c r="AD2574" t="n">
        <v>3</v>
      </c>
      <c r="AE2574" t="n">
        <v>18</v>
      </c>
      <c r="AF2574" t="n">
        <v>2</v>
      </c>
      <c r="AG2574" t="n">
        <v>7</v>
      </c>
      <c r="AH2574" t="n">
        <v>2</v>
      </c>
      <c r="AI2574" t="n">
        <v>6</v>
      </c>
      <c r="AJ2574" t="n">
        <v>0</v>
      </c>
      <c r="AK2574" t="n">
        <v>9</v>
      </c>
      <c r="AL2574" t="n">
        <v>0</v>
      </c>
      <c r="AM2574" t="n">
        <v>3</v>
      </c>
      <c r="AN2574" t="n">
        <v>0</v>
      </c>
      <c r="AO2574" t="n">
        <v>0</v>
      </c>
      <c r="AP2574" t="inlineStr">
        <is>
          <t>No</t>
        </is>
      </c>
      <c r="AQ2574" t="inlineStr">
        <is>
          <t>Yes</t>
        </is>
      </c>
      <c r="AR2574">
        <f>HYPERLINK("http://catalog.hathitrust.org/Record/004383118","HathiTrust Record")</f>
        <v/>
      </c>
      <c r="AS2574">
        <f>HYPERLINK("https://creighton-primo.hosted.exlibrisgroup.com/primo-explore/search?tab=default_tab&amp;search_scope=EVERYTHING&amp;vid=01CRU&amp;lang=en_US&amp;offset=0&amp;query=any,contains,991003501049702656","Catalog Record")</f>
        <v/>
      </c>
      <c r="AT2574">
        <f>HYPERLINK("http://www.worldcat.org/oclc/1053987","WorldCat Record")</f>
        <v/>
      </c>
      <c r="AU2574" t="inlineStr">
        <is>
          <t>1970882:eng</t>
        </is>
      </c>
      <c r="AV2574" t="inlineStr">
        <is>
          <t>1053987</t>
        </is>
      </c>
      <c r="AW2574" t="inlineStr">
        <is>
          <t>991003501049702656</t>
        </is>
      </c>
      <c r="AX2574" t="inlineStr">
        <is>
          <t>991003501049702656</t>
        </is>
      </c>
      <c r="AY2574" t="inlineStr">
        <is>
          <t>2270582710002656</t>
        </is>
      </c>
      <c r="AZ2574" t="inlineStr">
        <is>
          <t>BOOK</t>
        </is>
      </c>
      <c r="BB2574" t="inlineStr">
        <is>
          <t>9780837172552</t>
        </is>
      </c>
      <c r="BC2574" t="inlineStr">
        <is>
          <t>32285001964088</t>
        </is>
      </c>
      <c r="BD2574" t="inlineStr">
        <is>
          <t>893717721</t>
        </is>
      </c>
    </row>
    <row r="2575">
      <c r="A2575" t="inlineStr">
        <is>
          <t>No</t>
        </is>
      </c>
      <c r="B2575" t="inlineStr">
        <is>
          <t>DS889 .B27 1996</t>
        </is>
      </c>
      <c r="C2575" t="inlineStr">
        <is>
          <t>0                      DS 0889000B  27          1996</t>
        </is>
      </c>
      <c r="D2575" t="inlineStr">
        <is>
          <t>Postwar Japan : 1945 to the present / Paul J. Bailey.</t>
        </is>
      </c>
      <c r="F2575" t="inlineStr">
        <is>
          <t>No</t>
        </is>
      </c>
      <c r="G2575" t="inlineStr">
        <is>
          <t>1</t>
        </is>
      </c>
      <c r="H2575" t="inlineStr">
        <is>
          <t>No</t>
        </is>
      </c>
      <c r="I2575" t="inlineStr">
        <is>
          <t>No</t>
        </is>
      </c>
      <c r="J2575" t="inlineStr">
        <is>
          <t>0</t>
        </is>
      </c>
      <c r="K2575" t="inlineStr">
        <is>
          <t>Bailey, Paul John, 1950-</t>
        </is>
      </c>
      <c r="L2575" t="inlineStr">
        <is>
          <t>Oxford, UK ; Cambridge, Mass. : Blackwell, 1996.</t>
        </is>
      </c>
      <c r="M2575" t="inlineStr">
        <is>
          <t>1996</t>
        </is>
      </c>
      <c r="O2575" t="inlineStr">
        <is>
          <t>eng</t>
        </is>
      </c>
      <c r="P2575" t="inlineStr">
        <is>
          <t>enk</t>
        </is>
      </c>
      <c r="Q2575" t="inlineStr">
        <is>
          <t>Historical Association studies</t>
        </is>
      </c>
      <c r="R2575" t="inlineStr">
        <is>
          <t xml:space="preserve">DS </t>
        </is>
      </c>
      <c r="S2575" t="n">
        <v>15</v>
      </c>
      <c r="T2575" t="n">
        <v>15</v>
      </c>
      <c r="U2575" t="inlineStr">
        <is>
          <t>2004-10-22</t>
        </is>
      </c>
      <c r="V2575" t="inlineStr">
        <is>
          <t>2004-10-22</t>
        </is>
      </c>
      <c r="W2575" t="inlineStr">
        <is>
          <t>1997-01-30</t>
        </is>
      </c>
      <c r="X2575" t="inlineStr">
        <is>
          <t>1997-01-30</t>
        </is>
      </c>
      <c r="Y2575" t="n">
        <v>390</v>
      </c>
      <c r="Z2575" t="n">
        <v>210</v>
      </c>
      <c r="AA2575" t="n">
        <v>217</v>
      </c>
      <c r="AB2575" t="n">
        <v>2</v>
      </c>
      <c r="AC2575" t="n">
        <v>2</v>
      </c>
      <c r="AD2575" t="n">
        <v>13</v>
      </c>
      <c r="AE2575" t="n">
        <v>13</v>
      </c>
      <c r="AF2575" t="n">
        <v>4</v>
      </c>
      <c r="AG2575" t="n">
        <v>4</v>
      </c>
      <c r="AH2575" t="n">
        <v>5</v>
      </c>
      <c r="AI2575" t="n">
        <v>5</v>
      </c>
      <c r="AJ2575" t="n">
        <v>8</v>
      </c>
      <c r="AK2575" t="n">
        <v>8</v>
      </c>
      <c r="AL2575" t="n">
        <v>1</v>
      </c>
      <c r="AM2575" t="n">
        <v>1</v>
      </c>
      <c r="AN2575" t="n">
        <v>0</v>
      </c>
      <c r="AO2575" t="n">
        <v>0</v>
      </c>
      <c r="AP2575" t="inlineStr">
        <is>
          <t>No</t>
        </is>
      </c>
      <c r="AQ2575" t="inlineStr">
        <is>
          <t>No</t>
        </is>
      </c>
      <c r="AS2575">
        <f>HYPERLINK("https://creighton-primo.hosted.exlibrisgroup.com/primo-explore/search?tab=default_tab&amp;search_scope=EVERYTHING&amp;vid=01CRU&amp;lang=en_US&amp;offset=0&amp;query=any,contains,991005423439702656","Catalog Record")</f>
        <v/>
      </c>
      <c r="AT2575">
        <f>HYPERLINK("http://www.worldcat.org/oclc/34409770","WorldCat Record")</f>
        <v/>
      </c>
      <c r="AU2575" t="inlineStr">
        <is>
          <t>144154248:eng</t>
        </is>
      </c>
      <c r="AV2575" t="inlineStr">
        <is>
          <t>34409770</t>
        </is>
      </c>
      <c r="AW2575" t="inlineStr">
        <is>
          <t>991005423439702656</t>
        </is>
      </c>
      <c r="AX2575" t="inlineStr">
        <is>
          <t>991005423439702656</t>
        </is>
      </c>
      <c r="AY2575" t="inlineStr">
        <is>
          <t>2256061210002656</t>
        </is>
      </c>
      <c r="AZ2575" t="inlineStr">
        <is>
          <t>BOOK</t>
        </is>
      </c>
      <c r="BB2575" t="inlineStr">
        <is>
          <t>9780631179016</t>
        </is>
      </c>
      <c r="BC2575" t="inlineStr">
        <is>
          <t>32285002412657</t>
        </is>
      </c>
      <c r="BD2575" t="inlineStr">
        <is>
          <t>893883866</t>
        </is>
      </c>
    </row>
    <row r="2576">
      <c r="A2576" t="inlineStr">
        <is>
          <t>No</t>
        </is>
      </c>
      <c r="B2576" t="inlineStr">
        <is>
          <t>DS889 .B6613 2002</t>
        </is>
      </c>
      <c r="C2576" t="inlineStr">
        <is>
          <t>0                      DS 0889000B  6613        2002</t>
        </is>
      </c>
      <c r="D2576" t="inlineStr">
        <is>
          <t>Japan, the burden of success / Jean-Marie Bouissou.</t>
        </is>
      </c>
      <c r="F2576" t="inlineStr">
        <is>
          <t>No</t>
        </is>
      </c>
      <c r="G2576" t="inlineStr">
        <is>
          <t>1</t>
        </is>
      </c>
      <c r="H2576" t="inlineStr">
        <is>
          <t>No</t>
        </is>
      </c>
      <c r="I2576" t="inlineStr">
        <is>
          <t>No</t>
        </is>
      </c>
      <c r="J2576" t="inlineStr">
        <is>
          <t>0</t>
        </is>
      </c>
      <c r="K2576" t="inlineStr">
        <is>
          <t>Bouissou, Jean-Marie.</t>
        </is>
      </c>
      <c r="L2576" t="inlineStr">
        <is>
          <t>Boulder, Colo. : Lynne Rienner Publishers, 2002.</t>
        </is>
      </c>
      <c r="M2576" t="inlineStr">
        <is>
          <t>2002</t>
        </is>
      </c>
      <c r="O2576" t="inlineStr">
        <is>
          <t>eng</t>
        </is>
      </c>
      <c r="P2576" t="inlineStr">
        <is>
          <t>cou</t>
        </is>
      </c>
      <c r="R2576" t="inlineStr">
        <is>
          <t xml:space="preserve">DS </t>
        </is>
      </c>
      <c r="S2576" t="n">
        <v>14</v>
      </c>
      <c r="T2576" t="n">
        <v>14</v>
      </c>
      <c r="U2576" t="inlineStr">
        <is>
          <t>2009-04-14</t>
        </is>
      </c>
      <c r="V2576" t="inlineStr">
        <is>
          <t>2009-04-14</t>
        </is>
      </c>
      <c r="W2576" t="inlineStr">
        <is>
          <t>2003-04-01</t>
        </is>
      </c>
      <c r="X2576" t="inlineStr">
        <is>
          <t>2003-04-01</t>
        </is>
      </c>
      <c r="Y2576" t="n">
        <v>414</v>
      </c>
      <c r="Z2576" t="n">
        <v>354</v>
      </c>
      <c r="AA2576" t="n">
        <v>377</v>
      </c>
      <c r="AB2576" t="n">
        <v>1</v>
      </c>
      <c r="AC2576" t="n">
        <v>1</v>
      </c>
      <c r="AD2576" t="n">
        <v>19</v>
      </c>
      <c r="AE2576" t="n">
        <v>20</v>
      </c>
      <c r="AF2576" t="n">
        <v>9</v>
      </c>
      <c r="AG2576" t="n">
        <v>9</v>
      </c>
      <c r="AH2576" t="n">
        <v>7</v>
      </c>
      <c r="AI2576" t="n">
        <v>8</v>
      </c>
      <c r="AJ2576" t="n">
        <v>8</v>
      </c>
      <c r="AK2576" t="n">
        <v>9</v>
      </c>
      <c r="AL2576" t="n">
        <v>0</v>
      </c>
      <c r="AM2576" t="n">
        <v>0</v>
      </c>
      <c r="AN2576" t="n">
        <v>0</v>
      </c>
      <c r="AO2576" t="n">
        <v>0</v>
      </c>
      <c r="AP2576" t="inlineStr">
        <is>
          <t>No</t>
        </is>
      </c>
      <c r="AQ2576" t="inlineStr">
        <is>
          <t>No</t>
        </is>
      </c>
      <c r="AS2576">
        <f>HYPERLINK("https://creighton-primo.hosted.exlibrisgroup.com/primo-explore/search?tab=default_tab&amp;search_scope=EVERYTHING&amp;vid=01CRU&amp;lang=en_US&amp;offset=0&amp;query=any,contains,991004010199702656","Catalog Record")</f>
        <v/>
      </c>
      <c r="AT2576">
        <f>HYPERLINK("http://www.worldcat.org/oclc/48987605","WorldCat Record")</f>
        <v/>
      </c>
      <c r="AU2576" t="inlineStr">
        <is>
          <t>7875408:eng</t>
        </is>
      </c>
      <c r="AV2576" t="inlineStr">
        <is>
          <t>48987605</t>
        </is>
      </c>
      <c r="AW2576" t="inlineStr">
        <is>
          <t>991004010199702656</t>
        </is>
      </c>
      <c r="AX2576" t="inlineStr">
        <is>
          <t>991004010199702656</t>
        </is>
      </c>
      <c r="AY2576" t="inlineStr">
        <is>
          <t>2266464170002656</t>
        </is>
      </c>
      <c r="AZ2576" t="inlineStr">
        <is>
          <t>BOOK</t>
        </is>
      </c>
      <c r="BB2576" t="inlineStr">
        <is>
          <t>9781588260178</t>
        </is>
      </c>
      <c r="BC2576" t="inlineStr">
        <is>
          <t>32285004688650</t>
        </is>
      </c>
      <c r="BD2576" t="inlineStr">
        <is>
          <t>893593161</t>
        </is>
      </c>
    </row>
    <row r="2577">
      <c r="A2577" t="inlineStr">
        <is>
          <t>No</t>
        </is>
      </c>
      <c r="B2577" t="inlineStr">
        <is>
          <t>DS889 .B765 1998</t>
        </is>
      </c>
      <c r="C2577" t="inlineStr">
        <is>
          <t>0                      DS 0889000B  765         1998</t>
        </is>
      </c>
      <c r="D2577" t="inlineStr">
        <is>
          <t>Japan today / Roger Buckley.</t>
        </is>
      </c>
      <c r="F2577" t="inlineStr">
        <is>
          <t>No</t>
        </is>
      </c>
      <c r="G2577" t="inlineStr">
        <is>
          <t>1</t>
        </is>
      </c>
      <c r="H2577" t="inlineStr">
        <is>
          <t>No</t>
        </is>
      </c>
      <c r="I2577" t="inlineStr">
        <is>
          <t>No</t>
        </is>
      </c>
      <c r="J2577" t="inlineStr">
        <is>
          <t>0</t>
        </is>
      </c>
      <c r="K2577" t="inlineStr">
        <is>
          <t>Buckley, Roger, 1944-</t>
        </is>
      </c>
      <c r="L2577" t="inlineStr">
        <is>
          <t>New York : Cambridge University Press, c1998.</t>
        </is>
      </c>
      <c r="M2577" t="inlineStr">
        <is>
          <t>1998</t>
        </is>
      </c>
      <c r="N2577" t="inlineStr">
        <is>
          <t>3rd ed.</t>
        </is>
      </c>
      <c r="O2577" t="inlineStr">
        <is>
          <t>eng</t>
        </is>
      </c>
      <c r="P2577" t="inlineStr">
        <is>
          <t>nyu</t>
        </is>
      </c>
      <c r="R2577" t="inlineStr">
        <is>
          <t xml:space="preserve">DS </t>
        </is>
      </c>
      <c r="S2577" t="n">
        <v>3</v>
      </c>
      <c r="T2577" t="n">
        <v>3</v>
      </c>
      <c r="U2577" t="inlineStr">
        <is>
          <t>2001-04-17</t>
        </is>
      </c>
      <c r="V2577" t="inlineStr">
        <is>
          <t>2001-04-17</t>
        </is>
      </c>
      <c r="W2577" t="inlineStr">
        <is>
          <t>2000-03-15</t>
        </is>
      </c>
      <c r="X2577" t="inlineStr">
        <is>
          <t>2000-03-15</t>
        </is>
      </c>
      <c r="Y2577" t="n">
        <v>438</v>
      </c>
      <c r="Z2577" t="n">
        <v>299</v>
      </c>
      <c r="AA2577" t="n">
        <v>304</v>
      </c>
      <c r="AB2577" t="n">
        <v>3</v>
      </c>
      <c r="AC2577" t="n">
        <v>3</v>
      </c>
      <c r="AD2577" t="n">
        <v>18</v>
      </c>
      <c r="AE2577" t="n">
        <v>18</v>
      </c>
      <c r="AF2577" t="n">
        <v>7</v>
      </c>
      <c r="AG2577" t="n">
        <v>7</v>
      </c>
      <c r="AH2577" t="n">
        <v>4</v>
      </c>
      <c r="AI2577" t="n">
        <v>4</v>
      </c>
      <c r="AJ2577" t="n">
        <v>10</v>
      </c>
      <c r="AK2577" t="n">
        <v>10</v>
      </c>
      <c r="AL2577" t="n">
        <v>2</v>
      </c>
      <c r="AM2577" t="n">
        <v>2</v>
      </c>
      <c r="AN2577" t="n">
        <v>0</v>
      </c>
      <c r="AO2577" t="n">
        <v>0</v>
      </c>
      <c r="AP2577" t="inlineStr">
        <is>
          <t>No</t>
        </is>
      </c>
      <c r="AQ2577" t="inlineStr">
        <is>
          <t>No</t>
        </is>
      </c>
      <c r="AS2577">
        <f>HYPERLINK("https://creighton-primo.hosted.exlibrisgroup.com/primo-explore/search?tab=default_tab&amp;search_scope=EVERYTHING&amp;vid=01CRU&amp;lang=en_US&amp;offset=0&amp;query=any,contains,991002963189702656","Catalog Record")</f>
        <v/>
      </c>
      <c r="AT2577">
        <f>HYPERLINK("http://www.worldcat.org/oclc/39640055","WorldCat Record")</f>
        <v/>
      </c>
      <c r="AU2577" t="inlineStr">
        <is>
          <t>3429976:eng</t>
        </is>
      </c>
      <c r="AV2577" t="inlineStr">
        <is>
          <t>39640055</t>
        </is>
      </c>
      <c r="AW2577" t="inlineStr">
        <is>
          <t>991002963189702656</t>
        </is>
      </c>
      <c r="AX2577" t="inlineStr">
        <is>
          <t>991002963189702656</t>
        </is>
      </c>
      <c r="AY2577" t="inlineStr">
        <is>
          <t>2266891890002656</t>
        </is>
      </c>
      <c r="AZ2577" t="inlineStr">
        <is>
          <t>BOOK</t>
        </is>
      </c>
      <c r="BB2577" t="inlineStr">
        <is>
          <t>9780521643733</t>
        </is>
      </c>
      <c r="BC2577" t="inlineStr">
        <is>
          <t>32285003670121</t>
        </is>
      </c>
      <c r="BD2577" t="inlineStr">
        <is>
          <t>893698507</t>
        </is>
      </c>
    </row>
    <row r="2578">
      <c r="A2578" t="inlineStr">
        <is>
          <t>No</t>
        </is>
      </c>
      <c r="B2578" t="inlineStr">
        <is>
          <t>DS889 .D56 1998, v.1</t>
        </is>
      </c>
      <c r="C2578" t="inlineStr">
        <is>
          <t>0                      DS 0889000D  56          1998                                        v.1</t>
        </is>
      </c>
      <c r="D2578" t="inlineStr">
        <is>
          <t>History of contemporary Japan, 1945-1998 / edited with an introduction by Edward R. Beauchamp.</t>
        </is>
      </c>
      <c r="E2578" t="inlineStr">
        <is>
          <t>V.1</t>
        </is>
      </c>
      <c r="F2578" t="inlineStr">
        <is>
          <t>No</t>
        </is>
      </c>
      <c r="G2578" t="inlineStr">
        <is>
          <t>1</t>
        </is>
      </c>
      <c r="H2578" t="inlineStr">
        <is>
          <t>No</t>
        </is>
      </c>
      <c r="I2578" t="inlineStr">
        <is>
          <t>No</t>
        </is>
      </c>
      <c r="J2578" t="inlineStr">
        <is>
          <t>0</t>
        </is>
      </c>
      <c r="L2578" t="inlineStr">
        <is>
          <t>New York : Garland Publishing, 1998.</t>
        </is>
      </c>
      <c r="M2578" t="inlineStr">
        <is>
          <t>1998</t>
        </is>
      </c>
      <c r="O2578" t="inlineStr">
        <is>
          <t>eng</t>
        </is>
      </c>
      <c r="P2578" t="inlineStr">
        <is>
          <t>nyu</t>
        </is>
      </c>
      <c r="Q2578" t="inlineStr">
        <is>
          <t>Dimensions of contemporary Japan ; 1</t>
        </is>
      </c>
      <c r="R2578" t="inlineStr">
        <is>
          <t xml:space="preserve">DS </t>
        </is>
      </c>
      <c r="S2578" t="n">
        <v>7</v>
      </c>
      <c r="T2578" t="n">
        <v>7</v>
      </c>
      <c r="U2578" t="inlineStr">
        <is>
          <t>2001-04-17</t>
        </is>
      </c>
      <c r="V2578" t="inlineStr">
        <is>
          <t>2001-04-17</t>
        </is>
      </c>
      <c r="W2578" t="inlineStr">
        <is>
          <t>1999-04-28</t>
        </is>
      </c>
      <c r="X2578" t="inlineStr">
        <is>
          <t>1999-04-28</t>
        </is>
      </c>
      <c r="Y2578" t="n">
        <v>180</v>
      </c>
      <c r="Z2578" t="n">
        <v>135</v>
      </c>
      <c r="AA2578" t="n">
        <v>143</v>
      </c>
      <c r="AB2578" t="n">
        <v>2</v>
      </c>
      <c r="AC2578" t="n">
        <v>2</v>
      </c>
      <c r="AD2578" t="n">
        <v>10</v>
      </c>
      <c r="AE2578" t="n">
        <v>10</v>
      </c>
      <c r="AF2578" t="n">
        <v>3</v>
      </c>
      <c r="AG2578" t="n">
        <v>3</v>
      </c>
      <c r="AH2578" t="n">
        <v>3</v>
      </c>
      <c r="AI2578" t="n">
        <v>3</v>
      </c>
      <c r="AJ2578" t="n">
        <v>8</v>
      </c>
      <c r="AK2578" t="n">
        <v>8</v>
      </c>
      <c r="AL2578" t="n">
        <v>1</v>
      </c>
      <c r="AM2578" t="n">
        <v>1</v>
      </c>
      <c r="AN2578" t="n">
        <v>0</v>
      </c>
      <c r="AO2578" t="n">
        <v>0</v>
      </c>
      <c r="AP2578" t="inlineStr">
        <is>
          <t>No</t>
        </is>
      </c>
      <c r="AQ2578" t="inlineStr">
        <is>
          <t>No</t>
        </is>
      </c>
      <c r="AS2578">
        <f>HYPERLINK("https://creighton-primo.hosted.exlibrisgroup.com/primo-explore/search?tab=default_tab&amp;search_scope=EVERYTHING&amp;vid=01CRU&amp;lang=en_US&amp;offset=0&amp;query=any,contains,991002989419702656","Catalog Record")</f>
        <v/>
      </c>
      <c r="AT2578">
        <f>HYPERLINK("http://www.worldcat.org/oclc/40339989","WorldCat Record")</f>
        <v/>
      </c>
      <c r="AU2578" t="inlineStr">
        <is>
          <t>2776783:eng</t>
        </is>
      </c>
      <c r="AV2578" t="inlineStr">
        <is>
          <t>40339989</t>
        </is>
      </c>
      <c r="AW2578" t="inlineStr">
        <is>
          <t>991002989419702656</t>
        </is>
      </c>
      <c r="AX2578" t="inlineStr">
        <is>
          <t>991002989419702656</t>
        </is>
      </c>
      <c r="AY2578" t="inlineStr">
        <is>
          <t>2262034270002656</t>
        </is>
      </c>
      <c r="AZ2578" t="inlineStr">
        <is>
          <t>BOOK</t>
        </is>
      </c>
      <c r="BB2578" t="inlineStr">
        <is>
          <t>9780815327288</t>
        </is>
      </c>
      <c r="BC2578" t="inlineStr">
        <is>
          <t>32285003557575</t>
        </is>
      </c>
      <c r="BD2578" t="inlineStr">
        <is>
          <t>893717186</t>
        </is>
      </c>
    </row>
    <row r="2579">
      <c r="A2579" t="inlineStr">
        <is>
          <t>No</t>
        </is>
      </c>
      <c r="B2579" t="inlineStr">
        <is>
          <t>DS889 .D56 1998, v.2</t>
        </is>
      </c>
      <c r="C2579" t="inlineStr">
        <is>
          <t>0                      DS 0889000D  56          1998                                        v.2</t>
        </is>
      </c>
      <c r="D2579" t="inlineStr">
        <is>
          <t>Japanese society since 1945 / edited with an introduction by Edward R. Beauchamp.</t>
        </is>
      </c>
      <c r="E2579" t="inlineStr">
        <is>
          <t>V.2</t>
        </is>
      </c>
      <c r="F2579" t="inlineStr">
        <is>
          <t>No</t>
        </is>
      </c>
      <c r="G2579" t="inlineStr">
        <is>
          <t>1</t>
        </is>
      </c>
      <c r="H2579" t="inlineStr">
        <is>
          <t>No</t>
        </is>
      </c>
      <c r="I2579" t="inlineStr">
        <is>
          <t>No</t>
        </is>
      </c>
      <c r="J2579" t="inlineStr">
        <is>
          <t>0</t>
        </is>
      </c>
      <c r="L2579" t="inlineStr">
        <is>
          <t>New York : Garland, 1998.</t>
        </is>
      </c>
      <c r="M2579" t="inlineStr">
        <is>
          <t>1998</t>
        </is>
      </c>
      <c r="O2579" t="inlineStr">
        <is>
          <t>eng</t>
        </is>
      </c>
      <c r="P2579" t="inlineStr">
        <is>
          <t>ctu</t>
        </is>
      </c>
      <c r="Q2579" t="inlineStr">
        <is>
          <t>Dimensions of contemporary Japan ; 2</t>
        </is>
      </c>
      <c r="R2579" t="inlineStr">
        <is>
          <t xml:space="preserve">DS </t>
        </is>
      </c>
      <c r="S2579" t="n">
        <v>4</v>
      </c>
      <c r="T2579" t="n">
        <v>4</v>
      </c>
      <c r="U2579" t="inlineStr">
        <is>
          <t>2002-10-18</t>
        </is>
      </c>
      <c r="V2579" t="inlineStr">
        <is>
          <t>2002-10-18</t>
        </is>
      </c>
      <c r="W2579" t="inlineStr">
        <is>
          <t>1999-04-28</t>
        </is>
      </c>
      <c r="X2579" t="inlineStr">
        <is>
          <t>1999-04-28</t>
        </is>
      </c>
      <c r="Y2579" t="n">
        <v>177</v>
      </c>
      <c r="Z2579" t="n">
        <v>138</v>
      </c>
      <c r="AA2579" t="n">
        <v>138</v>
      </c>
      <c r="AB2579" t="n">
        <v>2</v>
      </c>
      <c r="AC2579" t="n">
        <v>2</v>
      </c>
      <c r="AD2579" t="n">
        <v>10</v>
      </c>
      <c r="AE2579" t="n">
        <v>10</v>
      </c>
      <c r="AF2579" t="n">
        <v>4</v>
      </c>
      <c r="AG2579" t="n">
        <v>4</v>
      </c>
      <c r="AH2579" t="n">
        <v>3</v>
      </c>
      <c r="AI2579" t="n">
        <v>3</v>
      </c>
      <c r="AJ2579" t="n">
        <v>8</v>
      </c>
      <c r="AK2579" t="n">
        <v>8</v>
      </c>
      <c r="AL2579" t="n">
        <v>1</v>
      </c>
      <c r="AM2579" t="n">
        <v>1</v>
      </c>
      <c r="AN2579" t="n">
        <v>0</v>
      </c>
      <c r="AO2579" t="n">
        <v>0</v>
      </c>
      <c r="AP2579" t="inlineStr">
        <is>
          <t>No</t>
        </is>
      </c>
      <c r="AQ2579" t="inlineStr">
        <is>
          <t>No</t>
        </is>
      </c>
      <c r="AS2579">
        <f>HYPERLINK("https://creighton-primo.hosted.exlibrisgroup.com/primo-explore/search?tab=default_tab&amp;search_scope=EVERYTHING&amp;vid=01CRU&amp;lang=en_US&amp;offset=0&amp;query=any,contains,991002990239702656","Catalog Record")</f>
        <v/>
      </c>
      <c r="AT2579">
        <f>HYPERLINK("http://www.worldcat.org/oclc/40354621","WorldCat Record")</f>
        <v/>
      </c>
      <c r="AU2579" t="inlineStr">
        <is>
          <t>2776800:eng</t>
        </is>
      </c>
      <c r="AV2579" t="inlineStr">
        <is>
          <t>40354621</t>
        </is>
      </c>
      <c r="AW2579" t="inlineStr">
        <is>
          <t>991002990239702656</t>
        </is>
      </c>
      <c r="AX2579" t="inlineStr">
        <is>
          <t>991002990239702656</t>
        </is>
      </c>
      <c r="AY2579" t="inlineStr">
        <is>
          <t>2267266760002656</t>
        </is>
      </c>
      <c r="AZ2579" t="inlineStr">
        <is>
          <t>BOOK</t>
        </is>
      </c>
      <c r="BB2579" t="inlineStr">
        <is>
          <t>9780815327295</t>
        </is>
      </c>
      <c r="BC2579" t="inlineStr">
        <is>
          <t>32285003557583</t>
        </is>
      </c>
      <c r="BD2579" t="inlineStr">
        <is>
          <t>893530729</t>
        </is>
      </c>
    </row>
    <row r="2580">
      <c r="A2580" t="inlineStr">
        <is>
          <t>No</t>
        </is>
      </c>
      <c r="B2580" t="inlineStr">
        <is>
          <t>DS889 .D56 1998, v.3</t>
        </is>
      </c>
      <c r="C2580" t="inlineStr">
        <is>
          <t>0                      DS 0889000D  56          1998                                        v.3</t>
        </is>
      </c>
      <c r="D2580" t="inlineStr">
        <is>
          <t>Education and schooling in Japan since 1945 / edited with an introduction by Edward R. Beauchamp.</t>
        </is>
      </c>
      <c r="E2580" t="inlineStr">
        <is>
          <t>V.3</t>
        </is>
      </c>
      <c r="F2580" t="inlineStr">
        <is>
          <t>No</t>
        </is>
      </c>
      <c r="G2580" t="inlineStr">
        <is>
          <t>1</t>
        </is>
      </c>
      <c r="H2580" t="inlineStr">
        <is>
          <t>No</t>
        </is>
      </c>
      <c r="I2580" t="inlineStr">
        <is>
          <t>No</t>
        </is>
      </c>
      <c r="J2580" t="inlineStr">
        <is>
          <t>0</t>
        </is>
      </c>
      <c r="L2580" t="inlineStr">
        <is>
          <t>New York : Garland Pub., 1998.</t>
        </is>
      </c>
      <c r="M2580" t="inlineStr">
        <is>
          <t>1998</t>
        </is>
      </c>
      <c r="O2580" t="inlineStr">
        <is>
          <t>eng</t>
        </is>
      </c>
      <c r="P2580" t="inlineStr">
        <is>
          <t>nyu</t>
        </is>
      </c>
      <c r="Q2580" t="inlineStr">
        <is>
          <t>Dimensions of contemporary Japan ; 3</t>
        </is>
      </c>
      <c r="R2580" t="inlineStr">
        <is>
          <t xml:space="preserve">DS </t>
        </is>
      </c>
      <c r="S2580" t="n">
        <v>2</v>
      </c>
      <c r="T2580" t="n">
        <v>2</v>
      </c>
      <c r="U2580" t="inlineStr">
        <is>
          <t>2005-09-04</t>
        </is>
      </c>
      <c r="V2580" t="inlineStr">
        <is>
          <t>2005-09-04</t>
        </is>
      </c>
      <c r="W2580" t="inlineStr">
        <is>
          <t>1999-04-28</t>
        </is>
      </c>
      <c r="X2580" t="inlineStr">
        <is>
          <t>1999-04-28</t>
        </is>
      </c>
      <c r="Y2580" t="n">
        <v>192</v>
      </c>
      <c r="Z2580" t="n">
        <v>152</v>
      </c>
      <c r="AA2580" t="n">
        <v>175</v>
      </c>
      <c r="AB2580" t="n">
        <v>3</v>
      </c>
      <c r="AC2580" t="n">
        <v>3</v>
      </c>
      <c r="AD2580" t="n">
        <v>11</v>
      </c>
      <c r="AE2580" t="n">
        <v>11</v>
      </c>
      <c r="AF2580" t="n">
        <v>3</v>
      </c>
      <c r="AG2580" t="n">
        <v>3</v>
      </c>
      <c r="AH2580" t="n">
        <v>2</v>
      </c>
      <c r="AI2580" t="n">
        <v>2</v>
      </c>
      <c r="AJ2580" t="n">
        <v>8</v>
      </c>
      <c r="AK2580" t="n">
        <v>8</v>
      </c>
      <c r="AL2580" t="n">
        <v>2</v>
      </c>
      <c r="AM2580" t="n">
        <v>2</v>
      </c>
      <c r="AN2580" t="n">
        <v>0</v>
      </c>
      <c r="AO2580" t="n">
        <v>0</v>
      </c>
      <c r="AP2580" t="inlineStr">
        <is>
          <t>No</t>
        </is>
      </c>
      <c r="AQ2580" t="inlineStr">
        <is>
          <t>No</t>
        </is>
      </c>
      <c r="AS2580">
        <f>HYPERLINK("https://creighton-primo.hosted.exlibrisgroup.com/primo-explore/search?tab=default_tab&amp;search_scope=EVERYTHING&amp;vid=01CRU&amp;lang=en_US&amp;offset=0&amp;query=any,contains,991002991449702656","Catalog Record")</f>
        <v/>
      </c>
      <c r="AT2580">
        <f>HYPERLINK("http://www.worldcat.org/oclc/40396524","WorldCat Record")</f>
        <v/>
      </c>
      <c r="AU2580" t="inlineStr">
        <is>
          <t>2776821:eng</t>
        </is>
      </c>
      <c r="AV2580" t="inlineStr">
        <is>
          <t>40396524</t>
        </is>
      </c>
      <c r="AW2580" t="inlineStr">
        <is>
          <t>991002991449702656</t>
        </is>
      </c>
      <c r="AX2580" t="inlineStr">
        <is>
          <t>991002991449702656</t>
        </is>
      </c>
      <c r="AY2580" t="inlineStr">
        <is>
          <t>2269776290002656</t>
        </is>
      </c>
      <c r="AZ2580" t="inlineStr">
        <is>
          <t>BOOK</t>
        </is>
      </c>
      <c r="BB2580" t="inlineStr">
        <is>
          <t>9780815327301</t>
        </is>
      </c>
      <c r="BC2580" t="inlineStr">
        <is>
          <t>32285003557591</t>
        </is>
      </c>
      <c r="BD2580" t="inlineStr">
        <is>
          <t>893505067</t>
        </is>
      </c>
    </row>
    <row r="2581">
      <c r="A2581" t="inlineStr">
        <is>
          <t>No</t>
        </is>
      </c>
      <c r="B2581" t="inlineStr">
        <is>
          <t>DS889 .D56 1998, v.4</t>
        </is>
      </c>
      <c r="C2581" t="inlineStr">
        <is>
          <t>0                      DS 0889000D  56          1998                                        v.4</t>
        </is>
      </c>
      <c r="D2581" t="inlineStr">
        <is>
          <t>Women and women's issues in post World War II Japan / edited with an introduction by Edward R. Beauchamp.</t>
        </is>
      </c>
      <c r="E2581" t="inlineStr">
        <is>
          <t>V.4</t>
        </is>
      </c>
      <c r="F2581" t="inlineStr">
        <is>
          <t>No</t>
        </is>
      </c>
      <c r="G2581" t="inlineStr">
        <is>
          <t>1</t>
        </is>
      </c>
      <c r="H2581" t="inlineStr">
        <is>
          <t>No</t>
        </is>
      </c>
      <c r="I2581" t="inlineStr">
        <is>
          <t>No</t>
        </is>
      </c>
      <c r="J2581" t="inlineStr">
        <is>
          <t>0</t>
        </is>
      </c>
      <c r="L2581" t="inlineStr">
        <is>
          <t>New York : Garland, 1998.</t>
        </is>
      </c>
      <c r="M2581" t="inlineStr">
        <is>
          <t>1998</t>
        </is>
      </c>
      <c r="O2581" t="inlineStr">
        <is>
          <t>eng</t>
        </is>
      </c>
      <c r="P2581" t="inlineStr">
        <is>
          <t>nyu</t>
        </is>
      </c>
      <c r="Q2581" t="inlineStr">
        <is>
          <t>Dimensions of contemporary Japan ; 4</t>
        </is>
      </c>
      <c r="R2581" t="inlineStr">
        <is>
          <t xml:space="preserve">DS </t>
        </is>
      </c>
      <c r="S2581" t="n">
        <v>3</v>
      </c>
      <c r="T2581" t="n">
        <v>3</v>
      </c>
      <c r="U2581" t="inlineStr">
        <is>
          <t>2010-02-18</t>
        </is>
      </c>
      <c r="V2581" t="inlineStr">
        <is>
          <t>2010-02-18</t>
        </is>
      </c>
      <c r="W2581" t="inlineStr">
        <is>
          <t>1999-04-28</t>
        </is>
      </c>
      <c r="X2581" t="inlineStr">
        <is>
          <t>1999-04-28</t>
        </is>
      </c>
      <c r="Y2581" t="n">
        <v>197</v>
      </c>
      <c r="Z2581" t="n">
        <v>157</v>
      </c>
      <c r="AA2581" t="n">
        <v>157</v>
      </c>
      <c r="AB2581" t="n">
        <v>2</v>
      </c>
      <c r="AC2581" t="n">
        <v>2</v>
      </c>
      <c r="AD2581" t="n">
        <v>9</v>
      </c>
      <c r="AE2581" t="n">
        <v>9</v>
      </c>
      <c r="AF2581" t="n">
        <v>2</v>
      </c>
      <c r="AG2581" t="n">
        <v>2</v>
      </c>
      <c r="AH2581" t="n">
        <v>2</v>
      </c>
      <c r="AI2581" t="n">
        <v>2</v>
      </c>
      <c r="AJ2581" t="n">
        <v>7</v>
      </c>
      <c r="AK2581" t="n">
        <v>7</v>
      </c>
      <c r="AL2581" t="n">
        <v>1</v>
      </c>
      <c r="AM2581" t="n">
        <v>1</v>
      </c>
      <c r="AN2581" t="n">
        <v>1</v>
      </c>
      <c r="AO2581" t="n">
        <v>1</v>
      </c>
      <c r="AP2581" t="inlineStr">
        <is>
          <t>No</t>
        </is>
      </c>
      <c r="AQ2581" t="inlineStr">
        <is>
          <t>No</t>
        </is>
      </c>
      <c r="AS2581">
        <f>HYPERLINK("https://creighton-primo.hosted.exlibrisgroup.com/primo-explore/search?tab=default_tab&amp;search_scope=EVERYTHING&amp;vid=01CRU&amp;lang=en_US&amp;offset=0&amp;query=any,contains,991002991669702656","Catalog Record")</f>
        <v/>
      </c>
      <c r="AT2581">
        <f>HYPERLINK("http://www.worldcat.org/oclc/40397841","WorldCat Record")</f>
        <v/>
      </c>
      <c r="AU2581" t="inlineStr">
        <is>
          <t>2776852:eng</t>
        </is>
      </c>
      <c r="AV2581" t="inlineStr">
        <is>
          <t>40397841</t>
        </is>
      </c>
      <c r="AW2581" t="inlineStr">
        <is>
          <t>991002991669702656</t>
        </is>
      </c>
      <c r="AX2581" t="inlineStr">
        <is>
          <t>991002991669702656</t>
        </is>
      </c>
      <c r="AY2581" t="inlineStr">
        <is>
          <t>2271924950002656</t>
        </is>
      </c>
      <c r="AZ2581" t="inlineStr">
        <is>
          <t>BOOK</t>
        </is>
      </c>
      <c r="BB2581" t="inlineStr">
        <is>
          <t>9780815327318</t>
        </is>
      </c>
      <c r="BC2581" t="inlineStr">
        <is>
          <t>32285003557609</t>
        </is>
      </c>
      <c r="BD2581" t="inlineStr">
        <is>
          <t>893505070</t>
        </is>
      </c>
    </row>
    <row r="2582">
      <c r="A2582" t="inlineStr">
        <is>
          <t>No</t>
        </is>
      </c>
      <c r="B2582" t="inlineStr">
        <is>
          <t>DS889 .D56 1998, v.6</t>
        </is>
      </c>
      <c r="C2582" t="inlineStr">
        <is>
          <t>0                      DS 0889000D  56          1998                                        v.6</t>
        </is>
      </c>
      <c r="D2582" t="inlineStr">
        <is>
          <t>Japan's role in international politics since World War II / edited with an introduction by Edward R. Beauchamp.</t>
        </is>
      </c>
      <c r="E2582" t="inlineStr">
        <is>
          <t>V.6</t>
        </is>
      </c>
      <c r="F2582" t="inlineStr">
        <is>
          <t>No</t>
        </is>
      </c>
      <c r="G2582" t="inlineStr">
        <is>
          <t>1</t>
        </is>
      </c>
      <c r="H2582" t="inlineStr">
        <is>
          <t>No</t>
        </is>
      </c>
      <c r="I2582" t="inlineStr">
        <is>
          <t>No</t>
        </is>
      </c>
      <c r="J2582" t="inlineStr">
        <is>
          <t>0</t>
        </is>
      </c>
      <c r="L2582" t="inlineStr">
        <is>
          <t>New York : Garland, 1998.</t>
        </is>
      </c>
      <c r="M2582" t="inlineStr">
        <is>
          <t>1998</t>
        </is>
      </c>
      <c r="O2582" t="inlineStr">
        <is>
          <t>eng</t>
        </is>
      </c>
      <c r="P2582" t="inlineStr">
        <is>
          <t>nyu</t>
        </is>
      </c>
      <c r="Q2582" t="inlineStr">
        <is>
          <t>Dimensions of contemporary Japan ; 6</t>
        </is>
      </c>
      <c r="R2582" t="inlineStr">
        <is>
          <t xml:space="preserve">DS </t>
        </is>
      </c>
      <c r="S2582" t="n">
        <v>22</v>
      </c>
      <c r="T2582" t="n">
        <v>22</v>
      </c>
      <c r="U2582" t="inlineStr">
        <is>
          <t>2009-04-14</t>
        </is>
      </c>
      <c r="V2582" t="inlineStr">
        <is>
          <t>2009-04-14</t>
        </is>
      </c>
      <c r="W2582" t="inlineStr">
        <is>
          <t>1999-04-28</t>
        </is>
      </c>
      <c r="X2582" t="inlineStr">
        <is>
          <t>1999-04-28</t>
        </is>
      </c>
      <c r="Y2582" t="n">
        <v>168</v>
      </c>
      <c r="Z2582" t="n">
        <v>122</v>
      </c>
      <c r="AA2582" t="n">
        <v>131</v>
      </c>
      <c r="AB2582" t="n">
        <v>2</v>
      </c>
      <c r="AC2582" t="n">
        <v>2</v>
      </c>
      <c r="AD2582" t="n">
        <v>9</v>
      </c>
      <c r="AE2582" t="n">
        <v>9</v>
      </c>
      <c r="AF2582" t="n">
        <v>3</v>
      </c>
      <c r="AG2582" t="n">
        <v>3</v>
      </c>
      <c r="AH2582" t="n">
        <v>3</v>
      </c>
      <c r="AI2582" t="n">
        <v>3</v>
      </c>
      <c r="AJ2582" t="n">
        <v>7</v>
      </c>
      <c r="AK2582" t="n">
        <v>7</v>
      </c>
      <c r="AL2582" t="n">
        <v>1</v>
      </c>
      <c r="AM2582" t="n">
        <v>1</v>
      </c>
      <c r="AN2582" t="n">
        <v>0</v>
      </c>
      <c r="AO2582" t="n">
        <v>0</v>
      </c>
      <c r="AP2582" t="inlineStr">
        <is>
          <t>No</t>
        </is>
      </c>
      <c r="AQ2582" t="inlineStr">
        <is>
          <t>No</t>
        </is>
      </c>
      <c r="AS2582">
        <f>HYPERLINK("https://creighton-primo.hosted.exlibrisgroup.com/primo-explore/search?tab=default_tab&amp;search_scope=EVERYTHING&amp;vid=01CRU&amp;lang=en_US&amp;offset=0&amp;query=any,contains,991005429789702656","Catalog Record")</f>
        <v/>
      </c>
      <c r="AT2582">
        <f>HYPERLINK("http://www.worldcat.org/oclc/40444028","WorldCat Record")</f>
        <v/>
      </c>
      <c r="AU2582" t="inlineStr">
        <is>
          <t>2776870:eng</t>
        </is>
      </c>
      <c r="AV2582" t="inlineStr">
        <is>
          <t>40444028</t>
        </is>
      </c>
      <c r="AW2582" t="inlineStr">
        <is>
          <t>991005429789702656</t>
        </is>
      </c>
      <c r="AX2582" t="inlineStr">
        <is>
          <t>991005429789702656</t>
        </is>
      </c>
      <c r="AY2582" t="inlineStr">
        <is>
          <t>2271369400002656</t>
        </is>
      </c>
      <c r="AZ2582" t="inlineStr">
        <is>
          <t>BOOK</t>
        </is>
      </c>
      <c r="BB2582" t="inlineStr">
        <is>
          <t>9780815327332</t>
        </is>
      </c>
      <c r="BC2582" t="inlineStr">
        <is>
          <t>32285003557625</t>
        </is>
      </c>
      <c r="BD2582" t="inlineStr">
        <is>
          <t>893437826</t>
        </is>
      </c>
    </row>
    <row r="2583">
      <c r="A2583" t="inlineStr">
        <is>
          <t>No</t>
        </is>
      </c>
      <c r="B2583" t="inlineStr">
        <is>
          <t>DS889 .H47313 1984</t>
        </is>
      </c>
      <c r="C2583" t="inlineStr">
        <is>
          <t>0                      DS 0889000H  47313       1984</t>
        </is>
      </c>
      <c r="D2583" t="inlineStr">
        <is>
          <t>The price of affluence : dilemmas of contemporary Japan / Rokurō Hidaka.</t>
        </is>
      </c>
      <c r="F2583" t="inlineStr">
        <is>
          <t>No</t>
        </is>
      </c>
      <c r="G2583" t="inlineStr">
        <is>
          <t>1</t>
        </is>
      </c>
      <c r="H2583" t="inlineStr">
        <is>
          <t>No</t>
        </is>
      </c>
      <c r="I2583" t="inlineStr">
        <is>
          <t>No</t>
        </is>
      </c>
      <c r="J2583" t="inlineStr">
        <is>
          <t>0</t>
        </is>
      </c>
      <c r="K2583" t="inlineStr">
        <is>
          <t>Hidaka, Rokurō, 1917-2018.</t>
        </is>
      </c>
      <c r="L2583" t="inlineStr">
        <is>
          <t>Tokyo ; New York : Kodansha International ; New York, N.Y. : Distributed in the U.S. by Kodansha International/USA through Harper &amp; Row, 1984.</t>
        </is>
      </c>
      <c r="M2583" t="inlineStr">
        <is>
          <t>1984</t>
        </is>
      </c>
      <c r="N2583" t="inlineStr">
        <is>
          <t>1st English ed.</t>
        </is>
      </c>
      <c r="O2583" t="inlineStr">
        <is>
          <t>eng</t>
        </is>
      </c>
      <c r="P2583" t="inlineStr">
        <is>
          <t xml:space="preserve">ja </t>
        </is>
      </c>
      <c r="R2583" t="inlineStr">
        <is>
          <t xml:space="preserve">DS </t>
        </is>
      </c>
      <c r="S2583" t="n">
        <v>4</v>
      </c>
      <c r="T2583" t="n">
        <v>4</v>
      </c>
      <c r="U2583" t="inlineStr">
        <is>
          <t>1993-11-18</t>
        </is>
      </c>
      <c r="V2583" t="inlineStr">
        <is>
          <t>1993-11-18</t>
        </is>
      </c>
      <c r="W2583" t="inlineStr">
        <is>
          <t>1990-04-26</t>
        </is>
      </c>
      <c r="X2583" t="inlineStr">
        <is>
          <t>1990-04-26</t>
        </is>
      </c>
      <c r="Y2583" t="n">
        <v>493</v>
      </c>
      <c r="Z2583" t="n">
        <v>397</v>
      </c>
      <c r="AA2583" t="n">
        <v>402</v>
      </c>
      <c r="AB2583" t="n">
        <v>4</v>
      </c>
      <c r="AC2583" t="n">
        <v>4</v>
      </c>
      <c r="AD2583" t="n">
        <v>23</v>
      </c>
      <c r="AE2583" t="n">
        <v>23</v>
      </c>
      <c r="AF2583" t="n">
        <v>9</v>
      </c>
      <c r="AG2583" t="n">
        <v>9</v>
      </c>
      <c r="AH2583" t="n">
        <v>5</v>
      </c>
      <c r="AI2583" t="n">
        <v>5</v>
      </c>
      <c r="AJ2583" t="n">
        <v>10</v>
      </c>
      <c r="AK2583" t="n">
        <v>10</v>
      </c>
      <c r="AL2583" t="n">
        <v>3</v>
      </c>
      <c r="AM2583" t="n">
        <v>3</v>
      </c>
      <c r="AN2583" t="n">
        <v>0</v>
      </c>
      <c r="AO2583" t="n">
        <v>0</v>
      </c>
      <c r="AP2583" t="inlineStr">
        <is>
          <t>No</t>
        </is>
      </c>
      <c r="AQ2583" t="inlineStr">
        <is>
          <t>Yes</t>
        </is>
      </c>
      <c r="AR2583">
        <f>HYPERLINK("http://catalog.hathitrust.org/Record/000288578","HathiTrust Record")</f>
        <v/>
      </c>
      <c r="AS2583">
        <f>HYPERLINK("https://creighton-primo.hosted.exlibrisgroup.com/primo-explore/search?tab=default_tab&amp;search_scope=EVERYTHING&amp;vid=01CRU&amp;lang=en_US&amp;offset=0&amp;query=any,contains,991000379229702656","Catalog Record")</f>
        <v/>
      </c>
      <c r="AT2583">
        <f>HYPERLINK("http://www.worldcat.org/oclc/10483852","WorldCat Record")</f>
        <v/>
      </c>
      <c r="AU2583" t="inlineStr">
        <is>
          <t>3364697:eng</t>
        </is>
      </c>
      <c r="AV2583" t="inlineStr">
        <is>
          <t>10483852</t>
        </is>
      </c>
      <c r="AW2583" t="inlineStr">
        <is>
          <t>991000379229702656</t>
        </is>
      </c>
      <c r="AX2583" t="inlineStr">
        <is>
          <t>991000379229702656</t>
        </is>
      </c>
      <c r="AY2583" t="inlineStr">
        <is>
          <t>2259934050002656</t>
        </is>
      </c>
      <c r="AZ2583" t="inlineStr">
        <is>
          <t>BOOK</t>
        </is>
      </c>
      <c r="BB2583" t="inlineStr">
        <is>
          <t>9780870116551</t>
        </is>
      </c>
      <c r="BC2583" t="inlineStr">
        <is>
          <t>32285000134055</t>
        </is>
      </c>
      <c r="BD2583" t="inlineStr">
        <is>
          <t>893255370</t>
        </is>
      </c>
    </row>
    <row r="2584">
      <c r="A2584" t="inlineStr">
        <is>
          <t>No</t>
        </is>
      </c>
      <c r="B2584" t="inlineStr">
        <is>
          <t>DS889 .K38</t>
        </is>
      </c>
      <c r="C2584" t="inlineStr">
        <is>
          <t>0                      DS 0889000K  38</t>
        </is>
      </c>
      <c r="D2584" t="inlineStr">
        <is>
          <t>Japan's American interlude / Kazuo Kawai.</t>
        </is>
      </c>
      <c r="F2584" t="inlineStr">
        <is>
          <t>No</t>
        </is>
      </c>
      <c r="G2584" t="inlineStr">
        <is>
          <t>1</t>
        </is>
      </c>
      <c r="H2584" t="inlineStr">
        <is>
          <t>No</t>
        </is>
      </c>
      <c r="I2584" t="inlineStr">
        <is>
          <t>No</t>
        </is>
      </c>
      <c r="J2584" t="inlineStr">
        <is>
          <t>0</t>
        </is>
      </c>
      <c r="K2584" t="inlineStr">
        <is>
          <t>Kawai, Kazuo, 1904-1963.</t>
        </is>
      </c>
      <c r="L2584" t="inlineStr">
        <is>
          <t>Chicago : University of Chicago Press, 1960.</t>
        </is>
      </c>
      <c r="M2584" t="inlineStr">
        <is>
          <t>1960</t>
        </is>
      </c>
      <c r="O2584" t="inlineStr">
        <is>
          <t>eng</t>
        </is>
      </c>
      <c r="P2584" t="inlineStr">
        <is>
          <t>ilu</t>
        </is>
      </c>
      <c r="R2584" t="inlineStr">
        <is>
          <t xml:space="preserve">DS </t>
        </is>
      </c>
      <c r="S2584" t="n">
        <v>8</v>
      </c>
      <c r="T2584" t="n">
        <v>8</v>
      </c>
      <c r="U2584" t="inlineStr">
        <is>
          <t>1997-06-25</t>
        </is>
      </c>
      <c r="V2584" t="inlineStr">
        <is>
          <t>1997-06-25</t>
        </is>
      </c>
      <c r="W2584" t="inlineStr">
        <is>
          <t>1994-12-03</t>
        </is>
      </c>
      <c r="X2584" t="inlineStr">
        <is>
          <t>1994-12-03</t>
        </is>
      </c>
      <c r="Y2584" t="n">
        <v>1070</v>
      </c>
      <c r="Z2584" t="n">
        <v>931</v>
      </c>
      <c r="AA2584" t="n">
        <v>971</v>
      </c>
      <c r="AB2584" t="n">
        <v>7</v>
      </c>
      <c r="AC2584" t="n">
        <v>7</v>
      </c>
      <c r="AD2584" t="n">
        <v>44</v>
      </c>
      <c r="AE2584" t="n">
        <v>45</v>
      </c>
      <c r="AF2584" t="n">
        <v>22</v>
      </c>
      <c r="AG2584" t="n">
        <v>23</v>
      </c>
      <c r="AH2584" t="n">
        <v>7</v>
      </c>
      <c r="AI2584" t="n">
        <v>7</v>
      </c>
      <c r="AJ2584" t="n">
        <v>20</v>
      </c>
      <c r="AK2584" t="n">
        <v>20</v>
      </c>
      <c r="AL2584" t="n">
        <v>5</v>
      </c>
      <c r="AM2584" t="n">
        <v>5</v>
      </c>
      <c r="AN2584" t="n">
        <v>1</v>
      </c>
      <c r="AO2584" t="n">
        <v>1</v>
      </c>
      <c r="AP2584" t="inlineStr">
        <is>
          <t>No</t>
        </is>
      </c>
      <c r="AQ2584" t="inlineStr">
        <is>
          <t>No</t>
        </is>
      </c>
      <c r="AS2584">
        <f>HYPERLINK("https://creighton-primo.hosted.exlibrisgroup.com/primo-explore/search?tab=default_tab&amp;search_scope=EVERYTHING&amp;vid=01CRU&amp;lang=en_US&amp;offset=0&amp;query=any,contains,991002720579702656","Catalog Record")</f>
        <v/>
      </c>
      <c r="AT2584">
        <f>HYPERLINK("http://www.worldcat.org/oclc/412545","WorldCat Record")</f>
        <v/>
      </c>
      <c r="AU2584" t="inlineStr">
        <is>
          <t>418652:eng</t>
        </is>
      </c>
      <c r="AV2584" t="inlineStr">
        <is>
          <t>412545</t>
        </is>
      </c>
      <c r="AW2584" t="inlineStr">
        <is>
          <t>991002720579702656</t>
        </is>
      </c>
      <c r="AX2584" t="inlineStr">
        <is>
          <t>991002720579702656</t>
        </is>
      </c>
      <c r="AY2584" t="inlineStr">
        <is>
          <t>2264544420002656</t>
        </is>
      </c>
      <c r="AZ2584" t="inlineStr">
        <is>
          <t>BOOK</t>
        </is>
      </c>
      <c r="BC2584" t="inlineStr">
        <is>
          <t>32285001980332</t>
        </is>
      </c>
      <c r="BD2584" t="inlineStr">
        <is>
          <t>893610200</t>
        </is>
      </c>
    </row>
    <row r="2585">
      <c r="A2585" t="inlineStr">
        <is>
          <t>No</t>
        </is>
      </c>
      <c r="B2585" t="inlineStr">
        <is>
          <t>DS889 .K6557</t>
        </is>
      </c>
      <c r="C2585" t="inlineStr">
        <is>
          <t>0                      DS 0889000K  6557</t>
        </is>
      </c>
      <c r="D2585" t="inlineStr">
        <is>
          <t>100 million Japanese; the postwar experience / Masataka Kosaka. Foreword by E. O. Reischauer.</t>
        </is>
      </c>
      <c r="F2585" t="inlineStr">
        <is>
          <t>No</t>
        </is>
      </c>
      <c r="G2585" t="inlineStr">
        <is>
          <t>1</t>
        </is>
      </c>
      <c r="H2585" t="inlineStr">
        <is>
          <t>No</t>
        </is>
      </c>
      <c r="I2585" t="inlineStr">
        <is>
          <t>No</t>
        </is>
      </c>
      <c r="J2585" t="inlineStr">
        <is>
          <t>0</t>
        </is>
      </c>
      <c r="K2585" t="inlineStr">
        <is>
          <t>Kōsaka, Masataka, 1934-1996.</t>
        </is>
      </c>
      <c r="L2585" t="inlineStr">
        <is>
          <t>Tokyo ; Palo Alto [Calif.] : Kodansha International, 1972.</t>
        </is>
      </c>
      <c r="M2585" t="inlineStr">
        <is>
          <t>1972</t>
        </is>
      </c>
      <c r="N2585" t="inlineStr">
        <is>
          <t>[1st ed.]</t>
        </is>
      </c>
      <c r="O2585" t="inlineStr">
        <is>
          <t>eng</t>
        </is>
      </c>
      <c r="P2585" t="inlineStr">
        <is>
          <t xml:space="preserve">ja </t>
        </is>
      </c>
      <c r="R2585" t="inlineStr">
        <is>
          <t xml:space="preserve">DS </t>
        </is>
      </c>
      <c r="S2585" t="n">
        <v>2</v>
      </c>
      <c r="T2585" t="n">
        <v>2</v>
      </c>
      <c r="U2585" t="inlineStr">
        <is>
          <t>1997-09-20</t>
        </is>
      </c>
      <c r="V2585" t="inlineStr">
        <is>
          <t>1997-09-20</t>
        </is>
      </c>
      <c r="W2585" t="inlineStr">
        <is>
          <t>1990-10-30</t>
        </is>
      </c>
      <c r="X2585" t="inlineStr">
        <is>
          <t>1990-10-30</t>
        </is>
      </c>
      <c r="Y2585" t="n">
        <v>460</v>
      </c>
      <c r="Z2585" t="n">
        <v>366</v>
      </c>
      <c r="AA2585" t="n">
        <v>385</v>
      </c>
      <c r="AB2585" t="n">
        <v>2</v>
      </c>
      <c r="AC2585" t="n">
        <v>2</v>
      </c>
      <c r="AD2585" t="n">
        <v>15</v>
      </c>
      <c r="AE2585" t="n">
        <v>15</v>
      </c>
      <c r="AF2585" t="n">
        <v>4</v>
      </c>
      <c r="AG2585" t="n">
        <v>4</v>
      </c>
      <c r="AH2585" t="n">
        <v>6</v>
      </c>
      <c r="AI2585" t="n">
        <v>6</v>
      </c>
      <c r="AJ2585" t="n">
        <v>9</v>
      </c>
      <c r="AK2585" t="n">
        <v>9</v>
      </c>
      <c r="AL2585" t="n">
        <v>1</v>
      </c>
      <c r="AM2585" t="n">
        <v>1</v>
      </c>
      <c r="AN2585" t="n">
        <v>0</v>
      </c>
      <c r="AO2585" t="n">
        <v>0</v>
      </c>
      <c r="AP2585" t="inlineStr">
        <is>
          <t>No</t>
        </is>
      </c>
      <c r="AQ2585" t="inlineStr">
        <is>
          <t>Yes</t>
        </is>
      </c>
      <c r="AR2585">
        <f>HYPERLINK("http://catalog.hathitrust.org/Record/000208410","HathiTrust Record")</f>
        <v/>
      </c>
      <c r="AS2585">
        <f>HYPERLINK("https://creighton-primo.hosted.exlibrisgroup.com/primo-explore/search?tab=default_tab&amp;search_scope=EVERYTHING&amp;vid=01CRU&amp;lang=en_US&amp;offset=0&amp;query=any,contains,991002900199702656","Catalog Record")</f>
        <v/>
      </c>
      <c r="AT2585">
        <f>HYPERLINK("http://www.worldcat.org/oclc/516389","WorldCat Record")</f>
        <v/>
      </c>
      <c r="AU2585" t="inlineStr">
        <is>
          <t>1498878:eng</t>
        </is>
      </c>
      <c r="AV2585" t="inlineStr">
        <is>
          <t>516389</t>
        </is>
      </c>
      <c r="AW2585" t="inlineStr">
        <is>
          <t>991002900199702656</t>
        </is>
      </c>
      <c r="AX2585" t="inlineStr">
        <is>
          <t>991002900199702656</t>
        </is>
      </c>
      <c r="AY2585" t="inlineStr">
        <is>
          <t>2256542230002656</t>
        </is>
      </c>
      <c r="AZ2585" t="inlineStr">
        <is>
          <t>BOOK</t>
        </is>
      </c>
      <c r="BB2585" t="inlineStr">
        <is>
          <t>9780870111822</t>
        </is>
      </c>
      <c r="BC2585" t="inlineStr">
        <is>
          <t>32285000370527</t>
        </is>
      </c>
      <c r="BD2585" t="inlineStr">
        <is>
          <t>893239644</t>
        </is>
      </c>
    </row>
    <row r="2586">
      <c r="A2586" t="inlineStr">
        <is>
          <t>No</t>
        </is>
      </c>
      <c r="B2586" t="inlineStr">
        <is>
          <t>DS889 .M3457413 1995</t>
        </is>
      </c>
      <c r="C2586" t="inlineStr">
        <is>
          <t>0                      DS 0889000M  3457413     1995</t>
        </is>
      </c>
      <c r="D2586" t="inlineStr">
        <is>
          <t>Contemporary politics in Japan / Masumi Junnosuke ; translated by Lonny E. Carlile.</t>
        </is>
      </c>
      <c r="F2586" t="inlineStr">
        <is>
          <t>No</t>
        </is>
      </c>
      <c r="G2586" t="inlineStr">
        <is>
          <t>1</t>
        </is>
      </c>
      <c r="H2586" t="inlineStr">
        <is>
          <t>No</t>
        </is>
      </c>
      <c r="I2586" t="inlineStr">
        <is>
          <t>No</t>
        </is>
      </c>
      <c r="J2586" t="inlineStr">
        <is>
          <t>0</t>
        </is>
      </c>
      <c r="K2586" t="inlineStr">
        <is>
          <t>Masumi, Junnosuke, 1926-2010.</t>
        </is>
      </c>
      <c r="L2586" t="inlineStr">
        <is>
          <t>Berkeley : University of California Press, c1995.</t>
        </is>
      </c>
      <c r="M2586" t="inlineStr">
        <is>
          <t>1995</t>
        </is>
      </c>
      <c r="O2586" t="inlineStr">
        <is>
          <t>eng</t>
        </is>
      </c>
      <c r="P2586" t="inlineStr">
        <is>
          <t>cau</t>
        </is>
      </c>
      <c r="R2586" t="inlineStr">
        <is>
          <t xml:space="preserve">DS </t>
        </is>
      </c>
      <c r="S2586" t="n">
        <v>6</v>
      </c>
      <c r="T2586" t="n">
        <v>6</v>
      </c>
      <c r="U2586" t="inlineStr">
        <is>
          <t>2000-05-01</t>
        </is>
      </c>
      <c r="V2586" t="inlineStr">
        <is>
          <t>2000-05-01</t>
        </is>
      </c>
      <c r="W2586" t="inlineStr">
        <is>
          <t>1996-06-25</t>
        </is>
      </c>
      <c r="X2586" t="inlineStr">
        <is>
          <t>1996-06-25</t>
        </is>
      </c>
      <c r="Y2586" t="n">
        <v>618</v>
      </c>
      <c r="Z2586" t="n">
        <v>500</v>
      </c>
      <c r="AA2586" t="n">
        <v>500</v>
      </c>
      <c r="AB2586" t="n">
        <v>5</v>
      </c>
      <c r="AC2586" t="n">
        <v>5</v>
      </c>
      <c r="AD2586" t="n">
        <v>32</v>
      </c>
      <c r="AE2586" t="n">
        <v>32</v>
      </c>
      <c r="AF2586" t="n">
        <v>15</v>
      </c>
      <c r="AG2586" t="n">
        <v>15</v>
      </c>
      <c r="AH2586" t="n">
        <v>7</v>
      </c>
      <c r="AI2586" t="n">
        <v>7</v>
      </c>
      <c r="AJ2586" t="n">
        <v>15</v>
      </c>
      <c r="AK2586" t="n">
        <v>15</v>
      </c>
      <c r="AL2586" t="n">
        <v>4</v>
      </c>
      <c r="AM2586" t="n">
        <v>4</v>
      </c>
      <c r="AN2586" t="n">
        <v>0</v>
      </c>
      <c r="AO2586" t="n">
        <v>0</v>
      </c>
      <c r="AP2586" t="inlineStr">
        <is>
          <t>No</t>
        </is>
      </c>
      <c r="AQ2586" t="inlineStr">
        <is>
          <t>No</t>
        </is>
      </c>
      <c r="AS2586">
        <f>HYPERLINK("https://creighton-primo.hosted.exlibrisgroup.com/primo-explore/search?tab=default_tab&amp;search_scope=EVERYTHING&amp;vid=01CRU&amp;lang=en_US&amp;offset=0&amp;query=any,contains,991002415949702656","Catalog Record")</f>
        <v/>
      </c>
      <c r="AT2586">
        <f>HYPERLINK("http://www.worldcat.org/oclc/31435277","WorldCat Record")</f>
        <v/>
      </c>
      <c r="AU2586" t="inlineStr">
        <is>
          <t>33660119:eng</t>
        </is>
      </c>
      <c r="AV2586" t="inlineStr">
        <is>
          <t>31435277</t>
        </is>
      </c>
      <c r="AW2586" t="inlineStr">
        <is>
          <t>991002415949702656</t>
        </is>
      </c>
      <c r="AX2586" t="inlineStr">
        <is>
          <t>991002415949702656</t>
        </is>
      </c>
      <c r="AY2586" t="inlineStr">
        <is>
          <t>2263191450002656</t>
        </is>
      </c>
      <c r="AZ2586" t="inlineStr">
        <is>
          <t>BOOK</t>
        </is>
      </c>
      <c r="BB2586" t="inlineStr">
        <is>
          <t>9780520058538</t>
        </is>
      </c>
      <c r="BC2586" t="inlineStr">
        <is>
          <t>32285002173309</t>
        </is>
      </c>
      <c r="BD2586" t="inlineStr">
        <is>
          <t>893792435</t>
        </is>
      </c>
    </row>
    <row r="2587">
      <c r="A2587" t="inlineStr">
        <is>
          <t>No</t>
        </is>
      </c>
      <c r="B2587" t="inlineStr">
        <is>
          <t>DS889 .P95 1992</t>
        </is>
      </c>
      <c r="C2587" t="inlineStr">
        <is>
          <t>0                      DS 0889000P  95          1992</t>
        </is>
      </c>
      <c r="D2587" t="inlineStr">
        <is>
          <t>The Japanese question : power and purpose in a new era / Kenneth B. Pyle.</t>
        </is>
      </c>
      <c r="F2587" t="inlineStr">
        <is>
          <t>No</t>
        </is>
      </c>
      <c r="G2587" t="inlineStr">
        <is>
          <t>1</t>
        </is>
      </c>
      <c r="H2587" t="inlineStr">
        <is>
          <t>No</t>
        </is>
      </c>
      <c r="I2587" t="inlineStr">
        <is>
          <t>No</t>
        </is>
      </c>
      <c r="J2587" t="inlineStr">
        <is>
          <t>0</t>
        </is>
      </c>
      <c r="K2587" t="inlineStr">
        <is>
          <t>Pyle, Kenneth B.</t>
        </is>
      </c>
      <c r="L2587" t="inlineStr">
        <is>
          <t>Washington, D.C. : AEI Press ; Lanham, Md. ; London, England : Distributed by National Book Network, 1992.</t>
        </is>
      </c>
      <c r="M2587" t="inlineStr">
        <is>
          <t>1992</t>
        </is>
      </c>
      <c r="O2587" t="inlineStr">
        <is>
          <t>eng</t>
        </is>
      </c>
      <c r="P2587" t="inlineStr">
        <is>
          <t>dcu</t>
        </is>
      </c>
      <c r="R2587" t="inlineStr">
        <is>
          <t xml:space="preserve">DS </t>
        </is>
      </c>
      <c r="S2587" t="n">
        <v>2</v>
      </c>
      <c r="T2587" t="n">
        <v>2</v>
      </c>
      <c r="U2587" t="inlineStr">
        <is>
          <t>2003-02-26</t>
        </is>
      </c>
      <c r="V2587" t="inlineStr">
        <is>
          <t>2003-02-26</t>
        </is>
      </c>
      <c r="W2587" t="inlineStr">
        <is>
          <t>2003-02-26</t>
        </is>
      </c>
      <c r="X2587" t="inlineStr">
        <is>
          <t>2003-02-26</t>
        </is>
      </c>
      <c r="Y2587" t="n">
        <v>554</v>
      </c>
      <c r="Z2587" t="n">
        <v>465</v>
      </c>
      <c r="AA2587" t="n">
        <v>544</v>
      </c>
      <c r="AB2587" t="n">
        <v>5</v>
      </c>
      <c r="AC2587" t="n">
        <v>5</v>
      </c>
      <c r="AD2587" t="n">
        <v>29</v>
      </c>
      <c r="AE2587" t="n">
        <v>33</v>
      </c>
      <c r="AF2587" t="n">
        <v>9</v>
      </c>
      <c r="AG2587" t="n">
        <v>12</v>
      </c>
      <c r="AH2587" t="n">
        <v>8</v>
      </c>
      <c r="AI2587" t="n">
        <v>8</v>
      </c>
      <c r="AJ2587" t="n">
        <v>15</v>
      </c>
      <c r="AK2587" t="n">
        <v>16</v>
      </c>
      <c r="AL2587" t="n">
        <v>4</v>
      </c>
      <c r="AM2587" t="n">
        <v>4</v>
      </c>
      <c r="AN2587" t="n">
        <v>2</v>
      </c>
      <c r="AO2587" t="n">
        <v>3</v>
      </c>
      <c r="AP2587" t="inlineStr">
        <is>
          <t>No</t>
        </is>
      </c>
      <c r="AQ2587" t="inlineStr">
        <is>
          <t>Yes</t>
        </is>
      </c>
      <c r="AR2587">
        <f>HYPERLINK("http://catalog.hathitrust.org/Record/002563869","HathiTrust Record")</f>
        <v/>
      </c>
      <c r="AS2587">
        <f>HYPERLINK("https://creighton-primo.hosted.exlibrisgroup.com/primo-explore/search?tab=default_tab&amp;search_scope=EVERYTHING&amp;vid=01CRU&amp;lang=en_US&amp;offset=0&amp;query=any,contains,991003997749702656","Catalog Record")</f>
        <v/>
      </c>
      <c r="AT2587">
        <f>HYPERLINK("http://www.worldcat.org/oclc/25165111","WorldCat Record")</f>
        <v/>
      </c>
      <c r="AU2587" t="inlineStr">
        <is>
          <t>20554823:eng</t>
        </is>
      </c>
      <c r="AV2587" t="inlineStr">
        <is>
          <t>25165111</t>
        </is>
      </c>
      <c r="AW2587" t="inlineStr">
        <is>
          <t>991003997749702656</t>
        </is>
      </c>
      <c r="AX2587" t="inlineStr">
        <is>
          <t>991003997749702656</t>
        </is>
      </c>
      <c r="AY2587" t="inlineStr">
        <is>
          <t>2257072200002656</t>
        </is>
      </c>
      <c r="AZ2587" t="inlineStr">
        <is>
          <t>BOOK</t>
        </is>
      </c>
      <c r="BB2587" t="inlineStr">
        <is>
          <t>9780844737980</t>
        </is>
      </c>
      <c r="BC2587" t="inlineStr">
        <is>
          <t>32285004680962</t>
        </is>
      </c>
      <c r="BD2587" t="inlineStr">
        <is>
          <t>893705885</t>
        </is>
      </c>
    </row>
    <row r="2588">
      <c r="A2588" t="inlineStr">
        <is>
          <t>No</t>
        </is>
      </c>
      <c r="B2588" t="inlineStr">
        <is>
          <t>DS889 .Y583 1962</t>
        </is>
      </c>
      <c r="C2588" t="inlineStr">
        <is>
          <t>0                      DS 0889000Y  583         1962</t>
        </is>
      </c>
      <c r="D2588" t="inlineStr">
        <is>
          <t>The Yoshida memoirs : the story of Japan in crisis / translated by Kenichi Yoshida.</t>
        </is>
      </c>
      <c r="F2588" t="inlineStr">
        <is>
          <t>No</t>
        </is>
      </c>
      <c r="G2588" t="inlineStr">
        <is>
          <t>1</t>
        </is>
      </c>
      <c r="H2588" t="inlineStr">
        <is>
          <t>No</t>
        </is>
      </c>
      <c r="I2588" t="inlineStr">
        <is>
          <t>No</t>
        </is>
      </c>
      <c r="J2588" t="inlineStr">
        <is>
          <t>0</t>
        </is>
      </c>
      <c r="K2588" t="inlineStr">
        <is>
          <t>Yoshida, Shigeru, 1878-1967.</t>
        </is>
      </c>
      <c r="L2588" t="inlineStr">
        <is>
          <t>Boston : Houghton Mifflin, 1962 [c1961]</t>
        </is>
      </c>
      <c r="M2588" t="inlineStr">
        <is>
          <t>1962</t>
        </is>
      </c>
      <c r="N2588" t="inlineStr">
        <is>
          <t>[1st American ed.]</t>
        </is>
      </c>
      <c r="O2588" t="inlineStr">
        <is>
          <t>eng</t>
        </is>
      </c>
      <c r="P2588" t="inlineStr">
        <is>
          <t>mau</t>
        </is>
      </c>
      <c r="R2588" t="inlineStr">
        <is>
          <t xml:space="preserve">DS </t>
        </is>
      </c>
      <c r="S2588" t="n">
        <v>4</v>
      </c>
      <c r="T2588" t="n">
        <v>4</v>
      </c>
      <c r="U2588" t="inlineStr">
        <is>
          <t>1997-06-25</t>
        </is>
      </c>
      <c r="V2588" t="inlineStr">
        <is>
          <t>1997-06-25</t>
        </is>
      </c>
      <c r="W2588" t="inlineStr">
        <is>
          <t>1993-01-08</t>
        </is>
      </c>
      <c r="X2588" t="inlineStr">
        <is>
          <t>1993-01-08</t>
        </is>
      </c>
      <c r="Y2588" t="n">
        <v>605</v>
      </c>
      <c r="Z2588" t="n">
        <v>581</v>
      </c>
      <c r="AA2588" t="n">
        <v>727</v>
      </c>
      <c r="AB2588" t="n">
        <v>7</v>
      </c>
      <c r="AC2588" t="n">
        <v>7</v>
      </c>
      <c r="AD2588" t="n">
        <v>24</v>
      </c>
      <c r="AE2588" t="n">
        <v>33</v>
      </c>
      <c r="AF2588" t="n">
        <v>7</v>
      </c>
      <c r="AG2588" t="n">
        <v>11</v>
      </c>
      <c r="AH2588" t="n">
        <v>4</v>
      </c>
      <c r="AI2588" t="n">
        <v>8</v>
      </c>
      <c r="AJ2588" t="n">
        <v>13</v>
      </c>
      <c r="AK2588" t="n">
        <v>18</v>
      </c>
      <c r="AL2588" t="n">
        <v>5</v>
      </c>
      <c r="AM2588" t="n">
        <v>5</v>
      </c>
      <c r="AN2588" t="n">
        <v>0</v>
      </c>
      <c r="AO2588" t="n">
        <v>0</v>
      </c>
      <c r="AP2588" t="inlineStr">
        <is>
          <t>No</t>
        </is>
      </c>
      <c r="AQ2588" t="inlineStr">
        <is>
          <t>Yes</t>
        </is>
      </c>
      <c r="AR2588">
        <f>HYPERLINK("http://catalog.hathitrust.org/Record/001606536","HathiTrust Record")</f>
        <v/>
      </c>
      <c r="AS2588">
        <f>HYPERLINK("https://creighton-primo.hosted.exlibrisgroup.com/primo-explore/search?tab=default_tab&amp;search_scope=EVERYTHING&amp;vid=01CRU&amp;lang=en_US&amp;offset=0&amp;query=any,contains,991003567569702656","Catalog Record")</f>
        <v/>
      </c>
      <c r="AT2588">
        <f>HYPERLINK("http://www.worldcat.org/oclc/1141242","WorldCat Record")</f>
        <v/>
      </c>
      <c r="AU2588" t="inlineStr">
        <is>
          <t>4920661828:eng</t>
        </is>
      </c>
      <c r="AV2588" t="inlineStr">
        <is>
          <t>1141242</t>
        </is>
      </c>
      <c r="AW2588" t="inlineStr">
        <is>
          <t>991003567569702656</t>
        </is>
      </c>
      <c r="AX2588" t="inlineStr">
        <is>
          <t>991003567569702656</t>
        </is>
      </c>
      <c r="AY2588" t="inlineStr">
        <is>
          <t>2264952220002656</t>
        </is>
      </c>
      <c r="AZ2588" t="inlineStr">
        <is>
          <t>BOOK</t>
        </is>
      </c>
      <c r="BC2588" t="inlineStr">
        <is>
          <t>32285001474328</t>
        </is>
      </c>
      <c r="BD2588" t="inlineStr">
        <is>
          <t>893893859</t>
        </is>
      </c>
    </row>
    <row r="2589">
      <c r="A2589" t="inlineStr">
        <is>
          <t>No</t>
        </is>
      </c>
      <c r="B2589" t="inlineStr">
        <is>
          <t>DS889.15 .D42</t>
        </is>
      </c>
      <c r="C2589" t="inlineStr">
        <is>
          <t>0                      DS 0889150D  42</t>
        </is>
      </c>
      <c r="D2589" t="inlineStr">
        <is>
          <t>Return of the black ships / by Benton Weaver Decker and Edwina Naylor Decker.</t>
        </is>
      </c>
      <c r="F2589" t="inlineStr">
        <is>
          <t>No</t>
        </is>
      </c>
      <c r="G2589" t="inlineStr">
        <is>
          <t>1</t>
        </is>
      </c>
      <c r="H2589" t="inlineStr">
        <is>
          <t>No</t>
        </is>
      </c>
      <c r="I2589" t="inlineStr">
        <is>
          <t>No</t>
        </is>
      </c>
      <c r="J2589" t="inlineStr">
        <is>
          <t>0</t>
        </is>
      </c>
      <c r="K2589" t="inlineStr">
        <is>
          <t>Decker, Benton Weaver, 1899-</t>
        </is>
      </c>
      <c r="L2589" t="inlineStr">
        <is>
          <t>New York : Vantage Press, c1978.</t>
        </is>
      </c>
      <c r="M2589" t="inlineStr">
        <is>
          <t>1978</t>
        </is>
      </c>
      <c r="N2589" t="inlineStr">
        <is>
          <t>1st ed.</t>
        </is>
      </c>
      <c r="O2589" t="inlineStr">
        <is>
          <t>eng</t>
        </is>
      </c>
      <c r="P2589" t="inlineStr">
        <is>
          <t>nyu</t>
        </is>
      </c>
      <c r="R2589" t="inlineStr">
        <is>
          <t xml:space="preserve">DS </t>
        </is>
      </c>
      <c r="S2589" t="n">
        <v>7</v>
      </c>
      <c r="T2589" t="n">
        <v>7</v>
      </c>
      <c r="U2589" t="inlineStr">
        <is>
          <t>2007-06-04</t>
        </is>
      </c>
      <c r="V2589" t="inlineStr">
        <is>
          <t>2007-06-04</t>
        </is>
      </c>
      <c r="W2589" t="inlineStr">
        <is>
          <t>1990-11-01</t>
        </is>
      </c>
      <c r="X2589" t="inlineStr">
        <is>
          <t>1990-11-01</t>
        </is>
      </c>
      <c r="Y2589" t="n">
        <v>35</v>
      </c>
      <c r="Z2589" t="n">
        <v>28</v>
      </c>
      <c r="AA2589" t="n">
        <v>29</v>
      </c>
      <c r="AB2589" t="n">
        <v>1</v>
      </c>
      <c r="AC2589" t="n">
        <v>1</v>
      </c>
      <c r="AD2589" t="n">
        <v>0</v>
      </c>
      <c r="AE2589" t="n">
        <v>0</v>
      </c>
      <c r="AF2589" t="n">
        <v>0</v>
      </c>
      <c r="AG2589" t="n">
        <v>0</v>
      </c>
      <c r="AH2589" t="n">
        <v>0</v>
      </c>
      <c r="AI2589" t="n">
        <v>0</v>
      </c>
      <c r="AJ2589" t="n">
        <v>0</v>
      </c>
      <c r="AK2589" t="n">
        <v>0</v>
      </c>
      <c r="AL2589" t="n">
        <v>0</v>
      </c>
      <c r="AM2589" t="n">
        <v>0</v>
      </c>
      <c r="AN2589" t="n">
        <v>0</v>
      </c>
      <c r="AO2589" t="n">
        <v>0</v>
      </c>
      <c r="AP2589" t="inlineStr">
        <is>
          <t>No</t>
        </is>
      </c>
      <c r="AQ2589" t="inlineStr">
        <is>
          <t>No</t>
        </is>
      </c>
      <c r="AS2589">
        <f>HYPERLINK("https://creighton-primo.hosted.exlibrisgroup.com/primo-explore/search?tab=default_tab&amp;search_scope=EVERYTHING&amp;vid=01CRU&amp;lang=en_US&amp;offset=0&amp;query=any,contains,991004774469702656","Catalog Record")</f>
        <v/>
      </c>
      <c r="AT2589">
        <f>HYPERLINK("http://www.worldcat.org/oclc/5100357","WorldCat Record")</f>
        <v/>
      </c>
      <c r="AU2589" t="inlineStr">
        <is>
          <t>4495046566:eng</t>
        </is>
      </c>
      <c r="AV2589" t="inlineStr">
        <is>
          <t>5100357</t>
        </is>
      </c>
      <c r="AW2589" t="inlineStr">
        <is>
          <t>991004774469702656</t>
        </is>
      </c>
      <c r="AX2589" t="inlineStr">
        <is>
          <t>991004774469702656</t>
        </is>
      </c>
      <c r="AY2589" t="inlineStr">
        <is>
          <t>2256410150002656</t>
        </is>
      </c>
      <c r="AZ2589" t="inlineStr">
        <is>
          <t>BOOK</t>
        </is>
      </c>
      <c r="BB2589" t="inlineStr">
        <is>
          <t>9780533033683</t>
        </is>
      </c>
      <c r="BC2589" t="inlineStr">
        <is>
          <t>32285000370618</t>
        </is>
      </c>
      <c r="BD2589" t="inlineStr">
        <is>
          <t>893795264</t>
        </is>
      </c>
    </row>
    <row r="2590">
      <c r="A2590" t="inlineStr">
        <is>
          <t>No</t>
        </is>
      </c>
      <c r="B2590" t="inlineStr">
        <is>
          <t>DS889.15 .F54 1993</t>
        </is>
      </c>
      <c r="C2590" t="inlineStr">
        <is>
          <t>0                      DS 0889150F  54          1993</t>
        </is>
      </c>
      <c r="D2590" t="inlineStr">
        <is>
          <t>In the realm of a dying emperor / Norma Field.</t>
        </is>
      </c>
      <c r="F2590" t="inlineStr">
        <is>
          <t>No</t>
        </is>
      </c>
      <c r="G2590" t="inlineStr">
        <is>
          <t>1</t>
        </is>
      </c>
      <c r="H2590" t="inlineStr">
        <is>
          <t>No</t>
        </is>
      </c>
      <c r="I2590" t="inlineStr">
        <is>
          <t>No</t>
        </is>
      </c>
      <c r="J2590" t="inlineStr">
        <is>
          <t>0</t>
        </is>
      </c>
      <c r="K2590" t="inlineStr">
        <is>
          <t>Field, Norma, 1947-</t>
        </is>
      </c>
      <c r="L2590" t="inlineStr">
        <is>
          <t>New York : Vintage Books, 1993.</t>
        </is>
      </c>
      <c r="M2590" t="inlineStr">
        <is>
          <t>1993</t>
        </is>
      </c>
      <c r="N2590" t="inlineStr">
        <is>
          <t>1st Vintage Books ed.</t>
        </is>
      </c>
      <c r="O2590" t="inlineStr">
        <is>
          <t>eng</t>
        </is>
      </c>
      <c r="P2590" t="inlineStr">
        <is>
          <t>nyu</t>
        </is>
      </c>
      <c r="R2590" t="inlineStr">
        <is>
          <t xml:space="preserve">DS </t>
        </is>
      </c>
      <c r="S2590" t="n">
        <v>9</v>
      </c>
      <c r="T2590" t="n">
        <v>9</v>
      </c>
      <c r="U2590" t="inlineStr">
        <is>
          <t>1999-04-29</t>
        </is>
      </c>
      <c r="V2590" t="inlineStr">
        <is>
          <t>1999-04-29</t>
        </is>
      </c>
      <c r="W2590" t="inlineStr">
        <is>
          <t>1998-12-01</t>
        </is>
      </c>
      <c r="X2590" t="inlineStr">
        <is>
          <t>1998-12-01</t>
        </is>
      </c>
      <c r="Y2590" t="n">
        <v>314</v>
      </c>
      <c r="Z2590" t="n">
        <v>231</v>
      </c>
      <c r="AA2590" t="n">
        <v>739</v>
      </c>
      <c r="AB2590" t="n">
        <v>3</v>
      </c>
      <c r="AC2590" t="n">
        <v>3</v>
      </c>
      <c r="AD2590" t="n">
        <v>10</v>
      </c>
      <c r="AE2590" t="n">
        <v>27</v>
      </c>
      <c r="AF2590" t="n">
        <v>5</v>
      </c>
      <c r="AG2590" t="n">
        <v>11</v>
      </c>
      <c r="AH2590" t="n">
        <v>3</v>
      </c>
      <c r="AI2590" t="n">
        <v>9</v>
      </c>
      <c r="AJ2590" t="n">
        <v>4</v>
      </c>
      <c r="AK2590" t="n">
        <v>13</v>
      </c>
      <c r="AL2590" t="n">
        <v>2</v>
      </c>
      <c r="AM2590" t="n">
        <v>2</v>
      </c>
      <c r="AN2590" t="n">
        <v>0</v>
      </c>
      <c r="AO2590" t="n">
        <v>0</v>
      </c>
      <c r="AP2590" t="inlineStr">
        <is>
          <t>No</t>
        </is>
      </c>
      <c r="AQ2590" t="inlineStr">
        <is>
          <t>No</t>
        </is>
      </c>
      <c r="AS2590">
        <f>HYPERLINK("https://creighton-primo.hosted.exlibrisgroup.com/primo-explore/search?tab=default_tab&amp;search_scope=EVERYTHING&amp;vid=01CRU&amp;lang=en_US&amp;offset=0&amp;query=any,contains,991002071699702656","Catalog Record")</f>
        <v/>
      </c>
      <c r="AT2590">
        <f>HYPERLINK("http://www.worldcat.org/oclc/26546516","WorldCat Record")</f>
        <v/>
      </c>
      <c r="AU2590" t="inlineStr">
        <is>
          <t>14460599:eng</t>
        </is>
      </c>
      <c r="AV2590" t="inlineStr">
        <is>
          <t>26546516</t>
        </is>
      </c>
      <c r="AW2590" t="inlineStr">
        <is>
          <t>991002071699702656</t>
        </is>
      </c>
      <c r="AX2590" t="inlineStr">
        <is>
          <t>991002071699702656</t>
        </is>
      </c>
      <c r="AY2590" t="inlineStr">
        <is>
          <t>2259654780002656</t>
        </is>
      </c>
      <c r="AZ2590" t="inlineStr">
        <is>
          <t>BOOK</t>
        </is>
      </c>
      <c r="BB2590" t="inlineStr">
        <is>
          <t>9780679741893</t>
        </is>
      </c>
      <c r="BC2590" t="inlineStr">
        <is>
          <t>32285003492369</t>
        </is>
      </c>
      <c r="BD2590" t="inlineStr">
        <is>
          <t>893328657</t>
        </is>
      </c>
    </row>
    <row r="2591">
      <c r="A2591" t="inlineStr">
        <is>
          <t>No</t>
        </is>
      </c>
      <c r="B2591" t="inlineStr">
        <is>
          <t>DS889.15 .W54 1978</t>
        </is>
      </c>
      <c r="C2591" t="inlineStr">
        <is>
          <t>0                      DS 0889150W  54          1978</t>
        </is>
      </c>
      <c r="D2591" t="inlineStr">
        <is>
          <t>Typhoon in Tokyo : the occupation and its aftermath / Harry Emerson Wildes.</t>
        </is>
      </c>
      <c r="F2591" t="inlineStr">
        <is>
          <t>No</t>
        </is>
      </c>
      <c r="G2591" t="inlineStr">
        <is>
          <t>1</t>
        </is>
      </c>
      <c r="H2591" t="inlineStr">
        <is>
          <t>No</t>
        </is>
      </c>
      <c r="I2591" t="inlineStr">
        <is>
          <t>No</t>
        </is>
      </c>
      <c r="J2591" t="inlineStr">
        <is>
          <t>0</t>
        </is>
      </c>
      <c r="K2591" t="inlineStr">
        <is>
          <t>Wildes, Harry Emerson, 1890-1982.</t>
        </is>
      </c>
      <c r="L2591" t="inlineStr">
        <is>
          <t>New York : Octagon Books, 1978, c1954.</t>
        </is>
      </c>
      <c r="M2591" t="inlineStr">
        <is>
          <t>1978</t>
        </is>
      </c>
      <c r="O2591" t="inlineStr">
        <is>
          <t>eng</t>
        </is>
      </c>
      <c r="P2591" t="inlineStr">
        <is>
          <t>nyu</t>
        </is>
      </c>
      <c r="R2591" t="inlineStr">
        <is>
          <t xml:space="preserve">DS </t>
        </is>
      </c>
      <c r="S2591" t="n">
        <v>9</v>
      </c>
      <c r="T2591" t="n">
        <v>9</v>
      </c>
      <c r="U2591" t="inlineStr">
        <is>
          <t>2007-04-17</t>
        </is>
      </c>
      <c r="V2591" t="inlineStr">
        <is>
          <t>2007-04-17</t>
        </is>
      </c>
      <c r="W2591" t="inlineStr">
        <is>
          <t>1990-11-01</t>
        </is>
      </c>
      <c r="X2591" t="inlineStr">
        <is>
          <t>1990-11-01</t>
        </is>
      </c>
      <c r="Y2591" t="n">
        <v>95</v>
      </c>
      <c r="Z2591" t="n">
        <v>80</v>
      </c>
      <c r="AA2591" t="n">
        <v>481</v>
      </c>
      <c r="AB2591" t="n">
        <v>1</v>
      </c>
      <c r="AC2591" t="n">
        <v>3</v>
      </c>
      <c r="AD2591" t="n">
        <v>3</v>
      </c>
      <c r="AE2591" t="n">
        <v>18</v>
      </c>
      <c r="AF2591" t="n">
        <v>1</v>
      </c>
      <c r="AG2591" t="n">
        <v>7</v>
      </c>
      <c r="AH2591" t="n">
        <v>1</v>
      </c>
      <c r="AI2591" t="n">
        <v>4</v>
      </c>
      <c r="AJ2591" t="n">
        <v>2</v>
      </c>
      <c r="AK2591" t="n">
        <v>11</v>
      </c>
      <c r="AL2591" t="n">
        <v>0</v>
      </c>
      <c r="AM2591" t="n">
        <v>2</v>
      </c>
      <c r="AN2591" t="n">
        <v>0</v>
      </c>
      <c r="AO2591" t="n">
        <v>0</v>
      </c>
      <c r="AP2591" t="inlineStr">
        <is>
          <t>No</t>
        </is>
      </c>
      <c r="AQ2591" t="inlineStr">
        <is>
          <t>Yes</t>
        </is>
      </c>
      <c r="AR2591">
        <f>HYPERLINK("http://catalog.hathitrust.org/Record/004383166","HathiTrust Record")</f>
        <v/>
      </c>
      <c r="AS2591">
        <f>HYPERLINK("https://creighton-primo.hosted.exlibrisgroup.com/primo-explore/search?tab=default_tab&amp;search_scope=EVERYTHING&amp;vid=01CRU&amp;lang=en_US&amp;offset=0&amp;query=any,contains,991004564249702656","Catalog Record")</f>
        <v/>
      </c>
      <c r="AT2591">
        <f>HYPERLINK("http://www.worldcat.org/oclc/4004123","WorldCat Record")</f>
        <v/>
      </c>
      <c r="AU2591" t="inlineStr">
        <is>
          <t>376994261:eng</t>
        </is>
      </c>
      <c r="AV2591" t="inlineStr">
        <is>
          <t>4004123</t>
        </is>
      </c>
      <c r="AW2591" t="inlineStr">
        <is>
          <t>991004564249702656</t>
        </is>
      </c>
      <c r="AX2591" t="inlineStr">
        <is>
          <t>991004564249702656</t>
        </is>
      </c>
      <c r="AY2591" t="inlineStr">
        <is>
          <t>2265219980002656</t>
        </is>
      </c>
      <c r="AZ2591" t="inlineStr">
        <is>
          <t>BOOK</t>
        </is>
      </c>
      <c r="BB2591" t="inlineStr">
        <is>
          <t>9780374985721</t>
        </is>
      </c>
      <c r="BC2591" t="inlineStr">
        <is>
          <t>32285000370634</t>
        </is>
      </c>
      <c r="BD2591" t="inlineStr">
        <is>
          <t>893319396</t>
        </is>
      </c>
    </row>
    <row r="2592">
      <c r="A2592" t="inlineStr">
        <is>
          <t>No</t>
        </is>
      </c>
      <c r="B2592" t="inlineStr">
        <is>
          <t>DS889.16 .T35 2002</t>
        </is>
      </c>
      <c r="C2592" t="inlineStr">
        <is>
          <t>0                      DS 0889160T  35          2002</t>
        </is>
      </c>
      <c r="D2592" t="inlineStr">
        <is>
          <t>Inside GHQ : the Allied occupation of Japan and its legacy / by Eiji Takemae ; translated and adapted from the Japanese by Robert Ricketts and Sebastian Swann.</t>
        </is>
      </c>
      <c r="F2592" t="inlineStr">
        <is>
          <t>No</t>
        </is>
      </c>
      <c r="G2592" t="inlineStr">
        <is>
          <t>1</t>
        </is>
      </c>
      <c r="H2592" t="inlineStr">
        <is>
          <t>No</t>
        </is>
      </c>
      <c r="I2592" t="inlineStr">
        <is>
          <t>No</t>
        </is>
      </c>
      <c r="J2592" t="inlineStr">
        <is>
          <t>0</t>
        </is>
      </c>
      <c r="K2592" t="inlineStr">
        <is>
          <t>Takemae, Eiji, 1930-2015.</t>
        </is>
      </c>
      <c r="L2592" t="inlineStr">
        <is>
          <t>New York : Continuum, 2002.</t>
        </is>
      </c>
      <c r="M2592" t="inlineStr">
        <is>
          <t>2002</t>
        </is>
      </c>
      <c r="O2592" t="inlineStr">
        <is>
          <t>eng</t>
        </is>
      </c>
      <c r="P2592" t="inlineStr">
        <is>
          <t>nyu</t>
        </is>
      </c>
      <c r="R2592" t="inlineStr">
        <is>
          <t xml:space="preserve">DS </t>
        </is>
      </c>
      <c r="S2592" t="n">
        <v>6</v>
      </c>
      <c r="T2592" t="n">
        <v>6</v>
      </c>
      <c r="U2592" t="inlineStr">
        <is>
          <t>2009-02-18</t>
        </is>
      </c>
      <c r="V2592" t="inlineStr">
        <is>
          <t>2009-02-18</t>
        </is>
      </c>
      <c r="W2592" t="inlineStr">
        <is>
          <t>2002-07-15</t>
        </is>
      </c>
      <c r="X2592" t="inlineStr">
        <is>
          <t>2002-07-15</t>
        </is>
      </c>
      <c r="Y2592" t="n">
        <v>641</v>
      </c>
      <c r="Z2592" t="n">
        <v>577</v>
      </c>
      <c r="AA2592" t="n">
        <v>586</v>
      </c>
      <c r="AB2592" t="n">
        <v>3</v>
      </c>
      <c r="AC2592" t="n">
        <v>3</v>
      </c>
      <c r="AD2592" t="n">
        <v>21</v>
      </c>
      <c r="AE2592" t="n">
        <v>21</v>
      </c>
      <c r="AF2592" t="n">
        <v>9</v>
      </c>
      <c r="AG2592" t="n">
        <v>9</v>
      </c>
      <c r="AH2592" t="n">
        <v>5</v>
      </c>
      <c r="AI2592" t="n">
        <v>5</v>
      </c>
      <c r="AJ2592" t="n">
        <v>11</v>
      </c>
      <c r="AK2592" t="n">
        <v>11</v>
      </c>
      <c r="AL2592" t="n">
        <v>2</v>
      </c>
      <c r="AM2592" t="n">
        <v>2</v>
      </c>
      <c r="AN2592" t="n">
        <v>0</v>
      </c>
      <c r="AO2592" t="n">
        <v>0</v>
      </c>
      <c r="AP2592" t="inlineStr">
        <is>
          <t>No</t>
        </is>
      </c>
      <c r="AQ2592" t="inlineStr">
        <is>
          <t>Yes</t>
        </is>
      </c>
      <c r="AR2592">
        <f>HYPERLINK("http://catalog.hathitrust.org/Record/004255528","HathiTrust Record")</f>
        <v/>
      </c>
      <c r="AS2592">
        <f>HYPERLINK("https://creighton-primo.hosted.exlibrisgroup.com/primo-explore/search?tab=default_tab&amp;search_scope=EVERYTHING&amp;vid=01CRU&amp;lang=en_US&amp;offset=0&amp;query=any,contains,991003825749702656","Catalog Record")</f>
        <v/>
      </c>
      <c r="AT2592">
        <f>HYPERLINK("http://www.worldcat.org/oclc/45583413","WorldCat Record")</f>
        <v/>
      </c>
      <c r="AU2592" t="inlineStr">
        <is>
          <t>1024475:eng</t>
        </is>
      </c>
      <c r="AV2592" t="inlineStr">
        <is>
          <t>45583413</t>
        </is>
      </c>
      <c r="AW2592" t="inlineStr">
        <is>
          <t>991003825749702656</t>
        </is>
      </c>
      <c r="AX2592" t="inlineStr">
        <is>
          <t>991003825749702656</t>
        </is>
      </c>
      <c r="AY2592" t="inlineStr">
        <is>
          <t>2266064900002656</t>
        </is>
      </c>
      <c r="AZ2592" t="inlineStr">
        <is>
          <t>BOOK</t>
        </is>
      </c>
      <c r="BB2592" t="inlineStr">
        <is>
          <t>9780485113143</t>
        </is>
      </c>
      <c r="BC2592" t="inlineStr">
        <is>
          <t>32285004497920</t>
        </is>
      </c>
      <c r="BD2592" t="inlineStr">
        <is>
          <t>893416839</t>
        </is>
      </c>
    </row>
    <row r="2593">
      <c r="A2593" t="inlineStr">
        <is>
          <t>No</t>
        </is>
      </c>
      <c r="B2593" t="inlineStr">
        <is>
          <t>DS889.8 .B44 1989</t>
        </is>
      </c>
      <c r="C2593" t="inlineStr">
        <is>
          <t>0                      DS 0889800B  44          1989</t>
        </is>
      </c>
      <c r="D2593" t="inlineStr">
        <is>
          <t>Hirohito : behind the myth / Edward Behr.</t>
        </is>
      </c>
      <c r="F2593" t="inlineStr">
        <is>
          <t>No</t>
        </is>
      </c>
      <c r="G2593" t="inlineStr">
        <is>
          <t>1</t>
        </is>
      </c>
      <c r="H2593" t="inlineStr">
        <is>
          <t>No</t>
        </is>
      </c>
      <c r="I2593" t="inlineStr">
        <is>
          <t>No</t>
        </is>
      </c>
      <c r="J2593" t="inlineStr">
        <is>
          <t>0</t>
        </is>
      </c>
      <c r="K2593" t="inlineStr">
        <is>
          <t>Behr, Edward, 1926-2007.</t>
        </is>
      </c>
      <c r="L2593" t="inlineStr">
        <is>
          <t>New York : Villard Books, 1989.</t>
        </is>
      </c>
      <c r="M2593" t="inlineStr">
        <is>
          <t>1989</t>
        </is>
      </c>
      <c r="N2593" t="inlineStr">
        <is>
          <t>1st American ed.</t>
        </is>
      </c>
      <c r="O2593" t="inlineStr">
        <is>
          <t>eng</t>
        </is>
      </c>
      <c r="P2593" t="inlineStr">
        <is>
          <t>nyu</t>
        </is>
      </c>
      <c r="R2593" t="inlineStr">
        <is>
          <t xml:space="preserve">DS </t>
        </is>
      </c>
      <c r="S2593" t="n">
        <v>6</v>
      </c>
      <c r="T2593" t="n">
        <v>6</v>
      </c>
      <c r="U2593" t="inlineStr">
        <is>
          <t>2010-09-22</t>
        </is>
      </c>
      <c r="V2593" t="inlineStr">
        <is>
          <t>2010-09-22</t>
        </is>
      </c>
      <c r="W2593" t="inlineStr">
        <is>
          <t>1989-11-07</t>
        </is>
      </c>
      <c r="X2593" t="inlineStr">
        <is>
          <t>1989-11-07</t>
        </is>
      </c>
      <c r="Y2593" t="n">
        <v>1164</v>
      </c>
      <c r="Z2593" t="n">
        <v>1111</v>
      </c>
      <c r="AA2593" t="n">
        <v>1261</v>
      </c>
      <c r="AB2593" t="n">
        <v>8</v>
      </c>
      <c r="AC2593" t="n">
        <v>9</v>
      </c>
      <c r="AD2593" t="n">
        <v>28</v>
      </c>
      <c r="AE2593" t="n">
        <v>34</v>
      </c>
      <c r="AF2593" t="n">
        <v>8</v>
      </c>
      <c r="AG2593" t="n">
        <v>13</v>
      </c>
      <c r="AH2593" t="n">
        <v>8</v>
      </c>
      <c r="AI2593" t="n">
        <v>8</v>
      </c>
      <c r="AJ2593" t="n">
        <v>15</v>
      </c>
      <c r="AK2593" t="n">
        <v>16</v>
      </c>
      <c r="AL2593" t="n">
        <v>4</v>
      </c>
      <c r="AM2593" t="n">
        <v>5</v>
      </c>
      <c r="AN2593" t="n">
        <v>0</v>
      </c>
      <c r="AO2593" t="n">
        <v>0</v>
      </c>
      <c r="AP2593" t="inlineStr">
        <is>
          <t>No</t>
        </is>
      </c>
      <c r="AQ2593" t="inlineStr">
        <is>
          <t>Yes</t>
        </is>
      </c>
      <c r="AR2593">
        <f>HYPERLINK("http://catalog.hathitrust.org/Record/004480921","HathiTrust Record")</f>
        <v/>
      </c>
      <c r="AS2593">
        <f>HYPERLINK("https://creighton-primo.hosted.exlibrisgroup.com/primo-explore/search?tab=default_tab&amp;search_scope=EVERYTHING&amp;vid=01CRU&amp;lang=en_US&amp;offset=0&amp;query=any,contains,991001462399702656","Catalog Record")</f>
        <v/>
      </c>
      <c r="AT2593">
        <f>HYPERLINK("http://www.worldcat.org/oclc/19456565","WorldCat Record")</f>
        <v/>
      </c>
      <c r="AU2593" t="inlineStr">
        <is>
          <t>396378827:eng</t>
        </is>
      </c>
      <c r="AV2593" t="inlineStr">
        <is>
          <t>19456565</t>
        </is>
      </c>
      <c r="AW2593" t="inlineStr">
        <is>
          <t>991001462399702656</t>
        </is>
      </c>
      <c r="AX2593" t="inlineStr">
        <is>
          <t>991001462399702656</t>
        </is>
      </c>
      <c r="AY2593" t="inlineStr">
        <is>
          <t>2270148600002656</t>
        </is>
      </c>
      <c r="AZ2593" t="inlineStr">
        <is>
          <t>BOOK</t>
        </is>
      </c>
      <c r="BB2593" t="inlineStr">
        <is>
          <t>9780394580722</t>
        </is>
      </c>
      <c r="BC2593" t="inlineStr">
        <is>
          <t>32285000012178</t>
        </is>
      </c>
      <c r="BD2593" t="inlineStr">
        <is>
          <t>893439157</t>
        </is>
      </c>
    </row>
    <row r="2594">
      <c r="A2594" t="inlineStr">
        <is>
          <t>No</t>
        </is>
      </c>
      <c r="B2594" t="inlineStr">
        <is>
          <t>DS889.8 .B59 2000</t>
        </is>
      </c>
      <c r="C2594" t="inlineStr">
        <is>
          <t>0                      DS 0889800B  59          2000</t>
        </is>
      </c>
      <c r="D2594" t="inlineStr">
        <is>
          <t>Hirohito and the making of modern Japan / Herbert P. Bix.</t>
        </is>
      </c>
      <c r="F2594" t="inlineStr">
        <is>
          <t>No</t>
        </is>
      </c>
      <c r="G2594" t="inlineStr">
        <is>
          <t>1</t>
        </is>
      </c>
      <c r="H2594" t="inlineStr">
        <is>
          <t>No</t>
        </is>
      </c>
      <c r="I2594" t="inlineStr">
        <is>
          <t>No</t>
        </is>
      </c>
      <c r="J2594" t="inlineStr">
        <is>
          <t>0</t>
        </is>
      </c>
      <c r="K2594" t="inlineStr">
        <is>
          <t>Bix, Herbert P.</t>
        </is>
      </c>
      <c r="L2594" t="inlineStr">
        <is>
          <t>New York : HarperCollins, c2000.</t>
        </is>
      </c>
      <c r="M2594" t="inlineStr">
        <is>
          <t>2000</t>
        </is>
      </c>
      <c r="N2594" t="inlineStr">
        <is>
          <t>1st ed.</t>
        </is>
      </c>
      <c r="O2594" t="inlineStr">
        <is>
          <t>eng</t>
        </is>
      </c>
      <c r="P2594" t="inlineStr">
        <is>
          <t>nyu</t>
        </is>
      </c>
      <c r="R2594" t="inlineStr">
        <is>
          <t xml:space="preserve">DS </t>
        </is>
      </c>
      <c r="S2594" t="n">
        <v>3</v>
      </c>
      <c r="T2594" t="n">
        <v>3</v>
      </c>
      <c r="U2594" t="inlineStr">
        <is>
          <t>2010-09-22</t>
        </is>
      </c>
      <c r="V2594" t="inlineStr">
        <is>
          <t>2010-09-22</t>
        </is>
      </c>
      <c r="W2594" t="inlineStr">
        <is>
          <t>2000-10-12</t>
        </is>
      </c>
      <c r="X2594" t="inlineStr">
        <is>
          <t>2000-10-12</t>
        </is>
      </c>
      <c r="Y2594" t="n">
        <v>2008</v>
      </c>
      <c r="Z2594" t="n">
        <v>1808</v>
      </c>
      <c r="AA2594" t="n">
        <v>1842</v>
      </c>
      <c r="AB2594" t="n">
        <v>17</v>
      </c>
      <c r="AC2594" t="n">
        <v>17</v>
      </c>
      <c r="AD2594" t="n">
        <v>53</v>
      </c>
      <c r="AE2594" t="n">
        <v>54</v>
      </c>
      <c r="AF2594" t="n">
        <v>21</v>
      </c>
      <c r="AG2594" t="n">
        <v>22</v>
      </c>
      <c r="AH2594" t="n">
        <v>10</v>
      </c>
      <c r="AI2594" t="n">
        <v>10</v>
      </c>
      <c r="AJ2594" t="n">
        <v>22</v>
      </c>
      <c r="AK2594" t="n">
        <v>23</v>
      </c>
      <c r="AL2594" t="n">
        <v>11</v>
      </c>
      <c r="AM2594" t="n">
        <v>11</v>
      </c>
      <c r="AN2594" t="n">
        <v>0</v>
      </c>
      <c r="AO2594" t="n">
        <v>0</v>
      </c>
      <c r="AP2594" t="inlineStr">
        <is>
          <t>No</t>
        </is>
      </c>
      <c r="AQ2594" t="inlineStr">
        <is>
          <t>No</t>
        </is>
      </c>
      <c r="AS2594">
        <f>HYPERLINK("https://creighton-primo.hosted.exlibrisgroup.com/primo-explore/search?tab=default_tab&amp;search_scope=EVERYTHING&amp;vid=01CRU&amp;lang=en_US&amp;offset=0&amp;query=any,contains,991003298039702656","Catalog Record")</f>
        <v/>
      </c>
      <c r="AT2594">
        <f>HYPERLINK("http://www.worldcat.org/oclc/43031388","WorldCat Record")</f>
        <v/>
      </c>
      <c r="AU2594" t="inlineStr">
        <is>
          <t>4928205493:eng</t>
        </is>
      </c>
      <c r="AV2594" t="inlineStr">
        <is>
          <t>43031388</t>
        </is>
      </c>
      <c r="AW2594" t="inlineStr">
        <is>
          <t>991003298039702656</t>
        </is>
      </c>
      <c r="AX2594" t="inlineStr">
        <is>
          <t>991003298039702656</t>
        </is>
      </c>
      <c r="AY2594" t="inlineStr">
        <is>
          <t>2261138300002656</t>
        </is>
      </c>
      <c r="AZ2594" t="inlineStr">
        <is>
          <t>BOOK</t>
        </is>
      </c>
      <c r="BB2594" t="inlineStr">
        <is>
          <t>9780060193140</t>
        </is>
      </c>
      <c r="BC2594" t="inlineStr">
        <is>
          <t>32285003767612</t>
        </is>
      </c>
      <c r="BD2594" t="inlineStr">
        <is>
          <t>893323959</t>
        </is>
      </c>
    </row>
    <row r="2595">
      <c r="A2595" t="inlineStr">
        <is>
          <t>No</t>
        </is>
      </c>
      <c r="B2595" t="inlineStr">
        <is>
          <t>DS889.8 .K3613</t>
        </is>
      </c>
      <c r="C2595" t="inlineStr">
        <is>
          <t>0                      DS 0889800K  3613</t>
        </is>
      </c>
      <c r="D2595" t="inlineStr">
        <is>
          <t>Hirohito : an intimate portrait of the Japanese emperor / by Osanaga Kanroji.</t>
        </is>
      </c>
      <c r="F2595" t="inlineStr">
        <is>
          <t>No</t>
        </is>
      </c>
      <c r="G2595" t="inlineStr">
        <is>
          <t>1</t>
        </is>
      </c>
      <c r="H2595" t="inlineStr">
        <is>
          <t>No</t>
        </is>
      </c>
      <c r="I2595" t="inlineStr">
        <is>
          <t>No</t>
        </is>
      </c>
      <c r="J2595" t="inlineStr">
        <is>
          <t>0</t>
        </is>
      </c>
      <c r="K2595" t="inlineStr">
        <is>
          <t>Kanroji, Osanaga, 1880-</t>
        </is>
      </c>
      <c r="L2595" t="inlineStr">
        <is>
          <t>Los Angeles, Calif. : Gateway Publishers ; New York : distributed in the U.S. by Japan Publications Trading Co., 1975.</t>
        </is>
      </c>
      <c r="M2595" t="inlineStr">
        <is>
          <t>1975</t>
        </is>
      </c>
      <c r="N2595" t="inlineStr">
        <is>
          <t>1st ed.</t>
        </is>
      </c>
      <c r="O2595" t="inlineStr">
        <is>
          <t>eng</t>
        </is>
      </c>
      <c r="P2595" t="inlineStr">
        <is>
          <t>cau</t>
        </is>
      </c>
      <c r="R2595" t="inlineStr">
        <is>
          <t xml:space="preserve">DS </t>
        </is>
      </c>
      <c r="S2595" t="n">
        <v>3</v>
      </c>
      <c r="T2595" t="n">
        <v>3</v>
      </c>
      <c r="U2595" t="inlineStr">
        <is>
          <t>1999-04-29</t>
        </is>
      </c>
      <c r="V2595" t="inlineStr">
        <is>
          <t>1999-04-29</t>
        </is>
      </c>
      <c r="W2595" t="inlineStr">
        <is>
          <t>1997-03-17</t>
        </is>
      </c>
      <c r="X2595" t="inlineStr">
        <is>
          <t>1997-03-17</t>
        </is>
      </c>
      <c r="Y2595" t="n">
        <v>345</v>
      </c>
      <c r="Z2595" t="n">
        <v>304</v>
      </c>
      <c r="AA2595" t="n">
        <v>310</v>
      </c>
      <c r="AB2595" t="n">
        <v>2</v>
      </c>
      <c r="AC2595" t="n">
        <v>2</v>
      </c>
      <c r="AD2595" t="n">
        <v>8</v>
      </c>
      <c r="AE2595" t="n">
        <v>8</v>
      </c>
      <c r="AF2595" t="n">
        <v>3</v>
      </c>
      <c r="AG2595" t="n">
        <v>3</v>
      </c>
      <c r="AH2595" t="n">
        <v>4</v>
      </c>
      <c r="AI2595" t="n">
        <v>4</v>
      </c>
      <c r="AJ2595" t="n">
        <v>5</v>
      </c>
      <c r="AK2595" t="n">
        <v>5</v>
      </c>
      <c r="AL2595" t="n">
        <v>1</v>
      </c>
      <c r="AM2595" t="n">
        <v>1</v>
      </c>
      <c r="AN2595" t="n">
        <v>0</v>
      </c>
      <c r="AO2595" t="n">
        <v>0</v>
      </c>
      <c r="AP2595" t="inlineStr">
        <is>
          <t>No</t>
        </is>
      </c>
      <c r="AQ2595" t="inlineStr">
        <is>
          <t>Yes</t>
        </is>
      </c>
      <c r="AR2595">
        <f>HYPERLINK("http://catalog.hathitrust.org/Record/000685920","HathiTrust Record")</f>
        <v/>
      </c>
      <c r="AS2595">
        <f>HYPERLINK("https://creighton-primo.hosted.exlibrisgroup.com/primo-explore/search?tab=default_tab&amp;search_scope=EVERYTHING&amp;vid=01CRU&amp;lang=en_US&amp;offset=0&amp;query=any,contains,991003962099702656","Catalog Record")</f>
        <v/>
      </c>
      <c r="AT2595">
        <f>HYPERLINK("http://www.worldcat.org/oclc/1975921","WorldCat Record")</f>
        <v/>
      </c>
      <c r="AU2595" t="inlineStr">
        <is>
          <t>12509849:eng</t>
        </is>
      </c>
      <c r="AV2595" t="inlineStr">
        <is>
          <t>1975921</t>
        </is>
      </c>
      <c r="AW2595" t="inlineStr">
        <is>
          <t>991003962099702656</t>
        </is>
      </c>
      <c r="AX2595" t="inlineStr">
        <is>
          <t>991003962099702656</t>
        </is>
      </c>
      <c r="AY2595" t="inlineStr">
        <is>
          <t>2266753730002656</t>
        </is>
      </c>
      <c r="AZ2595" t="inlineStr">
        <is>
          <t>BOOK</t>
        </is>
      </c>
      <c r="BB2595" t="inlineStr">
        <is>
          <t>9780914594048</t>
        </is>
      </c>
      <c r="BC2595" t="inlineStr">
        <is>
          <t>32285002450780</t>
        </is>
      </c>
      <c r="BD2595" t="inlineStr">
        <is>
          <t>893775433</t>
        </is>
      </c>
    </row>
    <row r="2596">
      <c r="A2596" t="inlineStr">
        <is>
          <t>No</t>
        </is>
      </c>
      <c r="B2596" t="inlineStr">
        <is>
          <t>DS889.8 .M6 1966</t>
        </is>
      </c>
      <c r="C2596" t="inlineStr">
        <is>
          <t>0                      DS 0889800M  6           1966</t>
        </is>
      </c>
      <c r="D2596" t="inlineStr">
        <is>
          <t>Hirohito, Emperor of Japan.</t>
        </is>
      </c>
      <c r="F2596" t="inlineStr">
        <is>
          <t>No</t>
        </is>
      </c>
      <c r="G2596" t="inlineStr">
        <is>
          <t>1</t>
        </is>
      </c>
      <c r="H2596" t="inlineStr">
        <is>
          <t>No</t>
        </is>
      </c>
      <c r="I2596" t="inlineStr">
        <is>
          <t>No</t>
        </is>
      </c>
      <c r="J2596" t="inlineStr">
        <is>
          <t>0</t>
        </is>
      </c>
      <c r="K2596" t="inlineStr">
        <is>
          <t>Mosley, Leonard, 1913-1992.</t>
        </is>
      </c>
      <c r="L2596" t="inlineStr">
        <is>
          <t>Englewood Cliffs, N.J., Prentice-Hall [1966]</t>
        </is>
      </c>
      <c r="M2596" t="inlineStr">
        <is>
          <t>1966</t>
        </is>
      </c>
      <c r="O2596" t="inlineStr">
        <is>
          <t>eng</t>
        </is>
      </c>
      <c r="P2596" t="inlineStr">
        <is>
          <t>nju</t>
        </is>
      </c>
      <c r="R2596" t="inlineStr">
        <is>
          <t xml:space="preserve">DS </t>
        </is>
      </c>
      <c r="S2596" t="n">
        <v>3</v>
      </c>
      <c r="T2596" t="n">
        <v>3</v>
      </c>
      <c r="U2596" t="inlineStr">
        <is>
          <t>1999-04-29</t>
        </is>
      </c>
      <c r="V2596" t="inlineStr">
        <is>
          <t>1999-04-29</t>
        </is>
      </c>
      <c r="W2596" t="inlineStr">
        <is>
          <t>1997-06-24</t>
        </is>
      </c>
      <c r="X2596" t="inlineStr">
        <is>
          <t>1997-06-24</t>
        </is>
      </c>
      <c r="Y2596" t="n">
        <v>2087</v>
      </c>
      <c r="Z2596" t="n">
        <v>1938</v>
      </c>
      <c r="AA2596" t="n">
        <v>1985</v>
      </c>
      <c r="AB2596" t="n">
        <v>17</v>
      </c>
      <c r="AC2596" t="n">
        <v>18</v>
      </c>
      <c r="AD2596" t="n">
        <v>53</v>
      </c>
      <c r="AE2596" t="n">
        <v>54</v>
      </c>
      <c r="AF2596" t="n">
        <v>24</v>
      </c>
      <c r="AG2596" t="n">
        <v>24</v>
      </c>
      <c r="AH2596" t="n">
        <v>10</v>
      </c>
      <c r="AI2596" t="n">
        <v>10</v>
      </c>
      <c r="AJ2596" t="n">
        <v>24</v>
      </c>
      <c r="AK2596" t="n">
        <v>24</v>
      </c>
      <c r="AL2596" t="n">
        <v>7</v>
      </c>
      <c r="AM2596" t="n">
        <v>8</v>
      </c>
      <c r="AN2596" t="n">
        <v>0</v>
      </c>
      <c r="AO2596" t="n">
        <v>0</v>
      </c>
      <c r="AP2596" t="inlineStr">
        <is>
          <t>No</t>
        </is>
      </c>
      <c r="AQ2596" t="inlineStr">
        <is>
          <t>Yes</t>
        </is>
      </c>
      <c r="AR2596">
        <f>HYPERLINK("http://catalog.hathitrust.org/Record/001606541","HathiTrust Record")</f>
        <v/>
      </c>
      <c r="AS2596">
        <f>HYPERLINK("https://creighton-primo.hosted.exlibrisgroup.com/primo-explore/search?tab=default_tab&amp;search_scope=EVERYTHING&amp;vid=01CRU&amp;lang=en_US&amp;offset=0&amp;query=any,contains,991002703899702656","Catalog Record")</f>
        <v/>
      </c>
      <c r="AT2596">
        <f>HYPERLINK("http://www.worldcat.org/oclc/406462","WorldCat Record")</f>
        <v/>
      </c>
      <c r="AU2596" t="inlineStr">
        <is>
          <t>112257668:eng</t>
        </is>
      </c>
      <c r="AV2596" t="inlineStr">
        <is>
          <t>406462</t>
        </is>
      </c>
      <c r="AW2596" t="inlineStr">
        <is>
          <t>991002703899702656</t>
        </is>
      </c>
      <c r="AX2596" t="inlineStr">
        <is>
          <t>991002703899702656</t>
        </is>
      </c>
      <c r="AY2596" t="inlineStr">
        <is>
          <t>2260969130002656</t>
        </is>
      </c>
      <c r="AZ2596" t="inlineStr">
        <is>
          <t>BOOK</t>
        </is>
      </c>
      <c r="BC2596" t="inlineStr">
        <is>
          <t>32285002831229</t>
        </is>
      </c>
      <c r="BD2596" t="inlineStr">
        <is>
          <t>893239388</t>
        </is>
      </c>
    </row>
    <row r="2597">
      <c r="A2597" t="inlineStr">
        <is>
          <t>No</t>
        </is>
      </c>
      <c r="B2597" t="inlineStr">
        <is>
          <t>DS89.A42 G55 1996</t>
        </is>
      </c>
      <c r="C2597" t="inlineStr">
        <is>
          <t>0                      DS 0089000A  42                 G  55          1996</t>
        </is>
      </c>
      <c r="D2597" t="inlineStr">
        <is>
          <t>Lords of the Lebanese marches : violence and narrative in an Arab society / Michael Gilsenan.</t>
        </is>
      </c>
      <c r="F2597" t="inlineStr">
        <is>
          <t>No</t>
        </is>
      </c>
      <c r="G2597" t="inlineStr">
        <is>
          <t>1</t>
        </is>
      </c>
      <c r="H2597" t="inlineStr">
        <is>
          <t>No</t>
        </is>
      </c>
      <c r="I2597" t="inlineStr">
        <is>
          <t>No</t>
        </is>
      </c>
      <c r="J2597" t="inlineStr">
        <is>
          <t>0</t>
        </is>
      </c>
      <c r="K2597" t="inlineStr">
        <is>
          <t>Gilsenan, Michael.</t>
        </is>
      </c>
      <c r="L2597" t="inlineStr">
        <is>
          <t>Berkeley : University of California Press, c1996.</t>
        </is>
      </c>
      <c r="M2597" t="inlineStr">
        <is>
          <t>1996</t>
        </is>
      </c>
      <c r="O2597" t="inlineStr">
        <is>
          <t>eng</t>
        </is>
      </c>
      <c r="P2597" t="inlineStr">
        <is>
          <t>cau</t>
        </is>
      </c>
      <c r="R2597" t="inlineStr">
        <is>
          <t xml:space="preserve">DS </t>
        </is>
      </c>
      <c r="S2597" t="n">
        <v>3</v>
      </c>
      <c r="T2597" t="n">
        <v>3</v>
      </c>
      <c r="U2597" t="inlineStr">
        <is>
          <t>2006-02-14</t>
        </is>
      </c>
      <c r="V2597" t="inlineStr">
        <is>
          <t>2006-02-14</t>
        </is>
      </c>
      <c r="W2597" t="inlineStr">
        <is>
          <t>1996-12-11</t>
        </is>
      </c>
      <c r="X2597" t="inlineStr">
        <is>
          <t>1996-12-11</t>
        </is>
      </c>
      <c r="Y2597" t="n">
        <v>273</v>
      </c>
      <c r="Z2597" t="n">
        <v>225</v>
      </c>
      <c r="AA2597" t="n">
        <v>266</v>
      </c>
      <c r="AB2597" t="n">
        <v>3</v>
      </c>
      <c r="AC2597" t="n">
        <v>3</v>
      </c>
      <c r="AD2597" t="n">
        <v>9</v>
      </c>
      <c r="AE2597" t="n">
        <v>13</v>
      </c>
      <c r="AF2597" t="n">
        <v>0</v>
      </c>
      <c r="AG2597" t="n">
        <v>1</v>
      </c>
      <c r="AH2597" t="n">
        <v>2</v>
      </c>
      <c r="AI2597" t="n">
        <v>5</v>
      </c>
      <c r="AJ2597" t="n">
        <v>5</v>
      </c>
      <c r="AK2597" t="n">
        <v>8</v>
      </c>
      <c r="AL2597" t="n">
        <v>2</v>
      </c>
      <c r="AM2597" t="n">
        <v>2</v>
      </c>
      <c r="AN2597" t="n">
        <v>0</v>
      </c>
      <c r="AO2597" t="n">
        <v>0</v>
      </c>
      <c r="AP2597" t="inlineStr">
        <is>
          <t>No</t>
        </is>
      </c>
      <c r="AQ2597" t="inlineStr">
        <is>
          <t>No</t>
        </is>
      </c>
      <c r="AS2597">
        <f>HYPERLINK("https://creighton-primo.hosted.exlibrisgroup.com/primo-explore/search?tab=default_tab&amp;search_scope=EVERYTHING&amp;vid=01CRU&amp;lang=en_US&amp;offset=0&amp;query=any,contains,991002582659702656","Catalog Record")</f>
        <v/>
      </c>
      <c r="AT2597">
        <f>HYPERLINK("http://www.worldcat.org/oclc/33862221","WorldCat Record")</f>
        <v/>
      </c>
      <c r="AU2597" t="inlineStr">
        <is>
          <t>794196:eng</t>
        </is>
      </c>
      <c r="AV2597" t="inlineStr">
        <is>
          <t>33862221</t>
        </is>
      </c>
      <c r="AW2597" t="inlineStr">
        <is>
          <t>991002582659702656</t>
        </is>
      </c>
      <c r="AX2597" t="inlineStr">
        <is>
          <t>991002582659702656</t>
        </is>
      </c>
      <c r="AY2597" t="inlineStr">
        <is>
          <t>2266543640002656</t>
        </is>
      </c>
      <c r="AZ2597" t="inlineStr">
        <is>
          <t>BOOK</t>
        </is>
      </c>
      <c r="BB2597" t="inlineStr">
        <is>
          <t>9780520205895</t>
        </is>
      </c>
      <c r="BC2597" t="inlineStr">
        <is>
          <t>32285002391760</t>
        </is>
      </c>
      <c r="BD2597" t="inlineStr">
        <is>
          <t>893779978</t>
        </is>
      </c>
    </row>
    <row r="2598">
      <c r="A2598" t="inlineStr">
        <is>
          <t>No</t>
        </is>
      </c>
      <c r="B2598" t="inlineStr">
        <is>
          <t>DS89.B4 J5</t>
        </is>
      </c>
      <c r="C2598" t="inlineStr">
        <is>
          <t>0                      DS 0089000B  4                  J  5</t>
        </is>
      </c>
      <c r="D2598" t="inlineStr">
        <is>
          <t>Beirut through the ages.</t>
        </is>
      </c>
      <c r="F2598" t="inlineStr">
        <is>
          <t>No</t>
        </is>
      </c>
      <c r="G2598" t="inlineStr">
        <is>
          <t>1</t>
        </is>
      </c>
      <c r="H2598" t="inlineStr">
        <is>
          <t>No</t>
        </is>
      </c>
      <c r="I2598" t="inlineStr">
        <is>
          <t>No</t>
        </is>
      </c>
      <c r="J2598" t="inlineStr">
        <is>
          <t>0</t>
        </is>
      </c>
      <c r="K2598" t="inlineStr">
        <is>
          <t>Jidejian, Nina.</t>
        </is>
      </c>
      <c r="L2598" t="inlineStr">
        <is>
          <t>Beirut, Dar el-Machreq [distribution: Librairie orientale, 1973]</t>
        </is>
      </c>
      <c r="M2598" t="inlineStr">
        <is>
          <t>1973</t>
        </is>
      </c>
      <c r="O2598" t="inlineStr">
        <is>
          <t>eng</t>
        </is>
      </c>
      <c r="P2598" t="inlineStr">
        <is>
          <t xml:space="preserve">le </t>
        </is>
      </c>
      <c r="R2598" t="inlineStr">
        <is>
          <t xml:space="preserve">DS </t>
        </is>
      </c>
      <c r="S2598" t="n">
        <v>1</v>
      </c>
      <c r="T2598" t="n">
        <v>1</v>
      </c>
      <c r="U2598" t="inlineStr">
        <is>
          <t>2003-11-03</t>
        </is>
      </c>
      <c r="V2598" t="inlineStr">
        <is>
          <t>2003-11-03</t>
        </is>
      </c>
      <c r="W2598" t="inlineStr">
        <is>
          <t>1997-02-24</t>
        </is>
      </c>
      <c r="X2598" t="inlineStr">
        <is>
          <t>1997-02-24</t>
        </is>
      </c>
      <c r="Y2598" t="n">
        <v>318</v>
      </c>
      <c r="Z2598" t="n">
        <v>283</v>
      </c>
      <c r="AA2598" t="n">
        <v>287</v>
      </c>
      <c r="AB2598" t="n">
        <v>3</v>
      </c>
      <c r="AC2598" t="n">
        <v>3</v>
      </c>
      <c r="AD2598" t="n">
        <v>12</v>
      </c>
      <c r="AE2598" t="n">
        <v>12</v>
      </c>
      <c r="AF2598" t="n">
        <v>3</v>
      </c>
      <c r="AG2598" t="n">
        <v>3</v>
      </c>
      <c r="AH2598" t="n">
        <v>3</v>
      </c>
      <c r="AI2598" t="n">
        <v>3</v>
      </c>
      <c r="AJ2598" t="n">
        <v>7</v>
      </c>
      <c r="AK2598" t="n">
        <v>7</v>
      </c>
      <c r="AL2598" t="n">
        <v>2</v>
      </c>
      <c r="AM2598" t="n">
        <v>2</v>
      </c>
      <c r="AN2598" t="n">
        <v>0</v>
      </c>
      <c r="AO2598" t="n">
        <v>0</v>
      </c>
      <c r="AP2598" t="inlineStr">
        <is>
          <t>No</t>
        </is>
      </c>
      <c r="AQ2598" t="inlineStr">
        <is>
          <t>Yes</t>
        </is>
      </c>
      <c r="AR2598">
        <f>HYPERLINK("http://catalog.hathitrust.org/Record/001241779","HathiTrust Record")</f>
        <v/>
      </c>
      <c r="AS2598">
        <f>HYPERLINK("https://creighton-primo.hosted.exlibrisgroup.com/primo-explore/search?tab=default_tab&amp;search_scope=EVERYTHING&amp;vid=01CRU&amp;lang=en_US&amp;offset=0&amp;query=any,contains,991003500589702656","Catalog Record")</f>
        <v/>
      </c>
      <c r="AT2598">
        <f>HYPERLINK("http://www.worldcat.org/oclc/1053364","WorldCat Record")</f>
        <v/>
      </c>
      <c r="AU2598" t="inlineStr">
        <is>
          <t>1968876:eng</t>
        </is>
      </c>
      <c r="AV2598" t="inlineStr">
        <is>
          <t>1053364</t>
        </is>
      </c>
      <c r="AW2598" t="inlineStr">
        <is>
          <t>991003500589702656</t>
        </is>
      </c>
      <c r="AX2598" t="inlineStr">
        <is>
          <t>991003500589702656</t>
        </is>
      </c>
      <c r="AY2598" t="inlineStr">
        <is>
          <t>2270805850002656</t>
        </is>
      </c>
      <c r="AZ2598" t="inlineStr">
        <is>
          <t>BOOK</t>
        </is>
      </c>
      <c r="BC2598" t="inlineStr">
        <is>
          <t>32285002460391</t>
        </is>
      </c>
      <c r="BD2598" t="inlineStr">
        <is>
          <t>893692768</t>
        </is>
      </c>
    </row>
    <row r="2599">
      <c r="A2599" t="inlineStr">
        <is>
          <t>No</t>
        </is>
      </c>
      <c r="B2599" t="inlineStr">
        <is>
          <t>DS89.B9 J53</t>
        </is>
      </c>
      <c r="C2599" t="inlineStr">
        <is>
          <t>0                      DS 0089000B  9                  J  53</t>
        </is>
      </c>
      <c r="D2599" t="inlineStr">
        <is>
          <t>Byblos through the ages. With a foreword by Maurice Dunand.</t>
        </is>
      </c>
      <c r="F2599" t="inlineStr">
        <is>
          <t>No</t>
        </is>
      </c>
      <c r="G2599" t="inlineStr">
        <is>
          <t>1</t>
        </is>
      </c>
      <c r="H2599" t="inlineStr">
        <is>
          <t>No</t>
        </is>
      </c>
      <c r="I2599" t="inlineStr">
        <is>
          <t>No</t>
        </is>
      </c>
      <c r="J2599" t="inlineStr">
        <is>
          <t>0</t>
        </is>
      </c>
      <c r="K2599" t="inlineStr">
        <is>
          <t>Jidejian, Nina.</t>
        </is>
      </c>
      <c r="L2599" t="inlineStr">
        <is>
          <t>Beirut, Dar el-Machreq Publishers; [distribution Librairie Orientale, 1968]</t>
        </is>
      </c>
      <c r="M2599" t="inlineStr">
        <is>
          <t>1968</t>
        </is>
      </c>
      <c r="O2599" t="inlineStr">
        <is>
          <t>eng</t>
        </is>
      </c>
      <c r="P2599" t="inlineStr">
        <is>
          <t xml:space="preserve">le </t>
        </is>
      </c>
      <c r="R2599" t="inlineStr">
        <is>
          <t xml:space="preserve">DS </t>
        </is>
      </c>
      <c r="S2599" t="n">
        <v>2</v>
      </c>
      <c r="T2599" t="n">
        <v>2</v>
      </c>
      <c r="U2599" t="inlineStr">
        <is>
          <t>2003-04-10</t>
        </is>
      </c>
      <c r="V2599" t="inlineStr">
        <is>
          <t>2003-04-10</t>
        </is>
      </c>
      <c r="W2599" t="inlineStr">
        <is>
          <t>1997-02-24</t>
        </is>
      </c>
      <c r="X2599" t="inlineStr">
        <is>
          <t>1997-02-24</t>
        </is>
      </c>
      <c r="Y2599" t="n">
        <v>505</v>
      </c>
      <c r="Z2599" t="n">
        <v>442</v>
      </c>
      <c r="AA2599" t="n">
        <v>489</v>
      </c>
      <c r="AB2599" t="n">
        <v>4</v>
      </c>
      <c r="AC2599" t="n">
        <v>4</v>
      </c>
      <c r="AD2599" t="n">
        <v>14</v>
      </c>
      <c r="AE2599" t="n">
        <v>16</v>
      </c>
      <c r="AF2599" t="n">
        <v>2</v>
      </c>
      <c r="AG2599" t="n">
        <v>3</v>
      </c>
      <c r="AH2599" t="n">
        <v>3</v>
      </c>
      <c r="AI2599" t="n">
        <v>4</v>
      </c>
      <c r="AJ2599" t="n">
        <v>8</v>
      </c>
      <c r="AK2599" t="n">
        <v>8</v>
      </c>
      <c r="AL2599" t="n">
        <v>3</v>
      </c>
      <c r="AM2599" t="n">
        <v>3</v>
      </c>
      <c r="AN2599" t="n">
        <v>0</v>
      </c>
      <c r="AO2599" t="n">
        <v>0</v>
      </c>
      <c r="AP2599" t="inlineStr">
        <is>
          <t>No</t>
        </is>
      </c>
      <c r="AQ2599" t="inlineStr">
        <is>
          <t>No</t>
        </is>
      </c>
      <c r="AS2599">
        <f>HYPERLINK("https://creighton-primo.hosted.exlibrisgroup.com/primo-explore/search?tab=default_tab&amp;search_scope=EVERYTHING&amp;vid=01CRU&amp;lang=en_US&amp;offset=0&amp;query=any,contains,991000000209702656","Catalog Record")</f>
        <v/>
      </c>
      <c r="AT2599">
        <f>HYPERLINK("http://www.worldcat.org/oclc/7630","WorldCat Record")</f>
        <v/>
      </c>
      <c r="AU2599" t="inlineStr">
        <is>
          <t>1130780:eng</t>
        </is>
      </c>
      <c r="AV2599" t="inlineStr">
        <is>
          <t>7630</t>
        </is>
      </c>
      <c r="AW2599" t="inlineStr">
        <is>
          <t>991000000209702656</t>
        </is>
      </c>
      <c r="AX2599" t="inlineStr">
        <is>
          <t>991000000209702656</t>
        </is>
      </c>
      <c r="AY2599" t="inlineStr">
        <is>
          <t>2267576710002656</t>
        </is>
      </c>
      <c r="AZ2599" t="inlineStr">
        <is>
          <t>BOOK</t>
        </is>
      </c>
      <c r="BC2599" t="inlineStr">
        <is>
          <t>32285002460417</t>
        </is>
      </c>
      <c r="BD2599" t="inlineStr">
        <is>
          <t>893521277</t>
        </is>
      </c>
    </row>
    <row r="2600">
      <c r="A2600" t="inlineStr">
        <is>
          <t>No</t>
        </is>
      </c>
      <c r="B2600" t="inlineStr">
        <is>
          <t>DS89.S37 P742 1975</t>
        </is>
      </c>
      <c r="C2600" t="inlineStr">
        <is>
          <t>0                      DS 0089000S  37                 P  742         1975</t>
        </is>
      </c>
      <c r="D2600" t="inlineStr">
        <is>
          <t>Sarepta, a preliminary report on the Iron Age : excavations of the University Museum of the University of Pennsylvania, 1970-72 / by James B. Pritchard ; with contributions by William P. Anderson, Ellen Herscher, Javier Teixidor.</t>
        </is>
      </c>
      <c r="F2600" t="inlineStr">
        <is>
          <t>No</t>
        </is>
      </c>
      <c r="G2600" t="inlineStr">
        <is>
          <t>1</t>
        </is>
      </c>
      <c r="H2600" t="inlineStr">
        <is>
          <t>No</t>
        </is>
      </c>
      <c r="I2600" t="inlineStr">
        <is>
          <t>No</t>
        </is>
      </c>
      <c r="J2600" t="inlineStr">
        <is>
          <t>0</t>
        </is>
      </c>
      <c r="K2600" t="inlineStr">
        <is>
          <t>Pritchard, James B. (James Bennett), 1909-1997.</t>
        </is>
      </c>
      <c r="L2600" t="inlineStr">
        <is>
          <t>Philadelphia : University Museum, University of Pennsylvania, 1975.</t>
        </is>
      </c>
      <c r="M2600" t="inlineStr">
        <is>
          <t>1975</t>
        </is>
      </c>
      <c r="O2600" t="inlineStr">
        <is>
          <t>eng</t>
        </is>
      </c>
      <c r="P2600" t="inlineStr">
        <is>
          <t xml:space="preserve">le </t>
        </is>
      </c>
      <c r="Q2600" t="inlineStr">
        <is>
          <t>Museum monographs</t>
        </is>
      </c>
      <c r="R2600" t="inlineStr">
        <is>
          <t xml:space="preserve">DS </t>
        </is>
      </c>
      <c r="S2600" t="n">
        <v>3</v>
      </c>
      <c r="T2600" t="n">
        <v>3</v>
      </c>
      <c r="U2600" t="inlineStr">
        <is>
          <t>2008-02-07</t>
        </is>
      </c>
      <c r="V2600" t="inlineStr">
        <is>
          <t>2008-02-07</t>
        </is>
      </c>
      <c r="W2600" t="inlineStr">
        <is>
          <t>1999-03-17</t>
        </is>
      </c>
      <c r="X2600" t="inlineStr">
        <is>
          <t>1999-03-17</t>
        </is>
      </c>
      <c r="Y2600" t="n">
        <v>107</v>
      </c>
      <c r="Z2600" t="n">
        <v>86</v>
      </c>
      <c r="AA2600" t="n">
        <v>87</v>
      </c>
      <c r="AB2600" t="n">
        <v>2</v>
      </c>
      <c r="AC2600" t="n">
        <v>2</v>
      </c>
      <c r="AD2600" t="n">
        <v>2</v>
      </c>
      <c r="AE2600" t="n">
        <v>2</v>
      </c>
      <c r="AF2600" t="n">
        <v>0</v>
      </c>
      <c r="AG2600" t="n">
        <v>0</v>
      </c>
      <c r="AH2600" t="n">
        <v>1</v>
      </c>
      <c r="AI2600" t="n">
        <v>1</v>
      </c>
      <c r="AJ2600" t="n">
        <v>0</v>
      </c>
      <c r="AK2600" t="n">
        <v>0</v>
      </c>
      <c r="AL2600" t="n">
        <v>1</v>
      </c>
      <c r="AM2600" t="n">
        <v>1</v>
      </c>
      <c r="AN2600" t="n">
        <v>0</v>
      </c>
      <c r="AO2600" t="n">
        <v>0</v>
      </c>
      <c r="AP2600" t="inlineStr">
        <is>
          <t>No</t>
        </is>
      </c>
      <c r="AQ2600" t="inlineStr">
        <is>
          <t>No</t>
        </is>
      </c>
      <c r="AS2600">
        <f>HYPERLINK("https://creighton-primo.hosted.exlibrisgroup.com/primo-explore/search?tab=default_tab&amp;search_scope=EVERYTHING&amp;vid=01CRU&amp;lang=en_US&amp;offset=0&amp;query=any,contains,991004074119702656","Catalog Record")</f>
        <v/>
      </c>
      <c r="AT2600">
        <f>HYPERLINK("http://www.worldcat.org/oclc/2313906","WorldCat Record")</f>
        <v/>
      </c>
      <c r="AU2600" t="inlineStr">
        <is>
          <t>3768719757:eng</t>
        </is>
      </c>
      <c r="AV2600" t="inlineStr">
        <is>
          <t>2313906</t>
        </is>
      </c>
      <c r="AW2600" t="inlineStr">
        <is>
          <t>991004074119702656</t>
        </is>
      </c>
      <c r="AX2600" t="inlineStr">
        <is>
          <t>991004074119702656</t>
        </is>
      </c>
      <c r="AY2600" t="inlineStr">
        <is>
          <t>2259682260002656</t>
        </is>
      </c>
      <c r="AZ2600" t="inlineStr">
        <is>
          <t>BOOK</t>
        </is>
      </c>
      <c r="BC2600" t="inlineStr">
        <is>
          <t>32285003533881</t>
        </is>
      </c>
      <c r="BD2600" t="inlineStr">
        <is>
          <t>893337307</t>
        </is>
      </c>
    </row>
    <row r="2601">
      <c r="A2601" t="inlineStr">
        <is>
          <t>No</t>
        </is>
      </c>
      <c r="B2601" t="inlineStr">
        <is>
          <t>DS89.S37 U5 1985, v.1</t>
        </is>
      </c>
      <c r="C2601" t="inlineStr">
        <is>
          <t>0                      DS 0089000S  37                 U  5           1985                  v.1</t>
        </is>
      </c>
      <c r="D2601" t="inlineStr">
        <is>
          <t>Sarepta I : the late Bronze and Iron Age strata of area II, Y : the University Museum of the University of Pennsylvania excavations at Sarafand, Lebanon / William P. Anderson.</t>
        </is>
      </c>
      <c r="E2601" t="inlineStr">
        <is>
          <t>V.1</t>
        </is>
      </c>
      <c r="F2601" t="inlineStr">
        <is>
          <t>No</t>
        </is>
      </c>
      <c r="G2601" t="inlineStr">
        <is>
          <t>1</t>
        </is>
      </c>
      <c r="H2601" t="inlineStr">
        <is>
          <t>No</t>
        </is>
      </c>
      <c r="I2601" t="inlineStr">
        <is>
          <t>No</t>
        </is>
      </c>
      <c r="J2601" t="inlineStr">
        <is>
          <t>0</t>
        </is>
      </c>
      <c r="K2601" t="inlineStr">
        <is>
          <t>Anderson, William Paul.</t>
        </is>
      </c>
      <c r="L2601" t="inlineStr">
        <is>
          <t>Beyrouth : Distribution, Département des publications de l'Université libanaise, 1988.</t>
        </is>
      </c>
      <c r="M2601" t="inlineStr">
        <is>
          <t>1988</t>
        </is>
      </c>
      <c r="O2601" t="inlineStr">
        <is>
          <t>eng</t>
        </is>
      </c>
      <c r="P2601" t="inlineStr">
        <is>
          <t xml:space="preserve">le </t>
        </is>
      </c>
      <c r="Q2601" t="inlineStr">
        <is>
          <t>Publications de l'Université libanaise. Section des études archéologique ; 2</t>
        </is>
      </c>
      <c r="R2601" t="inlineStr">
        <is>
          <t xml:space="preserve">DS </t>
        </is>
      </c>
      <c r="S2601" t="n">
        <v>3</v>
      </c>
      <c r="T2601" t="n">
        <v>3</v>
      </c>
      <c r="U2601" t="inlineStr">
        <is>
          <t>2000-02-17</t>
        </is>
      </c>
      <c r="V2601" t="inlineStr">
        <is>
          <t>2000-02-17</t>
        </is>
      </c>
      <c r="W2601" t="inlineStr">
        <is>
          <t>1999-03-17</t>
        </is>
      </c>
      <c r="X2601" t="inlineStr">
        <is>
          <t>1999-03-17</t>
        </is>
      </c>
      <c r="Y2601" t="n">
        <v>42</v>
      </c>
      <c r="Z2601" t="n">
        <v>32</v>
      </c>
      <c r="AA2601" t="n">
        <v>34</v>
      </c>
      <c r="AB2601" t="n">
        <v>1</v>
      </c>
      <c r="AC2601" t="n">
        <v>1</v>
      </c>
      <c r="AD2601" t="n">
        <v>1</v>
      </c>
      <c r="AE2601" t="n">
        <v>1</v>
      </c>
      <c r="AF2601" t="n">
        <v>0</v>
      </c>
      <c r="AG2601" t="n">
        <v>0</v>
      </c>
      <c r="AH2601" t="n">
        <v>1</v>
      </c>
      <c r="AI2601" t="n">
        <v>1</v>
      </c>
      <c r="AJ2601" t="n">
        <v>0</v>
      </c>
      <c r="AK2601" t="n">
        <v>0</v>
      </c>
      <c r="AL2601" t="n">
        <v>0</v>
      </c>
      <c r="AM2601" t="n">
        <v>0</v>
      </c>
      <c r="AN2601" t="n">
        <v>0</v>
      </c>
      <c r="AO2601" t="n">
        <v>0</v>
      </c>
      <c r="AP2601" t="inlineStr">
        <is>
          <t>No</t>
        </is>
      </c>
      <c r="AQ2601" t="inlineStr">
        <is>
          <t>Yes</t>
        </is>
      </c>
      <c r="AR2601">
        <f>HYPERLINK("http://catalog.hathitrust.org/Record/003293599","HathiTrust Record")</f>
        <v/>
      </c>
      <c r="AS2601">
        <f>HYPERLINK("https://creighton-primo.hosted.exlibrisgroup.com/primo-explore/search?tab=default_tab&amp;search_scope=EVERYTHING&amp;vid=01CRU&amp;lang=en_US&amp;offset=0&amp;query=any,contains,991001757379702656","Catalog Record")</f>
        <v/>
      </c>
      <c r="AT2601">
        <f>HYPERLINK("http://www.worldcat.org/oclc/22224593","WorldCat Record")</f>
        <v/>
      </c>
      <c r="AU2601" t="inlineStr">
        <is>
          <t>3768546191:eng</t>
        </is>
      </c>
      <c r="AV2601" t="inlineStr">
        <is>
          <t>22224593</t>
        </is>
      </c>
      <c r="AW2601" t="inlineStr">
        <is>
          <t>991001757379702656</t>
        </is>
      </c>
      <c r="AX2601" t="inlineStr">
        <is>
          <t>991001757379702656</t>
        </is>
      </c>
      <c r="AY2601" t="inlineStr">
        <is>
          <t>2255242480002656</t>
        </is>
      </c>
      <c r="AZ2601" t="inlineStr">
        <is>
          <t>BOOK</t>
        </is>
      </c>
      <c r="BC2601" t="inlineStr">
        <is>
          <t>32285003533840</t>
        </is>
      </c>
      <c r="BD2601" t="inlineStr">
        <is>
          <t>893703304</t>
        </is>
      </c>
    </row>
    <row r="2602">
      <c r="A2602" t="inlineStr">
        <is>
          <t>No</t>
        </is>
      </c>
      <c r="B2602" t="inlineStr">
        <is>
          <t>DS89.S5 J5</t>
        </is>
      </c>
      <c r="C2602" t="inlineStr">
        <is>
          <t>0                      DS 0089000S  5                  J  5</t>
        </is>
      </c>
      <c r="D2602" t="inlineStr">
        <is>
          <t>Sidon, through the ages, with a foreword by Maurice Dunand.</t>
        </is>
      </c>
      <c r="F2602" t="inlineStr">
        <is>
          <t>No</t>
        </is>
      </c>
      <c r="G2602" t="inlineStr">
        <is>
          <t>1</t>
        </is>
      </c>
      <c r="H2602" t="inlineStr">
        <is>
          <t>No</t>
        </is>
      </c>
      <c r="I2602" t="inlineStr">
        <is>
          <t>No</t>
        </is>
      </c>
      <c r="J2602" t="inlineStr">
        <is>
          <t>0</t>
        </is>
      </c>
      <c r="K2602" t="inlineStr">
        <is>
          <t>Jidejian, Nina.</t>
        </is>
      </c>
      <c r="L2602" t="inlineStr">
        <is>
          <t>Beirut, Dar el-Mach-req [1971]</t>
        </is>
      </c>
      <c r="M2602" t="inlineStr">
        <is>
          <t>1971</t>
        </is>
      </c>
      <c r="O2602" t="inlineStr">
        <is>
          <t>eng</t>
        </is>
      </c>
      <c r="P2602" t="inlineStr">
        <is>
          <t xml:space="preserve">le </t>
        </is>
      </c>
      <c r="R2602" t="inlineStr">
        <is>
          <t xml:space="preserve">DS </t>
        </is>
      </c>
      <c r="S2602" t="n">
        <v>1</v>
      </c>
      <c r="T2602" t="n">
        <v>1</v>
      </c>
      <c r="U2602" t="inlineStr">
        <is>
          <t>2003-03-19</t>
        </is>
      </c>
      <c r="V2602" t="inlineStr">
        <is>
          <t>2003-03-19</t>
        </is>
      </c>
      <c r="W2602" t="inlineStr">
        <is>
          <t>1997-02-24</t>
        </is>
      </c>
      <c r="X2602" t="inlineStr">
        <is>
          <t>1997-02-24</t>
        </is>
      </c>
      <c r="Y2602" t="n">
        <v>338</v>
      </c>
      <c r="Z2602" t="n">
        <v>283</v>
      </c>
      <c r="AA2602" t="n">
        <v>289</v>
      </c>
      <c r="AB2602" t="n">
        <v>3</v>
      </c>
      <c r="AC2602" t="n">
        <v>3</v>
      </c>
      <c r="AD2602" t="n">
        <v>12</v>
      </c>
      <c r="AE2602" t="n">
        <v>12</v>
      </c>
      <c r="AF2602" t="n">
        <v>3</v>
      </c>
      <c r="AG2602" t="n">
        <v>3</v>
      </c>
      <c r="AH2602" t="n">
        <v>3</v>
      </c>
      <c r="AI2602" t="n">
        <v>3</v>
      </c>
      <c r="AJ2602" t="n">
        <v>7</v>
      </c>
      <c r="AK2602" t="n">
        <v>7</v>
      </c>
      <c r="AL2602" t="n">
        <v>2</v>
      </c>
      <c r="AM2602" t="n">
        <v>2</v>
      </c>
      <c r="AN2602" t="n">
        <v>0</v>
      </c>
      <c r="AO2602" t="n">
        <v>0</v>
      </c>
      <c r="AP2602" t="inlineStr">
        <is>
          <t>No</t>
        </is>
      </c>
      <c r="AQ2602" t="inlineStr">
        <is>
          <t>Yes</t>
        </is>
      </c>
      <c r="AR2602">
        <f>HYPERLINK("http://catalog.hathitrust.org/Record/001246836","HathiTrust Record")</f>
        <v/>
      </c>
      <c r="AS2602">
        <f>HYPERLINK("https://creighton-primo.hosted.exlibrisgroup.com/primo-explore/search?tab=default_tab&amp;search_scope=EVERYTHING&amp;vid=01CRU&amp;lang=en_US&amp;offset=0&amp;query=any,contains,991002702019702656","Catalog Record")</f>
        <v/>
      </c>
      <c r="AT2602">
        <f>HYPERLINK("http://www.worldcat.org/oclc/405939","WorldCat Record")</f>
        <v/>
      </c>
      <c r="AU2602" t="inlineStr">
        <is>
          <t>1432691:eng</t>
        </is>
      </c>
      <c r="AV2602" t="inlineStr">
        <is>
          <t>405939</t>
        </is>
      </c>
      <c r="AW2602" t="inlineStr">
        <is>
          <t>991002702019702656</t>
        </is>
      </c>
      <c r="AX2602" t="inlineStr">
        <is>
          <t>991002702019702656</t>
        </is>
      </c>
      <c r="AY2602" t="inlineStr">
        <is>
          <t>2258378290002656</t>
        </is>
      </c>
      <c r="AZ2602" t="inlineStr">
        <is>
          <t>BOOK</t>
        </is>
      </c>
      <c r="BC2602" t="inlineStr">
        <is>
          <t>32285002460425</t>
        </is>
      </c>
      <c r="BD2602" t="inlineStr">
        <is>
          <t>893804914</t>
        </is>
      </c>
    </row>
    <row r="2603">
      <c r="A2603" t="inlineStr">
        <is>
          <t>No</t>
        </is>
      </c>
      <c r="B2603" t="inlineStr">
        <is>
          <t>DS89.T8 J53</t>
        </is>
      </c>
      <c r="C2603" t="inlineStr">
        <is>
          <t>0                      DS 0089000T  8                  J  53</t>
        </is>
      </c>
      <c r="D2603" t="inlineStr">
        <is>
          <t>Tyre through the ages. With a foreword by Émir Maurice Chéhab.</t>
        </is>
      </c>
      <c r="F2603" t="inlineStr">
        <is>
          <t>No</t>
        </is>
      </c>
      <c r="G2603" t="inlineStr">
        <is>
          <t>1</t>
        </is>
      </c>
      <c r="H2603" t="inlineStr">
        <is>
          <t>No</t>
        </is>
      </c>
      <c r="I2603" t="inlineStr">
        <is>
          <t>No</t>
        </is>
      </c>
      <c r="J2603" t="inlineStr">
        <is>
          <t>0</t>
        </is>
      </c>
      <c r="K2603" t="inlineStr">
        <is>
          <t>Jidejian, Nina.</t>
        </is>
      </c>
      <c r="L2603" t="inlineStr">
        <is>
          <t>Beirut, Dar el-Mashreq Publishers [1969]</t>
        </is>
      </c>
      <c r="M2603" t="inlineStr">
        <is>
          <t>1969</t>
        </is>
      </c>
      <c r="O2603" t="inlineStr">
        <is>
          <t>eng</t>
        </is>
      </c>
      <c r="P2603" t="inlineStr">
        <is>
          <t xml:space="preserve">le </t>
        </is>
      </c>
      <c r="R2603" t="inlineStr">
        <is>
          <t xml:space="preserve">DS </t>
        </is>
      </c>
      <c r="S2603" t="n">
        <v>1</v>
      </c>
      <c r="T2603" t="n">
        <v>1</v>
      </c>
      <c r="U2603" t="inlineStr">
        <is>
          <t>2003-03-19</t>
        </is>
      </c>
      <c r="V2603" t="inlineStr">
        <is>
          <t>2003-03-19</t>
        </is>
      </c>
      <c r="W2603" t="inlineStr">
        <is>
          <t>1997-02-24</t>
        </is>
      </c>
      <c r="X2603" t="inlineStr">
        <is>
          <t>1997-02-24</t>
        </is>
      </c>
      <c r="Y2603" t="n">
        <v>413</v>
      </c>
      <c r="Z2603" t="n">
        <v>341</v>
      </c>
      <c r="AA2603" t="n">
        <v>344</v>
      </c>
      <c r="AB2603" t="n">
        <v>3</v>
      </c>
      <c r="AC2603" t="n">
        <v>3</v>
      </c>
      <c r="AD2603" t="n">
        <v>11</v>
      </c>
      <c r="AE2603" t="n">
        <v>11</v>
      </c>
      <c r="AF2603" t="n">
        <v>3</v>
      </c>
      <c r="AG2603" t="n">
        <v>3</v>
      </c>
      <c r="AH2603" t="n">
        <v>2</v>
      </c>
      <c r="AI2603" t="n">
        <v>2</v>
      </c>
      <c r="AJ2603" t="n">
        <v>6</v>
      </c>
      <c r="AK2603" t="n">
        <v>6</v>
      </c>
      <c r="AL2603" t="n">
        <v>2</v>
      </c>
      <c r="AM2603" t="n">
        <v>2</v>
      </c>
      <c r="AN2603" t="n">
        <v>0</v>
      </c>
      <c r="AO2603" t="n">
        <v>0</v>
      </c>
      <c r="AP2603" t="inlineStr">
        <is>
          <t>No</t>
        </is>
      </c>
      <c r="AQ2603" t="inlineStr">
        <is>
          <t>Yes</t>
        </is>
      </c>
      <c r="AR2603">
        <f>HYPERLINK("http://catalog.hathitrust.org/Record/001241795","HathiTrust Record")</f>
        <v/>
      </c>
      <c r="AS2603">
        <f>HYPERLINK("https://creighton-primo.hosted.exlibrisgroup.com/primo-explore/search?tab=default_tab&amp;search_scope=EVERYTHING&amp;vid=01CRU&amp;lang=en_US&amp;offset=0&amp;query=any,contains,991002269649702656","Catalog Record")</f>
        <v/>
      </c>
      <c r="AT2603">
        <f>HYPERLINK("http://www.worldcat.org/oclc/307825","WorldCat Record")</f>
        <v/>
      </c>
      <c r="AU2603" t="inlineStr">
        <is>
          <t>1362243:eng</t>
        </is>
      </c>
      <c r="AV2603" t="inlineStr">
        <is>
          <t>307825</t>
        </is>
      </c>
      <c r="AW2603" t="inlineStr">
        <is>
          <t>991002269649702656</t>
        </is>
      </c>
      <c r="AX2603" t="inlineStr">
        <is>
          <t>991002269649702656</t>
        </is>
      </c>
      <c r="AY2603" t="inlineStr">
        <is>
          <t>2264501650002656</t>
        </is>
      </c>
      <c r="AZ2603" t="inlineStr">
        <is>
          <t>BOOK</t>
        </is>
      </c>
      <c r="BC2603" t="inlineStr">
        <is>
          <t>32285002460441</t>
        </is>
      </c>
      <c r="BD2603" t="inlineStr">
        <is>
          <t>893697562</t>
        </is>
      </c>
    </row>
    <row r="2604">
      <c r="A2604" t="inlineStr">
        <is>
          <t>No</t>
        </is>
      </c>
      <c r="B2604" t="inlineStr">
        <is>
          <t>DS890.Y6 D68</t>
        </is>
      </c>
      <c r="C2604" t="inlineStr">
        <is>
          <t>0                      DS 0890000Y  6                  D  68</t>
        </is>
      </c>
      <c r="D2604" t="inlineStr">
        <is>
          <t>Empire and aftermath : Yoshida Shigeru and the Japanese experience, 1878-1954 / J. W. Dower.</t>
        </is>
      </c>
      <c r="F2604" t="inlineStr">
        <is>
          <t>No</t>
        </is>
      </c>
      <c r="G2604" t="inlineStr">
        <is>
          <t>1</t>
        </is>
      </c>
      <c r="H2604" t="inlineStr">
        <is>
          <t>No</t>
        </is>
      </c>
      <c r="I2604" t="inlineStr">
        <is>
          <t>No</t>
        </is>
      </c>
      <c r="J2604" t="inlineStr">
        <is>
          <t>0</t>
        </is>
      </c>
      <c r="K2604" t="inlineStr">
        <is>
          <t>Dower, John W.</t>
        </is>
      </c>
      <c r="L2604" t="inlineStr">
        <is>
          <t>Cambridge, Mass. : Council on East Asian Studies, Harvard University : distributed by Harvard University Press, 1979.</t>
        </is>
      </c>
      <c r="M2604" t="inlineStr">
        <is>
          <t>1979</t>
        </is>
      </c>
      <c r="O2604" t="inlineStr">
        <is>
          <t>eng</t>
        </is>
      </c>
      <c r="P2604" t="inlineStr">
        <is>
          <t>mau</t>
        </is>
      </c>
      <c r="Q2604" t="inlineStr">
        <is>
          <t>Harvard East Asian monographs ; 84</t>
        </is>
      </c>
      <c r="R2604" t="inlineStr">
        <is>
          <t xml:space="preserve">DS </t>
        </is>
      </c>
      <c r="S2604" t="n">
        <v>2</v>
      </c>
      <c r="T2604" t="n">
        <v>2</v>
      </c>
      <c r="U2604" t="inlineStr">
        <is>
          <t>1995-09-27</t>
        </is>
      </c>
      <c r="V2604" t="inlineStr">
        <is>
          <t>1995-09-27</t>
        </is>
      </c>
      <c r="W2604" t="inlineStr">
        <is>
          <t>1990-06-12</t>
        </is>
      </c>
      <c r="X2604" t="inlineStr">
        <is>
          <t>1990-06-12</t>
        </is>
      </c>
      <c r="Y2604" t="n">
        <v>538</v>
      </c>
      <c r="Z2604" t="n">
        <v>414</v>
      </c>
      <c r="AA2604" t="n">
        <v>513</v>
      </c>
      <c r="AB2604" t="n">
        <v>3</v>
      </c>
      <c r="AC2604" t="n">
        <v>4</v>
      </c>
      <c r="AD2604" t="n">
        <v>15</v>
      </c>
      <c r="AE2604" t="n">
        <v>27</v>
      </c>
      <c r="AF2604" t="n">
        <v>6</v>
      </c>
      <c r="AG2604" t="n">
        <v>16</v>
      </c>
      <c r="AH2604" t="n">
        <v>4</v>
      </c>
      <c r="AI2604" t="n">
        <v>6</v>
      </c>
      <c r="AJ2604" t="n">
        <v>8</v>
      </c>
      <c r="AK2604" t="n">
        <v>10</v>
      </c>
      <c r="AL2604" t="n">
        <v>2</v>
      </c>
      <c r="AM2604" t="n">
        <v>3</v>
      </c>
      <c r="AN2604" t="n">
        <v>0</v>
      </c>
      <c r="AO2604" t="n">
        <v>0</v>
      </c>
      <c r="AP2604" t="inlineStr">
        <is>
          <t>No</t>
        </is>
      </c>
      <c r="AQ2604" t="inlineStr">
        <is>
          <t>No</t>
        </is>
      </c>
      <c r="AS2604">
        <f>HYPERLINK("https://creighton-primo.hosted.exlibrisgroup.com/primo-explore/search?tab=default_tab&amp;search_scope=EVERYTHING&amp;vid=01CRU&amp;lang=en_US&amp;offset=0&amp;query=any,contains,991004805069702656","Catalog Record")</f>
        <v/>
      </c>
      <c r="AT2604">
        <f>HYPERLINK("http://www.worldcat.org/oclc/5239823","WorldCat Record")</f>
        <v/>
      </c>
      <c r="AU2604" t="inlineStr">
        <is>
          <t>521211:eng</t>
        </is>
      </c>
      <c r="AV2604" t="inlineStr">
        <is>
          <t>5239823</t>
        </is>
      </c>
      <c r="AW2604" t="inlineStr">
        <is>
          <t>991004805069702656</t>
        </is>
      </c>
      <c r="AX2604" t="inlineStr">
        <is>
          <t>991004805069702656</t>
        </is>
      </c>
      <c r="AY2604" t="inlineStr">
        <is>
          <t>2264322310002656</t>
        </is>
      </c>
      <c r="AZ2604" t="inlineStr">
        <is>
          <t>BOOK</t>
        </is>
      </c>
      <c r="BB2604" t="inlineStr">
        <is>
          <t>9780674251250</t>
        </is>
      </c>
      <c r="BC2604" t="inlineStr">
        <is>
          <t>32285000190610</t>
        </is>
      </c>
      <c r="BD2604" t="inlineStr">
        <is>
          <t>893235938</t>
        </is>
      </c>
    </row>
    <row r="2605">
      <c r="A2605" t="inlineStr">
        <is>
          <t>No</t>
        </is>
      </c>
      <c r="B2605" t="inlineStr">
        <is>
          <t>DS891 .K47 2001</t>
        </is>
      </c>
      <c r="C2605" t="inlineStr">
        <is>
          <t>0                      DS 0891000K  47          2001</t>
        </is>
      </c>
      <c r="D2605" t="inlineStr">
        <is>
          <t>Dogs and demons : tales from the dark side of Japan / Alex Kerr.</t>
        </is>
      </c>
      <c r="F2605" t="inlineStr">
        <is>
          <t>No</t>
        </is>
      </c>
      <c r="G2605" t="inlineStr">
        <is>
          <t>1</t>
        </is>
      </c>
      <c r="H2605" t="inlineStr">
        <is>
          <t>No</t>
        </is>
      </c>
      <c r="I2605" t="inlineStr">
        <is>
          <t>No</t>
        </is>
      </c>
      <c r="J2605" t="inlineStr">
        <is>
          <t>0</t>
        </is>
      </c>
      <c r="K2605" t="inlineStr">
        <is>
          <t>Kerr, Alex, 1952-</t>
        </is>
      </c>
      <c r="L2605" t="inlineStr">
        <is>
          <t>New York : Hill and Wang, 2001.</t>
        </is>
      </c>
      <c r="M2605" t="inlineStr">
        <is>
          <t>2001</t>
        </is>
      </c>
      <c r="N2605" t="inlineStr">
        <is>
          <t>1st ed.</t>
        </is>
      </c>
      <c r="O2605" t="inlineStr">
        <is>
          <t>eng</t>
        </is>
      </c>
      <c r="P2605" t="inlineStr">
        <is>
          <t>nyu</t>
        </is>
      </c>
      <c r="R2605" t="inlineStr">
        <is>
          <t xml:space="preserve">DS </t>
        </is>
      </c>
      <c r="S2605" t="n">
        <v>2</v>
      </c>
      <c r="T2605" t="n">
        <v>2</v>
      </c>
      <c r="U2605" t="inlineStr">
        <is>
          <t>2001-09-17</t>
        </is>
      </c>
      <c r="V2605" t="inlineStr">
        <is>
          <t>2001-09-17</t>
        </is>
      </c>
      <c r="W2605" t="inlineStr">
        <is>
          <t>2001-08-30</t>
        </is>
      </c>
      <c r="X2605" t="inlineStr">
        <is>
          <t>2001-08-30</t>
        </is>
      </c>
      <c r="Y2605" t="n">
        <v>644</v>
      </c>
      <c r="Z2605" t="n">
        <v>570</v>
      </c>
      <c r="AA2605" t="n">
        <v>579</v>
      </c>
      <c r="AB2605" t="n">
        <v>3</v>
      </c>
      <c r="AC2605" t="n">
        <v>3</v>
      </c>
      <c r="AD2605" t="n">
        <v>20</v>
      </c>
      <c r="AE2605" t="n">
        <v>20</v>
      </c>
      <c r="AF2605" t="n">
        <v>8</v>
      </c>
      <c r="AG2605" t="n">
        <v>8</v>
      </c>
      <c r="AH2605" t="n">
        <v>5</v>
      </c>
      <c r="AI2605" t="n">
        <v>5</v>
      </c>
      <c r="AJ2605" t="n">
        <v>11</v>
      </c>
      <c r="AK2605" t="n">
        <v>11</v>
      </c>
      <c r="AL2605" t="n">
        <v>2</v>
      </c>
      <c r="AM2605" t="n">
        <v>2</v>
      </c>
      <c r="AN2605" t="n">
        <v>0</v>
      </c>
      <c r="AO2605" t="n">
        <v>0</v>
      </c>
      <c r="AP2605" t="inlineStr">
        <is>
          <t>No</t>
        </is>
      </c>
      <c r="AQ2605" t="inlineStr">
        <is>
          <t>No</t>
        </is>
      </c>
      <c r="AS2605">
        <f>HYPERLINK("https://creighton-primo.hosted.exlibrisgroup.com/primo-explore/search?tab=default_tab&amp;search_scope=EVERYTHING&amp;vid=01CRU&amp;lang=en_US&amp;offset=0&amp;query=any,contains,991003597769702656","Catalog Record")</f>
        <v/>
      </c>
      <c r="AT2605">
        <f>HYPERLINK("http://www.worldcat.org/oclc/44727781","WorldCat Record")</f>
        <v/>
      </c>
      <c r="AU2605" t="inlineStr">
        <is>
          <t>3856863656:eng</t>
        </is>
      </c>
      <c r="AV2605" t="inlineStr">
        <is>
          <t>44727781</t>
        </is>
      </c>
      <c r="AW2605" t="inlineStr">
        <is>
          <t>991003597769702656</t>
        </is>
      </c>
      <c r="AX2605" t="inlineStr">
        <is>
          <t>991003597769702656</t>
        </is>
      </c>
      <c r="AY2605" t="inlineStr">
        <is>
          <t>2255530600002656</t>
        </is>
      </c>
      <c r="AZ2605" t="inlineStr">
        <is>
          <t>BOOK</t>
        </is>
      </c>
      <c r="BB2605" t="inlineStr">
        <is>
          <t>9780809095216</t>
        </is>
      </c>
      <c r="BC2605" t="inlineStr">
        <is>
          <t>32285004383708</t>
        </is>
      </c>
      <c r="BD2605" t="inlineStr">
        <is>
          <t>893604966</t>
        </is>
      </c>
    </row>
    <row r="2606">
      <c r="A2606" t="inlineStr">
        <is>
          <t>No</t>
        </is>
      </c>
      <c r="B2606" t="inlineStr">
        <is>
          <t>DS891 .V58 1997</t>
        </is>
      </c>
      <c r="C2606" t="inlineStr">
        <is>
          <t>0                      DS 0891000V  58          1997</t>
        </is>
      </c>
      <c r="D2606" t="inlineStr">
        <is>
          <t>The vitality of Japan : sources of national strength and weakness / edited by Armand Clesse ... [et al.].</t>
        </is>
      </c>
      <c r="F2606" t="inlineStr">
        <is>
          <t>No</t>
        </is>
      </c>
      <c r="G2606" t="inlineStr">
        <is>
          <t>1</t>
        </is>
      </c>
      <c r="H2606" t="inlineStr">
        <is>
          <t>No</t>
        </is>
      </c>
      <c r="I2606" t="inlineStr">
        <is>
          <t>No</t>
        </is>
      </c>
      <c r="J2606" t="inlineStr">
        <is>
          <t>0</t>
        </is>
      </c>
      <c r="L2606" t="inlineStr">
        <is>
          <t>Houndmills, Basingstoke, Hampshire : Macmillan Press ; New York : St. Martin's Press, 1997.</t>
        </is>
      </c>
      <c r="M2606" t="inlineStr">
        <is>
          <t>1997</t>
        </is>
      </c>
      <c r="O2606" t="inlineStr">
        <is>
          <t>eng</t>
        </is>
      </c>
      <c r="P2606" t="inlineStr">
        <is>
          <t>enk</t>
        </is>
      </c>
      <c r="Q2606" t="inlineStr">
        <is>
          <t>St. Antony's series</t>
        </is>
      </c>
      <c r="R2606" t="inlineStr">
        <is>
          <t xml:space="preserve">DS </t>
        </is>
      </c>
      <c r="S2606" t="n">
        <v>2</v>
      </c>
      <c r="T2606" t="n">
        <v>2</v>
      </c>
      <c r="U2606" t="inlineStr">
        <is>
          <t>1998-09-11</t>
        </is>
      </c>
      <c r="V2606" t="inlineStr">
        <is>
          <t>1998-09-11</t>
        </is>
      </c>
      <c r="W2606" t="inlineStr">
        <is>
          <t>1998-06-17</t>
        </is>
      </c>
      <c r="X2606" t="inlineStr">
        <is>
          <t>1998-06-17</t>
        </is>
      </c>
      <c r="Y2606" t="n">
        <v>229</v>
      </c>
      <c r="Z2606" t="n">
        <v>162</v>
      </c>
      <c r="AA2606" t="n">
        <v>167</v>
      </c>
      <c r="AB2606" t="n">
        <v>1</v>
      </c>
      <c r="AC2606" t="n">
        <v>1</v>
      </c>
      <c r="AD2606" t="n">
        <v>9</v>
      </c>
      <c r="AE2606" t="n">
        <v>10</v>
      </c>
      <c r="AF2606" t="n">
        <v>3</v>
      </c>
      <c r="AG2606" t="n">
        <v>4</v>
      </c>
      <c r="AH2606" t="n">
        <v>2</v>
      </c>
      <c r="AI2606" t="n">
        <v>2</v>
      </c>
      <c r="AJ2606" t="n">
        <v>6</v>
      </c>
      <c r="AK2606" t="n">
        <v>7</v>
      </c>
      <c r="AL2606" t="n">
        <v>0</v>
      </c>
      <c r="AM2606" t="n">
        <v>0</v>
      </c>
      <c r="AN2606" t="n">
        <v>1</v>
      </c>
      <c r="AO2606" t="n">
        <v>1</v>
      </c>
      <c r="AP2606" t="inlineStr">
        <is>
          <t>No</t>
        </is>
      </c>
      <c r="AQ2606" t="inlineStr">
        <is>
          <t>No</t>
        </is>
      </c>
      <c r="AS2606">
        <f>HYPERLINK("https://creighton-primo.hosted.exlibrisgroup.com/primo-explore/search?tab=default_tab&amp;search_scope=EVERYTHING&amp;vid=01CRU&amp;lang=en_US&amp;offset=0&amp;query=any,contains,991002752899702656","Catalog Record")</f>
        <v/>
      </c>
      <c r="AT2606">
        <f>HYPERLINK("http://www.worldcat.org/oclc/36126387","WorldCat Record")</f>
        <v/>
      </c>
      <c r="AU2606" t="inlineStr">
        <is>
          <t>837054559:eng</t>
        </is>
      </c>
      <c r="AV2606" t="inlineStr">
        <is>
          <t>36126387</t>
        </is>
      </c>
      <c r="AW2606" t="inlineStr">
        <is>
          <t>991002752899702656</t>
        </is>
      </c>
      <c r="AX2606" t="inlineStr">
        <is>
          <t>991002752899702656</t>
        </is>
      </c>
      <c r="AY2606" t="inlineStr">
        <is>
          <t>2260484730002656</t>
        </is>
      </c>
      <c r="AZ2606" t="inlineStr">
        <is>
          <t>BOOK</t>
        </is>
      </c>
      <c r="BB2606" t="inlineStr">
        <is>
          <t>9780312173135</t>
        </is>
      </c>
      <c r="BC2606" t="inlineStr">
        <is>
          <t>32285003421699</t>
        </is>
      </c>
      <c r="BD2606" t="inlineStr">
        <is>
          <t>893323332</t>
        </is>
      </c>
    </row>
    <row r="2607">
      <c r="A2607" t="inlineStr">
        <is>
          <t>No</t>
        </is>
      </c>
      <c r="B2607" t="inlineStr">
        <is>
          <t>DS891.2 .K39 2003</t>
        </is>
      </c>
      <c r="C2607" t="inlineStr">
        <is>
          <t>0                      DS 0891200K  39          2003</t>
        </is>
      </c>
      <c r="D2607" t="inlineStr">
        <is>
          <t>Japanese foreign policy at the crossroads : challenges and options for the twenty-first century / Yutaka Kawashima.</t>
        </is>
      </c>
      <c r="F2607" t="inlineStr">
        <is>
          <t>No</t>
        </is>
      </c>
      <c r="G2607" t="inlineStr">
        <is>
          <t>1</t>
        </is>
      </c>
      <c r="H2607" t="inlineStr">
        <is>
          <t>No</t>
        </is>
      </c>
      <c r="I2607" t="inlineStr">
        <is>
          <t>No</t>
        </is>
      </c>
      <c r="J2607" t="inlineStr">
        <is>
          <t>0</t>
        </is>
      </c>
      <c r="K2607" t="inlineStr">
        <is>
          <t>Kawashima, Yutaka, 1942-</t>
        </is>
      </c>
      <c r="L2607" t="inlineStr">
        <is>
          <t>Washington, D.C. : Brookings Institution Press, c2003.</t>
        </is>
      </c>
      <c r="M2607" t="inlineStr">
        <is>
          <t>2003</t>
        </is>
      </c>
      <c r="O2607" t="inlineStr">
        <is>
          <t>eng</t>
        </is>
      </c>
      <c r="P2607" t="inlineStr">
        <is>
          <t>dcu</t>
        </is>
      </c>
      <c r="R2607" t="inlineStr">
        <is>
          <t xml:space="preserve">DS </t>
        </is>
      </c>
      <c r="S2607" t="n">
        <v>3</v>
      </c>
      <c r="T2607" t="n">
        <v>3</v>
      </c>
      <c r="U2607" t="inlineStr">
        <is>
          <t>2005-01-19</t>
        </is>
      </c>
      <c r="V2607" t="inlineStr">
        <is>
          <t>2005-01-19</t>
        </is>
      </c>
      <c r="W2607" t="inlineStr">
        <is>
          <t>2003-12-02</t>
        </is>
      </c>
      <c r="X2607" t="inlineStr">
        <is>
          <t>2003-12-02</t>
        </is>
      </c>
      <c r="Y2607" t="n">
        <v>514</v>
      </c>
      <c r="Z2607" t="n">
        <v>408</v>
      </c>
      <c r="AA2607" t="n">
        <v>1338</v>
      </c>
      <c r="AB2607" t="n">
        <v>3</v>
      </c>
      <c r="AC2607" t="n">
        <v>15</v>
      </c>
      <c r="AD2607" t="n">
        <v>25</v>
      </c>
      <c r="AE2607" t="n">
        <v>51</v>
      </c>
      <c r="AF2607" t="n">
        <v>11</v>
      </c>
      <c r="AG2607" t="n">
        <v>21</v>
      </c>
      <c r="AH2607" t="n">
        <v>7</v>
      </c>
      <c r="AI2607" t="n">
        <v>10</v>
      </c>
      <c r="AJ2607" t="n">
        <v>15</v>
      </c>
      <c r="AK2607" t="n">
        <v>19</v>
      </c>
      <c r="AL2607" t="n">
        <v>2</v>
      </c>
      <c r="AM2607" t="n">
        <v>13</v>
      </c>
      <c r="AN2607" t="n">
        <v>0</v>
      </c>
      <c r="AO2607" t="n">
        <v>1</v>
      </c>
      <c r="AP2607" t="inlineStr">
        <is>
          <t>No</t>
        </is>
      </c>
      <c r="AQ2607" t="inlineStr">
        <is>
          <t>Yes</t>
        </is>
      </c>
      <c r="AR2607">
        <f>HYPERLINK("http://catalog.hathitrust.org/Record/004345157","HathiTrust Record")</f>
        <v/>
      </c>
      <c r="AS2607">
        <f>HYPERLINK("https://creighton-primo.hosted.exlibrisgroup.com/primo-explore/search?tab=default_tab&amp;search_scope=EVERYTHING&amp;vid=01CRU&amp;lang=en_US&amp;offset=0&amp;query=any,contains,991004196509702656","Catalog Record")</f>
        <v/>
      </c>
      <c r="AT2607">
        <f>HYPERLINK("http://www.worldcat.org/oclc/52757522","WorldCat Record")</f>
        <v/>
      </c>
      <c r="AU2607" t="inlineStr">
        <is>
          <t>4918469144:eng</t>
        </is>
      </c>
      <c r="AV2607" t="inlineStr">
        <is>
          <t>52757522</t>
        </is>
      </c>
      <c r="AW2607" t="inlineStr">
        <is>
          <t>991004196509702656</t>
        </is>
      </c>
      <c r="AX2607" t="inlineStr">
        <is>
          <t>991004196509702656</t>
        </is>
      </c>
      <c r="AY2607" t="inlineStr">
        <is>
          <t>2265072690002656</t>
        </is>
      </c>
      <c r="AZ2607" t="inlineStr">
        <is>
          <t>BOOK</t>
        </is>
      </c>
      <c r="BB2607" t="inlineStr">
        <is>
          <t>9780815748700</t>
        </is>
      </c>
      <c r="BC2607" t="inlineStr">
        <is>
          <t>32285004843859</t>
        </is>
      </c>
      <c r="BD2607" t="inlineStr">
        <is>
          <t>893241139</t>
        </is>
      </c>
    </row>
    <row r="2608">
      <c r="A2608" t="inlineStr">
        <is>
          <t>No</t>
        </is>
      </c>
      <c r="B2608" t="inlineStr">
        <is>
          <t>DS894.59.T698 L48 2000</t>
        </is>
      </c>
      <c r="C2608" t="inlineStr">
        <is>
          <t>0                      DS 0894590T  698                L  48          2000</t>
        </is>
      </c>
      <c r="D2608" t="inlineStr">
        <is>
          <t>Becoming apart : national power and local politics in Toyama, 1868-1945 / Michael Lewis.</t>
        </is>
      </c>
      <c r="F2608" t="inlineStr">
        <is>
          <t>No</t>
        </is>
      </c>
      <c r="G2608" t="inlineStr">
        <is>
          <t>1</t>
        </is>
      </c>
      <c r="H2608" t="inlineStr">
        <is>
          <t>No</t>
        </is>
      </c>
      <c r="I2608" t="inlineStr">
        <is>
          <t>No</t>
        </is>
      </c>
      <c r="J2608" t="inlineStr">
        <is>
          <t>0</t>
        </is>
      </c>
      <c r="K2608" t="inlineStr">
        <is>
          <t>Lewis, Michael, 1949-</t>
        </is>
      </c>
      <c r="L2608" t="inlineStr">
        <is>
          <t>Cambridge, Mass. : Harvard University Asia Center, 2000.</t>
        </is>
      </c>
      <c r="M2608" t="inlineStr">
        <is>
          <t>2000</t>
        </is>
      </c>
      <c r="O2608" t="inlineStr">
        <is>
          <t>eng</t>
        </is>
      </c>
      <c r="P2608" t="inlineStr">
        <is>
          <t>mau</t>
        </is>
      </c>
      <c r="Q2608" t="inlineStr">
        <is>
          <t>Harvard East Asian monographs ; 192</t>
        </is>
      </c>
      <c r="R2608" t="inlineStr">
        <is>
          <t xml:space="preserve">DS </t>
        </is>
      </c>
      <c r="S2608" t="n">
        <v>1</v>
      </c>
      <c r="T2608" t="n">
        <v>1</v>
      </c>
      <c r="U2608" t="inlineStr">
        <is>
          <t>2001-05-15</t>
        </is>
      </c>
      <c r="V2608" t="inlineStr">
        <is>
          <t>2001-05-15</t>
        </is>
      </c>
      <c r="W2608" t="inlineStr">
        <is>
          <t>2001-05-14</t>
        </is>
      </c>
      <c r="X2608" t="inlineStr">
        <is>
          <t>2001-05-14</t>
        </is>
      </c>
      <c r="Y2608" t="n">
        <v>281</v>
      </c>
      <c r="Z2608" t="n">
        <v>222</v>
      </c>
      <c r="AA2608" t="n">
        <v>279</v>
      </c>
      <c r="AB2608" t="n">
        <v>3</v>
      </c>
      <c r="AC2608" t="n">
        <v>3</v>
      </c>
      <c r="AD2608" t="n">
        <v>11</v>
      </c>
      <c r="AE2608" t="n">
        <v>17</v>
      </c>
      <c r="AF2608" t="n">
        <v>2</v>
      </c>
      <c r="AG2608" t="n">
        <v>7</v>
      </c>
      <c r="AH2608" t="n">
        <v>4</v>
      </c>
      <c r="AI2608" t="n">
        <v>5</v>
      </c>
      <c r="AJ2608" t="n">
        <v>6</v>
      </c>
      <c r="AK2608" t="n">
        <v>7</v>
      </c>
      <c r="AL2608" t="n">
        <v>2</v>
      </c>
      <c r="AM2608" t="n">
        <v>2</v>
      </c>
      <c r="AN2608" t="n">
        <v>0</v>
      </c>
      <c r="AO2608" t="n">
        <v>0</v>
      </c>
      <c r="AP2608" t="inlineStr">
        <is>
          <t>No</t>
        </is>
      </c>
      <c r="AQ2608" t="inlineStr">
        <is>
          <t>Yes</t>
        </is>
      </c>
      <c r="AR2608">
        <f>HYPERLINK("http://catalog.hathitrust.org/Record/003509325","HathiTrust Record")</f>
        <v/>
      </c>
      <c r="AS2608">
        <f>HYPERLINK("https://creighton-primo.hosted.exlibrisgroup.com/primo-explore/search?tab=default_tab&amp;search_scope=EVERYTHING&amp;vid=01CRU&amp;lang=en_US&amp;offset=0&amp;query=any,contains,991003509859702656","Catalog Record")</f>
        <v/>
      </c>
      <c r="AT2608">
        <f>HYPERLINK("http://www.worldcat.org/oclc/43851406","WorldCat Record")</f>
        <v/>
      </c>
      <c r="AU2608" t="inlineStr">
        <is>
          <t>235496664:eng</t>
        </is>
      </c>
      <c r="AV2608" t="inlineStr">
        <is>
          <t>43851406</t>
        </is>
      </c>
      <c r="AW2608" t="inlineStr">
        <is>
          <t>991003509859702656</t>
        </is>
      </c>
      <c r="AX2608" t="inlineStr">
        <is>
          <t>991003509859702656</t>
        </is>
      </c>
      <c r="AY2608" t="inlineStr">
        <is>
          <t>2272163740002656</t>
        </is>
      </c>
      <c r="AZ2608" t="inlineStr">
        <is>
          <t>BOOK</t>
        </is>
      </c>
      <c r="BB2608" t="inlineStr">
        <is>
          <t>9780674002425</t>
        </is>
      </c>
      <c r="BC2608" t="inlineStr">
        <is>
          <t>32285004317342</t>
        </is>
      </c>
      <c r="BD2608" t="inlineStr">
        <is>
          <t>893499368</t>
        </is>
      </c>
    </row>
    <row r="2609">
      <c r="A2609" t="inlineStr">
        <is>
          <t>No</t>
        </is>
      </c>
      <c r="B2609" t="inlineStr">
        <is>
          <t>DS894.79.Y349 C4623 2000</t>
        </is>
      </c>
      <c r="C2609" t="inlineStr">
        <is>
          <t>0                      DS 0894790Y  349                C  4623        2000</t>
        </is>
      </c>
      <c r="D2609" t="inlineStr">
        <is>
          <t>Ch*osh*u in the Meiji restoration / Albert M. Craig.</t>
        </is>
      </c>
      <c r="F2609" t="inlineStr">
        <is>
          <t>No</t>
        </is>
      </c>
      <c r="G2609" t="inlineStr">
        <is>
          <t>1</t>
        </is>
      </c>
      <c r="H2609" t="inlineStr">
        <is>
          <t>No</t>
        </is>
      </c>
      <c r="I2609" t="inlineStr">
        <is>
          <t>No</t>
        </is>
      </c>
      <c r="J2609" t="inlineStr">
        <is>
          <t>0</t>
        </is>
      </c>
      <c r="K2609" t="inlineStr">
        <is>
          <t>Craig, Albert M.</t>
        </is>
      </c>
      <c r="L2609" t="inlineStr">
        <is>
          <t>Lanham, Md. : Lexington Books, c2000.</t>
        </is>
      </c>
      <c r="M2609" t="inlineStr">
        <is>
          <t>2000</t>
        </is>
      </c>
      <c r="O2609" t="inlineStr">
        <is>
          <t>eng</t>
        </is>
      </c>
      <c r="P2609" t="inlineStr">
        <is>
          <t>mdu</t>
        </is>
      </c>
      <c r="Q2609" t="inlineStr">
        <is>
          <t>Studies of modern Japan</t>
        </is>
      </c>
      <c r="R2609" t="inlineStr">
        <is>
          <t xml:space="preserve">DS </t>
        </is>
      </c>
      <c r="S2609" t="n">
        <v>5</v>
      </c>
      <c r="T2609" t="n">
        <v>5</v>
      </c>
      <c r="U2609" t="inlineStr">
        <is>
          <t>2010-04-08</t>
        </is>
      </c>
      <c r="V2609" t="inlineStr">
        <is>
          <t>2010-04-08</t>
        </is>
      </c>
      <c r="W2609" t="inlineStr">
        <is>
          <t>2003-03-03</t>
        </is>
      </c>
      <c r="X2609" t="inlineStr">
        <is>
          <t>2003-03-03</t>
        </is>
      </c>
      <c r="Y2609" t="n">
        <v>73</v>
      </c>
      <c r="Z2609" t="n">
        <v>57</v>
      </c>
      <c r="AA2609" t="n">
        <v>57</v>
      </c>
      <c r="AB2609" t="n">
        <v>1</v>
      </c>
      <c r="AC2609" t="n">
        <v>1</v>
      </c>
      <c r="AD2609" t="n">
        <v>3</v>
      </c>
      <c r="AE2609" t="n">
        <v>3</v>
      </c>
      <c r="AF2609" t="n">
        <v>1</v>
      </c>
      <c r="AG2609" t="n">
        <v>1</v>
      </c>
      <c r="AH2609" t="n">
        <v>0</v>
      </c>
      <c r="AI2609" t="n">
        <v>0</v>
      </c>
      <c r="AJ2609" t="n">
        <v>2</v>
      </c>
      <c r="AK2609" t="n">
        <v>2</v>
      </c>
      <c r="AL2609" t="n">
        <v>0</v>
      </c>
      <c r="AM2609" t="n">
        <v>0</v>
      </c>
      <c r="AN2609" t="n">
        <v>0</v>
      </c>
      <c r="AO2609" t="n">
        <v>0</v>
      </c>
      <c r="AP2609" t="inlineStr">
        <is>
          <t>No</t>
        </is>
      </c>
      <c r="AQ2609" t="inlineStr">
        <is>
          <t>No</t>
        </is>
      </c>
      <c r="AS2609">
        <f>HYPERLINK("https://creighton-primo.hosted.exlibrisgroup.com/primo-explore/search?tab=default_tab&amp;search_scope=EVERYTHING&amp;vid=01CRU&amp;lang=en_US&amp;offset=0&amp;query=any,contains,991003998399702656","Catalog Record")</f>
        <v/>
      </c>
      <c r="AT2609">
        <f>HYPERLINK("http://www.worldcat.org/oclc/44541848","WorldCat Record")</f>
        <v/>
      </c>
      <c r="AU2609" t="inlineStr">
        <is>
          <t>5091210246:eng</t>
        </is>
      </c>
      <c r="AV2609" t="inlineStr">
        <is>
          <t>44541848</t>
        </is>
      </c>
      <c r="AW2609" t="inlineStr">
        <is>
          <t>991003998399702656</t>
        </is>
      </c>
      <c r="AX2609" t="inlineStr">
        <is>
          <t>991003998399702656</t>
        </is>
      </c>
      <c r="AY2609" t="inlineStr">
        <is>
          <t>2257602170002656</t>
        </is>
      </c>
      <c r="AZ2609" t="inlineStr">
        <is>
          <t>BOOK</t>
        </is>
      </c>
      <c r="BB2609" t="inlineStr">
        <is>
          <t>9780739101933</t>
        </is>
      </c>
      <c r="BC2609" t="inlineStr">
        <is>
          <t>32285004682059</t>
        </is>
      </c>
      <c r="BD2609" t="inlineStr">
        <is>
          <t>893247034</t>
        </is>
      </c>
    </row>
    <row r="2610">
      <c r="A2610" t="inlineStr">
        <is>
          <t>No</t>
        </is>
      </c>
      <c r="B2610" t="inlineStr">
        <is>
          <t>DS894.79.Y349 C4637 1981</t>
        </is>
      </c>
      <c r="C2610" t="inlineStr">
        <is>
          <t>0                      DS 0894790Y  349                C  4637        1981</t>
        </is>
      </c>
      <c r="D2610" t="inlineStr">
        <is>
          <t>The revolutionary origins of modern Japan / Thomas M. Huber.</t>
        </is>
      </c>
      <c r="F2610" t="inlineStr">
        <is>
          <t>No</t>
        </is>
      </c>
      <c r="G2610" t="inlineStr">
        <is>
          <t>1</t>
        </is>
      </c>
      <c r="H2610" t="inlineStr">
        <is>
          <t>No</t>
        </is>
      </c>
      <c r="I2610" t="inlineStr">
        <is>
          <t>No</t>
        </is>
      </c>
      <c r="J2610" t="inlineStr">
        <is>
          <t>0</t>
        </is>
      </c>
      <c r="K2610" t="inlineStr">
        <is>
          <t>Huber, Thomas M.</t>
        </is>
      </c>
      <c r="L2610" t="inlineStr">
        <is>
          <t>Stanford, Calif. : Stanford University Press, 1981.</t>
        </is>
      </c>
      <c r="M2610" t="inlineStr">
        <is>
          <t>1981</t>
        </is>
      </c>
      <c r="O2610" t="inlineStr">
        <is>
          <t>eng</t>
        </is>
      </c>
      <c r="P2610" t="inlineStr">
        <is>
          <t>cau</t>
        </is>
      </c>
      <c r="R2610" t="inlineStr">
        <is>
          <t xml:space="preserve">DS </t>
        </is>
      </c>
      <c r="S2610" t="n">
        <v>2</v>
      </c>
      <c r="T2610" t="n">
        <v>2</v>
      </c>
      <c r="U2610" t="inlineStr">
        <is>
          <t>2005-03-24</t>
        </is>
      </c>
      <c r="V2610" t="inlineStr">
        <is>
          <t>2005-03-24</t>
        </is>
      </c>
      <c r="W2610" t="inlineStr">
        <is>
          <t>2003-04-08</t>
        </is>
      </c>
      <c r="X2610" t="inlineStr">
        <is>
          <t>2003-04-08</t>
        </is>
      </c>
      <c r="Y2610" t="n">
        <v>691</v>
      </c>
      <c r="Z2610" t="n">
        <v>529</v>
      </c>
      <c r="AA2610" t="n">
        <v>530</v>
      </c>
      <c r="AB2610" t="n">
        <v>7</v>
      </c>
      <c r="AC2610" t="n">
        <v>7</v>
      </c>
      <c r="AD2610" t="n">
        <v>30</v>
      </c>
      <c r="AE2610" t="n">
        <v>30</v>
      </c>
      <c r="AF2610" t="n">
        <v>11</v>
      </c>
      <c r="AG2610" t="n">
        <v>11</v>
      </c>
      <c r="AH2610" t="n">
        <v>8</v>
      </c>
      <c r="AI2610" t="n">
        <v>8</v>
      </c>
      <c r="AJ2610" t="n">
        <v>15</v>
      </c>
      <c r="AK2610" t="n">
        <v>15</v>
      </c>
      <c r="AL2610" t="n">
        <v>6</v>
      </c>
      <c r="AM2610" t="n">
        <v>6</v>
      </c>
      <c r="AN2610" t="n">
        <v>0</v>
      </c>
      <c r="AO2610" t="n">
        <v>0</v>
      </c>
      <c r="AP2610" t="inlineStr">
        <is>
          <t>No</t>
        </is>
      </c>
      <c r="AQ2610" t="inlineStr">
        <is>
          <t>No</t>
        </is>
      </c>
      <c r="AS2610">
        <f>HYPERLINK("https://creighton-primo.hosted.exlibrisgroup.com/primo-explore/search?tab=default_tab&amp;search_scope=EVERYTHING&amp;vid=01CRU&amp;lang=en_US&amp;offset=0&amp;query=any,contains,991003997129702656","Catalog Record")</f>
        <v/>
      </c>
      <c r="AT2610">
        <f>HYPERLINK("http://www.worldcat.org/oclc/7655421","WorldCat Record")</f>
        <v/>
      </c>
      <c r="AU2610" t="inlineStr">
        <is>
          <t>459760:eng</t>
        </is>
      </c>
      <c r="AV2610" t="inlineStr">
        <is>
          <t>7655421</t>
        </is>
      </c>
      <c r="AW2610" t="inlineStr">
        <is>
          <t>991003997129702656</t>
        </is>
      </c>
      <c r="AX2610" t="inlineStr">
        <is>
          <t>991003997129702656</t>
        </is>
      </c>
      <c r="AY2610" t="inlineStr">
        <is>
          <t>2260136320002656</t>
        </is>
      </c>
      <c r="AZ2610" t="inlineStr">
        <is>
          <t>BOOK</t>
        </is>
      </c>
      <c r="BB2610" t="inlineStr">
        <is>
          <t>9780804710480</t>
        </is>
      </c>
      <c r="BC2610" t="inlineStr">
        <is>
          <t>32285004740386</t>
        </is>
      </c>
      <c r="BD2610" t="inlineStr">
        <is>
          <t>893499977</t>
        </is>
      </c>
    </row>
    <row r="2611">
      <c r="A2611" t="inlineStr">
        <is>
          <t>No</t>
        </is>
      </c>
      <c r="B2611" t="inlineStr">
        <is>
          <t>DS895.F7 K4</t>
        </is>
      </c>
      <c r="C2611" t="inlineStr">
        <is>
          <t>0                      DS 0895000F  7                  K  4</t>
        </is>
      </c>
      <c r="D2611" t="inlineStr">
        <is>
          <t>Formosa betrayed [by] George H. Kerr.</t>
        </is>
      </c>
      <c r="F2611" t="inlineStr">
        <is>
          <t>No</t>
        </is>
      </c>
      <c r="G2611" t="inlineStr">
        <is>
          <t>1</t>
        </is>
      </c>
      <c r="H2611" t="inlineStr">
        <is>
          <t>No</t>
        </is>
      </c>
      <c r="I2611" t="inlineStr">
        <is>
          <t>No</t>
        </is>
      </c>
      <c r="J2611" t="inlineStr">
        <is>
          <t>0</t>
        </is>
      </c>
      <c r="K2611" t="inlineStr">
        <is>
          <t>Kerr, George H., 1911-1992.</t>
        </is>
      </c>
      <c r="L2611" t="inlineStr">
        <is>
          <t>Boston, Houghton Mifflin, 1965.</t>
        </is>
      </c>
      <c r="M2611" t="inlineStr">
        <is>
          <t>1965</t>
        </is>
      </c>
      <c r="O2611" t="inlineStr">
        <is>
          <t>eng</t>
        </is>
      </c>
      <c r="P2611" t="inlineStr">
        <is>
          <t>mau</t>
        </is>
      </c>
      <c r="R2611" t="inlineStr">
        <is>
          <t xml:space="preserve">DS </t>
        </is>
      </c>
      <c r="S2611" t="n">
        <v>4</v>
      </c>
      <c r="T2611" t="n">
        <v>4</v>
      </c>
      <c r="U2611" t="inlineStr">
        <is>
          <t>2005-01-19</t>
        </is>
      </c>
      <c r="V2611" t="inlineStr">
        <is>
          <t>2005-01-19</t>
        </is>
      </c>
      <c r="W2611" t="inlineStr">
        <is>
          <t>1997-03-17</t>
        </is>
      </c>
      <c r="X2611" t="inlineStr">
        <is>
          <t>1997-03-17</t>
        </is>
      </c>
      <c r="Y2611" t="n">
        <v>710</v>
      </c>
      <c r="Z2611" t="n">
        <v>653</v>
      </c>
      <c r="AA2611" t="n">
        <v>745</v>
      </c>
      <c r="AB2611" t="n">
        <v>3</v>
      </c>
      <c r="AC2611" t="n">
        <v>5</v>
      </c>
      <c r="AD2611" t="n">
        <v>21</v>
      </c>
      <c r="AE2611" t="n">
        <v>24</v>
      </c>
      <c r="AF2611" t="n">
        <v>10</v>
      </c>
      <c r="AG2611" t="n">
        <v>10</v>
      </c>
      <c r="AH2611" t="n">
        <v>6</v>
      </c>
      <c r="AI2611" t="n">
        <v>6</v>
      </c>
      <c r="AJ2611" t="n">
        <v>9</v>
      </c>
      <c r="AK2611" t="n">
        <v>10</v>
      </c>
      <c r="AL2611" t="n">
        <v>2</v>
      </c>
      <c r="AM2611" t="n">
        <v>4</v>
      </c>
      <c r="AN2611" t="n">
        <v>0</v>
      </c>
      <c r="AO2611" t="n">
        <v>0</v>
      </c>
      <c r="AP2611" t="inlineStr">
        <is>
          <t>No</t>
        </is>
      </c>
      <c r="AQ2611" t="inlineStr">
        <is>
          <t>Yes</t>
        </is>
      </c>
      <c r="AR2611">
        <f>HYPERLINK("http://catalog.hathitrust.org/Record/001605007","HathiTrust Record")</f>
        <v/>
      </c>
      <c r="AS2611">
        <f>HYPERLINK("https://creighton-primo.hosted.exlibrisgroup.com/primo-explore/search?tab=default_tab&amp;search_scope=EVERYTHING&amp;vid=01CRU&amp;lang=en_US&amp;offset=0&amp;query=any,contains,991001912469702656","Catalog Record")</f>
        <v/>
      </c>
      <c r="AT2611">
        <f>HYPERLINK("http://www.worldcat.org/oclc/242620","WorldCat Record")</f>
        <v/>
      </c>
      <c r="AU2611" t="inlineStr">
        <is>
          <t>1390391:eng</t>
        </is>
      </c>
      <c r="AV2611" t="inlineStr">
        <is>
          <t>242620</t>
        </is>
      </c>
      <c r="AW2611" t="inlineStr">
        <is>
          <t>991001912469702656</t>
        </is>
      </c>
      <c r="AX2611" t="inlineStr">
        <is>
          <t>991001912469702656</t>
        </is>
      </c>
      <c r="AY2611" t="inlineStr">
        <is>
          <t>2269460010002656</t>
        </is>
      </c>
      <c r="AZ2611" t="inlineStr">
        <is>
          <t>BOOK</t>
        </is>
      </c>
      <c r="BC2611" t="inlineStr">
        <is>
          <t>32285002450822</t>
        </is>
      </c>
      <c r="BD2611" t="inlineStr">
        <is>
          <t>893898165</t>
        </is>
      </c>
    </row>
    <row r="2612">
      <c r="A2612" t="inlineStr">
        <is>
          <t>No</t>
        </is>
      </c>
      <c r="B2612" t="inlineStr">
        <is>
          <t>DS895.F72 S56</t>
        </is>
      </c>
      <c r="C2612" t="inlineStr">
        <is>
          <t>0                      DS 0895000F  72                 S  56</t>
        </is>
      </c>
      <c r="D2612" t="inlineStr">
        <is>
          <t>Taiwan in modern times. Edited with an introd. by Paul K. T. Sih.</t>
        </is>
      </c>
      <c r="F2612" t="inlineStr">
        <is>
          <t>No</t>
        </is>
      </c>
      <c r="G2612" t="inlineStr">
        <is>
          <t>1</t>
        </is>
      </c>
      <c r="H2612" t="inlineStr">
        <is>
          <t>No</t>
        </is>
      </c>
      <c r="I2612" t="inlineStr">
        <is>
          <t>No</t>
        </is>
      </c>
      <c r="J2612" t="inlineStr">
        <is>
          <t>0</t>
        </is>
      </c>
      <c r="K2612" t="inlineStr">
        <is>
          <t>Sih, Paul K. T. (Paul Kwang Tsien), 1910-1978.</t>
        </is>
      </c>
      <c r="L2612" t="inlineStr">
        <is>
          <t>[New York, St. John's University Press, 1973]</t>
        </is>
      </c>
      <c r="M2612" t="inlineStr">
        <is>
          <t>1973</t>
        </is>
      </c>
      <c r="O2612" t="inlineStr">
        <is>
          <t>eng</t>
        </is>
      </c>
      <c r="P2612" t="inlineStr">
        <is>
          <t>nyu</t>
        </is>
      </c>
      <c r="Q2612" t="inlineStr">
        <is>
          <t>Asia in the modern world series, no. 13</t>
        </is>
      </c>
      <c r="R2612" t="inlineStr">
        <is>
          <t xml:space="preserve">DS </t>
        </is>
      </c>
      <c r="S2612" t="n">
        <v>7</v>
      </c>
      <c r="T2612" t="n">
        <v>7</v>
      </c>
      <c r="U2612" t="inlineStr">
        <is>
          <t>1998-11-08</t>
        </is>
      </c>
      <c r="V2612" t="inlineStr">
        <is>
          <t>1998-11-08</t>
        </is>
      </c>
      <c r="W2612" t="inlineStr">
        <is>
          <t>1997-03-17</t>
        </is>
      </c>
      <c r="X2612" t="inlineStr">
        <is>
          <t>1997-03-17</t>
        </is>
      </c>
      <c r="Y2612" t="n">
        <v>406</v>
      </c>
      <c r="Z2612" t="n">
        <v>345</v>
      </c>
      <c r="AA2612" t="n">
        <v>348</v>
      </c>
      <c r="AB2612" t="n">
        <v>5</v>
      </c>
      <c r="AC2612" t="n">
        <v>5</v>
      </c>
      <c r="AD2612" t="n">
        <v>22</v>
      </c>
      <c r="AE2612" t="n">
        <v>22</v>
      </c>
      <c r="AF2612" t="n">
        <v>6</v>
      </c>
      <c r="AG2612" t="n">
        <v>6</v>
      </c>
      <c r="AH2612" t="n">
        <v>8</v>
      </c>
      <c r="AI2612" t="n">
        <v>8</v>
      </c>
      <c r="AJ2612" t="n">
        <v>10</v>
      </c>
      <c r="AK2612" t="n">
        <v>10</v>
      </c>
      <c r="AL2612" t="n">
        <v>4</v>
      </c>
      <c r="AM2612" t="n">
        <v>4</v>
      </c>
      <c r="AN2612" t="n">
        <v>0</v>
      </c>
      <c r="AO2612" t="n">
        <v>0</v>
      </c>
      <c r="AP2612" t="inlineStr">
        <is>
          <t>No</t>
        </is>
      </c>
      <c r="AQ2612" t="inlineStr">
        <is>
          <t>Yes</t>
        </is>
      </c>
      <c r="AR2612">
        <f>HYPERLINK("http://catalog.hathitrust.org/Record/001968428","HathiTrust Record")</f>
        <v/>
      </c>
      <c r="AS2612">
        <f>HYPERLINK("https://creighton-primo.hosted.exlibrisgroup.com/primo-explore/search?tab=default_tab&amp;search_scope=EVERYTHING&amp;vid=01CRU&amp;lang=en_US&amp;offset=0&amp;query=any,contains,991003161289702656","Catalog Record")</f>
        <v/>
      </c>
      <c r="AT2612">
        <f>HYPERLINK("http://www.worldcat.org/oclc/700400","WorldCat Record")</f>
        <v/>
      </c>
      <c r="AU2612" t="inlineStr">
        <is>
          <t>132523339:eng</t>
        </is>
      </c>
      <c r="AV2612" t="inlineStr">
        <is>
          <t>700400</t>
        </is>
      </c>
      <c r="AW2612" t="inlineStr">
        <is>
          <t>991003161289702656</t>
        </is>
      </c>
      <c r="AX2612" t="inlineStr">
        <is>
          <t>991003161289702656</t>
        </is>
      </c>
      <c r="AY2612" t="inlineStr">
        <is>
          <t>2256658180002656</t>
        </is>
      </c>
      <c r="AZ2612" t="inlineStr">
        <is>
          <t>BOOK</t>
        </is>
      </c>
      <c r="BB2612" t="inlineStr">
        <is>
          <t>9780870750670</t>
        </is>
      </c>
      <c r="BC2612" t="inlineStr">
        <is>
          <t>32285002450848</t>
        </is>
      </c>
      <c r="BD2612" t="inlineStr">
        <is>
          <t>893233867</t>
        </is>
      </c>
    </row>
    <row r="2613">
      <c r="A2613" t="inlineStr">
        <is>
          <t>No</t>
        </is>
      </c>
      <c r="B2613" t="inlineStr">
        <is>
          <t>DS895.F72 T276</t>
        </is>
      </c>
      <c r="C2613" t="inlineStr">
        <is>
          <t>0                      DS 0895000F  72                 T  276</t>
        </is>
      </c>
      <c r="D2613" t="inlineStr">
        <is>
          <t>Taiwan; studies in Chinese local history. Edited by Leonard H. D. Gordon.</t>
        </is>
      </c>
      <c r="F2613" t="inlineStr">
        <is>
          <t>No</t>
        </is>
      </c>
      <c r="G2613" t="inlineStr">
        <is>
          <t>1</t>
        </is>
      </c>
      <c r="H2613" t="inlineStr">
        <is>
          <t>No</t>
        </is>
      </c>
      <c r="I2613" t="inlineStr">
        <is>
          <t>No</t>
        </is>
      </c>
      <c r="J2613" t="inlineStr">
        <is>
          <t>0</t>
        </is>
      </c>
      <c r="L2613" t="inlineStr">
        <is>
          <t>New York, Columbia University Press, 1970.</t>
        </is>
      </c>
      <c r="M2613" t="inlineStr">
        <is>
          <t>1970</t>
        </is>
      </c>
      <c r="O2613" t="inlineStr">
        <is>
          <t>eng</t>
        </is>
      </c>
      <c r="P2613" t="inlineStr">
        <is>
          <t>nyu</t>
        </is>
      </c>
      <c r="Q2613" t="inlineStr">
        <is>
          <t>Occasional papers of the East Asian Institute of Columbia University</t>
        </is>
      </c>
      <c r="R2613" t="inlineStr">
        <is>
          <t xml:space="preserve">DS </t>
        </is>
      </c>
      <c r="S2613" t="n">
        <v>4</v>
      </c>
      <c r="T2613" t="n">
        <v>4</v>
      </c>
      <c r="U2613" t="inlineStr">
        <is>
          <t>1998-11-08</t>
        </is>
      </c>
      <c r="V2613" t="inlineStr">
        <is>
          <t>1998-11-08</t>
        </is>
      </c>
      <c r="W2613" t="inlineStr">
        <is>
          <t>1997-03-17</t>
        </is>
      </c>
      <c r="X2613" t="inlineStr">
        <is>
          <t>1997-03-17</t>
        </is>
      </c>
      <c r="Y2613" t="n">
        <v>625</v>
      </c>
      <c r="Z2613" t="n">
        <v>527</v>
      </c>
      <c r="AA2613" t="n">
        <v>531</v>
      </c>
      <c r="AB2613" t="n">
        <v>4</v>
      </c>
      <c r="AC2613" t="n">
        <v>4</v>
      </c>
      <c r="AD2613" t="n">
        <v>24</v>
      </c>
      <c r="AE2613" t="n">
        <v>24</v>
      </c>
      <c r="AF2613" t="n">
        <v>9</v>
      </c>
      <c r="AG2613" t="n">
        <v>9</v>
      </c>
      <c r="AH2613" t="n">
        <v>7</v>
      </c>
      <c r="AI2613" t="n">
        <v>7</v>
      </c>
      <c r="AJ2613" t="n">
        <v>12</v>
      </c>
      <c r="AK2613" t="n">
        <v>12</v>
      </c>
      <c r="AL2613" t="n">
        <v>3</v>
      </c>
      <c r="AM2613" t="n">
        <v>3</v>
      </c>
      <c r="AN2613" t="n">
        <v>0</v>
      </c>
      <c r="AO2613" t="n">
        <v>0</v>
      </c>
      <c r="AP2613" t="inlineStr">
        <is>
          <t>No</t>
        </is>
      </c>
      <c r="AQ2613" t="inlineStr">
        <is>
          <t>No</t>
        </is>
      </c>
      <c r="AS2613">
        <f>HYPERLINK("https://creighton-primo.hosted.exlibrisgroup.com/primo-explore/search?tab=default_tab&amp;search_scope=EVERYTHING&amp;vid=01CRU&amp;lang=en_US&amp;offset=0&amp;query=any,contains,991000470269702656","Catalog Record")</f>
        <v/>
      </c>
      <c r="AT2613">
        <f>HYPERLINK("http://www.worldcat.org/oclc/79149","WorldCat Record")</f>
        <v/>
      </c>
      <c r="AU2613" t="inlineStr">
        <is>
          <t>3077696:eng</t>
        </is>
      </c>
      <c r="AV2613" t="inlineStr">
        <is>
          <t>79149</t>
        </is>
      </c>
      <c r="AW2613" t="inlineStr">
        <is>
          <t>991000470269702656</t>
        </is>
      </c>
      <c r="AX2613" t="inlineStr">
        <is>
          <t>991000470269702656</t>
        </is>
      </c>
      <c r="AY2613" t="inlineStr">
        <is>
          <t>2254760750002656</t>
        </is>
      </c>
      <c r="AZ2613" t="inlineStr">
        <is>
          <t>BOOK</t>
        </is>
      </c>
      <c r="BB2613" t="inlineStr">
        <is>
          <t>9780231033763</t>
        </is>
      </c>
      <c r="BC2613" t="inlineStr">
        <is>
          <t>32285002450855</t>
        </is>
      </c>
      <c r="BD2613" t="inlineStr">
        <is>
          <t>893225004</t>
        </is>
      </c>
    </row>
    <row r="2614">
      <c r="A2614" t="inlineStr">
        <is>
          <t>No</t>
        </is>
      </c>
      <c r="B2614" t="inlineStr">
        <is>
          <t>DS895.F75 M3 1964</t>
        </is>
      </c>
      <c r="C2614" t="inlineStr">
        <is>
          <t>0                      DS 0895000F  75                 M  3           1964</t>
        </is>
      </c>
      <c r="D2614" t="inlineStr">
        <is>
          <t>Formosa today.</t>
        </is>
      </c>
      <c r="F2614" t="inlineStr">
        <is>
          <t>No</t>
        </is>
      </c>
      <c r="G2614" t="inlineStr">
        <is>
          <t>1</t>
        </is>
      </c>
      <c r="H2614" t="inlineStr">
        <is>
          <t>No</t>
        </is>
      </c>
      <c r="I2614" t="inlineStr">
        <is>
          <t>No</t>
        </is>
      </c>
      <c r="J2614" t="inlineStr">
        <is>
          <t>0</t>
        </is>
      </c>
      <c r="K2614" t="inlineStr">
        <is>
          <t>Mancall, Mark editor.</t>
        </is>
      </c>
      <c r="L2614" t="inlineStr">
        <is>
          <t>New York, Praeger [1964]</t>
        </is>
      </c>
      <c r="M2614" t="inlineStr">
        <is>
          <t>1964</t>
        </is>
      </c>
      <c r="O2614" t="inlineStr">
        <is>
          <t>eng</t>
        </is>
      </c>
      <c r="P2614" t="inlineStr">
        <is>
          <t>nyu</t>
        </is>
      </c>
      <c r="Q2614" t="inlineStr">
        <is>
          <t>The Praeger contemporary world series, no. 11</t>
        </is>
      </c>
      <c r="R2614" t="inlineStr">
        <is>
          <t xml:space="preserve">DS </t>
        </is>
      </c>
      <c r="S2614" t="n">
        <v>6</v>
      </c>
      <c r="T2614" t="n">
        <v>6</v>
      </c>
      <c r="U2614" t="inlineStr">
        <is>
          <t>1998-11-08</t>
        </is>
      </c>
      <c r="V2614" t="inlineStr">
        <is>
          <t>1998-11-08</t>
        </is>
      </c>
      <c r="W2614" t="inlineStr">
        <is>
          <t>1997-03-17</t>
        </is>
      </c>
      <c r="X2614" t="inlineStr">
        <is>
          <t>1997-03-17</t>
        </is>
      </c>
      <c r="Y2614" t="n">
        <v>732</v>
      </c>
      <c r="Z2614" t="n">
        <v>657</v>
      </c>
      <c r="AA2614" t="n">
        <v>665</v>
      </c>
      <c r="AB2614" t="n">
        <v>5</v>
      </c>
      <c r="AC2614" t="n">
        <v>5</v>
      </c>
      <c r="AD2614" t="n">
        <v>22</v>
      </c>
      <c r="AE2614" t="n">
        <v>22</v>
      </c>
      <c r="AF2614" t="n">
        <v>9</v>
      </c>
      <c r="AG2614" t="n">
        <v>9</v>
      </c>
      <c r="AH2614" t="n">
        <v>4</v>
      </c>
      <c r="AI2614" t="n">
        <v>4</v>
      </c>
      <c r="AJ2614" t="n">
        <v>10</v>
      </c>
      <c r="AK2614" t="n">
        <v>10</v>
      </c>
      <c r="AL2614" t="n">
        <v>4</v>
      </c>
      <c r="AM2614" t="n">
        <v>4</v>
      </c>
      <c r="AN2614" t="n">
        <v>0</v>
      </c>
      <c r="AO2614" t="n">
        <v>0</v>
      </c>
      <c r="AP2614" t="inlineStr">
        <is>
          <t>No</t>
        </is>
      </c>
      <c r="AQ2614" t="inlineStr">
        <is>
          <t>Yes</t>
        </is>
      </c>
      <c r="AR2614">
        <f>HYPERLINK("http://catalog.hathitrust.org/Record/001606569","HathiTrust Record")</f>
        <v/>
      </c>
      <c r="AS2614">
        <f>HYPERLINK("https://creighton-primo.hosted.exlibrisgroup.com/primo-explore/search?tab=default_tab&amp;search_scope=EVERYTHING&amp;vid=01CRU&amp;lang=en_US&amp;offset=0&amp;query=any,contains,991002827309702656","Catalog Record")</f>
        <v/>
      </c>
      <c r="AT2614">
        <f>HYPERLINK("http://www.worldcat.org/oclc/475964","WorldCat Record")</f>
        <v/>
      </c>
      <c r="AU2614" t="inlineStr">
        <is>
          <t>1548294:eng</t>
        </is>
      </c>
      <c r="AV2614" t="inlineStr">
        <is>
          <t>475964</t>
        </is>
      </c>
      <c r="AW2614" t="inlineStr">
        <is>
          <t>991002827309702656</t>
        </is>
      </c>
      <c r="AX2614" t="inlineStr">
        <is>
          <t>991002827309702656</t>
        </is>
      </c>
      <c r="AY2614" t="inlineStr">
        <is>
          <t>2254800160002656</t>
        </is>
      </c>
      <c r="AZ2614" t="inlineStr">
        <is>
          <t>BOOK</t>
        </is>
      </c>
      <c r="BC2614" t="inlineStr">
        <is>
          <t>32285002450889</t>
        </is>
      </c>
      <c r="BD2614" t="inlineStr">
        <is>
          <t>893227333</t>
        </is>
      </c>
    </row>
    <row r="2615">
      <c r="A2615" t="inlineStr">
        <is>
          <t>No</t>
        </is>
      </c>
      <c r="B2615" t="inlineStr">
        <is>
          <t>DS895.F75 M4</t>
        </is>
      </c>
      <c r="C2615" t="inlineStr">
        <is>
          <t>0                      DS 0895000F  75                 M  4</t>
        </is>
      </c>
      <c r="D2615" t="inlineStr">
        <is>
          <t>The politics of Formosan nationalism [by] Douglas Mendel.</t>
        </is>
      </c>
      <c r="F2615" t="inlineStr">
        <is>
          <t>No</t>
        </is>
      </c>
      <c r="G2615" t="inlineStr">
        <is>
          <t>1</t>
        </is>
      </c>
      <c r="H2615" t="inlineStr">
        <is>
          <t>No</t>
        </is>
      </c>
      <c r="I2615" t="inlineStr">
        <is>
          <t>No</t>
        </is>
      </c>
      <c r="J2615" t="inlineStr">
        <is>
          <t>0</t>
        </is>
      </c>
      <c r="K2615" t="inlineStr">
        <is>
          <t>Mendel, Douglas Heusted, 1921-1978.</t>
        </is>
      </c>
      <c r="L2615" t="inlineStr">
        <is>
          <t>Berkeley, University of California Press, 1970.</t>
        </is>
      </c>
      <c r="M2615" t="inlineStr">
        <is>
          <t>1970</t>
        </is>
      </c>
      <c r="O2615" t="inlineStr">
        <is>
          <t>eng</t>
        </is>
      </c>
      <c r="P2615" t="inlineStr">
        <is>
          <t>cau</t>
        </is>
      </c>
      <c r="R2615" t="inlineStr">
        <is>
          <t xml:space="preserve">DS </t>
        </is>
      </c>
      <c r="S2615" t="n">
        <v>2</v>
      </c>
      <c r="T2615" t="n">
        <v>2</v>
      </c>
      <c r="U2615" t="inlineStr">
        <is>
          <t>1997-12-01</t>
        </is>
      </c>
      <c r="V2615" t="inlineStr">
        <is>
          <t>1997-12-01</t>
        </is>
      </c>
      <c r="W2615" t="inlineStr">
        <is>
          <t>1997-03-17</t>
        </is>
      </c>
      <c r="X2615" t="inlineStr">
        <is>
          <t>1997-03-17</t>
        </is>
      </c>
      <c r="Y2615" t="n">
        <v>738</v>
      </c>
      <c r="Z2615" t="n">
        <v>614</v>
      </c>
      <c r="AA2615" t="n">
        <v>620</v>
      </c>
      <c r="AB2615" t="n">
        <v>4</v>
      </c>
      <c r="AC2615" t="n">
        <v>4</v>
      </c>
      <c r="AD2615" t="n">
        <v>33</v>
      </c>
      <c r="AE2615" t="n">
        <v>33</v>
      </c>
      <c r="AF2615" t="n">
        <v>13</v>
      </c>
      <c r="AG2615" t="n">
        <v>13</v>
      </c>
      <c r="AH2615" t="n">
        <v>8</v>
      </c>
      <c r="AI2615" t="n">
        <v>8</v>
      </c>
      <c r="AJ2615" t="n">
        <v>16</v>
      </c>
      <c r="AK2615" t="n">
        <v>16</v>
      </c>
      <c r="AL2615" t="n">
        <v>3</v>
      </c>
      <c r="AM2615" t="n">
        <v>3</v>
      </c>
      <c r="AN2615" t="n">
        <v>1</v>
      </c>
      <c r="AO2615" t="n">
        <v>1</v>
      </c>
      <c r="AP2615" t="inlineStr">
        <is>
          <t>No</t>
        </is>
      </c>
      <c r="AQ2615" t="inlineStr">
        <is>
          <t>No</t>
        </is>
      </c>
      <c r="AS2615">
        <f>HYPERLINK("https://creighton-primo.hosted.exlibrisgroup.com/primo-explore/search?tab=default_tab&amp;search_scope=EVERYTHING&amp;vid=01CRU&amp;lang=en_US&amp;offset=0&amp;query=any,contains,991000197789702656","Catalog Record")</f>
        <v/>
      </c>
      <c r="AT2615">
        <f>HYPERLINK("http://www.worldcat.org/oclc/64322","WorldCat Record")</f>
        <v/>
      </c>
      <c r="AU2615" t="inlineStr">
        <is>
          <t>787864013:eng</t>
        </is>
      </c>
      <c r="AV2615" t="inlineStr">
        <is>
          <t>64322</t>
        </is>
      </c>
      <c r="AW2615" t="inlineStr">
        <is>
          <t>991000197789702656</t>
        </is>
      </c>
      <c r="AX2615" t="inlineStr">
        <is>
          <t>991000197789702656</t>
        </is>
      </c>
      <c r="AY2615" t="inlineStr">
        <is>
          <t>2255567740002656</t>
        </is>
      </c>
      <c r="AZ2615" t="inlineStr">
        <is>
          <t>BOOK</t>
        </is>
      </c>
      <c r="BB2615" t="inlineStr">
        <is>
          <t>9780520015579</t>
        </is>
      </c>
      <c r="BC2615" t="inlineStr">
        <is>
          <t>32285002450897</t>
        </is>
      </c>
      <c r="BD2615" t="inlineStr">
        <is>
          <t>893890505</t>
        </is>
      </c>
    </row>
    <row r="2616">
      <c r="A2616" t="inlineStr">
        <is>
          <t>No</t>
        </is>
      </c>
      <c r="B2616" t="inlineStr">
        <is>
          <t>DS895.F75 R5 1972</t>
        </is>
      </c>
      <c r="C2616" t="inlineStr">
        <is>
          <t>0                      DS 0895000F  75                 R  5           1972</t>
        </is>
      </c>
      <c r="D2616" t="inlineStr">
        <is>
          <t>Formosa under Chinese Nationalist rule [by] Fred W. Riggs.</t>
        </is>
      </c>
      <c r="F2616" t="inlineStr">
        <is>
          <t>No</t>
        </is>
      </c>
      <c r="G2616" t="inlineStr">
        <is>
          <t>1</t>
        </is>
      </c>
      <c r="H2616" t="inlineStr">
        <is>
          <t>No</t>
        </is>
      </c>
      <c r="I2616" t="inlineStr">
        <is>
          <t>No</t>
        </is>
      </c>
      <c r="J2616" t="inlineStr">
        <is>
          <t>0</t>
        </is>
      </c>
      <c r="K2616" t="inlineStr">
        <is>
          <t>Riggs, Fred Warren.</t>
        </is>
      </c>
      <c r="L2616" t="inlineStr">
        <is>
          <t>New York, Octagon Books, 1972 [c1952]</t>
        </is>
      </c>
      <c r="M2616" t="inlineStr">
        <is>
          <t>1972</t>
        </is>
      </c>
      <c r="O2616" t="inlineStr">
        <is>
          <t>eng</t>
        </is>
      </c>
      <c r="P2616" t="inlineStr">
        <is>
          <t>nyu</t>
        </is>
      </c>
      <c r="R2616" t="inlineStr">
        <is>
          <t xml:space="preserve">DS </t>
        </is>
      </c>
      <c r="S2616" t="n">
        <v>4</v>
      </c>
      <c r="T2616" t="n">
        <v>4</v>
      </c>
      <c r="U2616" t="inlineStr">
        <is>
          <t>1998-11-21</t>
        </is>
      </c>
      <c r="V2616" t="inlineStr">
        <is>
          <t>1998-11-21</t>
        </is>
      </c>
      <c r="W2616" t="inlineStr">
        <is>
          <t>1997-03-17</t>
        </is>
      </c>
      <c r="X2616" t="inlineStr">
        <is>
          <t>1997-03-17</t>
        </is>
      </c>
      <c r="Y2616" t="n">
        <v>161</v>
      </c>
      <c r="Z2616" t="n">
        <v>133</v>
      </c>
      <c r="AA2616" t="n">
        <v>471</v>
      </c>
      <c r="AB2616" t="n">
        <v>4</v>
      </c>
      <c r="AC2616" t="n">
        <v>6</v>
      </c>
      <c r="AD2616" t="n">
        <v>7</v>
      </c>
      <c r="AE2616" t="n">
        <v>22</v>
      </c>
      <c r="AF2616" t="n">
        <v>2</v>
      </c>
      <c r="AG2616" t="n">
        <v>7</v>
      </c>
      <c r="AH2616" t="n">
        <v>0</v>
      </c>
      <c r="AI2616" t="n">
        <v>5</v>
      </c>
      <c r="AJ2616" t="n">
        <v>2</v>
      </c>
      <c r="AK2616" t="n">
        <v>10</v>
      </c>
      <c r="AL2616" t="n">
        <v>3</v>
      </c>
      <c r="AM2616" t="n">
        <v>5</v>
      </c>
      <c r="AN2616" t="n">
        <v>0</v>
      </c>
      <c r="AO2616" t="n">
        <v>0</v>
      </c>
      <c r="AP2616" t="inlineStr">
        <is>
          <t>No</t>
        </is>
      </c>
      <c r="AQ2616" t="inlineStr">
        <is>
          <t>No</t>
        </is>
      </c>
      <c r="AS2616">
        <f>HYPERLINK("https://creighton-primo.hosted.exlibrisgroup.com/primo-explore/search?tab=default_tab&amp;search_scope=EVERYTHING&amp;vid=01CRU&amp;lang=en_US&amp;offset=0&amp;query=any,contains,991002180919702656","Catalog Record")</f>
        <v/>
      </c>
      <c r="AT2616">
        <f>HYPERLINK("http://www.worldcat.org/oclc/279019","WorldCat Record")</f>
        <v/>
      </c>
      <c r="AU2616" t="inlineStr">
        <is>
          <t>1422146:eng</t>
        </is>
      </c>
      <c r="AV2616" t="inlineStr">
        <is>
          <t>279019</t>
        </is>
      </c>
      <c r="AW2616" t="inlineStr">
        <is>
          <t>991002180919702656</t>
        </is>
      </c>
      <c r="AX2616" t="inlineStr">
        <is>
          <t>991002180919702656</t>
        </is>
      </c>
      <c r="AY2616" t="inlineStr">
        <is>
          <t>2261664370002656</t>
        </is>
      </c>
      <c r="AZ2616" t="inlineStr">
        <is>
          <t>BOOK</t>
        </is>
      </c>
      <c r="BB2616" t="inlineStr">
        <is>
          <t>9780374968076</t>
        </is>
      </c>
      <c r="BC2616" t="inlineStr">
        <is>
          <t>32285002450913</t>
        </is>
      </c>
      <c r="BD2616" t="inlineStr">
        <is>
          <t>893250911</t>
        </is>
      </c>
    </row>
    <row r="2617">
      <c r="A2617" t="inlineStr">
        <is>
          <t>No</t>
        </is>
      </c>
      <c r="B2617" t="inlineStr">
        <is>
          <t>DS895.I5 R5 1993</t>
        </is>
      </c>
      <c r="C2617" t="inlineStr">
        <is>
          <t>0                      DS 0895000I  5                  R  5           1993</t>
        </is>
      </c>
      <c r="D2617" t="inlineStr">
        <is>
          <t>The Inland Sea / Donald Richie ; with photographs by Yoichi Midorikawa.</t>
        </is>
      </c>
      <c r="F2617" t="inlineStr">
        <is>
          <t>No</t>
        </is>
      </c>
      <c r="G2617" t="inlineStr">
        <is>
          <t>1</t>
        </is>
      </c>
      <c r="H2617" t="inlineStr">
        <is>
          <t>No</t>
        </is>
      </c>
      <c r="I2617" t="inlineStr">
        <is>
          <t>No</t>
        </is>
      </c>
      <c r="J2617" t="inlineStr">
        <is>
          <t>0</t>
        </is>
      </c>
      <c r="K2617" t="inlineStr">
        <is>
          <t>Richie, Donald, 1924-2013.</t>
        </is>
      </c>
      <c r="L2617" t="inlineStr">
        <is>
          <t>Tokyo ; New York : Kodansha International, 1993.</t>
        </is>
      </c>
      <c r="M2617" t="inlineStr">
        <is>
          <t>1993</t>
        </is>
      </c>
      <c r="N2617" t="inlineStr">
        <is>
          <t>1st ed.</t>
        </is>
      </c>
      <c r="O2617" t="inlineStr">
        <is>
          <t>eng</t>
        </is>
      </c>
      <c r="P2617" t="inlineStr">
        <is>
          <t xml:space="preserve">ja </t>
        </is>
      </c>
      <c r="R2617" t="inlineStr">
        <is>
          <t xml:space="preserve">DS </t>
        </is>
      </c>
      <c r="S2617" t="n">
        <v>1</v>
      </c>
      <c r="T2617" t="n">
        <v>1</v>
      </c>
      <c r="U2617" t="inlineStr">
        <is>
          <t>2002-01-10</t>
        </is>
      </c>
      <c r="V2617" t="inlineStr">
        <is>
          <t>2002-01-10</t>
        </is>
      </c>
      <c r="W2617" t="inlineStr">
        <is>
          <t>1998-08-26</t>
        </is>
      </c>
      <c r="X2617" t="inlineStr">
        <is>
          <t>1998-08-26</t>
        </is>
      </c>
      <c r="Y2617" t="n">
        <v>46</v>
      </c>
      <c r="Z2617" t="n">
        <v>28</v>
      </c>
      <c r="AA2617" t="n">
        <v>621</v>
      </c>
      <c r="AB2617" t="n">
        <v>1</v>
      </c>
      <c r="AC2617" t="n">
        <v>6</v>
      </c>
      <c r="AD2617" t="n">
        <v>1</v>
      </c>
      <c r="AE2617" t="n">
        <v>19</v>
      </c>
      <c r="AF2617" t="n">
        <v>0</v>
      </c>
      <c r="AG2617" t="n">
        <v>6</v>
      </c>
      <c r="AH2617" t="n">
        <v>0</v>
      </c>
      <c r="AI2617" t="n">
        <v>6</v>
      </c>
      <c r="AJ2617" t="n">
        <v>1</v>
      </c>
      <c r="AK2617" t="n">
        <v>6</v>
      </c>
      <c r="AL2617" t="n">
        <v>0</v>
      </c>
      <c r="AM2617" t="n">
        <v>5</v>
      </c>
      <c r="AN2617" t="n">
        <v>0</v>
      </c>
      <c r="AO2617" t="n">
        <v>0</v>
      </c>
      <c r="AP2617" t="inlineStr">
        <is>
          <t>No</t>
        </is>
      </c>
      <c r="AQ2617" t="inlineStr">
        <is>
          <t>No</t>
        </is>
      </c>
      <c r="AS2617">
        <f>HYPERLINK("https://creighton-primo.hosted.exlibrisgroup.com/primo-explore/search?tab=default_tab&amp;search_scope=EVERYTHING&amp;vid=01CRU&amp;lang=en_US&amp;offset=0&amp;query=any,contains,991002287409702656","Catalog Record")</f>
        <v/>
      </c>
      <c r="AT2617">
        <f>HYPERLINK("http://www.worldcat.org/oclc/29660412","WorldCat Record")</f>
        <v/>
      </c>
      <c r="AU2617" t="inlineStr">
        <is>
          <t>1067748:eng</t>
        </is>
      </c>
      <c r="AV2617" t="inlineStr">
        <is>
          <t>29660412</t>
        </is>
      </c>
      <c r="AW2617" t="inlineStr">
        <is>
          <t>991002287409702656</t>
        </is>
      </c>
      <c r="AX2617" t="inlineStr">
        <is>
          <t>991002287409702656</t>
        </is>
      </c>
      <c r="AY2617" t="inlineStr">
        <is>
          <t>2255733290002656</t>
        </is>
      </c>
      <c r="AZ2617" t="inlineStr">
        <is>
          <t>BOOK</t>
        </is>
      </c>
      <c r="BB2617" t="inlineStr">
        <is>
          <t>9784770017512</t>
        </is>
      </c>
      <c r="BC2617" t="inlineStr">
        <is>
          <t>32285003462933</t>
        </is>
      </c>
      <c r="BD2617" t="inlineStr">
        <is>
          <t>893517111</t>
        </is>
      </c>
    </row>
    <row r="2618">
      <c r="A2618" t="inlineStr">
        <is>
          <t>No</t>
        </is>
      </c>
      <c r="B2618" t="inlineStr">
        <is>
          <t>DS895.O4 K4</t>
        </is>
      </c>
      <c r="C2618" t="inlineStr">
        <is>
          <t>0                      DS 0895000O  4                  K  4</t>
        </is>
      </c>
      <c r="D2618" t="inlineStr">
        <is>
          <t>Okinawa : the history of an island people / by George H. Kerr .</t>
        </is>
      </c>
      <c r="F2618" t="inlineStr">
        <is>
          <t>No</t>
        </is>
      </c>
      <c r="G2618" t="inlineStr">
        <is>
          <t>1</t>
        </is>
      </c>
      <c r="H2618" t="inlineStr">
        <is>
          <t>No</t>
        </is>
      </c>
      <c r="I2618" t="inlineStr">
        <is>
          <t>No</t>
        </is>
      </c>
      <c r="J2618" t="inlineStr">
        <is>
          <t>0</t>
        </is>
      </c>
      <c r="K2618" t="inlineStr">
        <is>
          <t>Kerr, George H., 1911-1992.</t>
        </is>
      </c>
      <c r="L2618" t="inlineStr">
        <is>
          <t>Rutland, Vt. : C. E. Tuttle Co., c1958, 1980 printing.</t>
        </is>
      </c>
      <c r="M2618" t="inlineStr">
        <is>
          <t>1958</t>
        </is>
      </c>
      <c r="N2618" t="inlineStr">
        <is>
          <t>[1st ed.]</t>
        </is>
      </c>
      <c r="O2618" t="inlineStr">
        <is>
          <t>eng</t>
        </is>
      </c>
      <c r="P2618" t="inlineStr">
        <is>
          <t>vtu</t>
        </is>
      </c>
      <c r="R2618" t="inlineStr">
        <is>
          <t xml:space="preserve">DS </t>
        </is>
      </c>
      <c r="S2618" t="n">
        <v>4</v>
      </c>
      <c r="T2618" t="n">
        <v>4</v>
      </c>
      <c r="U2618" t="inlineStr">
        <is>
          <t>2005-08-30</t>
        </is>
      </c>
      <c r="V2618" t="inlineStr">
        <is>
          <t>2005-08-30</t>
        </is>
      </c>
      <c r="W2618" t="inlineStr">
        <is>
          <t>1990-11-01</t>
        </is>
      </c>
      <c r="X2618" t="inlineStr">
        <is>
          <t>1990-11-01</t>
        </is>
      </c>
      <c r="Y2618" t="n">
        <v>690</v>
      </c>
      <c r="Z2618" t="n">
        <v>635</v>
      </c>
      <c r="AA2618" t="n">
        <v>805</v>
      </c>
      <c r="AB2618" t="n">
        <v>2</v>
      </c>
      <c r="AC2618" t="n">
        <v>3</v>
      </c>
      <c r="AD2618" t="n">
        <v>17</v>
      </c>
      <c r="AE2618" t="n">
        <v>22</v>
      </c>
      <c r="AF2618" t="n">
        <v>7</v>
      </c>
      <c r="AG2618" t="n">
        <v>10</v>
      </c>
      <c r="AH2618" t="n">
        <v>4</v>
      </c>
      <c r="AI2618" t="n">
        <v>6</v>
      </c>
      <c r="AJ2618" t="n">
        <v>8</v>
      </c>
      <c r="AK2618" t="n">
        <v>10</v>
      </c>
      <c r="AL2618" t="n">
        <v>1</v>
      </c>
      <c r="AM2618" t="n">
        <v>2</v>
      </c>
      <c r="AN2618" t="n">
        <v>0</v>
      </c>
      <c r="AO2618" t="n">
        <v>0</v>
      </c>
      <c r="AP2618" t="inlineStr">
        <is>
          <t>Yes</t>
        </is>
      </c>
      <c r="AQ2618" t="inlineStr">
        <is>
          <t>No</t>
        </is>
      </c>
      <c r="AR2618">
        <f>HYPERLINK("http://catalog.hathitrust.org/Record/001606589","HathiTrust Record")</f>
        <v/>
      </c>
      <c r="AS2618">
        <f>HYPERLINK("https://creighton-primo.hosted.exlibrisgroup.com/primo-explore/search?tab=default_tab&amp;search_scope=EVERYTHING&amp;vid=01CRU&amp;lang=en_US&amp;offset=0&amp;query=any,contains,991003197189702656","Catalog Record")</f>
        <v/>
      </c>
      <c r="AT2618">
        <f>HYPERLINK("http://www.worldcat.org/oclc/722356","WorldCat Record")</f>
        <v/>
      </c>
      <c r="AU2618" t="inlineStr">
        <is>
          <t>1708098:eng</t>
        </is>
      </c>
      <c r="AV2618" t="inlineStr">
        <is>
          <t>722356</t>
        </is>
      </c>
      <c r="AW2618" t="inlineStr">
        <is>
          <t>991003197189702656</t>
        </is>
      </c>
      <c r="AX2618" t="inlineStr">
        <is>
          <t>991003197189702656</t>
        </is>
      </c>
      <c r="AY2618" t="inlineStr">
        <is>
          <t>2256922310002656</t>
        </is>
      </c>
      <c r="AZ2618" t="inlineStr">
        <is>
          <t>BOOK</t>
        </is>
      </c>
      <c r="BC2618" t="inlineStr">
        <is>
          <t>32285000370642</t>
        </is>
      </c>
      <c r="BD2618" t="inlineStr">
        <is>
          <t>893239962</t>
        </is>
      </c>
    </row>
    <row r="2619">
      <c r="A2619" t="inlineStr">
        <is>
          <t>No</t>
        </is>
      </c>
      <c r="B2619" t="inlineStr">
        <is>
          <t>DS895.R95 S65 1999</t>
        </is>
      </c>
      <c r="C2619" t="inlineStr">
        <is>
          <t>0                      DS 0895000R  95                 S  65          1999</t>
        </is>
      </c>
      <c r="D2619" t="inlineStr">
        <is>
          <t>Visions of Ryukyu : identity and ideology in early-modern thought and politics / Gregory Smits.</t>
        </is>
      </c>
      <c r="F2619" t="inlineStr">
        <is>
          <t>No</t>
        </is>
      </c>
      <c r="G2619" t="inlineStr">
        <is>
          <t>1</t>
        </is>
      </c>
      <c r="H2619" t="inlineStr">
        <is>
          <t>No</t>
        </is>
      </c>
      <c r="I2619" t="inlineStr">
        <is>
          <t>No</t>
        </is>
      </c>
      <c r="J2619" t="inlineStr">
        <is>
          <t>0</t>
        </is>
      </c>
      <c r="K2619" t="inlineStr">
        <is>
          <t>Smits, Gregory, 1960-</t>
        </is>
      </c>
      <c r="L2619" t="inlineStr">
        <is>
          <t>Honolulu : University of Hawai'i Press, c1999.</t>
        </is>
      </c>
      <c r="M2619" t="inlineStr">
        <is>
          <t>1999</t>
        </is>
      </c>
      <c r="O2619" t="inlineStr">
        <is>
          <t>eng</t>
        </is>
      </c>
      <c r="P2619" t="inlineStr">
        <is>
          <t>hiu</t>
        </is>
      </c>
      <c r="R2619" t="inlineStr">
        <is>
          <t xml:space="preserve">DS </t>
        </is>
      </c>
      <c r="S2619" t="n">
        <v>2</v>
      </c>
      <c r="T2619" t="n">
        <v>2</v>
      </c>
      <c r="U2619" t="inlineStr">
        <is>
          <t>2001-05-04</t>
        </is>
      </c>
      <c r="V2619" t="inlineStr">
        <is>
          <t>2001-05-04</t>
        </is>
      </c>
      <c r="W2619" t="inlineStr">
        <is>
          <t>2001-04-23</t>
        </is>
      </c>
      <c r="X2619" t="inlineStr">
        <is>
          <t>2001-04-23</t>
        </is>
      </c>
      <c r="Y2619" t="n">
        <v>448</v>
      </c>
      <c r="Z2619" t="n">
        <v>349</v>
      </c>
      <c r="AA2619" t="n">
        <v>1223</v>
      </c>
      <c r="AB2619" t="n">
        <v>3</v>
      </c>
      <c r="AC2619" t="n">
        <v>5</v>
      </c>
      <c r="AD2619" t="n">
        <v>21</v>
      </c>
      <c r="AE2619" t="n">
        <v>31</v>
      </c>
      <c r="AF2619" t="n">
        <v>6</v>
      </c>
      <c r="AG2619" t="n">
        <v>14</v>
      </c>
      <c r="AH2619" t="n">
        <v>7</v>
      </c>
      <c r="AI2619" t="n">
        <v>8</v>
      </c>
      <c r="AJ2619" t="n">
        <v>13</v>
      </c>
      <c r="AK2619" t="n">
        <v>15</v>
      </c>
      <c r="AL2619" t="n">
        <v>2</v>
      </c>
      <c r="AM2619" t="n">
        <v>4</v>
      </c>
      <c r="AN2619" t="n">
        <v>0</v>
      </c>
      <c r="AO2619" t="n">
        <v>0</v>
      </c>
      <c r="AP2619" t="inlineStr">
        <is>
          <t>No</t>
        </is>
      </c>
      <c r="AQ2619" t="inlineStr">
        <is>
          <t>No</t>
        </is>
      </c>
      <c r="AS2619">
        <f>HYPERLINK("https://creighton-primo.hosted.exlibrisgroup.com/primo-explore/search?tab=default_tab&amp;search_scope=EVERYTHING&amp;vid=01CRU&amp;lang=en_US&amp;offset=0&amp;query=any,contains,991003510029702656","Catalog Record")</f>
        <v/>
      </c>
      <c r="AT2619">
        <f>HYPERLINK("http://www.worldcat.org/oclc/39633631","WorldCat Record")</f>
        <v/>
      </c>
      <c r="AU2619" t="inlineStr">
        <is>
          <t>793890208:eng</t>
        </is>
      </c>
      <c r="AV2619" t="inlineStr">
        <is>
          <t>39633631</t>
        </is>
      </c>
      <c r="AW2619" t="inlineStr">
        <is>
          <t>991003510029702656</t>
        </is>
      </c>
      <c r="AX2619" t="inlineStr">
        <is>
          <t>991003510029702656</t>
        </is>
      </c>
      <c r="AY2619" t="inlineStr">
        <is>
          <t>2268659140002656</t>
        </is>
      </c>
      <c r="AZ2619" t="inlineStr">
        <is>
          <t>BOOK</t>
        </is>
      </c>
      <c r="BB2619" t="inlineStr">
        <is>
          <t>9780824820374</t>
        </is>
      </c>
      <c r="BC2619" t="inlineStr">
        <is>
          <t>32285004314075</t>
        </is>
      </c>
      <c r="BD2619" t="inlineStr">
        <is>
          <t>893524880</t>
        </is>
      </c>
    </row>
    <row r="2620">
      <c r="A2620" t="inlineStr">
        <is>
          <t>No</t>
        </is>
      </c>
      <c r="B2620" t="inlineStr">
        <is>
          <t>DS896.64 .S43 1990</t>
        </is>
      </c>
      <c r="C2620" t="inlineStr">
        <is>
          <t>0                      DS 0896640S  43          1990</t>
        </is>
      </c>
      <c r="D2620" t="inlineStr">
        <is>
          <t>Tokyo rising : the city since the great earthquake / Edward Seidensticker.</t>
        </is>
      </c>
      <c r="F2620" t="inlineStr">
        <is>
          <t>No</t>
        </is>
      </c>
      <c r="G2620" t="inlineStr">
        <is>
          <t>1</t>
        </is>
      </c>
      <c r="H2620" t="inlineStr">
        <is>
          <t>No</t>
        </is>
      </c>
      <c r="I2620" t="inlineStr">
        <is>
          <t>No</t>
        </is>
      </c>
      <c r="J2620" t="inlineStr">
        <is>
          <t>0</t>
        </is>
      </c>
      <c r="K2620" t="inlineStr">
        <is>
          <t>Seidensticker, Edward, 1921-2007.</t>
        </is>
      </c>
      <c r="L2620" t="inlineStr">
        <is>
          <t>New York : Knopf : Distributed by Random House, c1990.</t>
        </is>
      </c>
      <c r="M2620" t="inlineStr">
        <is>
          <t>1990</t>
        </is>
      </c>
      <c r="N2620" t="inlineStr">
        <is>
          <t>1st ed.</t>
        </is>
      </c>
      <c r="O2620" t="inlineStr">
        <is>
          <t>eng</t>
        </is>
      </c>
      <c r="P2620" t="inlineStr">
        <is>
          <t>nyu</t>
        </is>
      </c>
      <c r="R2620" t="inlineStr">
        <is>
          <t xml:space="preserve">DS </t>
        </is>
      </c>
      <c r="S2620" t="n">
        <v>1</v>
      </c>
      <c r="T2620" t="n">
        <v>1</v>
      </c>
      <c r="U2620" t="inlineStr">
        <is>
          <t>2003-03-25</t>
        </is>
      </c>
      <c r="V2620" t="inlineStr">
        <is>
          <t>2003-03-25</t>
        </is>
      </c>
      <c r="W2620" t="inlineStr">
        <is>
          <t>1990-07-19</t>
        </is>
      </c>
      <c r="X2620" t="inlineStr">
        <is>
          <t>1990-07-19</t>
        </is>
      </c>
      <c r="Y2620" t="n">
        <v>667</v>
      </c>
      <c r="Z2620" t="n">
        <v>589</v>
      </c>
      <c r="AA2620" t="n">
        <v>686</v>
      </c>
      <c r="AB2620" t="n">
        <v>4</v>
      </c>
      <c r="AC2620" t="n">
        <v>4</v>
      </c>
      <c r="AD2620" t="n">
        <v>17</v>
      </c>
      <c r="AE2620" t="n">
        <v>21</v>
      </c>
      <c r="AF2620" t="n">
        <v>6</v>
      </c>
      <c r="AG2620" t="n">
        <v>10</v>
      </c>
      <c r="AH2620" t="n">
        <v>3</v>
      </c>
      <c r="AI2620" t="n">
        <v>3</v>
      </c>
      <c r="AJ2620" t="n">
        <v>13</v>
      </c>
      <c r="AK2620" t="n">
        <v>15</v>
      </c>
      <c r="AL2620" t="n">
        <v>2</v>
      </c>
      <c r="AM2620" t="n">
        <v>2</v>
      </c>
      <c r="AN2620" t="n">
        <v>0</v>
      </c>
      <c r="AO2620" t="n">
        <v>0</v>
      </c>
      <c r="AP2620" t="inlineStr">
        <is>
          <t>No</t>
        </is>
      </c>
      <c r="AQ2620" t="inlineStr">
        <is>
          <t>No</t>
        </is>
      </c>
      <c r="AS2620">
        <f>HYPERLINK("https://creighton-primo.hosted.exlibrisgroup.com/primo-explore/search?tab=default_tab&amp;search_scope=EVERYTHING&amp;vid=01CRU&amp;lang=en_US&amp;offset=0&amp;query=any,contains,991001490099702656","Catalog Record")</f>
        <v/>
      </c>
      <c r="AT2620">
        <f>HYPERLINK("http://www.worldcat.org/oclc/19722163","WorldCat Record")</f>
        <v/>
      </c>
      <c r="AU2620" t="inlineStr">
        <is>
          <t>143998079:eng</t>
        </is>
      </c>
      <c r="AV2620" t="inlineStr">
        <is>
          <t>19722163</t>
        </is>
      </c>
      <c r="AW2620" t="inlineStr">
        <is>
          <t>991001490099702656</t>
        </is>
      </c>
      <c r="AX2620" t="inlineStr">
        <is>
          <t>991001490099702656</t>
        </is>
      </c>
      <c r="AY2620" t="inlineStr">
        <is>
          <t>2258529150002656</t>
        </is>
      </c>
      <c r="AZ2620" t="inlineStr">
        <is>
          <t>BOOK</t>
        </is>
      </c>
      <c r="BB2620" t="inlineStr">
        <is>
          <t>9780394543604</t>
        </is>
      </c>
      <c r="BC2620" t="inlineStr">
        <is>
          <t>32285000209618</t>
        </is>
      </c>
      <c r="BD2620" t="inlineStr">
        <is>
          <t>893261848</t>
        </is>
      </c>
    </row>
    <row r="2621">
      <c r="A2621" t="inlineStr">
        <is>
          <t>No</t>
        </is>
      </c>
      <c r="B2621" t="inlineStr">
        <is>
          <t>DS896.64 .S44 1983</t>
        </is>
      </c>
      <c r="C2621" t="inlineStr">
        <is>
          <t>0                      DS 0896640S  44          1983</t>
        </is>
      </c>
      <c r="D2621" t="inlineStr">
        <is>
          <t>Low city, high city : Tokyo from Edo to the earthquake / Edward Seidensticker.</t>
        </is>
      </c>
      <c r="F2621" t="inlineStr">
        <is>
          <t>No</t>
        </is>
      </c>
      <c r="G2621" t="inlineStr">
        <is>
          <t>1</t>
        </is>
      </c>
      <c r="H2621" t="inlineStr">
        <is>
          <t>No</t>
        </is>
      </c>
      <c r="I2621" t="inlineStr">
        <is>
          <t>No</t>
        </is>
      </c>
      <c r="J2621" t="inlineStr">
        <is>
          <t>0</t>
        </is>
      </c>
      <c r="K2621" t="inlineStr">
        <is>
          <t>Seidensticker, Edward, 1921-2007.</t>
        </is>
      </c>
      <c r="L2621" t="inlineStr">
        <is>
          <t>New York : Knopf, 1983.</t>
        </is>
      </c>
      <c r="M2621" t="inlineStr">
        <is>
          <t>1983</t>
        </is>
      </c>
      <c r="N2621" t="inlineStr">
        <is>
          <t>1st ed.</t>
        </is>
      </c>
      <c r="O2621" t="inlineStr">
        <is>
          <t>eng</t>
        </is>
      </c>
      <c r="P2621" t="inlineStr">
        <is>
          <t>nyu</t>
        </is>
      </c>
      <c r="R2621" t="inlineStr">
        <is>
          <t xml:space="preserve">DS </t>
        </is>
      </c>
      <c r="S2621" t="n">
        <v>1</v>
      </c>
      <c r="T2621" t="n">
        <v>1</v>
      </c>
      <c r="U2621" t="inlineStr">
        <is>
          <t>2002-10-18</t>
        </is>
      </c>
      <c r="V2621" t="inlineStr">
        <is>
          <t>2002-10-18</t>
        </is>
      </c>
      <c r="W2621" t="inlineStr">
        <is>
          <t>1990-11-01</t>
        </is>
      </c>
      <c r="X2621" t="inlineStr">
        <is>
          <t>1990-11-01</t>
        </is>
      </c>
      <c r="Y2621" t="n">
        <v>880</v>
      </c>
      <c r="Z2621" t="n">
        <v>782</v>
      </c>
      <c r="AA2621" t="n">
        <v>905</v>
      </c>
      <c r="AB2621" t="n">
        <v>5</v>
      </c>
      <c r="AC2621" t="n">
        <v>6</v>
      </c>
      <c r="AD2621" t="n">
        <v>26</v>
      </c>
      <c r="AE2621" t="n">
        <v>32</v>
      </c>
      <c r="AF2621" t="n">
        <v>11</v>
      </c>
      <c r="AG2621" t="n">
        <v>14</v>
      </c>
      <c r="AH2621" t="n">
        <v>6</v>
      </c>
      <c r="AI2621" t="n">
        <v>7</v>
      </c>
      <c r="AJ2621" t="n">
        <v>13</v>
      </c>
      <c r="AK2621" t="n">
        <v>16</v>
      </c>
      <c r="AL2621" t="n">
        <v>4</v>
      </c>
      <c r="AM2621" t="n">
        <v>5</v>
      </c>
      <c r="AN2621" t="n">
        <v>0</v>
      </c>
      <c r="AO2621" t="n">
        <v>0</v>
      </c>
      <c r="AP2621" t="inlineStr">
        <is>
          <t>No</t>
        </is>
      </c>
      <c r="AQ2621" t="inlineStr">
        <is>
          <t>Yes</t>
        </is>
      </c>
      <c r="AR2621">
        <f>HYPERLINK("http://catalog.hathitrust.org/Record/000239889","HathiTrust Record")</f>
        <v/>
      </c>
      <c r="AS2621">
        <f>HYPERLINK("https://creighton-primo.hosted.exlibrisgroup.com/primo-explore/search?tab=default_tab&amp;search_scope=EVERYTHING&amp;vid=01CRU&amp;lang=en_US&amp;offset=0&amp;query=any,contains,991000152299702656","Catalog Record")</f>
        <v/>
      </c>
      <c r="AT2621">
        <f>HYPERLINK("http://www.worldcat.org/oclc/9217421","WorldCat Record")</f>
        <v/>
      </c>
      <c r="AU2621" t="inlineStr">
        <is>
          <t>197827027:eng</t>
        </is>
      </c>
      <c r="AV2621" t="inlineStr">
        <is>
          <t>9217421</t>
        </is>
      </c>
      <c r="AW2621" t="inlineStr">
        <is>
          <t>991000152299702656</t>
        </is>
      </c>
      <c r="AX2621" t="inlineStr">
        <is>
          <t>991000152299702656</t>
        </is>
      </c>
      <c r="AY2621" t="inlineStr">
        <is>
          <t>2267792250002656</t>
        </is>
      </c>
      <c r="AZ2621" t="inlineStr">
        <is>
          <t>BOOK</t>
        </is>
      </c>
      <c r="BB2621" t="inlineStr">
        <is>
          <t>9780394507309</t>
        </is>
      </c>
      <c r="BC2621" t="inlineStr">
        <is>
          <t>32285000370667</t>
        </is>
      </c>
      <c r="BD2621" t="inlineStr">
        <is>
          <t>893249135</t>
        </is>
      </c>
    </row>
    <row r="2622">
      <c r="A2622" t="inlineStr">
        <is>
          <t>No</t>
        </is>
      </c>
      <c r="B2622" t="inlineStr">
        <is>
          <t>DS897.K3253 M35 1982</t>
        </is>
      </c>
      <c r="C2622" t="inlineStr">
        <is>
          <t>0                      DS 0897000K  3253               M  35          1982</t>
        </is>
      </c>
      <c r="D2622" t="inlineStr">
        <is>
          <t>Kanazawa : a seventeenth-century Japanese castle town / James L. McClain.</t>
        </is>
      </c>
      <c r="F2622" t="inlineStr">
        <is>
          <t>No</t>
        </is>
      </c>
      <c r="G2622" t="inlineStr">
        <is>
          <t>1</t>
        </is>
      </c>
      <c r="H2622" t="inlineStr">
        <is>
          <t>No</t>
        </is>
      </c>
      <c r="I2622" t="inlineStr">
        <is>
          <t>No</t>
        </is>
      </c>
      <c r="J2622" t="inlineStr">
        <is>
          <t>0</t>
        </is>
      </c>
      <c r="K2622" t="inlineStr">
        <is>
          <t>McClain, James L., 1944-</t>
        </is>
      </c>
      <c r="L2622" t="inlineStr">
        <is>
          <t>New Haven : Yale University Press, c1982.</t>
        </is>
      </c>
      <c r="M2622" t="inlineStr">
        <is>
          <t>1982</t>
        </is>
      </c>
      <c r="O2622" t="inlineStr">
        <is>
          <t>eng</t>
        </is>
      </c>
      <c r="P2622" t="inlineStr">
        <is>
          <t>ctu</t>
        </is>
      </c>
      <c r="Q2622" t="inlineStr">
        <is>
          <t>Yale historical publications. Miscellany ; 128</t>
        </is>
      </c>
      <c r="R2622" t="inlineStr">
        <is>
          <t xml:space="preserve">DS </t>
        </is>
      </c>
      <c r="S2622" t="n">
        <v>1</v>
      </c>
      <c r="T2622" t="n">
        <v>1</v>
      </c>
      <c r="U2622" t="inlineStr">
        <is>
          <t>2009-09-21</t>
        </is>
      </c>
      <c r="V2622" t="inlineStr">
        <is>
          <t>2009-09-21</t>
        </is>
      </c>
      <c r="W2622" t="inlineStr">
        <is>
          <t>1990-11-01</t>
        </is>
      </c>
      <c r="X2622" t="inlineStr">
        <is>
          <t>1990-11-01</t>
        </is>
      </c>
      <c r="Y2622" t="n">
        <v>462</v>
      </c>
      <c r="Z2622" t="n">
        <v>370</v>
      </c>
      <c r="AA2622" t="n">
        <v>370</v>
      </c>
      <c r="AB2622" t="n">
        <v>3</v>
      </c>
      <c r="AC2622" t="n">
        <v>3</v>
      </c>
      <c r="AD2622" t="n">
        <v>18</v>
      </c>
      <c r="AE2622" t="n">
        <v>18</v>
      </c>
      <c r="AF2622" t="n">
        <v>5</v>
      </c>
      <c r="AG2622" t="n">
        <v>5</v>
      </c>
      <c r="AH2622" t="n">
        <v>5</v>
      </c>
      <c r="AI2622" t="n">
        <v>5</v>
      </c>
      <c r="AJ2622" t="n">
        <v>10</v>
      </c>
      <c r="AK2622" t="n">
        <v>10</v>
      </c>
      <c r="AL2622" t="n">
        <v>2</v>
      </c>
      <c r="AM2622" t="n">
        <v>2</v>
      </c>
      <c r="AN2622" t="n">
        <v>0</v>
      </c>
      <c r="AO2622" t="n">
        <v>0</v>
      </c>
      <c r="AP2622" t="inlineStr">
        <is>
          <t>No</t>
        </is>
      </c>
      <c r="AQ2622" t="inlineStr">
        <is>
          <t>No</t>
        </is>
      </c>
      <c r="AS2622">
        <f>HYPERLINK("https://creighton-primo.hosted.exlibrisgroup.com/primo-explore/search?tab=default_tab&amp;search_scope=EVERYTHING&amp;vid=01CRU&amp;lang=en_US&amp;offset=0&amp;query=any,contains,991005239529702656","Catalog Record")</f>
        <v/>
      </c>
      <c r="AT2622">
        <f>HYPERLINK("http://www.worldcat.org/oclc/8409035","WorldCat Record")</f>
        <v/>
      </c>
      <c r="AU2622" t="inlineStr">
        <is>
          <t>792292505:eng</t>
        </is>
      </c>
      <c r="AV2622" t="inlineStr">
        <is>
          <t>8409035</t>
        </is>
      </c>
      <c r="AW2622" t="inlineStr">
        <is>
          <t>991005239529702656</t>
        </is>
      </c>
      <c r="AX2622" t="inlineStr">
        <is>
          <t>991005239529702656</t>
        </is>
      </c>
      <c r="AY2622" t="inlineStr">
        <is>
          <t>2271003990002656</t>
        </is>
      </c>
      <c r="AZ2622" t="inlineStr">
        <is>
          <t>BOOK</t>
        </is>
      </c>
      <c r="BB2622" t="inlineStr">
        <is>
          <t>9780300027365</t>
        </is>
      </c>
      <c r="BC2622" t="inlineStr">
        <is>
          <t>32285000370683</t>
        </is>
      </c>
      <c r="BD2622" t="inlineStr">
        <is>
          <t>893350961</t>
        </is>
      </c>
    </row>
    <row r="2623">
      <c r="A2623" t="inlineStr">
        <is>
          <t>No</t>
        </is>
      </c>
      <c r="B2623" t="inlineStr">
        <is>
          <t>DS897.K85 N3313 1995</t>
        </is>
      </c>
      <c r="C2623" t="inlineStr">
        <is>
          <t>0                      DS 0897000K  85                 N  3313        1995</t>
        </is>
      </c>
      <c r="D2623" t="inlineStr">
        <is>
          <t>Makiko's diary : a merchant wife in 1910 Kyoto / Nakano Makiko ; translated, with introduction and notes, by Kazuko Smith.</t>
        </is>
      </c>
      <c r="F2623" t="inlineStr">
        <is>
          <t>No</t>
        </is>
      </c>
      <c r="G2623" t="inlineStr">
        <is>
          <t>1</t>
        </is>
      </c>
      <c r="H2623" t="inlineStr">
        <is>
          <t>No</t>
        </is>
      </c>
      <c r="I2623" t="inlineStr">
        <is>
          <t>No</t>
        </is>
      </c>
      <c r="J2623" t="inlineStr">
        <is>
          <t>0</t>
        </is>
      </c>
      <c r="K2623" t="inlineStr">
        <is>
          <t>Nakano, Makiko, 1890-1978.</t>
        </is>
      </c>
      <c r="L2623" t="inlineStr">
        <is>
          <t>Stanford, California : Stanford University Press, 1995.</t>
        </is>
      </c>
      <c r="M2623" t="inlineStr">
        <is>
          <t>1995</t>
        </is>
      </c>
      <c r="O2623" t="inlineStr">
        <is>
          <t>eng</t>
        </is>
      </c>
      <c r="P2623" t="inlineStr">
        <is>
          <t>cau</t>
        </is>
      </c>
      <c r="R2623" t="inlineStr">
        <is>
          <t xml:space="preserve">DS </t>
        </is>
      </c>
      <c r="S2623" t="n">
        <v>3</v>
      </c>
      <c r="T2623" t="n">
        <v>3</v>
      </c>
      <c r="U2623" t="inlineStr">
        <is>
          <t>1999-11-01</t>
        </is>
      </c>
      <c r="V2623" t="inlineStr">
        <is>
          <t>1999-11-01</t>
        </is>
      </c>
      <c r="W2623" t="inlineStr">
        <is>
          <t>1999-10-14</t>
        </is>
      </c>
      <c r="X2623" t="inlineStr">
        <is>
          <t>1999-10-14</t>
        </is>
      </c>
      <c r="Y2623" t="n">
        <v>544</v>
      </c>
      <c r="Z2623" t="n">
        <v>446</v>
      </c>
      <c r="AA2623" t="n">
        <v>447</v>
      </c>
      <c r="AB2623" t="n">
        <v>5</v>
      </c>
      <c r="AC2623" t="n">
        <v>5</v>
      </c>
      <c r="AD2623" t="n">
        <v>25</v>
      </c>
      <c r="AE2623" t="n">
        <v>25</v>
      </c>
      <c r="AF2623" t="n">
        <v>7</v>
      </c>
      <c r="AG2623" t="n">
        <v>7</v>
      </c>
      <c r="AH2623" t="n">
        <v>7</v>
      </c>
      <c r="AI2623" t="n">
        <v>7</v>
      </c>
      <c r="AJ2623" t="n">
        <v>12</v>
      </c>
      <c r="AK2623" t="n">
        <v>12</v>
      </c>
      <c r="AL2623" t="n">
        <v>4</v>
      </c>
      <c r="AM2623" t="n">
        <v>4</v>
      </c>
      <c r="AN2623" t="n">
        <v>0</v>
      </c>
      <c r="AO2623" t="n">
        <v>0</v>
      </c>
      <c r="AP2623" t="inlineStr">
        <is>
          <t>No</t>
        </is>
      </c>
      <c r="AQ2623" t="inlineStr">
        <is>
          <t>No</t>
        </is>
      </c>
      <c r="AS2623">
        <f>HYPERLINK("https://creighton-primo.hosted.exlibrisgroup.com/primo-explore/search?tab=default_tab&amp;search_scope=EVERYTHING&amp;vid=01CRU&amp;lang=en_US&amp;offset=0&amp;query=any,contains,991002420169702656","Catalog Record")</f>
        <v/>
      </c>
      <c r="AT2623">
        <f>HYPERLINK("http://www.worldcat.org/oclc/31516559","WorldCat Record")</f>
        <v/>
      </c>
      <c r="AU2623" t="inlineStr">
        <is>
          <t>33232655:eng</t>
        </is>
      </c>
      <c r="AV2623" t="inlineStr">
        <is>
          <t>31516559</t>
        </is>
      </c>
      <c r="AW2623" t="inlineStr">
        <is>
          <t>991002420169702656</t>
        </is>
      </c>
      <c r="AX2623" t="inlineStr">
        <is>
          <t>991002420169702656</t>
        </is>
      </c>
      <c r="AY2623" t="inlineStr">
        <is>
          <t>2270794140002656</t>
        </is>
      </c>
      <c r="AZ2623" t="inlineStr">
        <is>
          <t>BOOK</t>
        </is>
      </c>
      <c r="BB2623" t="inlineStr">
        <is>
          <t>9780804724401</t>
        </is>
      </c>
      <c r="BC2623" t="inlineStr">
        <is>
          <t>32285003610838</t>
        </is>
      </c>
      <c r="BD2623" t="inlineStr">
        <is>
          <t>893804593</t>
        </is>
      </c>
    </row>
    <row r="2624">
      <c r="A2624" t="inlineStr">
        <is>
          <t>No</t>
        </is>
      </c>
      <c r="B2624" t="inlineStr">
        <is>
          <t>DS897.S3923 S65 2001</t>
        </is>
      </c>
      <c r="C2624" t="inlineStr">
        <is>
          <t>0                      DS 0897000S  3923               S  65          2001</t>
        </is>
      </c>
      <c r="D2624" t="inlineStr">
        <is>
          <t>A time of crisis : Japan, the great depression, and rural revitalization / Kerry Smith.</t>
        </is>
      </c>
      <c r="F2624" t="inlineStr">
        <is>
          <t>No</t>
        </is>
      </c>
      <c r="G2624" t="inlineStr">
        <is>
          <t>1</t>
        </is>
      </c>
      <c r="H2624" t="inlineStr">
        <is>
          <t>No</t>
        </is>
      </c>
      <c r="I2624" t="inlineStr">
        <is>
          <t>No</t>
        </is>
      </c>
      <c r="J2624" t="inlineStr">
        <is>
          <t>0</t>
        </is>
      </c>
      <c r="K2624" t="inlineStr">
        <is>
          <t>Smith, Kerry Douglas.</t>
        </is>
      </c>
      <c r="L2624" t="inlineStr">
        <is>
          <t>Cambridge, Mass. : Harvard University Asia Center ; Distributed by Harvard University Press, c2001.</t>
        </is>
      </c>
      <c r="M2624" t="inlineStr">
        <is>
          <t>2001</t>
        </is>
      </c>
      <c r="O2624" t="inlineStr">
        <is>
          <t>eng</t>
        </is>
      </c>
      <c r="P2624" t="inlineStr">
        <is>
          <t>mau</t>
        </is>
      </c>
      <c r="Q2624" t="inlineStr">
        <is>
          <t>Harvard East Asian monographs ; 191</t>
        </is>
      </c>
      <c r="R2624" t="inlineStr">
        <is>
          <t xml:space="preserve">DS </t>
        </is>
      </c>
      <c r="S2624" t="n">
        <v>1</v>
      </c>
      <c r="T2624" t="n">
        <v>1</v>
      </c>
      <c r="U2624" t="inlineStr">
        <is>
          <t>2003-04-09</t>
        </is>
      </c>
      <c r="V2624" t="inlineStr">
        <is>
          <t>2003-04-09</t>
        </is>
      </c>
      <c r="W2624" t="inlineStr">
        <is>
          <t>2003-04-09</t>
        </is>
      </c>
      <c r="X2624" t="inlineStr">
        <is>
          <t>2003-04-09</t>
        </is>
      </c>
      <c r="Y2624" t="n">
        <v>419</v>
      </c>
      <c r="Z2624" t="n">
        <v>340</v>
      </c>
      <c r="AA2624" t="n">
        <v>388</v>
      </c>
      <c r="AB2624" t="n">
        <v>3</v>
      </c>
      <c r="AC2624" t="n">
        <v>3</v>
      </c>
      <c r="AD2624" t="n">
        <v>21</v>
      </c>
      <c r="AE2624" t="n">
        <v>27</v>
      </c>
      <c r="AF2624" t="n">
        <v>8</v>
      </c>
      <c r="AG2624" t="n">
        <v>12</v>
      </c>
      <c r="AH2624" t="n">
        <v>7</v>
      </c>
      <c r="AI2624" t="n">
        <v>8</v>
      </c>
      <c r="AJ2624" t="n">
        <v>11</v>
      </c>
      <c r="AK2624" t="n">
        <v>12</v>
      </c>
      <c r="AL2624" t="n">
        <v>2</v>
      </c>
      <c r="AM2624" t="n">
        <v>2</v>
      </c>
      <c r="AN2624" t="n">
        <v>0</v>
      </c>
      <c r="AO2624" t="n">
        <v>0</v>
      </c>
      <c r="AP2624" t="inlineStr">
        <is>
          <t>No</t>
        </is>
      </c>
      <c r="AQ2624" t="inlineStr">
        <is>
          <t>Yes</t>
        </is>
      </c>
      <c r="AR2624">
        <f>HYPERLINK("http://catalog.hathitrust.org/Record/003544691","HathiTrust Record")</f>
        <v/>
      </c>
      <c r="AS2624">
        <f>HYPERLINK("https://creighton-primo.hosted.exlibrisgroup.com/primo-explore/search?tab=default_tab&amp;search_scope=EVERYTHING&amp;vid=01CRU&amp;lang=en_US&amp;offset=0&amp;query=any,contains,991003997279702656","Catalog Record")</f>
        <v/>
      </c>
      <c r="AT2624">
        <f>HYPERLINK("http://www.worldcat.org/oclc/44979639","WorldCat Record")</f>
        <v/>
      </c>
      <c r="AU2624" t="inlineStr">
        <is>
          <t>725186:eng</t>
        </is>
      </c>
      <c r="AV2624" t="inlineStr">
        <is>
          <t>44979639</t>
        </is>
      </c>
      <c r="AW2624" t="inlineStr">
        <is>
          <t>991003997279702656</t>
        </is>
      </c>
      <c r="AX2624" t="inlineStr">
        <is>
          <t>991003997279702656</t>
        </is>
      </c>
      <c r="AY2624" t="inlineStr">
        <is>
          <t>2271297920002656</t>
        </is>
      </c>
      <c r="AZ2624" t="inlineStr">
        <is>
          <t>BOOK</t>
        </is>
      </c>
      <c r="BB2624" t="inlineStr">
        <is>
          <t>9780674003705</t>
        </is>
      </c>
      <c r="BC2624" t="inlineStr">
        <is>
          <t>32285004740543</t>
        </is>
      </c>
      <c r="BD2624" t="inlineStr">
        <is>
          <t>893806524</t>
        </is>
      </c>
    </row>
    <row r="2625">
      <c r="A2625" t="inlineStr">
        <is>
          <t>No</t>
        </is>
      </c>
      <c r="B2625" t="inlineStr">
        <is>
          <t>DS897.S5153 S5213</t>
        </is>
      </c>
      <c r="C2625" t="inlineStr">
        <is>
          <t>0                      DS 0897000S  5153               S  5213</t>
        </is>
      </c>
      <c r="D2625" t="inlineStr">
        <is>
          <t>Shinjō : the chronicle of a Japanese village / translated and with an introd. by Keith Brown.</t>
        </is>
      </c>
      <c r="F2625" t="inlineStr">
        <is>
          <t>No</t>
        </is>
      </c>
      <c r="G2625" t="inlineStr">
        <is>
          <t>1</t>
        </is>
      </c>
      <c r="H2625" t="inlineStr">
        <is>
          <t>No</t>
        </is>
      </c>
      <c r="I2625" t="inlineStr">
        <is>
          <t>No</t>
        </is>
      </c>
      <c r="J2625" t="inlineStr">
        <is>
          <t>0</t>
        </is>
      </c>
      <c r="L2625" t="inlineStr">
        <is>
          <t>Pittsburgh : University Center for International Studies in cooperation with the Dept. of Anthropology, University of Pittsburgh, 1979.</t>
        </is>
      </c>
      <c r="M2625" t="inlineStr">
        <is>
          <t>1979</t>
        </is>
      </c>
      <c r="O2625" t="inlineStr">
        <is>
          <t>eng</t>
        </is>
      </c>
      <c r="P2625" t="inlineStr">
        <is>
          <t>pau</t>
        </is>
      </c>
      <c r="Q2625" t="inlineStr">
        <is>
          <t>Ethnology monographs ; no. 2</t>
        </is>
      </c>
      <c r="R2625" t="inlineStr">
        <is>
          <t xml:space="preserve">DS </t>
        </is>
      </c>
      <c r="S2625" t="n">
        <v>6</v>
      </c>
      <c r="T2625" t="n">
        <v>6</v>
      </c>
      <c r="U2625" t="inlineStr">
        <is>
          <t>1996-04-10</t>
        </is>
      </c>
      <c r="V2625" t="inlineStr">
        <is>
          <t>1996-04-10</t>
        </is>
      </c>
      <c r="W2625" t="inlineStr">
        <is>
          <t>1990-11-01</t>
        </is>
      </c>
      <c r="X2625" t="inlineStr">
        <is>
          <t>1990-11-01</t>
        </is>
      </c>
      <c r="Y2625" t="n">
        <v>152</v>
      </c>
      <c r="Z2625" t="n">
        <v>135</v>
      </c>
      <c r="AA2625" t="n">
        <v>136</v>
      </c>
      <c r="AB2625" t="n">
        <v>2</v>
      </c>
      <c r="AC2625" t="n">
        <v>2</v>
      </c>
      <c r="AD2625" t="n">
        <v>4</v>
      </c>
      <c r="AE2625" t="n">
        <v>4</v>
      </c>
      <c r="AF2625" t="n">
        <v>0</v>
      </c>
      <c r="AG2625" t="n">
        <v>0</v>
      </c>
      <c r="AH2625" t="n">
        <v>1</v>
      </c>
      <c r="AI2625" t="n">
        <v>1</v>
      </c>
      <c r="AJ2625" t="n">
        <v>3</v>
      </c>
      <c r="AK2625" t="n">
        <v>3</v>
      </c>
      <c r="AL2625" t="n">
        <v>1</v>
      </c>
      <c r="AM2625" t="n">
        <v>1</v>
      </c>
      <c r="AN2625" t="n">
        <v>0</v>
      </c>
      <c r="AO2625" t="n">
        <v>0</v>
      </c>
      <c r="AP2625" t="inlineStr">
        <is>
          <t>No</t>
        </is>
      </c>
      <c r="AQ2625" t="inlineStr">
        <is>
          <t>Yes</t>
        </is>
      </c>
      <c r="AR2625">
        <f>HYPERLINK("http://catalog.hathitrust.org/Record/000030198","HathiTrust Record")</f>
        <v/>
      </c>
      <c r="AS2625">
        <f>HYPERLINK("https://creighton-primo.hosted.exlibrisgroup.com/primo-explore/search?tab=default_tab&amp;search_scope=EVERYTHING&amp;vid=01CRU&amp;lang=en_US&amp;offset=0&amp;query=any,contains,991004653589702656","Catalog Record")</f>
        <v/>
      </c>
      <c r="AT2625">
        <f>HYPERLINK("http://www.worldcat.org/oclc/4494666","WorldCat Record")</f>
        <v/>
      </c>
      <c r="AU2625" t="inlineStr">
        <is>
          <t>1043684145:eng</t>
        </is>
      </c>
      <c r="AV2625" t="inlineStr">
        <is>
          <t>4494666</t>
        </is>
      </c>
      <c r="AW2625" t="inlineStr">
        <is>
          <t>991004653589702656</t>
        </is>
      </c>
      <c r="AX2625" t="inlineStr">
        <is>
          <t>991004653589702656</t>
        </is>
      </c>
      <c r="AY2625" t="inlineStr">
        <is>
          <t>2265349590002656</t>
        </is>
      </c>
      <c r="AZ2625" t="inlineStr">
        <is>
          <t>BOOK</t>
        </is>
      </c>
      <c r="BB2625" t="inlineStr">
        <is>
          <t>9780916002374</t>
        </is>
      </c>
      <c r="BC2625" t="inlineStr">
        <is>
          <t>32285000370709</t>
        </is>
      </c>
      <c r="BD2625" t="inlineStr">
        <is>
          <t>893624928</t>
        </is>
      </c>
    </row>
    <row r="2626">
      <c r="A2626" t="inlineStr">
        <is>
          <t>No</t>
        </is>
      </c>
      <c r="B2626" t="inlineStr">
        <is>
          <t>DS90 .D613 1982</t>
        </is>
      </c>
      <c r="C2626" t="inlineStr">
        <is>
          <t>0                      DS 0090000D  613         1982</t>
        </is>
      </c>
      <c r="D2626" t="inlineStr">
        <is>
          <t>The Philistines and their material culture / Trude Dothan.</t>
        </is>
      </c>
      <c r="F2626" t="inlineStr">
        <is>
          <t>No</t>
        </is>
      </c>
      <c r="G2626" t="inlineStr">
        <is>
          <t>1</t>
        </is>
      </c>
      <c r="H2626" t="inlineStr">
        <is>
          <t>No</t>
        </is>
      </c>
      <c r="I2626" t="inlineStr">
        <is>
          <t>No</t>
        </is>
      </c>
      <c r="J2626" t="inlineStr">
        <is>
          <t>0</t>
        </is>
      </c>
      <c r="K2626" t="inlineStr">
        <is>
          <t>Dothan, Trude.</t>
        </is>
      </c>
      <c r="L2626" t="inlineStr">
        <is>
          <t>New Haven : Yale University Press, c1982.</t>
        </is>
      </c>
      <c r="M2626" t="inlineStr">
        <is>
          <t>1981</t>
        </is>
      </c>
      <c r="O2626" t="inlineStr">
        <is>
          <t>eng</t>
        </is>
      </c>
      <c r="P2626" t="inlineStr">
        <is>
          <t>ctu</t>
        </is>
      </c>
      <c r="R2626" t="inlineStr">
        <is>
          <t xml:space="preserve">DS </t>
        </is>
      </c>
      <c r="S2626" t="n">
        <v>10</v>
      </c>
      <c r="T2626" t="n">
        <v>10</v>
      </c>
      <c r="U2626" t="inlineStr">
        <is>
          <t>2007-03-19</t>
        </is>
      </c>
      <c r="V2626" t="inlineStr">
        <is>
          <t>2007-03-19</t>
        </is>
      </c>
      <c r="W2626" t="inlineStr">
        <is>
          <t>1990-09-18</t>
        </is>
      </c>
      <c r="X2626" t="inlineStr">
        <is>
          <t>1990-09-18</t>
        </is>
      </c>
      <c r="Y2626" t="n">
        <v>648</v>
      </c>
      <c r="Z2626" t="n">
        <v>535</v>
      </c>
      <c r="AA2626" t="n">
        <v>552</v>
      </c>
      <c r="AB2626" t="n">
        <v>5</v>
      </c>
      <c r="AC2626" t="n">
        <v>5</v>
      </c>
      <c r="AD2626" t="n">
        <v>25</v>
      </c>
      <c r="AE2626" t="n">
        <v>25</v>
      </c>
      <c r="AF2626" t="n">
        <v>12</v>
      </c>
      <c r="AG2626" t="n">
        <v>12</v>
      </c>
      <c r="AH2626" t="n">
        <v>6</v>
      </c>
      <c r="AI2626" t="n">
        <v>6</v>
      </c>
      <c r="AJ2626" t="n">
        <v>11</v>
      </c>
      <c r="AK2626" t="n">
        <v>11</v>
      </c>
      <c r="AL2626" t="n">
        <v>4</v>
      </c>
      <c r="AM2626" t="n">
        <v>4</v>
      </c>
      <c r="AN2626" t="n">
        <v>0</v>
      </c>
      <c r="AO2626" t="n">
        <v>0</v>
      </c>
      <c r="AP2626" t="inlineStr">
        <is>
          <t>No</t>
        </is>
      </c>
      <c r="AQ2626" t="inlineStr">
        <is>
          <t>No</t>
        </is>
      </c>
      <c r="AS2626">
        <f>HYPERLINK("https://creighton-primo.hosted.exlibrisgroup.com/primo-explore/search?tab=default_tab&amp;search_scope=EVERYTHING&amp;vid=01CRU&amp;lang=en_US&amp;offset=0&amp;query=any,contains,991005033399702656","Catalog Record")</f>
        <v/>
      </c>
      <c r="AT2626">
        <f>HYPERLINK("http://www.worldcat.org/oclc/6735520","WorldCat Record")</f>
        <v/>
      </c>
      <c r="AU2626" t="inlineStr">
        <is>
          <t>435303:eng</t>
        </is>
      </c>
      <c r="AV2626" t="inlineStr">
        <is>
          <t>6735520</t>
        </is>
      </c>
      <c r="AW2626" t="inlineStr">
        <is>
          <t>991005033399702656</t>
        </is>
      </c>
      <c r="AX2626" t="inlineStr">
        <is>
          <t>991005033399702656</t>
        </is>
      </c>
      <c r="AY2626" t="inlineStr">
        <is>
          <t>2267984490002656</t>
        </is>
      </c>
      <c r="AZ2626" t="inlineStr">
        <is>
          <t>BOOK</t>
        </is>
      </c>
      <c r="BB2626" t="inlineStr">
        <is>
          <t>9780300022582</t>
        </is>
      </c>
      <c r="BC2626" t="inlineStr">
        <is>
          <t>32285000292267</t>
        </is>
      </c>
      <c r="BD2626" t="inlineStr">
        <is>
          <t>893332306</t>
        </is>
      </c>
    </row>
    <row r="2627">
      <c r="A2627" t="inlineStr">
        <is>
          <t>No</t>
        </is>
      </c>
      <c r="B2627" t="inlineStr">
        <is>
          <t>DS90 .D63 1992</t>
        </is>
      </c>
      <c r="C2627" t="inlineStr">
        <is>
          <t>0                      DS 0090000D  63          1992</t>
        </is>
      </c>
      <c r="D2627" t="inlineStr">
        <is>
          <t>People of the sea : the search for the Philistines / Trude Dothan, Moshe Dothan.</t>
        </is>
      </c>
      <c r="F2627" t="inlineStr">
        <is>
          <t>No</t>
        </is>
      </c>
      <c r="G2627" t="inlineStr">
        <is>
          <t>1</t>
        </is>
      </c>
      <c r="H2627" t="inlineStr">
        <is>
          <t>No</t>
        </is>
      </c>
      <c r="I2627" t="inlineStr">
        <is>
          <t>No</t>
        </is>
      </c>
      <c r="J2627" t="inlineStr">
        <is>
          <t>0</t>
        </is>
      </c>
      <c r="K2627" t="inlineStr">
        <is>
          <t>Dothan, Trude.</t>
        </is>
      </c>
      <c r="L2627" t="inlineStr">
        <is>
          <t>New York : Macmillan ; Toronto : Maxwell Macmillan Canada ; New York : Maxwell Macmillan International, c1992.</t>
        </is>
      </c>
      <c r="M2627" t="inlineStr">
        <is>
          <t>1992</t>
        </is>
      </c>
      <c r="O2627" t="inlineStr">
        <is>
          <t>eng</t>
        </is>
      </c>
      <c r="P2627" t="inlineStr">
        <is>
          <t>nyu</t>
        </is>
      </c>
      <c r="R2627" t="inlineStr">
        <is>
          <t xml:space="preserve">DS </t>
        </is>
      </c>
      <c r="S2627" t="n">
        <v>10</v>
      </c>
      <c r="T2627" t="n">
        <v>10</v>
      </c>
      <c r="U2627" t="inlineStr">
        <is>
          <t>2007-03-19</t>
        </is>
      </c>
      <c r="V2627" t="inlineStr">
        <is>
          <t>2007-03-19</t>
        </is>
      </c>
      <c r="W2627" t="inlineStr">
        <is>
          <t>1999-04-26</t>
        </is>
      </c>
      <c r="X2627" t="inlineStr">
        <is>
          <t>1999-04-26</t>
        </is>
      </c>
      <c r="Y2627" t="n">
        <v>829</v>
      </c>
      <c r="Z2627" t="n">
        <v>715</v>
      </c>
      <c r="AA2627" t="n">
        <v>722</v>
      </c>
      <c r="AB2627" t="n">
        <v>3</v>
      </c>
      <c r="AC2627" t="n">
        <v>3</v>
      </c>
      <c r="AD2627" t="n">
        <v>23</v>
      </c>
      <c r="AE2627" t="n">
        <v>23</v>
      </c>
      <c r="AF2627" t="n">
        <v>9</v>
      </c>
      <c r="AG2627" t="n">
        <v>9</v>
      </c>
      <c r="AH2627" t="n">
        <v>4</v>
      </c>
      <c r="AI2627" t="n">
        <v>4</v>
      </c>
      <c r="AJ2627" t="n">
        <v>13</v>
      </c>
      <c r="AK2627" t="n">
        <v>13</v>
      </c>
      <c r="AL2627" t="n">
        <v>1</v>
      </c>
      <c r="AM2627" t="n">
        <v>1</v>
      </c>
      <c r="AN2627" t="n">
        <v>0</v>
      </c>
      <c r="AO2627" t="n">
        <v>0</v>
      </c>
      <c r="AP2627" t="inlineStr">
        <is>
          <t>No</t>
        </is>
      </c>
      <c r="AQ2627" t="inlineStr">
        <is>
          <t>Yes</t>
        </is>
      </c>
      <c r="AR2627">
        <f>HYPERLINK("http://catalog.hathitrust.org/Record/002574945","HathiTrust Record")</f>
        <v/>
      </c>
      <c r="AS2627">
        <f>HYPERLINK("https://creighton-primo.hosted.exlibrisgroup.com/primo-explore/search?tab=default_tab&amp;search_scope=EVERYTHING&amp;vid=01CRU&amp;lang=en_US&amp;offset=0&amp;query=any,contains,991001976469702656","Catalog Record")</f>
        <v/>
      </c>
      <c r="AT2627">
        <f>HYPERLINK("http://www.worldcat.org/oclc/25050180","WorldCat Record")</f>
        <v/>
      </c>
      <c r="AU2627" t="inlineStr">
        <is>
          <t>203229482:eng</t>
        </is>
      </c>
      <c r="AV2627" t="inlineStr">
        <is>
          <t>25050180</t>
        </is>
      </c>
      <c r="AW2627" t="inlineStr">
        <is>
          <t>991001976469702656</t>
        </is>
      </c>
      <c r="AX2627" t="inlineStr">
        <is>
          <t>991001976469702656</t>
        </is>
      </c>
      <c r="AY2627" t="inlineStr">
        <is>
          <t>2269655910002656</t>
        </is>
      </c>
      <c r="AZ2627" t="inlineStr">
        <is>
          <t>BOOK</t>
        </is>
      </c>
      <c r="BB2627" t="inlineStr">
        <is>
          <t>9780025322615</t>
        </is>
      </c>
      <c r="BC2627" t="inlineStr">
        <is>
          <t>32285003555322</t>
        </is>
      </c>
      <c r="BD2627" t="inlineStr">
        <is>
          <t>893250672</t>
        </is>
      </c>
    </row>
    <row r="2628">
      <c r="A2628" t="inlineStr">
        <is>
          <t>No</t>
        </is>
      </c>
      <c r="B2628" t="inlineStr">
        <is>
          <t>DS90 .E37 1996</t>
        </is>
      </c>
      <c r="C2628" t="inlineStr">
        <is>
          <t>0                      DS 0090000E  37          1996</t>
        </is>
      </c>
      <c r="D2628" t="inlineStr">
        <is>
          <t>The Philistines in transition : a history from ca. 1000-730 B.C.E. / by Carl S. Ehrlich.</t>
        </is>
      </c>
      <c r="F2628" t="inlineStr">
        <is>
          <t>No</t>
        </is>
      </c>
      <c r="G2628" t="inlineStr">
        <is>
          <t>1</t>
        </is>
      </c>
      <c r="H2628" t="inlineStr">
        <is>
          <t>No</t>
        </is>
      </c>
      <c r="I2628" t="inlineStr">
        <is>
          <t>No</t>
        </is>
      </c>
      <c r="J2628" t="inlineStr">
        <is>
          <t>0</t>
        </is>
      </c>
      <c r="K2628" t="inlineStr">
        <is>
          <t>Ehrlich, Carl S.</t>
        </is>
      </c>
      <c r="L2628" t="inlineStr">
        <is>
          <t>Leiden ; New York : E.J. Brill, 1996.</t>
        </is>
      </c>
      <c r="M2628" t="inlineStr">
        <is>
          <t>1996</t>
        </is>
      </c>
      <c r="O2628" t="inlineStr">
        <is>
          <t>eng</t>
        </is>
      </c>
      <c r="P2628" t="inlineStr">
        <is>
          <t xml:space="preserve">ne </t>
        </is>
      </c>
      <c r="Q2628" t="inlineStr">
        <is>
          <t>Studies in the history and culture of the ancient Near East, 0169-9024 ; v. 10</t>
        </is>
      </c>
      <c r="R2628" t="inlineStr">
        <is>
          <t xml:space="preserve">DS </t>
        </is>
      </c>
      <c r="S2628" t="n">
        <v>3</v>
      </c>
      <c r="T2628" t="n">
        <v>3</v>
      </c>
      <c r="U2628" t="inlineStr">
        <is>
          <t>2003-03-17</t>
        </is>
      </c>
      <c r="V2628" t="inlineStr">
        <is>
          <t>2003-03-17</t>
        </is>
      </c>
      <c r="W2628" t="inlineStr">
        <is>
          <t>1999-04-26</t>
        </is>
      </c>
      <c r="X2628" t="inlineStr">
        <is>
          <t>1999-04-26</t>
        </is>
      </c>
      <c r="Y2628" t="n">
        <v>231</v>
      </c>
      <c r="Z2628" t="n">
        <v>175</v>
      </c>
      <c r="AA2628" t="n">
        <v>177</v>
      </c>
      <c r="AB2628" t="n">
        <v>2</v>
      </c>
      <c r="AC2628" t="n">
        <v>2</v>
      </c>
      <c r="AD2628" t="n">
        <v>8</v>
      </c>
      <c r="AE2628" t="n">
        <v>8</v>
      </c>
      <c r="AF2628" t="n">
        <v>0</v>
      </c>
      <c r="AG2628" t="n">
        <v>0</v>
      </c>
      <c r="AH2628" t="n">
        <v>3</v>
      </c>
      <c r="AI2628" t="n">
        <v>3</v>
      </c>
      <c r="AJ2628" t="n">
        <v>6</v>
      </c>
      <c r="AK2628" t="n">
        <v>6</v>
      </c>
      <c r="AL2628" t="n">
        <v>1</v>
      </c>
      <c r="AM2628" t="n">
        <v>1</v>
      </c>
      <c r="AN2628" t="n">
        <v>0</v>
      </c>
      <c r="AO2628" t="n">
        <v>0</v>
      </c>
      <c r="AP2628" t="inlineStr">
        <is>
          <t>No</t>
        </is>
      </c>
      <c r="AQ2628" t="inlineStr">
        <is>
          <t>No</t>
        </is>
      </c>
      <c r="AS2628">
        <f>HYPERLINK("https://creighton-primo.hosted.exlibrisgroup.com/primo-explore/search?tab=default_tab&amp;search_scope=EVERYTHING&amp;vid=01CRU&amp;lang=en_US&amp;offset=0&amp;query=any,contains,991002719739702656","Catalog Record")</f>
        <v/>
      </c>
      <c r="AT2628">
        <f>HYPERLINK("http://www.worldcat.org/oclc/35657860","WorldCat Record")</f>
        <v/>
      </c>
      <c r="AU2628" t="inlineStr">
        <is>
          <t>891179106:eng</t>
        </is>
      </c>
      <c r="AV2628" t="inlineStr">
        <is>
          <t>35657860</t>
        </is>
      </c>
      <c r="AW2628" t="inlineStr">
        <is>
          <t>991002719739702656</t>
        </is>
      </c>
      <c r="AX2628" t="inlineStr">
        <is>
          <t>991002719739702656</t>
        </is>
      </c>
      <c r="AY2628" t="inlineStr">
        <is>
          <t>2255505570002656</t>
        </is>
      </c>
      <c r="AZ2628" t="inlineStr">
        <is>
          <t>BOOK</t>
        </is>
      </c>
      <c r="BB2628" t="inlineStr">
        <is>
          <t>9789004104266</t>
        </is>
      </c>
      <c r="BC2628" t="inlineStr">
        <is>
          <t>32285003555447</t>
        </is>
      </c>
      <c r="BD2628" t="inlineStr">
        <is>
          <t>893335637</t>
        </is>
      </c>
    </row>
    <row r="2629">
      <c r="A2629" t="inlineStr">
        <is>
          <t>No</t>
        </is>
      </c>
      <c r="B2629" t="inlineStr">
        <is>
          <t>DS90 .H56</t>
        </is>
      </c>
      <c r="C2629" t="inlineStr">
        <is>
          <t>0                      DS 0090000H  56</t>
        </is>
      </c>
      <c r="D2629" t="inlineStr">
        <is>
          <t>The Philistines and the Old Testament, by Edward E. Hindson.</t>
        </is>
      </c>
      <c r="F2629" t="inlineStr">
        <is>
          <t>No</t>
        </is>
      </c>
      <c r="G2629" t="inlineStr">
        <is>
          <t>1</t>
        </is>
      </c>
      <c r="H2629" t="inlineStr">
        <is>
          <t>No</t>
        </is>
      </c>
      <c r="I2629" t="inlineStr">
        <is>
          <t>No</t>
        </is>
      </c>
      <c r="J2629" t="inlineStr">
        <is>
          <t>0</t>
        </is>
      </c>
      <c r="K2629" t="inlineStr">
        <is>
          <t>Hindson, Edward E.</t>
        </is>
      </c>
      <c r="L2629" t="inlineStr">
        <is>
          <t>Grand Rapids, Baker Book House [1972, c1971]</t>
        </is>
      </c>
      <c r="M2629" t="inlineStr">
        <is>
          <t>1972</t>
        </is>
      </c>
      <c r="O2629" t="inlineStr">
        <is>
          <t>eng</t>
        </is>
      </c>
      <c r="P2629" t="inlineStr">
        <is>
          <t>miu</t>
        </is>
      </c>
      <c r="Q2629" t="inlineStr">
        <is>
          <t>Baker studies in Biblical archaeology</t>
        </is>
      </c>
      <c r="R2629" t="inlineStr">
        <is>
          <t xml:space="preserve">DS </t>
        </is>
      </c>
      <c r="S2629" t="n">
        <v>6</v>
      </c>
      <c r="T2629" t="n">
        <v>6</v>
      </c>
      <c r="U2629" t="inlineStr">
        <is>
          <t>2007-03-19</t>
        </is>
      </c>
      <c r="V2629" t="inlineStr">
        <is>
          <t>2007-03-19</t>
        </is>
      </c>
      <c r="W2629" t="inlineStr">
        <is>
          <t>1997-06-24</t>
        </is>
      </c>
      <c r="X2629" t="inlineStr">
        <is>
          <t>1997-06-24</t>
        </is>
      </c>
      <c r="Y2629" t="n">
        <v>341</v>
      </c>
      <c r="Z2629" t="n">
        <v>294</v>
      </c>
      <c r="AA2629" t="n">
        <v>309</v>
      </c>
      <c r="AB2629" t="n">
        <v>1</v>
      </c>
      <c r="AC2629" t="n">
        <v>1</v>
      </c>
      <c r="AD2629" t="n">
        <v>9</v>
      </c>
      <c r="AE2629" t="n">
        <v>9</v>
      </c>
      <c r="AF2629" t="n">
        <v>4</v>
      </c>
      <c r="AG2629" t="n">
        <v>4</v>
      </c>
      <c r="AH2629" t="n">
        <v>2</v>
      </c>
      <c r="AI2629" t="n">
        <v>2</v>
      </c>
      <c r="AJ2629" t="n">
        <v>5</v>
      </c>
      <c r="AK2629" t="n">
        <v>5</v>
      </c>
      <c r="AL2629" t="n">
        <v>0</v>
      </c>
      <c r="AM2629" t="n">
        <v>0</v>
      </c>
      <c r="AN2629" t="n">
        <v>0</v>
      </c>
      <c r="AO2629" t="n">
        <v>0</v>
      </c>
      <c r="AP2629" t="inlineStr">
        <is>
          <t>No</t>
        </is>
      </c>
      <c r="AQ2629" t="inlineStr">
        <is>
          <t>No</t>
        </is>
      </c>
      <c r="AS2629">
        <f>HYPERLINK("https://creighton-primo.hosted.exlibrisgroup.com/primo-explore/search?tab=default_tab&amp;search_scope=EVERYTHING&amp;vid=01CRU&amp;lang=en_US&amp;offset=0&amp;query=any,contains,991003029189702656","Catalog Record")</f>
        <v/>
      </c>
      <c r="AT2629">
        <f>HYPERLINK("http://www.worldcat.org/oclc/592415","WorldCat Record")</f>
        <v/>
      </c>
      <c r="AU2629" t="inlineStr">
        <is>
          <t>449894:eng</t>
        </is>
      </c>
      <c r="AV2629" t="inlineStr">
        <is>
          <t>592415</t>
        </is>
      </c>
      <c r="AW2629" t="inlineStr">
        <is>
          <t>991003029189702656</t>
        </is>
      </c>
      <c r="AX2629" t="inlineStr">
        <is>
          <t>991003029189702656</t>
        </is>
      </c>
      <c r="AY2629" t="inlineStr">
        <is>
          <t>2266421330002656</t>
        </is>
      </c>
      <c r="AZ2629" t="inlineStr">
        <is>
          <t>BOOK</t>
        </is>
      </c>
      <c r="BB2629" t="inlineStr">
        <is>
          <t>9780801040344</t>
        </is>
      </c>
      <c r="BC2629" t="inlineStr">
        <is>
          <t>32285002831120</t>
        </is>
      </c>
      <c r="BD2629" t="inlineStr">
        <is>
          <t>893721765</t>
        </is>
      </c>
    </row>
    <row r="2630">
      <c r="A2630" t="inlineStr">
        <is>
          <t>No</t>
        </is>
      </c>
      <c r="B2630" t="inlineStr">
        <is>
          <t>DS902 .K54 1963</t>
        </is>
      </c>
      <c r="C2630" t="inlineStr">
        <is>
          <t>0                      DS 0902000K  54          1963</t>
        </is>
      </c>
      <c r="D2630" t="inlineStr">
        <is>
          <t>Korea : its land, people and culture of all ages.</t>
        </is>
      </c>
      <c r="F2630" t="inlineStr">
        <is>
          <t>No</t>
        </is>
      </c>
      <c r="G2630" t="inlineStr">
        <is>
          <t>1</t>
        </is>
      </c>
      <c r="H2630" t="inlineStr">
        <is>
          <t>No</t>
        </is>
      </c>
      <c r="I2630" t="inlineStr">
        <is>
          <t>No</t>
        </is>
      </c>
      <c r="J2630" t="inlineStr">
        <is>
          <t>0</t>
        </is>
      </c>
      <c r="L2630" t="inlineStr">
        <is>
          <t>Seoul : Hakwon-sa, [1963]</t>
        </is>
      </c>
      <c r="M2630" t="inlineStr">
        <is>
          <t>1963</t>
        </is>
      </c>
      <c r="N2630" t="inlineStr">
        <is>
          <t>[2d ed.]</t>
        </is>
      </c>
      <c r="O2630" t="inlineStr">
        <is>
          <t>eng</t>
        </is>
      </c>
      <c r="P2630" t="inlineStr">
        <is>
          <t xml:space="preserve">ko </t>
        </is>
      </c>
      <c r="R2630" t="inlineStr">
        <is>
          <t xml:space="preserve">DS </t>
        </is>
      </c>
      <c r="S2630" t="n">
        <v>6</v>
      </c>
      <c r="T2630" t="n">
        <v>6</v>
      </c>
      <c r="U2630" t="inlineStr">
        <is>
          <t>1999-02-19</t>
        </is>
      </c>
      <c r="V2630" t="inlineStr">
        <is>
          <t>1999-02-19</t>
        </is>
      </c>
      <c r="W2630" t="inlineStr">
        <is>
          <t>1991-02-06</t>
        </is>
      </c>
      <c r="X2630" t="inlineStr">
        <is>
          <t>1991-02-06</t>
        </is>
      </c>
      <c r="Y2630" t="n">
        <v>130</v>
      </c>
      <c r="Z2630" t="n">
        <v>113</v>
      </c>
      <c r="AA2630" t="n">
        <v>120</v>
      </c>
      <c r="AB2630" t="n">
        <v>3</v>
      </c>
      <c r="AC2630" t="n">
        <v>3</v>
      </c>
      <c r="AD2630" t="n">
        <v>5</v>
      </c>
      <c r="AE2630" t="n">
        <v>5</v>
      </c>
      <c r="AF2630" t="n">
        <v>1</v>
      </c>
      <c r="AG2630" t="n">
        <v>1</v>
      </c>
      <c r="AH2630" t="n">
        <v>1</v>
      </c>
      <c r="AI2630" t="n">
        <v>1</v>
      </c>
      <c r="AJ2630" t="n">
        <v>2</v>
      </c>
      <c r="AK2630" t="n">
        <v>2</v>
      </c>
      <c r="AL2630" t="n">
        <v>2</v>
      </c>
      <c r="AM2630" t="n">
        <v>2</v>
      </c>
      <c r="AN2630" t="n">
        <v>0</v>
      </c>
      <c r="AO2630" t="n">
        <v>0</v>
      </c>
      <c r="AP2630" t="inlineStr">
        <is>
          <t>No</t>
        </is>
      </c>
      <c r="AQ2630" t="inlineStr">
        <is>
          <t>Yes</t>
        </is>
      </c>
      <c r="AR2630">
        <f>HYPERLINK("http://catalog.hathitrust.org/Record/001606625","HathiTrust Record")</f>
        <v/>
      </c>
      <c r="AS2630">
        <f>HYPERLINK("https://creighton-primo.hosted.exlibrisgroup.com/primo-explore/search?tab=default_tab&amp;search_scope=EVERYTHING&amp;vid=01CRU&amp;lang=en_US&amp;offset=0&amp;query=any,contains,991003197459702656","Catalog Record")</f>
        <v/>
      </c>
      <c r="AT2630">
        <f>HYPERLINK("http://www.worldcat.org/oclc/722605","WorldCat Record")</f>
        <v/>
      </c>
      <c r="AU2630" t="inlineStr">
        <is>
          <t>3373753227:eng</t>
        </is>
      </c>
      <c r="AV2630" t="inlineStr">
        <is>
          <t>722605</t>
        </is>
      </c>
      <c r="AW2630" t="inlineStr">
        <is>
          <t>991003197459702656</t>
        </is>
      </c>
      <c r="AX2630" t="inlineStr">
        <is>
          <t>991003197459702656</t>
        </is>
      </c>
      <c r="AY2630" t="inlineStr">
        <is>
          <t>2256782520002656</t>
        </is>
      </c>
      <c r="AZ2630" t="inlineStr">
        <is>
          <t>BOOK</t>
        </is>
      </c>
      <c r="BC2630" t="inlineStr">
        <is>
          <t>32285000473545</t>
        </is>
      </c>
      <c r="BD2630" t="inlineStr">
        <is>
          <t>893511664</t>
        </is>
      </c>
    </row>
    <row r="2631">
      <c r="A2631" t="inlineStr">
        <is>
          <t>No</t>
        </is>
      </c>
      <c r="B2631" t="inlineStr">
        <is>
          <t>DS902 .K547</t>
        </is>
      </c>
      <c r="C2631" t="inlineStr">
        <is>
          <t>0                      DS 0902000K  547</t>
        </is>
      </c>
      <c r="D2631" t="inlineStr">
        <is>
          <t>Korea : past and present.</t>
        </is>
      </c>
      <c r="F2631" t="inlineStr">
        <is>
          <t>No</t>
        </is>
      </c>
      <c r="G2631" t="inlineStr">
        <is>
          <t>1</t>
        </is>
      </c>
      <c r="H2631" t="inlineStr">
        <is>
          <t>No</t>
        </is>
      </c>
      <c r="I2631" t="inlineStr">
        <is>
          <t>No</t>
        </is>
      </c>
      <c r="J2631" t="inlineStr">
        <is>
          <t>0</t>
        </is>
      </c>
      <c r="L2631" t="inlineStr">
        <is>
          <t>Seoul : Kwangmyong Pub. Co., [1972]</t>
        </is>
      </c>
      <c r="M2631" t="inlineStr">
        <is>
          <t>1972</t>
        </is>
      </c>
      <c r="N2631" t="inlineStr">
        <is>
          <t>[1st. ed.]</t>
        </is>
      </c>
      <c r="O2631" t="inlineStr">
        <is>
          <t>eng</t>
        </is>
      </c>
      <c r="P2631" t="inlineStr">
        <is>
          <t xml:space="preserve">ko </t>
        </is>
      </c>
      <c r="R2631" t="inlineStr">
        <is>
          <t xml:space="preserve">DS </t>
        </is>
      </c>
      <c r="S2631" t="n">
        <v>7</v>
      </c>
      <c r="T2631" t="n">
        <v>7</v>
      </c>
      <c r="U2631" t="inlineStr">
        <is>
          <t>2008-11-29</t>
        </is>
      </c>
      <c r="V2631" t="inlineStr">
        <is>
          <t>2008-11-29</t>
        </is>
      </c>
      <c r="W2631" t="inlineStr">
        <is>
          <t>1991-02-06</t>
        </is>
      </c>
      <c r="X2631" t="inlineStr">
        <is>
          <t>1991-02-06</t>
        </is>
      </c>
      <c r="Y2631" t="n">
        <v>349</v>
      </c>
      <c r="Z2631" t="n">
        <v>248</v>
      </c>
      <c r="AA2631" t="n">
        <v>250</v>
      </c>
      <c r="AB2631" t="n">
        <v>4</v>
      </c>
      <c r="AC2631" t="n">
        <v>4</v>
      </c>
      <c r="AD2631" t="n">
        <v>21</v>
      </c>
      <c r="AE2631" t="n">
        <v>21</v>
      </c>
      <c r="AF2631" t="n">
        <v>9</v>
      </c>
      <c r="AG2631" t="n">
        <v>9</v>
      </c>
      <c r="AH2631" t="n">
        <v>4</v>
      </c>
      <c r="AI2631" t="n">
        <v>4</v>
      </c>
      <c r="AJ2631" t="n">
        <v>11</v>
      </c>
      <c r="AK2631" t="n">
        <v>11</v>
      </c>
      <c r="AL2631" t="n">
        <v>3</v>
      </c>
      <c r="AM2631" t="n">
        <v>3</v>
      </c>
      <c r="AN2631" t="n">
        <v>0</v>
      </c>
      <c r="AO2631" t="n">
        <v>0</v>
      </c>
      <c r="AP2631" t="inlineStr">
        <is>
          <t>No</t>
        </is>
      </c>
      <c r="AQ2631" t="inlineStr">
        <is>
          <t>Yes</t>
        </is>
      </c>
      <c r="AR2631">
        <f>HYPERLINK("http://catalog.hathitrust.org/Record/001606626","HathiTrust Record")</f>
        <v/>
      </c>
      <c r="AS2631">
        <f>HYPERLINK("https://creighton-primo.hosted.exlibrisgroup.com/primo-explore/search?tab=default_tab&amp;search_scope=EVERYTHING&amp;vid=01CRU&amp;lang=en_US&amp;offset=0&amp;query=any,contains,991003153169702656","Catalog Record")</f>
        <v/>
      </c>
      <c r="AT2631">
        <f>HYPERLINK("http://www.worldcat.org/oclc/692335","WorldCat Record")</f>
        <v/>
      </c>
      <c r="AU2631" t="inlineStr">
        <is>
          <t>9566511063:eng</t>
        </is>
      </c>
      <c r="AV2631" t="inlineStr">
        <is>
          <t>692335</t>
        </is>
      </c>
      <c r="AW2631" t="inlineStr">
        <is>
          <t>991003153169702656</t>
        </is>
      </c>
      <c r="AX2631" t="inlineStr">
        <is>
          <t>991003153169702656</t>
        </is>
      </c>
      <c r="AY2631" t="inlineStr">
        <is>
          <t>2268413600002656</t>
        </is>
      </c>
      <c r="AZ2631" t="inlineStr">
        <is>
          <t>BOOK</t>
        </is>
      </c>
      <c r="BC2631" t="inlineStr">
        <is>
          <t>32285000473537</t>
        </is>
      </c>
      <c r="BD2631" t="inlineStr">
        <is>
          <t>893904261</t>
        </is>
      </c>
    </row>
    <row r="2632">
      <c r="A2632" t="inlineStr">
        <is>
          <t>No</t>
        </is>
      </c>
      <c r="B2632" t="inlineStr">
        <is>
          <t>DS904 .I57 1979</t>
        </is>
      </c>
      <c r="C2632" t="inlineStr">
        <is>
          <t>0                      DS 0904000I  57          1979</t>
        </is>
      </c>
      <c r="D2632" t="inlineStr">
        <is>
          <t>Introducing Korea : historical legacy, acts of creation, way of life, food and games, discovering Korea / edited by Peter Hyun.</t>
        </is>
      </c>
      <c r="F2632" t="inlineStr">
        <is>
          <t>No</t>
        </is>
      </c>
      <c r="G2632" t="inlineStr">
        <is>
          <t>1</t>
        </is>
      </c>
      <c r="H2632" t="inlineStr">
        <is>
          <t>No</t>
        </is>
      </c>
      <c r="I2632" t="inlineStr">
        <is>
          <t>No</t>
        </is>
      </c>
      <c r="J2632" t="inlineStr">
        <is>
          <t>0</t>
        </is>
      </c>
      <c r="L2632" t="inlineStr">
        <is>
          <t>Seoul, Korea : Jungwoo-sa, 1979.</t>
        </is>
      </c>
      <c r="M2632" t="inlineStr">
        <is>
          <t>1979</t>
        </is>
      </c>
      <c r="O2632" t="inlineStr">
        <is>
          <t>eng</t>
        </is>
      </c>
      <c r="P2632" t="inlineStr">
        <is>
          <t xml:space="preserve">ko </t>
        </is>
      </c>
      <c r="R2632" t="inlineStr">
        <is>
          <t xml:space="preserve">DS </t>
        </is>
      </c>
      <c r="S2632" t="n">
        <v>5</v>
      </c>
      <c r="T2632" t="n">
        <v>5</v>
      </c>
      <c r="U2632" t="inlineStr">
        <is>
          <t>1997-05-01</t>
        </is>
      </c>
      <c r="V2632" t="inlineStr">
        <is>
          <t>1997-05-01</t>
        </is>
      </c>
      <c r="W2632" t="inlineStr">
        <is>
          <t>1990-11-01</t>
        </is>
      </c>
      <c r="X2632" t="inlineStr">
        <is>
          <t>1990-11-01</t>
        </is>
      </c>
      <c r="Y2632" t="n">
        <v>262</v>
      </c>
      <c r="Z2632" t="n">
        <v>215</v>
      </c>
      <c r="AA2632" t="n">
        <v>302</v>
      </c>
      <c r="AB2632" t="n">
        <v>2</v>
      </c>
      <c r="AC2632" t="n">
        <v>2</v>
      </c>
      <c r="AD2632" t="n">
        <v>7</v>
      </c>
      <c r="AE2632" t="n">
        <v>10</v>
      </c>
      <c r="AF2632" t="n">
        <v>1</v>
      </c>
      <c r="AG2632" t="n">
        <v>1</v>
      </c>
      <c r="AH2632" t="n">
        <v>2</v>
      </c>
      <c r="AI2632" t="n">
        <v>4</v>
      </c>
      <c r="AJ2632" t="n">
        <v>4</v>
      </c>
      <c r="AK2632" t="n">
        <v>6</v>
      </c>
      <c r="AL2632" t="n">
        <v>1</v>
      </c>
      <c r="AM2632" t="n">
        <v>1</v>
      </c>
      <c r="AN2632" t="n">
        <v>0</v>
      </c>
      <c r="AO2632" t="n">
        <v>0</v>
      </c>
      <c r="AP2632" t="inlineStr">
        <is>
          <t>No</t>
        </is>
      </c>
      <c r="AQ2632" t="inlineStr">
        <is>
          <t>Yes</t>
        </is>
      </c>
      <c r="AR2632">
        <f>HYPERLINK("http://catalog.hathitrust.org/Record/007165067","HathiTrust Record")</f>
        <v/>
      </c>
      <c r="AS2632">
        <f>HYPERLINK("https://creighton-primo.hosted.exlibrisgroup.com/primo-explore/search?tab=default_tab&amp;search_scope=EVERYTHING&amp;vid=01CRU&amp;lang=en_US&amp;offset=0&amp;query=any,contains,991004940889702656","Catalog Record")</f>
        <v/>
      </c>
      <c r="AT2632">
        <f>HYPERLINK("http://www.worldcat.org/oclc/6188601","WorldCat Record")</f>
        <v/>
      </c>
      <c r="AU2632" t="inlineStr">
        <is>
          <t>54373215:eng</t>
        </is>
      </c>
      <c r="AV2632" t="inlineStr">
        <is>
          <t>6188601</t>
        </is>
      </c>
      <c r="AW2632" t="inlineStr">
        <is>
          <t>991004940889702656</t>
        </is>
      </c>
      <c r="AX2632" t="inlineStr">
        <is>
          <t>991004940889702656</t>
        </is>
      </c>
      <c r="AY2632" t="inlineStr">
        <is>
          <t>2263979090002656</t>
        </is>
      </c>
      <c r="AZ2632" t="inlineStr">
        <is>
          <t>BOOK</t>
        </is>
      </c>
      <c r="BC2632" t="inlineStr">
        <is>
          <t>32285000370758</t>
        </is>
      </c>
      <c r="BD2632" t="inlineStr">
        <is>
          <t>893325962</t>
        </is>
      </c>
    </row>
    <row r="2633">
      <c r="A2633" t="inlineStr">
        <is>
          <t>No</t>
        </is>
      </c>
      <c r="B2633" t="inlineStr">
        <is>
          <t>DS904 .K68 v...</t>
        </is>
      </c>
      <c r="C2633" t="inlineStr">
        <is>
          <t>0                      DS 0904000K  68                                                      v...</t>
        </is>
      </c>
      <c r="D2633" t="inlineStr">
        <is>
          <t>Korean cultural heritage / [Editor: SON Chu-hwan]</t>
        </is>
      </c>
      <c r="E2633" t="inlineStr">
        <is>
          <t>V.4</t>
        </is>
      </c>
      <c r="F2633" t="inlineStr">
        <is>
          <t>Yes</t>
        </is>
      </c>
      <c r="G2633" t="inlineStr">
        <is>
          <t>1</t>
        </is>
      </c>
      <c r="H2633" t="inlineStr">
        <is>
          <t>No</t>
        </is>
      </c>
      <c r="I2633" t="inlineStr">
        <is>
          <t>No</t>
        </is>
      </c>
      <c r="J2633" t="inlineStr">
        <is>
          <t>0</t>
        </is>
      </c>
      <c r="L2633" t="inlineStr">
        <is>
          <t>Seoul : The Korea Foundation, 1994-</t>
        </is>
      </c>
      <c r="M2633" t="inlineStr">
        <is>
          <t>1994</t>
        </is>
      </c>
      <c r="O2633" t="inlineStr">
        <is>
          <t>eng</t>
        </is>
      </c>
      <c r="P2633" t="inlineStr">
        <is>
          <t xml:space="preserve">ko </t>
        </is>
      </c>
      <c r="R2633" t="inlineStr">
        <is>
          <t xml:space="preserve">DS </t>
        </is>
      </c>
      <c r="S2633" t="n">
        <v>2</v>
      </c>
      <c r="T2633" t="n">
        <v>9</v>
      </c>
      <c r="U2633" t="inlineStr">
        <is>
          <t>2007-09-23</t>
        </is>
      </c>
      <c r="V2633" t="inlineStr">
        <is>
          <t>2007-09-23</t>
        </is>
      </c>
      <c r="W2633" t="inlineStr">
        <is>
          <t>1998-04-16</t>
        </is>
      </c>
      <c r="X2633" t="inlineStr">
        <is>
          <t>1998-04-16</t>
        </is>
      </c>
      <c r="Y2633" t="n">
        <v>827</v>
      </c>
      <c r="Z2633" t="n">
        <v>704</v>
      </c>
      <c r="AA2633" t="n">
        <v>717</v>
      </c>
      <c r="AB2633" t="n">
        <v>3</v>
      </c>
      <c r="AC2633" t="n">
        <v>3</v>
      </c>
      <c r="AD2633" t="n">
        <v>25</v>
      </c>
      <c r="AE2633" t="n">
        <v>25</v>
      </c>
      <c r="AF2633" t="n">
        <v>10</v>
      </c>
      <c r="AG2633" t="n">
        <v>10</v>
      </c>
      <c r="AH2633" t="n">
        <v>4</v>
      </c>
      <c r="AI2633" t="n">
        <v>4</v>
      </c>
      <c r="AJ2633" t="n">
        <v>17</v>
      </c>
      <c r="AK2633" t="n">
        <v>17</v>
      </c>
      <c r="AL2633" t="n">
        <v>0</v>
      </c>
      <c r="AM2633" t="n">
        <v>0</v>
      </c>
      <c r="AN2633" t="n">
        <v>0</v>
      </c>
      <c r="AO2633" t="n">
        <v>0</v>
      </c>
      <c r="AP2633" t="inlineStr">
        <is>
          <t>No</t>
        </is>
      </c>
      <c r="AQ2633" t="inlineStr">
        <is>
          <t>No</t>
        </is>
      </c>
      <c r="AS2633">
        <f>HYPERLINK("https://creighton-primo.hosted.exlibrisgroup.com/primo-explore/search?tab=default_tab&amp;search_scope=EVERYTHING&amp;vid=01CRU&amp;lang=en_US&amp;offset=0&amp;query=any,contains,991002493819702656","Catalog Record")</f>
        <v/>
      </c>
      <c r="AT2633">
        <f>HYPERLINK("http://www.worldcat.org/oclc/32451775","WorldCat Record")</f>
        <v/>
      </c>
      <c r="AU2633" t="inlineStr">
        <is>
          <t>2908815417:eng</t>
        </is>
      </c>
      <c r="AV2633" t="inlineStr">
        <is>
          <t>32451775</t>
        </is>
      </c>
      <c r="AW2633" t="inlineStr">
        <is>
          <t>991002493819702656</t>
        </is>
      </c>
      <c r="AX2633" t="inlineStr">
        <is>
          <t>991002493819702656</t>
        </is>
      </c>
      <c r="AY2633" t="inlineStr">
        <is>
          <t>2267315480002656</t>
        </is>
      </c>
      <c r="AZ2633" t="inlineStr">
        <is>
          <t>BOOK</t>
        </is>
      </c>
      <c r="BC2633" t="inlineStr">
        <is>
          <t>32285003392031</t>
        </is>
      </c>
      <c r="BD2633" t="inlineStr">
        <is>
          <t>893892625</t>
        </is>
      </c>
    </row>
    <row r="2634">
      <c r="A2634" t="inlineStr">
        <is>
          <t>No</t>
        </is>
      </c>
      <c r="B2634" t="inlineStr">
        <is>
          <t>DS904 .K68 v...</t>
        </is>
      </c>
      <c r="C2634" t="inlineStr">
        <is>
          <t>0                      DS 0904000K  68                                                      v...</t>
        </is>
      </c>
      <c r="D2634" t="inlineStr">
        <is>
          <t>Korean cultural heritage / [Editor: SON Chu-hwan]</t>
        </is>
      </c>
      <c r="E2634" t="inlineStr">
        <is>
          <t>V.1</t>
        </is>
      </c>
      <c r="F2634" t="inlineStr">
        <is>
          <t>Yes</t>
        </is>
      </c>
      <c r="G2634" t="inlineStr">
        <is>
          <t>1</t>
        </is>
      </c>
      <c r="H2634" t="inlineStr">
        <is>
          <t>No</t>
        </is>
      </c>
      <c r="I2634" t="inlineStr">
        <is>
          <t>No</t>
        </is>
      </c>
      <c r="J2634" t="inlineStr">
        <is>
          <t>0</t>
        </is>
      </c>
      <c r="L2634" t="inlineStr">
        <is>
          <t>Seoul : The Korea Foundation, 1994-</t>
        </is>
      </c>
      <c r="M2634" t="inlineStr">
        <is>
          <t>1994</t>
        </is>
      </c>
      <c r="O2634" t="inlineStr">
        <is>
          <t>eng</t>
        </is>
      </c>
      <c r="P2634" t="inlineStr">
        <is>
          <t xml:space="preserve">ko </t>
        </is>
      </c>
      <c r="R2634" t="inlineStr">
        <is>
          <t xml:space="preserve">DS </t>
        </is>
      </c>
      <c r="S2634" t="n">
        <v>4</v>
      </c>
      <c r="T2634" t="n">
        <v>9</v>
      </c>
      <c r="U2634" t="inlineStr">
        <is>
          <t>1998-04-21</t>
        </is>
      </c>
      <c r="V2634" t="inlineStr">
        <is>
          <t>2007-09-23</t>
        </is>
      </c>
      <c r="W2634" t="inlineStr">
        <is>
          <t>1995-06-01</t>
        </is>
      </c>
      <c r="X2634" t="inlineStr">
        <is>
          <t>1998-04-16</t>
        </is>
      </c>
      <c r="Y2634" t="n">
        <v>827</v>
      </c>
      <c r="Z2634" t="n">
        <v>704</v>
      </c>
      <c r="AA2634" t="n">
        <v>717</v>
      </c>
      <c r="AB2634" t="n">
        <v>3</v>
      </c>
      <c r="AC2634" t="n">
        <v>3</v>
      </c>
      <c r="AD2634" t="n">
        <v>25</v>
      </c>
      <c r="AE2634" t="n">
        <v>25</v>
      </c>
      <c r="AF2634" t="n">
        <v>10</v>
      </c>
      <c r="AG2634" t="n">
        <v>10</v>
      </c>
      <c r="AH2634" t="n">
        <v>4</v>
      </c>
      <c r="AI2634" t="n">
        <v>4</v>
      </c>
      <c r="AJ2634" t="n">
        <v>17</v>
      </c>
      <c r="AK2634" t="n">
        <v>17</v>
      </c>
      <c r="AL2634" t="n">
        <v>0</v>
      </c>
      <c r="AM2634" t="n">
        <v>0</v>
      </c>
      <c r="AN2634" t="n">
        <v>0</v>
      </c>
      <c r="AO2634" t="n">
        <v>0</v>
      </c>
      <c r="AP2634" t="inlineStr">
        <is>
          <t>No</t>
        </is>
      </c>
      <c r="AQ2634" t="inlineStr">
        <is>
          <t>No</t>
        </is>
      </c>
      <c r="AS2634">
        <f>HYPERLINK("https://creighton-primo.hosted.exlibrisgroup.com/primo-explore/search?tab=default_tab&amp;search_scope=EVERYTHING&amp;vid=01CRU&amp;lang=en_US&amp;offset=0&amp;query=any,contains,991002493819702656","Catalog Record")</f>
        <v/>
      </c>
      <c r="AT2634">
        <f>HYPERLINK("http://www.worldcat.org/oclc/32451775","WorldCat Record")</f>
        <v/>
      </c>
      <c r="AU2634" t="inlineStr">
        <is>
          <t>2908815417:eng</t>
        </is>
      </c>
      <c r="AV2634" t="inlineStr">
        <is>
          <t>32451775</t>
        </is>
      </c>
      <c r="AW2634" t="inlineStr">
        <is>
          <t>991002493819702656</t>
        </is>
      </c>
      <c r="AX2634" t="inlineStr">
        <is>
          <t>991002493819702656</t>
        </is>
      </c>
      <c r="AY2634" t="inlineStr">
        <is>
          <t>2267315480002656</t>
        </is>
      </c>
      <c r="AZ2634" t="inlineStr">
        <is>
          <t>BOOK</t>
        </is>
      </c>
      <c r="BC2634" t="inlineStr">
        <is>
          <t>32285002056629</t>
        </is>
      </c>
      <c r="BD2634" t="inlineStr">
        <is>
          <t>893892626</t>
        </is>
      </c>
    </row>
    <row r="2635">
      <c r="A2635" t="inlineStr">
        <is>
          <t>No</t>
        </is>
      </c>
      <c r="B2635" t="inlineStr">
        <is>
          <t>DS904 .K68 v...</t>
        </is>
      </c>
      <c r="C2635" t="inlineStr">
        <is>
          <t>0                      DS 0904000K  68                                                      v...</t>
        </is>
      </c>
      <c r="D2635" t="inlineStr">
        <is>
          <t>Korean cultural heritage / [Editor: SON Chu-hwan]</t>
        </is>
      </c>
      <c r="E2635" t="inlineStr">
        <is>
          <t>V.2</t>
        </is>
      </c>
      <c r="F2635" t="inlineStr">
        <is>
          <t>Yes</t>
        </is>
      </c>
      <c r="G2635" t="inlineStr">
        <is>
          <t>1</t>
        </is>
      </c>
      <c r="H2635" t="inlineStr">
        <is>
          <t>No</t>
        </is>
      </c>
      <c r="I2635" t="inlineStr">
        <is>
          <t>No</t>
        </is>
      </c>
      <c r="J2635" t="inlineStr">
        <is>
          <t>0</t>
        </is>
      </c>
      <c r="L2635" t="inlineStr">
        <is>
          <t>Seoul : The Korea Foundation, 1994-</t>
        </is>
      </c>
      <c r="M2635" t="inlineStr">
        <is>
          <t>1994</t>
        </is>
      </c>
      <c r="O2635" t="inlineStr">
        <is>
          <t>eng</t>
        </is>
      </c>
      <c r="P2635" t="inlineStr">
        <is>
          <t xml:space="preserve">ko </t>
        </is>
      </c>
      <c r="R2635" t="inlineStr">
        <is>
          <t xml:space="preserve">DS </t>
        </is>
      </c>
      <c r="S2635" t="n">
        <v>3</v>
      </c>
      <c r="T2635" t="n">
        <v>9</v>
      </c>
      <c r="U2635" t="inlineStr">
        <is>
          <t>1997-12-16</t>
        </is>
      </c>
      <c r="V2635" t="inlineStr">
        <is>
          <t>2007-09-23</t>
        </is>
      </c>
      <c r="W2635" t="inlineStr">
        <is>
          <t>1996-11-01</t>
        </is>
      </c>
      <c r="X2635" t="inlineStr">
        <is>
          <t>1998-04-16</t>
        </is>
      </c>
      <c r="Y2635" t="n">
        <v>827</v>
      </c>
      <c r="Z2635" t="n">
        <v>704</v>
      </c>
      <c r="AA2635" t="n">
        <v>717</v>
      </c>
      <c r="AB2635" t="n">
        <v>3</v>
      </c>
      <c r="AC2635" t="n">
        <v>3</v>
      </c>
      <c r="AD2635" t="n">
        <v>25</v>
      </c>
      <c r="AE2635" t="n">
        <v>25</v>
      </c>
      <c r="AF2635" t="n">
        <v>10</v>
      </c>
      <c r="AG2635" t="n">
        <v>10</v>
      </c>
      <c r="AH2635" t="n">
        <v>4</v>
      </c>
      <c r="AI2635" t="n">
        <v>4</v>
      </c>
      <c r="AJ2635" t="n">
        <v>17</v>
      </c>
      <c r="AK2635" t="n">
        <v>17</v>
      </c>
      <c r="AL2635" t="n">
        <v>0</v>
      </c>
      <c r="AM2635" t="n">
        <v>0</v>
      </c>
      <c r="AN2635" t="n">
        <v>0</v>
      </c>
      <c r="AO2635" t="n">
        <v>0</v>
      </c>
      <c r="AP2635" t="inlineStr">
        <is>
          <t>No</t>
        </is>
      </c>
      <c r="AQ2635" t="inlineStr">
        <is>
          <t>No</t>
        </is>
      </c>
      <c r="AS2635">
        <f>HYPERLINK("https://creighton-primo.hosted.exlibrisgroup.com/primo-explore/search?tab=default_tab&amp;search_scope=EVERYTHING&amp;vid=01CRU&amp;lang=en_US&amp;offset=0&amp;query=any,contains,991002493819702656","Catalog Record")</f>
        <v/>
      </c>
      <c r="AT2635">
        <f>HYPERLINK("http://www.worldcat.org/oclc/32451775","WorldCat Record")</f>
        <v/>
      </c>
      <c r="AU2635" t="inlineStr">
        <is>
          <t>2908815417:eng</t>
        </is>
      </c>
      <c r="AV2635" t="inlineStr">
        <is>
          <t>32451775</t>
        </is>
      </c>
      <c r="AW2635" t="inlineStr">
        <is>
          <t>991002493819702656</t>
        </is>
      </c>
      <c r="AX2635" t="inlineStr">
        <is>
          <t>991002493819702656</t>
        </is>
      </c>
      <c r="AY2635" t="inlineStr">
        <is>
          <t>2267315480002656</t>
        </is>
      </c>
      <c r="AZ2635" t="inlineStr">
        <is>
          <t>BOOK</t>
        </is>
      </c>
      <c r="BC2635" t="inlineStr">
        <is>
          <t>32285002390333</t>
        </is>
      </c>
      <c r="BD2635" t="inlineStr">
        <is>
          <t>893892624</t>
        </is>
      </c>
    </row>
    <row r="2636">
      <c r="A2636" t="inlineStr">
        <is>
          <t>No</t>
        </is>
      </c>
      <c r="B2636" t="inlineStr">
        <is>
          <t>DS904 .K68 v...</t>
        </is>
      </c>
      <c r="C2636" t="inlineStr">
        <is>
          <t>0                      DS 0904000K  68                                                      v...</t>
        </is>
      </c>
      <c r="D2636" t="inlineStr">
        <is>
          <t>Korean cultural heritage / [Editor: SON Chu-hwan]</t>
        </is>
      </c>
      <c r="E2636" t="inlineStr">
        <is>
          <t>V.3</t>
        </is>
      </c>
      <c r="F2636" t="inlineStr">
        <is>
          <t>Yes</t>
        </is>
      </c>
      <c r="G2636" t="inlineStr">
        <is>
          <t>1</t>
        </is>
      </c>
      <c r="H2636" t="inlineStr">
        <is>
          <t>No</t>
        </is>
      </c>
      <c r="I2636" t="inlineStr">
        <is>
          <t>No</t>
        </is>
      </c>
      <c r="J2636" t="inlineStr">
        <is>
          <t>0</t>
        </is>
      </c>
      <c r="L2636" t="inlineStr">
        <is>
          <t>Seoul : The Korea Foundation, 1994-</t>
        </is>
      </c>
      <c r="M2636" t="inlineStr">
        <is>
          <t>1994</t>
        </is>
      </c>
      <c r="O2636" t="inlineStr">
        <is>
          <t>eng</t>
        </is>
      </c>
      <c r="P2636" t="inlineStr">
        <is>
          <t xml:space="preserve">ko </t>
        </is>
      </c>
      <c r="R2636" t="inlineStr">
        <is>
          <t xml:space="preserve">DS </t>
        </is>
      </c>
      <c r="S2636" t="n">
        <v>0</v>
      </c>
      <c r="T2636" t="n">
        <v>9</v>
      </c>
      <c r="V2636" t="inlineStr">
        <is>
          <t>2007-09-23</t>
        </is>
      </c>
      <c r="W2636" t="inlineStr">
        <is>
          <t>1997-05-04</t>
        </is>
      </c>
      <c r="X2636" t="inlineStr">
        <is>
          <t>1998-04-16</t>
        </is>
      </c>
      <c r="Y2636" t="n">
        <v>827</v>
      </c>
      <c r="Z2636" t="n">
        <v>704</v>
      </c>
      <c r="AA2636" t="n">
        <v>717</v>
      </c>
      <c r="AB2636" t="n">
        <v>3</v>
      </c>
      <c r="AC2636" t="n">
        <v>3</v>
      </c>
      <c r="AD2636" t="n">
        <v>25</v>
      </c>
      <c r="AE2636" t="n">
        <v>25</v>
      </c>
      <c r="AF2636" t="n">
        <v>10</v>
      </c>
      <c r="AG2636" t="n">
        <v>10</v>
      </c>
      <c r="AH2636" t="n">
        <v>4</v>
      </c>
      <c r="AI2636" t="n">
        <v>4</v>
      </c>
      <c r="AJ2636" t="n">
        <v>17</v>
      </c>
      <c r="AK2636" t="n">
        <v>17</v>
      </c>
      <c r="AL2636" t="n">
        <v>0</v>
      </c>
      <c r="AM2636" t="n">
        <v>0</v>
      </c>
      <c r="AN2636" t="n">
        <v>0</v>
      </c>
      <c r="AO2636" t="n">
        <v>0</v>
      </c>
      <c r="AP2636" t="inlineStr">
        <is>
          <t>No</t>
        </is>
      </c>
      <c r="AQ2636" t="inlineStr">
        <is>
          <t>No</t>
        </is>
      </c>
      <c r="AS2636">
        <f>HYPERLINK("https://creighton-primo.hosted.exlibrisgroup.com/primo-explore/search?tab=default_tab&amp;search_scope=EVERYTHING&amp;vid=01CRU&amp;lang=en_US&amp;offset=0&amp;query=any,contains,991002493819702656","Catalog Record")</f>
        <v/>
      </c>
      <c r="AT2636">
        <f>HYPERLINK("http://www.worldcat.org/oclc/32451775","WorldCat Record")</f>
        <v/>
      </c>
      <c r="AU2636" t="inlineStr">
        <is>
          <t>2908815417:eng</t>
        </is>
      </c>
      <c r="AV2636" t="inlineStr">
        <is>
          <t>32451775</t>
        </is>
      </c>
      <c r="AW2636" t="inlineStr">
        <is>
          <t>991002493819702656</t>
        </is>
      </c>
      <c r="AX2636" t="inlineStr">
        <is>
          <t>991002493819702656</t>
        </is>
      </c>
      <c r="AY2636" t="inlineStr">
        <is>
          <t>2267315480002656</t>
        </is>
      </c>
      <c r="AZ2636" t="inlineStr">
        <is>
          <t>BOOK</t>
        </is>
      </c>
      <c r="BC2636" t="inlineStr">
        <is>
          <t>32285002573219</t>
        </is>
      </c>
      <c r="BD2636" t="inlineStr">
        <is>
          <t>893873595</t>
        </is>
      </c>
    </row>
    <row r="2637">
      <c r="A2637" t="inlineStr">
        <is>
          <t>No</t>
        </is>
      </c>
      <c r="B2637" t="inlineStr">
        <is>
          <t>DS904 .O8</t>
        </is>
      </c>
      <c r="C2637" t="inlineStr">
        <is>
          <t>0                      DS 0904000O  8</t>
        </is>
      </c>
      <c r="D2637" t="inlineStr">
        <is>
          <t>The Koreans and their culture.</t>
        </is>
      </c>
      <c r="F2637" t="inlineStr">
        <is>
          <t>No</t>
        </is>
      </c>
      <c r="G2637" t="inlineStr">
        <is>
          <t>1</t>
        </is>
      </c>
      <c r="H2637" t="inlineStr">
        <is>
          <t>No</t>
        </is>
      </c>
      <c r="I2637" t="inlineStr">
        <is>
          <t>No</t>
        </is>
      </c>
      <c r="J2637" t="inlineStr">
        <is>
          <t>0</t>
        </is>
      </c>
      <c r="K2637" t="inlineStr">
        <is>
          <t>Osgood, Cornelius, 1905-1985.</t>
        </is>
      </c>
      <c r="L2637" t="inlineStr">
        <is>
          <t>New York : Ronald Press Co., [1951]</t>
        </is>
      </c>
      <c r="M2637" t="inlineStr">
        <is>
          <t>1951</t>
        </is>
      </c>
      <c r="O2637" t="inlineStr">
        <is>
          <t>eng</t>
        </is>
      </c>
      <c r="P2637" t="inlineStr">
        <is>
          <t>nyu</t>
        </is>
      </c>
      <c r="R2637" t="inlineStr">
        <is>
          <t xml:space="preserve">DS </t>
        </is>
      </c>
      <c r="S2637" t="n">
        <v>5</v>
      </c>
      <c r="T2637" t="n">
        <v>5</v>
      </c>
      <c r="U2637" t="inlineStr">
        <is>
          <t>1997-05-01</t>
        </is>
      </c>
      <c r="V2637" t="inlineStr">
        <is>
          <t>1997-05-01</t>
        </is>
      </c>
      <c r="W2637" t="inlineStr">
        <is>
          <t>1992-11-02</t>
        </is>
      </c>
      <c r="X2637" t="inlineStr">
        <is>
          <t>1992-11-02</t>
        </is>
      </c>
      <c r="Y2637" t="n">
        <v>1153</v>
      </c>
      <c r="Z2637" t="n">
        <v>1058</v>
      </c>
      <c r="AA2637" t="n">
        <v>1114</v>
      </c>
      <c r="AB2637" t="n">
        <v>10</v>
      </c>
      <c r="AC2637" t="n">
        <v>10</v>
      </c>
      <c r="AD2637" t="n">
        <v>44</v>
      </c>
      <c r="AE2637" t="n">
        <v>46</v>
      </c>
      <c r="AF2637" t="n">
        <v>20</v>
      </c>
      <c r="AG2637" t="n">
        <v>21</v>
      </c>
      <c r="AH2637" t="n">
        <v>6</v>
      </c>
      <c r="AI2637" t="n">
        <v>6</v>
      </c>
      <c r="AJ2637" t="n">
        <v>17</v>
      </c>
      <c r="AK2637" t="n">
        <v>19</v>
      </c>
      <c r="AL2637" t="n">
        <v>9</v>
      </c>
      <c r="AM2637" t="n">
        <v>9</v>
      </c>
      <c r="AN2637" t="n">
        <v>0</v>
      </c>
      <c r="AO2637" t="n">
        <v>0</v>
      </c>
      <c r="AP2637" t="inlineStr">
        <is>
          <t>No</t>
        </is>
      </c>
      <c r="AQ2637" t="inlineStr">
        <is>
          <t>Yes</t>
        </is>
      </c>
      <c r="AR2637">
        <f>HYPERLINK("http://catalog.hathitrust.org/Record/001606650","HathiTrust Record")</f>
        <v/>
      </c>
      <c r="AS2637">
        <f>HYPERLINK("https://creighton-primo.hosted.exlibrisgroup.com/primo-explore/search?tab=default_tab&amp;search_scope=EVERYTHING&amp;vid=01CRU&amp;lang=en_US&amp;offset=0&amp;query=any,contains,991002720599702656","Catalog Record")</f>
        <v/>
      </c>
      <c r="AT2637">
        <f>HYPERLINK("http://www.worldcat.org/oclc/412547","WorldCat Record")</f>
        <v/>
      </c>
      <c r="AU2637" t="inlineStr">
        <is>
          <t>1462688:eng</t>
        </is>
      </c>
      <c r="AV2637" t="inlineStr">
        <is>
          <t>412547</t>
        </is>
      </c>
      <c r="AW2637" t="inlineStr">
        <is>
          <t>991002720599702656</t>
        </is>
      </c>
      <c r="AX2637" t="inlineStr">
        <is>
          <t>991002720599702656</t>
        </is>
      </c>
      <c r="AY2637" t="inlineStr">
        <is>
          <t>2264544740002656</t>
        </is>
      </c>
      <c r="AZ2637" t="inlineStr">
        <is>
          <t>BOOK</t>
        </is>
      </c>
      <c r="BC2637" t="inlineStr">
        <is>
          <t>32285001379691</t>
        </is>
      </c>
      <c r="BD2637" t="inlineStr">
        <is>
          <t>893773954</t>
        </is>
      </c>
    </row>
    <row r="2638">
      <c r="A2638" t="inlineStr">
        <is>
          <t>No</t>
        </is>
      </c>
      <c r="B2638" t="inlineStr">
        <is>
          <t>DS907 .H3313</t>
        </is>
      </c>
      <c r="C2638" t="inlineStr">
        <is>
          <t>0                      DS 0907000H  3313</t>
        </is>
      </c>
      <c r="D2638" t="inlineStr">
        <is>
          <t>A history of Korea / translated and edited by Warren W. Smith, Jr., and Benjamin H. Hazard.</t>
        </is>
      </c>
      <c r="F2638" t="inlineStr">
        <is>
          <t>No</t>
        </is>
      </c>
      <c r="G2638" t="inlineStr">
        <is>
          <t>1</t>
        </is>
      </c>
      <c r="H2638" t="inlineStr">
        <is>
          <t>No</t>
        </is>
      </c>
      <c r="I2638" t="inlineStr">
        <is>
          <t>No</t>
        </is>
      </c>
      <c r="J2638" t="inlineStr">
        <is>
          <t>0</t>
        </is>
      </c>
      <c r="K2638" t="inlineStr">
        <is>
          <t>Hatada, Takashi, 1908-1994.</t>
        </is>
      </c>
      <c r="L2638" t="inlineStr">
        <is>
          <t>Santa Barbara, Calif. : ABC-Clio, 1969.</t>
        </is>
      </c>
      <c r="M2638" t="inlineStr">
        <is>
          <t>1969</t>
        </is>
      </c>
      <c r="O2638" t="inlineStr">
        <is>
          <t>eng</t>
        </is>
      </c>
      <c r="P2638" t="inlineStr">
        <is>
          <t>cau</t>
        </is>
      </c>
      <c r="R2638" t="inlineStr">
        <is>
          <t xml:space="preserve">DS </t>
        </is>
      </c>
      <c r="S2638" t="n">
        <v>13</v>
      </c>
      <c r="T2638" t="n">
        <v>13</v>
      </c>
      <c r="U2638" t="inlineStr">
        <is>
          <t>1997-01-16</t>
        </is>
      </c>
      <c r="V2638" t="inlineStr">
        <is>
          <t>1997-01-16</t>
        </is>
      </c>
      <c r="W2638" t="inlineStr">
        <is>
          <t>1994-04-27</t>
        </is>
      </c>
      <c r="X2638" t="inlineStr">
        <is>
          <t>1994-04-27</t>
        </is>
      </c>
      <c r="Y2638" t="n">
        <v>896</v>
      </c>
      <c r="Z2638" t="n">
        <v>780</v>
      </c>
      <c r="AA2638" t="n">
        <v>810</v>
      </c>
      <c r="AB2638" t="n">
        <v>8</v>
      </c>
      <c r="AC2638" t="n">
        <v>8</v>
      </c>
      <c r="AD2638" t="n">
        <v>37</v>
      </c>
      <c r="AE2638" t="n">
        <v>38</v>
      </c>
      <c r="AF2638" t="n">
        <v>14</v>
      </c>
      <c r="AG2638" t="n">
        <v>15</v>
      </c>
      <c r="AH2638" t="n">
        <v>6</v>
      </c>
      <c r="AI2638" t="n">
        <v>6</v>
      </c>
      <c r="AJ2638" t="n">
        <v>19</v>
      </c>
      <c r="AK2638" t="n">
        <v>19</v>
      </c>
      <c r="AL2638" t="n">
        <v>7</v>
      </c>
      <c r="AM2638" t="n">
        <v>7</v>
      </c>
      <c r="AN2638" t="n">
        <v>0</v>
      </c>
      <c r="AO2638" t="n">
        <v>0</v>
      </c>
      <c r="AP2638" t="inlineStr">
        <is>
          <t>No</t>
        </is>
      </c>
      <c r="AQ2638" t="inlineStr">
        <is>
          <t>Yes</t>
        </is>
      </c>
      <c r="AR2638">
        <f>HYPERLINK("http://catalog.hathitrust.org/Record/001606661","HathiTrust Record")</f>
        <v/>
      </c>
      <c r="AS2638">
        <f>HYPERLINK("https://creighton-primo.hosted.exlibrisgroup.com/primo-explore/search?tab=default_tab&amp;search_scope=EVERYTHING&amp;vid=01CRU&amp;lang=en_US&amp;offset=0&amp;query=any,contains,991001398959702656","Catalog Record")</f>
        <v/>
      </c>
      <c r="AT2638">
        <f>HYPERLINK("http://www.worldcat.org/oclc/228867","WorldCat Record")</f>
        <v/>
      </c>
      <c r="AU2638" t="inlineStr">
        <is>
          <t>37230073:eng</t>
        </is>
      </c>
      <c r="AV2638" t="inlineStr">
        <is>
          <t>228867</t>
        </is>
      </c>
      <c r="AW2638" t="inlineStr">
        <is>
          <t>991001398959702656</t>
        </is>
      </c>
      <c r="AX2638" t="inlineStr">
        <is>
          <t>991001398959702656</t>
        </is>
      </c>
      <c r="AY2638" t="inlineStr">
        <is>
          <t>2256988290002656</t>
        </is>
      </c>
      <c r="AZ2638" t="inlineStr">
        <is>
          <t>BOOK</t>
        </is>
      </c>
      <c r="BC2638" t="inlineStr">
        <is>
          <t>32285001893600</t>
        </is>
      </c>
      <c r="BD2638" t="inlineStr">
        <is>
          <t>893715416</t>
        </is>
      </c>
    </row>
    <row r="2639">
      <c r="A2639" t="inlineStr">
        <is>
          <t>No</t>
        </is>
      </c>
      <c r="B2639" t="inlineStr">
        <is>
          <t>DS907 .H8 1962</t>
        </is>
      </c>
      <c r="C2639" t="inlineStr">
        <is>
          <t>0                      DS 0907000H  8           1962</t>
        </is>
      </c>
      <c r="D2639" t="inlineStr">
        <is>
          <t>Hulbert's History of Korea / Edited by Clarence Norwood Weems.</t>
        </is>
      </c>
      <c r="E2639" t="inlineStr">
        <is>
          <t>V.2</t>
        </is>
      </c>
      <c r="F2639" t="inlineStr">
        <is>
          <t>Yes</t>
        </is>
      </c>
      <c r="G2639" t="inlineStr">
        <is>
          <t>1</t>
        </is>
      </c>
      <c r="H2639" t="inlineStr">
        <is>
          <t>No</t>
        </is>
      </c>
      <c r="I2639" t="inlineStr">
        <is>
          <t>No</t>
        </is>
      </c>
      <c r="J2639" t="inlineStr">
        <is>
          <t>0</t>
        </is>
      </c>
      <c r="K2639" t="inlineStr">
        <is>
          <t>Hulbert, Homer B. (Homer Bezaleel), 1863-1949.</t>
        </is>
      </c>
      <c r="L2639" t="inlineStr">
        <is>
          <t>New York : Hillary House Publishers, 1962.</t>
        </is>
      </c>
      <c r="M2639" t="inlineStr">
        <is>
          <t>1962</t>
        </is>
      </c>
      <c r="O2639" t="inlineStr">
        <is>
          <t>eng</t>
        </is>
      </c>
      <c r="P2639" t="inlineStr">
        <is>
          <t>nyu</t>
        </is>
      </c>
      <c r="R2639" t="inlineStr">
        <is>
          <t xml:space="preserve">DS </t>
        </is>
      </c>
      <c r="S2639" t="n">
        <v>2</v>
      </c>
      <c r="T2639" t="n">
        <v>6</v>
      </c>
      <c r="V2639" t="inlineStr">
        <is>
          <t>1993-10-05</t>
        </is>
      </c>
      <c r="W2639" t="inlineStr">
        <is>
          <t>1990-11-01</t>
        </is>
      </c>
      <c r="X2639" t="inlineStr">
        <is>
          <t>1990-11-01</t>
        </is>
      </c>
      <c r="Y2639" t="n">
        <v>943</v>
      </c>
      <c r="Z2639" t="n">
        <v>878</v>
      </c>
      <c r="AA2639" t="n">
        <v>998</v>
      </c>
      <c r="AB2639" t="n">
        <v>5</v>
      </c>
      <c r="AC2639" t="n">
        <v>6</v>
      </c>
      <c r="AD2639" t="n">
        <v>25</v>
      </c>
      <c r="AE2639" t="n">
        <v>32</v>
      </c>
      <c r="AF2639" t="n">
        <v>10</v>
      </c>
      <c r="AG2639" t="n">
        <v>13</v>
      </c>
      <c r="AH2639" t="n">
        <v>5</v>
      </c>
      <c r="AI2639" t="n">
        <v>5</v>
      </c>
      <c r="AJ2639" t="n">
        <v>9</v>
      </c>
      <c r="AK2639" t="n">
        <v>13</v>
      </c>
      <c r="AL2639" t="n">
        <v>4</v>
      </c>
      <c r="AM2639" t="n">
        <v>5</v>
      </c>
      <c r="AN2639" t="n">
        <v>0</v>
      </c>
      <c r="AO2639" t="n">
        <v>0</v>
      </c>
      <c r="AP2639" t="inlineStr">
        <is>
          <t>Yes</t>
        </is>
      </c>
      <c r="AQ2639" t="inlineStr">
        <is>
          <t>No</t>
        </is>
      </c>
      <c r="AR2639">
        <f>HYPERLINK("http://catalog.hathitrust.org/Record/001605023","HathiTrust Record")</f>
        <v/>
      </c>
      <c r="AS2639">
        <f>HYPERLINK("https://creighton-primo.hosted.exlibrisgroup.com/primo-explore/search?tab=default_tab&amp;search_scope=EVERYTHING&amp;vid=01CRU&amp;lang=en_US&amp;offset=0&amp;query=any,contains,991002721999702656","Catalog Record")</f>
        <v/>
      </c>
      <c r="AT2639">
        <f>HYPERLINK("http://www.worldcat.org/oclc/412893","WorldCat Record")</f>
        <v/>
      </c>
      <c r="AU2639" t="inlineStr">
        <is>
          <t>10076415702:eng</t>
        </is>
      </c>
      <c r="AV2639" t="inlineStr">
        <is>
          <t>412893</t>
        </is>
      </c>
      <c r="AW2639" t="inlineStr">
        <is>
          <t>991002721999702656</t>
        </is>
      </c>
      <c r="AX2639" t="inlineStr">
        <is>
          <t>991002721999702656</t>
        </is>
      </c>
      <c r="AY2639" t="inlineStr">
        <is>
          <t>2264408410002656</t>
        </is>
      </c>
      <c r="AZ2639" t="inlineStr">
        <is>
          <t>BOOK</t>
        </is>
      </c>
      <c r="BC2639" t="inlineStr">
        <is>
          <t>32285000370782</t>
        </is>
      </c>
      <c r="BD2639" t="inlineStr">
        <is>
          <t>893535152</t>
        </is>
      </c>
    </row>
    <row r="2640">
      <c r="A2640" t="inlineStr">
        <is>
          <t>No</t>
        </is>
      </c>
      <c r="B2640" t="inlineStr">
        <is>
          <t>DS907 .H8 1962</t>
        </is>
      </c>
      <c r="C2640" t="inlineStr">
        <is>
          <t>0                      DS 0907000H  8           1962</t>
        </is>
      </c>
      <c r="D2640" t="inlineStr">
        <is>
          <t>Hulbert's History of Korea / Edited by Clarence Norwood Weems.</t>
        </is>
      </c>
      <c r="E2640" t="inlineStr">
        <is>
          <t>V.1</t>
        </is>
      </c>
      <c r="F2640" t="inlineStr">
        <is>
          <t>Yes</t>
        </is>
      </c>
      <c r="G2640" t="inlineStr">
        <is>
          <t>1</t>
        </is>
      </c>
      <c r="H2640" t="inlineStr">
        <is>
          <t>No</t>
        </is>
      </c>
      <c r="I2640" t="inlineStr">
        <is>
          <t>No</t>
        </is>
      </c>
      <c r="J2640" t="inlineStr">
        <is>
          <t>0</t>
        </is>
      </c>
      <c r="K2640" t="inlineStr">
        <is>
          <t>Hulbert, Homer B. (Homer Bezaleel), 1863-1949.</t>
        </is>
      </c>
      <c r="L2640" t="inlineStr">
        <is>
          <t>New York : Hillary House Publishers, 1962.</t>
        </is>
      </c>
      <c r="M2640" t="inlineStr">
        <is>
          <t>1962</t>
        </is>
      </c>
      <c r="O2640" t="inlineStr">
        <is>
          <t>eng</t>
        </is>
      </c>
      <c r="P2640" t="inlineStr">
        <is>
          <t>nyu</t>
        </is>
      </c>
      <c r="R2640" t="inlineStr">
        <is>
          <t xml:space="preserve">DS </t>
        </is>
      </c>
      <c r="S2640" t="n">
        <v>4</v>
      </c>
      <c r="T2640" t="n">
        <v>6</v>
      </c>
      <c r="U2640" t="inlineStr">
        <is>
          <t>1993-10-05</t>
        </is>
      </c>
      <c r="V2640" t="inlineStr">
        <is>
          <t>1993-10-05</t>
        </is>
      </c>
      <c r="W2640" t="inlineStr">
        <is>
          <t>1990-11-01</t>
        </is>
      </c>
      <c r="X2640" t="inlineStr">
        <is>
          <t>1990-11-01</t>
        </is>
      </c>
      <c r="Y2640" t="n">
        <v>943</v>
      </c>
      <c r="Z2640" t="n">
        <v>878</v>
      </c>
      <c r="AA2640" t="n">
        <v>998</v>
      </c>
      <c r="AB2640" t="n">
        <v>5</v>
      </c>
      <c r="AC2640" t="n">
        <v>6</v>
      </c>
      <c r="AD2640" t="n">
        <v>25</v>
      </c>
      <c r="AE2640" t="n">
        <v>32</v>
      </c>
      <c r="AF2640" t="n">
        <v>10</v>
      </c>
      <c r="AG2640" t="n">
        <v>13</v>
      </c>
      <c r="AH2640" t="n">
        <v>5</v>
      </c>
      <c r="AI2640" t="n">
        <v>5</v>
      </c>
      <c r="AJ2640" t="n">
        <v>9</v>
      </c>
      <c r="AK2640" t="n">
        <v>13</v>
      </c>
      <c r="AL2640" t="n">
        <v>4</v>
      </c>
      <c r="AM2640" t="n">
        <v>5</v>
      </c>
      <c r="AN2640" t="n">
        <v>0</v>
      </c>
      <c r="AO2640" t="n">
        <v>0</v>
      </c>
      <c r="AP2640" t="inlineStr">
        <is>
          <t>Yes</t>
        </is>
      </c>
      <c r="AQ2640" t="inlineStr">
        <is>
          <t>No</t>
        </is>
      </c>
      <c r="AR2640">
        <f>HYPERLINK("http://catalog.hathitrust.org/Record/001605023","HathiTrust Record")</f>
        <v/>
      </c>
      <c r="AS2640">
        <f>HYPERLINK("https://creighton-primo.hosted.exlibrisgroup.com/primo-explore/search?tab=default_tab&amp;search_scope=EVERYTHING&amp;vid=01CRU&amp;lang=en_US&amp;offset=0&amp;query=any,contains,991002721999702656","Catalog Record")</f>
        <v/>
      </c>
      <c r="AT2640">
        <f>HYPERLINK("http://www.worldcat.org/oclc/412893","WorldCat Record")</f>
        <v/>
      </c>
      <c r="AU2640" t="inlineStr">
        <is>
          <t>10076415702:eng</t>
        </is>
      </c>
      <c r="AV2640" t="inlineStr">
        <is>
          <t>412893</t>
        </is>
      </c>
      <c r="AW2640" t="inlineStr">
        <is>
          <t>991002721999702656</t>
        </is>
      </c>
      <c r="AX2640" t="inlineStr">
        <is>
          <t>991002721999702656</t>
        </is>
      </c>
      <c r="AY2640" t="inlineStr">
        <is>
          <t>2264408410002656</t>
        </is>
      </c>
      <c r="AZ2640" t="inlineStr">
        <is>
          <t>BOOK</t>
        </is>
      </c>
      <c r="BC2640" t="inlineStr">
        <is>
          <t>32285000370774</t>
        </is>
      </c>
      <c r="BD2640" t="inlineStr">
        <is>
          <t>893535153</t>
        </is>
      </c>
    </row>
    <row r="2641">
      <c r="A2641" t="inlineStr">
        <is>
          <t>No</t>
        </is>
      </c>
      <c r="B2641" t="inlineStr">
        <is>
          <t>DS907 .H84 1969</t>
        </is>
      </c>
      <c r="C2641" t="inlineStr">
        <is>
          <t>0                      DS 0907000H  84          1969</t>
        </is>
      </c>
      <c r="D2641" t="inlineStr">
        <is>
          <t>The passing of Korea / by Homer B. Hulbert.</t>
        </is>
      </c>
      <c r="F2641" t="inlineStr">
        <is>
          <t>No</t>
        </is>
      </c>
      <c r="G2641" t="inlineStr">
        <is>
          <t>1</t>
        </is>
      </c>
      <c r="H2641" t="inlineStr">
        <is>
          <t>No</t>
        </is>
      </c>
      <c r="I2641" t="inlineStr">
        <is>
          <t>No</t>
        </is>
      </c>
      <c r="J2641" t="inlineStr">
        <is>
          <t>0</t>
        </is>
      </c>
      <c r="K2641" t="inlineStr">
        <is>
          <t>Hulbert, Homer B. (Homer Bezaleel), 1863-1949.</t>
        </is>
      </c>
      <c r="L2641" t="inlineStr">
        <is>
          <t>Seoul : Yonsei University Press, 1969.</t>
        </is>
      </c>
      <c r="M2641" t="inlineStr">
        <is>
          <t>1969</t>
        </is>
      </c>
      <c r="O2641" t="inlineStr">
        <is>
          <t>eng</t>
        </is>
      </c>
      <c r="P2641" t="inlineStr">
        <is>
          <t xml:space="preserve">ko </t>
        </is>
      </c>
      <c r="Q2641" t="inlineStr">
        <is>
          <t>A Series of reprints of Western books on Korea, no. 1</t>
        </is>
      </c>
      <c r="R2641" t="inlineStr">
        <is>
          <t xml:space="preserve">DS </t>
        </is>
      </c>
      <c r="S2641" t="n">
        <v>4</v>
      </c>
      <c r="T2641" t="n">
        <v>4</v>
      </c>
      <c r="U2641" t="inlineStr">
        <is>
          <t>1995-03-03</t>
        </is>
      </c>
      <c r="V2641" t="inlineStr">
        <is>
          <t>1995-03-03</t>
        </is>
      </c>
      <c r="W2641" t="inlineStr">
        <is>
          <t>1990-11-01</t>
        </is>
      </c>
      <c r="X2641" t="inlineStr">
        <is>
          <t>1990-11-01</t>
        </is>
      </c>
      <c r="Y2641" t="n">
        <v>172</v>
      </c>
      <c r="Z2641" t="n">
        <v>134</v>
      </c>
      <c r="AA2641" t="n">
        <v>369</v>
      </c>
      <c r="AB2641" t="n">
        <v>1</v>
      </c>
      <c r="AC2641" t="n">
        <v>3</v>
      </c>
      <c r="AD2641" t="n">
        <v>5</v>
      </c>
      <c r="AE2641" t="n">
        <v>12</v>
      </c>
      <c r="AF2641" t="n">
        <v>1</v>
      </c>
      <c r="AG2641" t="n">
        <v>3</v>
      </c>
      <c r="AH2641" t="n">
        <v>2</v>
      </c>
      <c r="AI2641" t="n">
        <v>4</v>
      </c>
      <c r="AJ2641" t="n">
        <v>3</v>
      </c>
      <c r="AK2641" t="n">
        <v>5</v>
      </c>
      <c r="AL2641" t="n">
        <v>0</v>
      </c>
      <c r="AM2641" t="n">
        <v>2</v>
      </c>
      <c r="AN2641" t="n">
        <v>0</v>
      </c>
      <c r="AO2641" t="n">
        <v>0</v>
      </c>
      <c r="AP2641" t="inlineStr">
        <is>
          <t>No</t>
        </is>
      </c>
      <c r="AQ2641" t="inlineStr">
        <is>
          <t>Yes</t>
        </is>
      </c>
      <c r="AR2641">
        <f>HYPERLINK("http://catalog.hathitrust.org/Record/001605018","HathiTrust Record")</f>
        <v/>
      </c>
      <c r="AS2641">
        <f>HYPERLINK("https://creighton-primo.hosted.exlibrisgroup.com/primo-explore/search?tab=default_tab&amp;search_scope=EVERYTHING&amp;vid=01CRU&amp;lang=en_US&amp;offset=0&amp;query=any,contains,991002007529702656","Catalog Record")</f>
        <v/>
      </c>
      <c r="AT2641">
        <f>HYPERLINK("http://www.worldcat.org/oclc/258451","WorldCat Record")</f>
        <v/>
      </c>
      <c r="AU2641" t="inlineStr">
        <is>
          <t>1362637:eng</t>
        </is>
      </c>
      <c r="AV2641" t="inlineStr">
        <is>
          <t>258451</t>
        </is>
      </c>
      <c r="AW2641" t="inlineStr">
        <is>
          <t>991002007529702656</t>
        </is>
      </c>
      <c r="AX2641" t="inlineStr">
        <is>
          <t>991002007529702656</t>
        </is>
      </c>
      <c r="AY2641" t="inlineStr">
        <is>
          <t>2271596440002656</t>
        </is>
      </c>
      <c r="AZ2641" t="inlineStr">
        <is>
          <t>BOOK</t>
        </is>
      </c>
      <c r="BC2641" t="inlineStr">
        <is>
          <t>32285000370790</t>
        </is>
      </c>
      <c r="BD2641" t="inlineStr">
        <is>
          <t>893626903</t>
        </is>
      </c>
    </row>
    <row r="2642">
      <c r="A2642" t="inlineStr">
        <is>
          <t>No</t>
        </is>
      </c>
      <c r="B2642" t="inlineStr">
        <is>
          <t>DS907 .P73 2007</t>
        </is>
      </c>
      <c r="C2642" t="inlineStr">
        <is>
          <t>0                      DS 0907000P  73          2007</t>
        </is>
      </c>
      <c r="D2642" t="inlineStr">
        <is>
          <t>Everlasting flower : a history of Korea / Keith Pratt.</t>
        </is>
      </c>
      <c r="F2642" t="inlineStr">
        <is>
          <t>No</t>
        </is>
      </c>
      <c r="G2642" t="inlineStr">
        <is>
          <t>1</t>
        </is>
      </c>
      <c r="H2642" t="inlineStr">
        <is>
          <t>No</t>
        </is>
      </c>
      <c r="I2642" t="inlineStr">
        <is>
          <t>No</t>
        </is>
      </c>
      <c r="J2642" t="inlineStr">
        <is>
          <t>0</t>
        </is>
      </c>
      <c r="K2642" t="inlineStr">
        <is>
          <t>Pratt, Keith L.</t>
        </is>
      </c>
      <c r="L2642" t="inlineStr">
        <is>
          <t>London : Reaktion, 2007.</t>
        </is>
      </c>
      <c r="M2642" t="inlineStr">
        <is>
          <t>2007</t>
        </is>
      </c>
      <c r="N2642" t="inlineStr">
        <is>
          <t>1st pbk. ed.</t>
        </is>
      </c>
      <c r="O2642" t="inlineStr">
        <is>
          <t>eng</t>
        </is>
      </c>
      <c r="P2642" t="inlineStr">
        <is>
          <t>enk</t>
        </is>
      </c>
      <c r="R2642" t="inlineStr">
        <is>
          <t xml:space="preserve">DS </t>
        </is>
      </c>
      <c r="S2642" t="n">
        <v>5</v>
      </c>
      <c r="T2642" t="n">
        <v>5</v>
      </c>
      <c r="U2642" t="inlineStr">
        <is>
          <t>2010-08-16</t>
        </is>
      </c>
      <c r="V2642" t="inlineStr">
        <is>
          <t>2010-08-16</t>
        </is>
      </c>
      <c r="W2642" t="inlineStr">
        <is>
          <t>2008-08-12</t>
        </is>
      </c>
      <c r="X2642" t="inlineStr">
        <is>
          <t>2008-08-12</t>
        </is>
      </c>
      <c r="Y2642" t="n">
        <v>103</v>
      </c>
      <c r="Z2642" t="n">
        <v>84</v>
      </c>
      <c r="AA2642" t="n">
        <v>564</v>
      </c>
      <c r="AB2642" t="n">
        <v>1</v>
      </c>
      <c r="AC2642" t="n">
        <v>3</v>
      </c>
      <c r="AD2642" t="n">
        <v>1</v>
      </c>
      <c r="AE2642" t="n">
        <v>21</v>
      </c>
      <c r="AF2642" t="n">
        <v>1</v>
      </c>
      <c r="AG2642" t="n">
        <v>8</v>
      </c>
      <c r="AH2642" t="n">
        <v>0</v>
      </c>
      <c r="AI2642" t="n">
        <v>8</v>
      </c>
      <c r="AJ2642" t="n">
        <v>1</v>
      </c>
      <c r="AK2642" t="n">
        <v>11</v>
      </c>
      <c r="AL2642" t="n">
        <v>0</v>
      </c>
      <c r="AM2642" t="n">
        <v>2</v>
      </c>
      <c r="AN2642" t="n">
        <v>0</v>
      </c>
      <c r="AO2642" t="n">
        <v>0</v>
      </c>
      <c r="AP2642" t="inlineStr">
        <is>
          <t>No</t>
        </is>
      </c>
      <c r="AQ2642" t="inlineStr">
        <is>
          <t>No</t>
        </is>
      </c>
      <c r="AS2642">
        <f>HYPERLINK("https://creighton-primo.hosted.exlibrisgroup.com/primo-explore/search?tab=default_tab&amp;search_scope=EVERYTHING&amp;vid=01CRU&amp;lang=en_US&amp;offset=0&amp;query=any,contains,991005259129702656","Catalog Record")</f>
        <v/>
      </c>
      <c r="AT2642">
        <f>HYPERLINK("http://www.worldcat.org/oclc/972876536","WorldCat Record")</f>
        <v/>
      </c>
      <c r="AU2642" t="inlineStr">
        <is>
          <t>304799098:eng</t>
        </is>
      </c>
      <c r="AV2642" t="inlineStr">
        <is>
          <t>972876536</t>
        </is>
      </c>
      <c r="AW2642" t="inlineStr">
        <is>
          <t>991005259129702656</t>
        </is>
      </c>
      <c r="AX2642" t="inlineStr">
        <is>
          <t>991005259129702656</t>
        </is>
      </c>
      <c r="AY2642" t="inlineStr">
        <is>
          <t>2272072580002656</t>
        </is>
      </c>
      <c r="AZ2642" t="inlineStr">
        <is>
          <t>BOOK</t>
        </is>
      </c>
      <c r="BB2642" t="inlineStr">
        <is>
          <t>9781861893352</t>
        </is>
      </c>
      <c r="BC2642" t="inlineStr">
        <is>
          <t>32285005453286</t>
        </is>
      </c>
      <c r="BD2642" t="inlineStr">
        <is>
          <t>893625724</t>
        </is>
      </c>
    </row>
    <row r="2643">
      <c r="A2643" t="inlineStr">
        <is>
          <t>No</t>
        </is>
      </c>
      <c r="B2643" t="inlineStr">
        <is>
          <t>DS907.16 .Y5313 1984b</t>
        </is>
      </c>
      <c r="C2643" t="inlineStr">
        <is>
          <t>0                      DS 0907160Y  5313        1984b</t>
        </is>
      </c>
      <c r="D2643" t="inlineStr">
        <is>
          <t>A new history of Korea / Ki-Baik Lee ; translated by Edward W. Wagner, with Edward J. Shultz.</t>
        </is>
      </c>
      <c r="F2643" t="inlineStr">
        <is>
          <t>No</t>
        </is>
      </c>
      <c r="G2643" t="inlineStr">
        <is>
          <t>1</t>
        </is>
      </c>
      <c r="H2643" t="inlineStr">
        <is>
          <t>No</t>
        </is>
      </c>
      <c r="I2643" t="inlineStr">
        <is>
          <t>No</t>
        </is>
      </c>
      <c r="J2643" t="inlineStr">
        <is>
          <t>0</t>
        </is>
      </c>
      <c r="K2643" t="inlineStr">
        <is>
          <t>Yi, Ki-baek.</t>
        </is>
      </c>
      <c r="L2643" t="inlineStr">
        <is>
          <t>Seoul, Korea : Ilchokak Publishers, c1984.</t>
        </is>
      </c>
      <c r="M2643" t="inlineStr">
        <is>
          <t>1984</t>
        </is>
      </c>
      <c r="O2643" t="inlineStr">
        <is>
          <t>eng</t>
        </is>
      </c>
      <c r="P2643" t="inlineStr">
        <is>
          <t xml:space="preserve">ko </t>
        </is>
      </c>
      <c r="R2643" t="inlineStr">
        <is>
          <t xml:space="preserve">DS </t>
        </is>
      </c>
      <c r="S2643" t="n">
        <v>6</v>
      </c>
      <c r="T2643" t="n">
        <v>6</v>
      </c>
      <c r="U2643" t="inlineStr">
        <is>
          <t>1997-12-16</t>
        </is>
      </c>
      <c r="V2643" t="inlineStr">
        <is>
          <t>1997-12-16</t>
        </is>
      </c>
      <c r="W2643" t="inlineStr">
        <is>
          <t>1990-11-01</t>
        </is>
      </c>
      <c r="X2643" t="inlineStr">
        <is>
          <t>1990-11-01</t>
        </is>
      </c>
      <c r="Y2643" t="n">
        <v>376</v>
      </c>
      <c r="Z2643" t="n">
        <v>319</v>
      </c>
      <c r="AA2643" t="n">
        <v>1680</v>
      </c>
      <c r="AB2643" t="n">
        <v>3</v>
      </c>
      <c r="AC2643" t="n">
        <v>10</v>
      </c>
      <c r="AD2643" t="n">
        <v>9</v>
      </c>
      <c r="AE2643" t="n">
        <v>35</v>
      </c>
      <c r="AF2643" t="n">
        <v>2</v>
      </c>
      <c r="AG2643" t="n">
        <v>15</v>
      </c>
      <c r="AH2643" t="n">
        <v>4</v>
      </c>
      <c r="AI2643" t="n">
        <v>8</v>
      </c>
      <c r="AJ2643" t="n">
        <v>4</v>
      </c>
      <c r="AK2643" t="n">
        <v>19</v>
      </c>
      <c r="AL2643" t="n">
        <v>1</v>
      </c>
      <c r="AM2643" t="n">
        <v>4</v>
      </c>
      <c r="AN2643" t="n">
        <v>0</v>
      </c>
      <c r="AO2643" t="n">
        <v>0</v>
      </c>
      <c r="AP2643" t="inlineStr">
        <is>
          <t>No</t>
        </is>
      </c>
      <c r="AQ2643" t="inlineStr">
        <is>
          <t>Yes</t>
        </is>
      </c>
      <c r="AR2643">
        <f>HYPERLINK("http://catalog.hathitrust.org/Record/006782604","HathiTrust Record")</f>
        <v/>
      </c>
      <c r="AS2643">
        <f>HYPERLINK("https://creighton-primo.hosted.exlibrisgroup.com/primo-explore/search?tab=default_tab&amp;search_scope=EVERYTHING&amp;vid=01CRU&amp;lang=en_US&amp;offset=0&amp;query=any,contains,991000586889702656","Catalog Record")</f>
        <v/>
      </c>
      <c r="AT2643">
        <f>HYPERLINK("http://www.worldcat.org/oclc/11761016","WorldCat Record")</f>
        <v/>
      </c>
      <c r="AU2643" t="inlineStr">
        <is>
          <t>53739395:eng</t>
        </is>
      </c>
      <c r="AV2643" t="inlineStr">
        <is>
          <t>11761016</t>
        </is>
      </c>
      <c r="AW2643" t="inlineStr">
        <is>
          <t>991000586889702656</t>
        </is>
      </c>
      <c r="AX2643" t="inlineStr">
        <is>
          <t>991000586889702656</t>
        </is>
      </c>
      <c r="AY2643" t="inlineStr">
        <is>
          <t>2271746740002656</t>
        </is>
      </c>
      <c r="AZ2643" t="inlineStr">
        <is>
          <t>BOOK</t>
        </is>
      </c>
      <c r="BC2643" t="inlineStr">
        <is>
          <t>32285000370808</t>
        </is>
      </c>
      <c r="BD2643" t="inlineStr">
        <is>
          <t>893327414</t>
        </is>
      </c>
    </row>
    <row r="2644">
      <c r="A2644" t="inlineStr">
        <is>
          <t>No</t>
        </is>
      </c>
      <c r="B2644" t="inlineStr">
        <is>
          <t>DS907.18 .M33 1996</t>
        </is>
      </c>
      <c r="C2644" t="inlineStr">
        <is>
          <t>0                      DS 0907180M  33          1996</t>
        </is>
      </c>
      <c r="D2644" t="inlineStr">
        <is>
          <t>The Koreans : contemporary politics and society / Donald Stone Macdonald ; edited and revised by Donald N. Clark.</t>
        </is>
      </c>
      <c r="F2644" t="inlineStr">
        <is>
          <t>No</t>
        </is>
      </c>
      <c r="G2644" t="inlineStr">
        <is>
          <t>1</t>
        </is>
      </c>
      <c r="H2644" t="inlineStr">
        <is>
          <t>No</t>
        </is>
      </c>
      <c r="I2644" t="inlineStr">
        <is>
          <t>No</t>
        </is>
      </c>
      <c r="J2644" t="inlineStr">
        <is>
          <t>0</t>
        </is>
      </c>
      <c r="K2644" t="inlineStr">
        <is>
          <t>Macdonald, Donald Stone.</t>
        </is>
      </c>
      <c r="L2644" t="inlineStr">
        <is>
          <t>Boulder : Westview Press, 1996.</t>
        </is>
      </c>
      <c r="M2644" t="inlineStr">
        <is>
          <t>1996</t>
        </is>
      </c>
      <c r="N2644" t="inlineStr">
        <is>
          <t>3rd ed.</t>
        </is>
      </c>
      <c r="O2644" t="inlineStr">
        <is>
          <t>eng</t>
        </is>
      </c>
      <c r="P2644" t="inlineStr">
        <is>
          <t>cou</t>
        </is>
      </c>
      <c r="R2644" t="inlineStr">
        <is>
          <t xml:space="preserve">DS </t>
        </is>
      </c>
      <c r="S2644" t="n">
        <v>14</v>
      </c>
      <c r="T2644" t="n">
        <v>14</v>
      </c>
      <c r="U2644" t="inlineStr">
        <is>
          <t>2010-09-08</t>
        </is>
      </c>
      <c r="V2644" t="inlineStr">
        <is>
          <t>2010-09-08</t>
        </is>
      </c>
      <c r="W2644" t="inlineStr">
        <is>
          <t>1996-09-23</t>
        </is>
      </c>
      <c r="X2644" t="inlineStr">
        <is>
          <t>1996-09-23</t>
        </is>
      </c>
      <c r="Y2644" t="n">
        <v>307</v>
      </c>
      <c r="Z2644" t="n">
        <v>245</v>
      </c>
      <c r="AA2644" t="n">
        <v>718</v>
      </c>
      <c r="AB2644" t="n">
        <v>3</v>
      </c>
      <c r="AC2644" t="n">
        <v>4</v>
      </c>
      <c r="AD2644" t="n">
        <v>15</v>
      </c>
      <c r="AE2644" t="n">
        <v>33</v>
      </c>
      <c r="AF2644" t="n">
        <v>7</v>
      </c>
      <c r="AG2644" t="n">
        <v>16</v>
      </c>
      <c r="AH2644" t="n">
        <v>5</v>
      </c>
      <c r="AI2644" t="n">
        <v>9</v>
      </c>
      <c r="AJ2644" t="n">
        <v>9</v>
      </c>
      <c r="AK2644" t="n">
        <v>15</v>
      </c>
      <c r="AL2644" t="n">
        <v>2</v>
      </c>
      <c r="AM2644" t="n">
        <v>3</v>
      </c>
      <c r="AN2644" t="n">
        <v>0</v>
      </c>
      <c r="AO2644" t="n">
        <v>0</v>
      </c>
      <c r="AP2644" t="inlineStr">
        <is>
          <t>No</t>
        </is>
      </c>
      <c r="AQ2644" t="inlineStr">
        <is>
          <t>Yes</t>
        </is>
      </c>
      <c r="AR2644">
        <f>HYPERLINK("http://catalog.hathitrust.org/Record/003941600","HathiTrust Record")</f>
        <v/>
      </c>
      <c r="AS2644">
        <f>HYPERLINK("https://creighton-primo.hosted.exlibrisgroup.com/primo-explore/search?tab=default_tab&amp;search_scope=EVERYTHING&amp;vid=01CRU&amp;lang=en_US&amp;offset=0&amp;query=any,contains,991002624559702656","Catalog Record")</f>
        <v/>
      </c>
      <c r="AT2644">
        <f>HYPERLINK("http://www.worldcat.org/oclc/34410471","WorldCat Record")</f>
        <v/>
      </c>
      <c r="AU2644" t="inlineStr">
        <is>
          <t>9077458:eng</t>
        </is>
      </c>
      <c r="AV2644" t="inlineStr">
        <is>
          <t>34410471</t>
        </is>
      </c>
      <c r="AW2644" t="inlineStr">
        <is>
          <t>991002624559702656</t>
        </is>
      </c>
      <c r="AX2644" t="inlineStr">
        <is>
          <t>991002624559702656</t>
        </is>
      </c>
      <c r="AY2644" t="inlineStr">
        <is>
          <t>2263774440002656</t>
        </is>
      </c>
      <c r="AZ2644" t="inlineStr">
        <is>
          <t>BOOK</t>
        </is>
      </c>
      <c r="BB2644" t="inlineStr">
        <is>
          <t>9780813328881</t>
        </is>
      </c>
      <c r="BC2644" t="inlineStr">
        <is>
          <t>32285002318458</t>
        </is>
      </c>
      <c r="BD2644" t="inlineStr">
        <is>
          <t>893627219</t>
        </is>
      </c>
    </row>
    <row r="2645">
      <c r="A2645" t="inlineStr">
        <is>
          <t>No</t>
        </is>
      </c>
      <c r="B2645" t="inlineStr">
        <is>
          <t>DS907.18 .S4 2006</t>
        </is>
      </c>
      <c r="C2645" t="inlineStr">
        <is>
          <t>0                      DS 0907180S  4           2006</t>
        </is>
      </c>
      <c r="D2645" t="inlineStr">
        <is>
          <t>A concise history of Korea : from the neolithic period through the nineteenth century / Michael J. Seth.</t>
        </is>
      </c>
      <c r="F2645" t="inlineStr">
        <is>
          <t>No</t>
        </is>
      </c>
      <c r="G2645" t="inlineStr">
        <is>
          <t>1</t>
        </is>
      </c>
      <c r="H2645" t="inlineStr">
        <is>
          <t>No</t>
        </is>
      </c>
      <c r="I2645" t="inlineStr">
        <is>
          <t>No</t>
        </is>
      </c>
      <c r="J2645" t="inlineStr">
        <is>
          <t>0</t>
        </is>
      </c>
      <c r="K2645" t="inlineStr">
        <is>
          <t>Seth, Michael J., 1948-</t>
        </is>
      </c>
      <c r="L2645" t="inlineStr">
        <is>
          <t>Lanham, Md. : Rowman &amp; Littlefield Publishers, Inc., c2006.</t>
        </is>
      </c>
      <c r="M2645" t="inlineStr">
        <is>
          <t>2006</t>
        </is>
      </c>
      <c r="O2645" t="inlineStr">
        <is>
          <t>eng</t>
        </is>
      </c>
      <c r="P2645" t="inlineStr">
        <is>
          <t>mdu</t>
        </is>
      </c>
      <c r="R2645" t="inlineStr">
        <is>
          <t xml:space="preserve">DS </t>
        </is>
      </c>
      <c r="S2645" t="n">
        <v>4</v>
      </c>
      <c r="T2645" t="n">
        <v>4</v>
      </c>
      <c r="U2645" t="inlineStr">
        <is>
          <t>2007-01-17</t>
        </is>
      </c>
      <c r="V2645" t="inlineStr">
        <is>
          <t>2007-01-17</t>
        </is>
      </c>
      <c r="W2645" t="inlineStr">
        <is>
          <t>2006-11-06</t>
        </is>
      </c>
      <c r="X2645" t="inlineStr">
        <is>
          <t>2006-11-06</t>
        </is>
      </c>
      <c r="Y2645" t="n">
        <v>466</v>
      </c>
      <c r="Z2645" t="n">
        <v>394</v>
      </c>
      <c r="AA2645" t="n">
        <v>412</v>
      </c>
      <c r="AB2645" t="n">
        <v>4</v>
      </c>
      <c r="AC2645" t="n">
        <v>4</v>
      </c>
      <c r="AD2645" t="n">
        <v>17</v>
      </c>
      <c r="AE2645" t="n">
        <v>17</v>
      </c>
      <c r="AF2645" t="n">
        <v>6</v>
      </c>
      <c r="AG2645" t="n">
        <v>6</v>
      </c>
      <c r="AH2645" t="n">
        <v>8</v>
      </c>
      <c r="AI2645" t="n">
        <v>8</v>
      </c>
      <c r="AJ2645" t="n">
        <v>9</v>
      </c>
      <c r="AK2645" t="n">
        <v>9</v>
      </c>
      <c r="AL2645" t="n">
        <v>0</v>
      </c>
      <c r="AM2645" t="n">
        <v>0</v>
      </c>
      <c r="AN2645" t="n">
        <v>0</v>
      </c>
      <c r="AO2645" t="n">
        <v>0</v>
      </c>
      <c r="AP2645" t="inlineStr">
        <is>
          <t>No</t>
        </is>
      </c>
      <c r="AQ2645" t="inlineStr">
        <is>
          <t>Yes</t>
        </is>
      </c>
      <c r="AR2645">
        <f>HYPERLINK("http://catalog.hathitrust.org/Record/005579243","HathiTrust Record")</f>
        <v/>
      </c>
      <c r="AS2645">
        <f>HYPERLINK("https://creighton-primo.hosted.exlibrisgroup.com/primo-explore/search?tab=default_tab&amp;search_scope=EVERYTHING&amp;vid=01CRU&amp;lang=en_US&amp;offset=0&amp;query=any,contains,991004937709702656","Catalog Record")</f>
        <v/>
      </c>
      <c r="AT2645">
        <f>HYPERLINK("http://www.worldcat.org/oclc/65407346","WorldCat Record")</f>
        <v/>
      </c>
      <c r="AU2645" t="inlineStr">
        <is>
          <t>795540413:eng</t>
        </is>
      </c>
      <c r="AV2645" t="inlineStr">
        <is>
          <t>65407346</t>
        </is>
      </c>
      <c r="AW2645" t="inlineStr">
        <is>
          <t>991004937709702656</t>
        </is>
      </c>
      <c r="AX2645" t="inlineStr">
        <is>
          <t>991004937709702656</t>
        </is>
      </c>
      <c r="AY2645" t="inlineStr">
        <is>
          <t>2266246990002656</t>
        </is>
      </c>
      <c r="AZ2645" t="inlineStr">
        <is>
          <t>BOOK</t>
        </is>
      </c>
      <c r="BB2645" t="inlineStr">
        <is>
          <t>9780742540040</t>
        </is>
      </c>
      <c r="BC2645" t="inlineStr">
        <is>
          <t>32285005235824</t>
        </is>
      </c>
      <c r="BD2645" t="inlineStr">
        <is>
          <t>893901917</t>
        </is>
      </c>
    </row>
    <row r="2646">
      <c r="A2646" t="inlineStr">
        <is>
          <t>No</t>
        </is>
      </c>
      <c r="B2646" t="inlineStr">
        <is>
          <t>DS910.18 .K67 1998</t>
        </is>
      </c>
      <c r="C2646" t="inlineStr">
        <is>
          <t>0                      DS 0910180K  67          1998</t>
        </is>
      </c>
      <c r="D2646" t="inlineStr">
        <is>
          <t>Korea and regional geopolitics / edited by Walter Jung, Xiao-bing Li.</t>
        </is>
      </c>
      <c r="F2646" t="inlineStr">
        <is>
          <t>No</t>
        </is>
      </c>
      <c r="G2646" t="inlineStr">
        <is>
          <t>1</t>
        </is>
      </c>
      <c r="H2646" t="inlineStr">
        <is>
          <t>No</t>
        </is>
      </c>
      <c r="I2646" t="inlineStr">
        <is>
          <t>No</t>
        </is>
      </c>
      <c r="J2646" t="inlineStr">
        <is>
          <t>0</t>
        </is>
      </c>
      <c r="L2646" t="inlineStr">
        <is>
          <t>Lanham, Md : University Press of America, 1998.</t>
        </is>
      </c>
      <c r="M2646" t="inlineStr">
        <is>
          <t>1998</t>
        </is>
      </c>
      <c r="O2646" t="inlineStr">
        <is>
          <t>eng</t>
        </is>
      </c>
      <c r="P2646" t="inlineStr">
        <is>
          <t>mdu</t>
        </is>
      </c>
      <c r="R2646" t="inlineStr">
        <is>
          <t xml:space="preserve">DS </t>
        </is>
      </c>
      <c r="S2646" t="n">
        <v>1</v>
      </c>
      <c r="T2646" t="n">
        <v>1</v>
      </c>
      <c r="U2646" t="inlineStr">
        <is>
          <t>2001-06-12</t>
        </is>
      </c>
      <c r="V2646" t="inlineStr">
        <is>
          <t>2001-06-12</t>
        </is>
      </c>
      <c r="W2646" t="inlineStr">
        <is>
          <t>2001-06-12</t>
        </is>
      </c>
      <c r="X2646" t="inlineStr">
        <is>
          <t>2001-06-12</t>
        </is>
      </c>
      <c r="Y2646" t="n">
        <v>129</v>
      </c>
      <c r="Z2646" t="n">
        <v>101</v>
      </c>
      <c r="AA2646" t="n">
        <v>101</v>
      </c>
      <c r="AB2646" t="n">
        <v>2</v>
      </c>
      <c r="AC2646" t="n">
        <v>2</v>
      </c>
      <c r="AD2646" t="n">
        <v>6</v>
      </c>
      <c r="AE2646" t="n">
        <v>6</v>
      </c>
      <c r="AF2646" t="n">
        <v>1</v>
      </c>
      <c r="AG2646" t="n">
        <v>1</v>
      </c>
      <c r="AH2646" t="n">
        <v>2</v>
      </c>
      <c r="AI2646" t="n">
        <v>2</v>
      </c>
      <c r="AJ2646" t="n">
        <v>4</v>
      </c>
      <c r="AK2646" t="n">
        <v>4</v>
      </c>
      <c r="AL2646" t="n">
        <v>1</v>
      </c>
      <c r="AM2646" t="n">
        <v>1</v>
      </c>
      <c r="AN2646" t="n">
        <v>0</v>
      </c>
      <c r="AO2646" t="n">
        <v>0</v>
      </c>
      <c r="AP2646" t="inlineStr">
        <is>
          <t>No</t>
        </is>
      </c>
      <c r="AQ2646" t="inlineStr">
        <is>
          <t>No</t>
        </is>
      </c>
      <c r="AS2646">
        <f>HYPERLINK("https://creighton-primo.hosted.exlibrisgroup.com/primo-explore/search?tab=default_tab&amp;search_scope=EVERYTHING&amp;vid=01CRU&amp;lang=en_US&amp;offset=0&amp;query=any,contains,991003520949702656","Catalog Record")</f>
        <v/>
      </c>
      <c r="AT2646">
        <f>HYPERLINK("http://www.worldcat.org/oclc/39627563","WorldCat Record")</f>
        <v/>
      </c>
      <c r="AU2646" t="inlineStr">
        <is>
          <t>350417762:eng</t>
        </is>
      </c>
      <c r="AV2646" t="inlineStr">
        <is>
          <t>39627563</t>
        </is>
      </c>
      <c r="AW2646" t="inlineStr">
        <is>
          <t>991003520949702656</t>
        </is>
      </c>
      <c r="AX2646" t="inlineStr">
        <is>
          <t>991003520949702656</t>
        </is>
      </c>
      <c r="AY2646" t="inlineStr">
        <is>
          <t>2263219610002656</t>
        </is>
      </c>
      <c r="AZ2646" t="inlineStr">
        <is>
          <t>BOOK</t>
        </is>
      </c>
      <c r="BB2646" t="inlineStr">
        <is>
          <t>9780761812531</t>
        </is>
      </c>
      <c r="BC2646" t="inlineStr">
        <is>
          <t>32285004326590</t>
        </is>
      </c>
      <c r="BD2646" t="inlineStr">
        <is>
          <t>893623578</t>
        </is>
      </c>
    </row>
    <row r="2647">
      <c r="A2647" t="inlineStr">
        <is>
          <t>No</t>
        </is>
      </c>
      <c r="B2647" t="inlineStr">
        <is>
          <t>DS910.2.K7 C66 2003</t>
        </is>
      </c>
      <c r="C2647" t="inlineStr">
        <is>
          <t>0                      DS 0910200K  7                  C  66          2003</t>
        </is>
      </c>
      <c r="D2647" t="inlineStr">
        <is>
          <t>Conflict in Asia : Korea, China-Taiwan, and India-Pakistan / edited by Uk Heo and Shale A. Horowitz.</t>
        </is>
      </c>
      <c r="F2647" t="inlineStr">
        <is>
          <t>No</t>
        </is>
      </c>
      <c r="G2647" t="inlineStr">
        <is>
          <t>1</t>
        </is>
      </c>
      <c r="H2647" t="inlineStr">
        <is>
          <t>No</t>
        </is>
      </c>
      <c r="I2647" t="inlineStr">
        <is>
          <t>No</t>
        </is>
      </c>
      <c r="J2647" t="inlineStr">
        <is>
          <t>0</t>
        </is>
      </c>
      <c r="L2647" t="inlineStr">
        <is>
          <t>Westport, Conn. : Praeger, 2003.</t>
        </is>
      </c>
      <c r="M2647" t="inlineStr">
        <is>
          <t>2003</t>
        </is>
      </c>
      <c r="O2647" t="inlineStr">
        <is>
          <t>eng</t>
        </is>
      </c>
      <c r="P2647" t="inlineStr">
        <is>
          <t>ctu</t>
        </is>
      </c>
      <c r="R2647" t="inlineStr">
        <is>
          <t xml:space="preserve">DS </t>
        </is>
      </c>
      <c r="S2647" t="n">
        <v>8</v>
      </c>
      <c r="T2647" t="n">
        <v>8</v>
      </c>
      <c r="U2647" t="inlineStr">
        <is>
          <t>2005-12-08</t>
        </is>
      </c>
      <c r="V2647" t="inlineStr">
        <is>
          <t>2005-12-08</t>
        </is>
      </c>
      <c r="W2647" t="inlineStr">
        <is>
          <t>2003-07-24</t>
        </is>
      </c>
      <c r="X2647" t="inlineStr">
        <is>
          <t>2003-07-24</t>
        </is>
      </c>
      <c r="Y2647" t="n">
        <v>351</v>
      </c>
      <c r="Z2647" t="n">
        <v>286</v>
      </c>
      <c r="AA2647" t="n">
        <v>905</v>
      </c>
      <c r="AB2647" t="n">
        <v>1</v>
      </c>
      <c r="AC2647" t="n">
        <v>31</v>
      </c>
      <c r="AD2647" t="n">
        <v>9</v>
      </c>
      <c r="AE2647" t="n">
        <v>26</v>
      </c>
      <c r="AF2647" t="n">
        <v>4</v>
      </c>
      <c r="AG2647" t="n">
        <v>8</v>
      </c>
      <c r="AH2647" t="n">
        <v>3</v>
      </c>
      <c r="AI2647" t="n">
        <v>3</v>
      </c>
      <c r="AJ2647" t="n">
        <v>6</v>
      </c>
      <c r="AK2647" t="n">
        <v>8</v>
      </c>
      <c r="AL2647" t="n">
        <v>0</v>
      </c>
      <c r="AM2647" t="n">
        <v>12</v>
      </c>
      <c r="AN2647" t="n">
        <v>0</v>
      </c>
      <c r="AO2647" t="n">
        <v>0</v>
      </c>
      <c r="AP2647" t="inlineStr">
        <is>
          <t>No</t>
        </is>
      </c>
      <c r="AQ2647" t="inlineStr">
        <is>
          <t>Yes</t>
        </is>
      </c>
      <c r="AR2647">
        <f>HYPERLINK("http://catalog.hathitrust.org/Record/004321669","HathiTrust Record")</f>
        <v/>
      </c>
      <c r="AS2647">
        <f>HYPERLINK("https://creighton-primo.hosted.exlibrisgroup.com/primo-explore/search?tab=default_tab&amp;search_scope=EVERYTHING&amp;vid=01CRU&amp;lang=en_US&amp;offset=0&amp;query=any,contains,991004080459702656","Catalog Record")</f>
        <v/>
      </c>
      <c r="AT2647">
        <f>HYPERLINK("http://www.worldcat.org/oclc/49583730","WorldCat Record")</f>
        <v/>
      </c>
      <c r="AU2647" t="inlineStr">
        <is>
          <t>801416105:eng</t>
        </is>
      </c>
      <c r="AV2647" t="inlineStr">
        <is>
          <t>49583730</t>
        </is>
      </c>
      <c r="AW2647" t="inlineStr">
        <is>
          <t>991004080459702656</t>
        </is>
      </c>
      <c r="AX2647" t="inlineStr">
        <is>
          <t>991004080459702656</t>
        </is>
      </c>
      <c r="AY2647" t="inlineStr">
        <is>
          <t>2263177680002656</t>
        </is>
      </c>
      <c r="AZ2647" t="inlineStr">
        <is>
          <t>BOOK</t>
        </is>
      </c>
      <c r="BB2647" t="inlineStr">
        <is>
          <t>9780275977795</t>
        </is>
      </c>
      <c r="BC2647" t="inlineStr">
        <is>
          <t>32285004756655</t>
        </is>
      </c>
      <c r="BD2647" t="inlineStr">
        <is>
          <t>893624324</t>
        </is>
      </c>
    </row>
    <row r="2648">
      <c r="A2648" t="inlineStr">
        <is>
          <t>No</t>
        </is>
      </c>
      <c r="B2648" t="inlineStr">
        <is>
          <t>DS913.4 .T87 2002</t>
        </is>
      </c>
      <c r="C2648" t="inlineStr">
        <is>
          <t>0                      DS 0913400T  87          2002</t>
        </is>
      </c>
      <c r="D2648" t="inlineStr">
        <is>
          <t>Samurai invasion : Japan's Korean War, 1592-98 / Stephen Turnbull.</t>
        </is>
      </c>
      <c r="F2648" t="inlineStr">
        <is>
          <t>No</t>
        </is>
      </c>
      <c r="G2648" t="inlineStr">
        <is>
          <t>1</t>
        </is>
      </c>
      <c r="H2648" t="inlineStr">
        <is>
          <t>No</t>
        </is>
      </c>
      <c r="I2648" t="inlineStr">
        <is>
          <t>No</t>
        </is>
      </c>
      <c r="J2648" t="inlineStr">
        <is>
          <t>0</t>
        </is>
      </c>
      <c r="K2648" t="inlineStr">
        <is>
          <t>Turnbull, Stephen R.</t>
        </is>
      </c>
      <c r="L2648" t="inlineStr">
        <is>
          <t>London : Cassell &amp; Co., c2002.</t>
        </is>
      </c>
      <c r="M2648" t="inlineStr">
        <is>
          <t>2002</t>
        </is>
      </c>
      <c r="O2648" t="inlineStr">
        <is>
          <t>eng</t>
        </is>
      </c>
      <c r="P2648" t="inlineStr">
        <is>
          <t>enk</t>
        </is>
      </c>
      <c r="R2648" t="inlineStr">
        <is>
          <t xml:space="preserve">DS </t>
        </is>
      </c>
      <c r="S2648" t="n">
        <v>9</v>
      </c>
      <c r="T2648" t="n">
        <v>9</v>
      </c>
      <c r="U2648" t="inlineStr">
        <is>
          <t>2004-12-01</t>
        </is>
      </c>
      <c r="V2648" t="inlineStr">
        <is>
          <t>2004-12-01</t>
        </is>
      </c>
      <c r="W2648" t="inlineStr">
        <is>
          <t>2002-12-12</t>
        </is>
      </c>
      <c r="X2648" t="inlineStr">
        <is>
          <t>2002-12-12</t>
        </is>
      </c>
      <c r="Y2648" t="n">
        <v>448</v>
      </c>
      <c r="Z2648" t="n">
        <v>389</v>
      </c>
      <c r="AA2648" t="n">
        <v>391</v>
      </c>
      <c r="AB2648" t="n">
        <v>4</v>
      </c>
      <c r="AC2648" t="n">
        <v>4</v>
      </c>
      <c r="AD2648" t="n">
        <v>17</v>
      </c>
      <c r="AE2648" t="n">
        <v>17</v>
      </c>
      <c r="AF2648" t="n">
        <v>6</v>
      </c>
      <c r="AG2648" t="n">
        <v>6</v>
      </c>
      <c r="AH2648" t="n">
        <v>5</v>
      </c>
      <c r="AI2648" t="n">
        <v>5</v>
      </c>
      <c r="AJ2648" t="n">
        <v>6</v>
      </c>
      <c r="AK2648" t="n">
        <v>6</v>
      </c>
      <c r="AL2648" t="n">
        <v>3</v>
      </c>
      <c r="AM2648" t="n">
        <v>3</v>
      </c>
      <c r="AN2648" t="n">
        <v>0</v>
      </c>
      <c r="AO2648" t="n">
        <v>0</v>
      </c>
      <c r="AP2648" t="inlineStr">
        <is>
          <t>No</t>
        </is>
      </c>
      <c r="AQ2648" t="inlineStr">
        <is>
          <t>No</t>
        </is>
      </c>
      <c r="AS2648">
        <f>HYPERLINK("https://creighton-primo.hosted.exlibrisgroup.com/primo-explore/search?tab=default_tab&amp;search_scope=EVERYTHING&amp;vid=01CRU&amp;lang=en_US&amp;offset=0&amp;query=any,contains,991003961099702656","Catalog Record")</f>
        <v/>
      </c>
      <c r="AT2648">
        <f>HYPERLINK("http://www.worldcat.org/oclc/50289152","WorldCat Record")</f>
        <v/>
      </c>
      <c r="AU2648" t="inlineStr">
        <is>
          <t>837574475:eng</t>
        </is>
      </c>
      <c r="AV2648" t="inlineStr">
        <is>
          <t>50289152</t>
        </is>
      </c>
      <c r="AW2648" t="inlineStr">
        <is>
          <t>991003961099702656</t>
        </is>
      </c>
      <c r="AX2648" t="inlineStr">
        <is>
          <t>991003961099702656</t>
        </is>
      </c>
      <c r="AY2648" t="inlineStr">
        <is>
          <t>2260604920002656</t>
        </is>
      </c>
      <c r="AZ2648" t="inlineStr">
        <is>
          <t>BOOK</t>
        </is>
      </c>
      <c r="BB2648" t="inlineStr">
        <is>
          <t>9780304359486</t>
        </is>
      </c>
      <c r="BC2648" t="inlineStr">
        <is>
          <t>32285004690938</t>
        </is>
      </c>
      <c r="BD2648" t="inlineStr">
        <is>
          <t>893410946</t>
        </is>
      </c>
    </row>
    <row r="2649">
      <c r="A2649" t="inlineStr">
        <is>
          <t>No</t>
        </is>
      </c>
      <c r="B2649" t="inlineStr">
        <is>
          <t>DS915 .C6 1974</t>
        </is>
      </c>
      <c r="C2649" t="inlineStr">
        <is>
          <t>0                      DS 0915000C  6           1974</t>
        </is>
      </c>
      <c r="D2649" t="inlineStr">
        <is>
          <t>The Japanese seizure of Korea: 1868-1910 : a study of realism and idealism in international relations / by Hilary Conroy.</t>
        </is>
      </c>
      <c r="F2649" t="inlineStr">
        <is>
          <t>No</t>
        </is>
      </c>
      <c r="G2649" t="inlineStr">
        <is>
          <t>1</t>
        </is>
      </c>
      <c r="H2649" t="inlineStr">
        <is>
          <t>No</t>
        </is>
      </c>
      <c r="I2649" t="inlineStr">
        <is>
          <t>No</t>
        </is>
      </c>
      <c r="J2649" t="inlineStr">
        <is>
          <t>0</t>
        </is>
      </c>
      <c r="K2649" t="inlineStr">
        <is>
          <t>Conroy, Hilary, 1919-2015.</t>
        </is>
      </c>
      <c r="L2649" t="inlineStr">
        <is>
          <t>Philadelphia : University of Pennsylvania Press, 1974, c1960.</t>
        </is>
      </c>
      <c r="M2649" t="inlineStr">
        <is>
          <t>1974</t>
        </is>
      </c>
      <c r="N2649" t="inlineStr">
        <is>
          <t>1st Pennsylvania Paperback ed.</t>
        </is>
      </c>
      <c r="O2649" t="inlineStr">
        <is>
          <t>eng</t>
        </is>
      </c>
      <c r="P2649" t="inlineStr">
        <is>
          <t>pau</t>
        </is>
      </c>
      <c r="Q2649" t="inlineStr">
        <is>
          <t>Pennsylvania paperback ; 74</t>
        </is>
      </c>
      <c r="R2649" t="inlineStr">
        <is>
          <t xml:space="preserve">DS </t>
        </is>
      </c>
      <c r="S2649" t="n">
        <v>8</v>
      </c>
      <c r="T2649" t="n">
        <v>8</v>
      </c>
      <c r="U2649" t="inlineStr">
        <is>
          <t>1995-10-31</t>
        </is>
      </c>
      <c r="V2649" t="inlineStr">
        <is>
          <t>1995-10-31</t>
        </is>
      </c>
      <c r="W2649" t="inlineStr">
        <is>
          <t>1990-11-01</t>
        </is>
      </c>
      <c r="X2649" t="inlineStr">
        <is>
          <t>1990-11-01</t>
        </is>
      </c>
      <c r="Y2649" t="n">
        <v>114</v>
      </c>
      <c r="Z2649" t="n">
        <v>88</v>
      </c>
      <c r="AA2649" t="n">
        <v>920</v>
      </c>
      <c r="AB2649" t="n">
        <v>2</v>
      </c>
      <c r="AC2649" t="n">
        <v>6</v>
      </c>
      <c r="AD2649" t="n">
        <v>5</v>
      </c>
      <c r="AE2649" t="n">
        <v>48</v>
      </c>
      <c r="AF2649" t="n">
        <v>2</v>
      </c>
      <c r="AG2649" t="n">
        <v>22</v>
      </c>
      <c r="AH2649" t="n">
        <v>1</v>
      </c>
      <c r="AI2649" t="n">
        <v>8</v>
      </c>
      <c r="AJ2649" t="n">
        <v>2</v>
      </c>
      <c r="AK2649" t="n">
        <v>22</v>
      </c>
      <c r="AL2649" t="n">
        <v>1</v>
      </c>
      <c r="AM2649" t="n">
        <v>4</v>
      </c>
      <c r="AN2649" t="n">
        <v>0</v>
      </c>
      <c r="AO2649" t="n">
        <v>5</v>
      </c>
      <c r="AP2649" t="inlineStr">
        <is>
          <t>No</t>
        </is>
      </c>
      <c r="AQ2649" t="inlineStr">
        <is>
          <t>No</t>
        </is>
      </c>
      <c r="AS2649">
        <f>HYPERLINK("https://creighton-primo.hosted.exlibrisgroup.com/primo-explore/search?tab=default_tab&amp;search_scope=EVERYTHING&amp;vid=01CRU&amp;lang=en_US&amp;offset=0&amp;query=any,contains,991004412509702656","Catalog Record")</f>
        <v/>
      </c>
      <c r="AT2649">
        <f>HYPERLINK("http://www.worldcat.org/oclc/1943653","WorldCat Record")</f>
        <v/>
      </c>
      <c r="AU2649" t="inlineStr">
        <is>
          <t>1103958362:eng</t>
        </is>
      </c>
      <c r="AV2649" t="inlineStr">
        <is>
          <t>1943653</t>
        </is>
      </c>
      <c r="AW2649" t="inlineStr">
        <is>
          <t>991004412509702656</t>
        </is>
      </c>
      <c r="AX2649" t="inlineStr">
        <is>
          <t>991004412509702656</t>
        </is>
      </c>
      <c r="AY2649" t="inlineStr">
        <is>
          <t>2266420210002656</t>
        </is>
      </c>
      <c r="AZ2649" t="inlineStr">
        <is>
          <t>BOOK</t>
        </is>
      </c>
      <c r="BB2649" t="inlineStr">
        <is>
          <t>9780812210743</t>
        </is>
      </c>
      <c r="BC2649" t="inlineStr">
        <is>
          <t>32285000370816</t>
        </is>
      </c>
      <c r="BD2649" t="inlineStr">
        <is>
          <t>893628147</t>
        </is>
      </c>
    </row>
    <row r="2650">
      <c r="A2650" t="inlineStr">
        <is>
          <t>No</t>
        </is>
      </c>
      <c r="B2650" t="inlineStr">
        <is>
          <t>DS915 .C63 1972</t>
        </is>
      </c>
      <c r="C2650" t="inlineStr">
        <is>
          <t>0                      DS 0915000C  63          1972</t>
        </is>
      </c>
      <c r="D2650" t="inlineStr">
        <is>
          <t>Korea's 1884 incident; its background and Kim Ok-kyun's elusive dream / by Harold F. Cook.</t>
        </is>
      </c>
      <c r="F2650" t="inlineStr">
        <is>
          <t>No</t>
        </is>
      </c>
      <c r="G2650" t="inlineStr">
        <is>
          <t>1</t>
        </is>
      </c>
      <c r="H2650" t="inlineStr">
        <is>
          <t>No</t>
        </is>
      </c>
      <c r="I2650" t="inlineStr">
        <is>
          <t>No</t>
        </is>
      </c>
      <c r="J2650" t="inlineStr">
        <is>
          <t>0</t>
        </is>
      </c>
      <c r="K2650" t="inlineStr">
        <is>
          <t>Cook, Harold F., 1929-</t>
        </is>
      </c>
      <c r="L2650" t="inlineStr">
        <is>
          <t>[Seoul] : Royal Asiatic Society, Korea Branch, c1972, 1982 printing.</t>
        </is>
      </c>
      <c r="M2650" t="inlineStr">
        <is>
          <t>1972</t>
        </is>
      </c>
      <c r="O2650" t="inlineStr">
        <is>
          <t>eng</t>
        </is>
      </c>
      <c r="P2650" t="inlineStr">
        <is>
          <t xml:space="preserve">ko </t>
        </is>
      </c>
      <c r="Q2650" t="inlineStr">
        <is>
          <t>Royal Asiatic Society. Korea Branch. Monograph series, no. 4</t>
        </is>
      </c>
      <c r="R2650" t="inlineStr">
        <is>
          <t xml:space="preserve">DS </t>
        </is>
      </c>
      <c r="S2650" t="n">
        <v>1</v>
      </c>
      <c r="T2650" t="n">
        <v>1</v>
      </c>
      <c r="U2650" t="inlineStr">
        <is>
          <t>2003-04-29</t>
        </is>
      </c>
      <c r="V2650" t="inlineStr">
        <is>
          <t>2003-04-29</t>
        </is>
      </c>
      <c r="W2650" t="inlineStr">
        <is>
          <t>1990-11-01</t>
        </is>
      </c>
      <c r="X2650" t="inlineStr">
        <is>
          <t>1990-11-01</t>
        </is>
      </c>
      <c r="Y2650" t="n">
        <v>231</v>
      </c>
      <c r="Z2650" t="n">
        <v>171</v>
      </c>
      <c r="AA2650" t="n">
        <v>175</v>
      </c>
      <c r="AB2650" t="n">
        <v>1</v>
      </c>
      <c r="AC2650" t="n">
        <v>1</v>
      </c>
      <c r="AD2650" t="n">
        <v>11</v>
      </c>
      <c r="AE2650" t="n">
        <v>11</v>
      </c>
      <c r="AF2650" t="n">
        <v>4</v>
      </c>
      <c r="AG2650" t="n">
        <v>4</v>
      </c>
      <c r="AH2650" t="n">
        <v>4</v>
      </c>
      <c r="AI2650" t="n">
        <v>4</v>
      </c>
      <c r="AJ2650" t="n">
        <v>6</v>
      </c>
      <c r="AK2650" t="n">
        <v>6</v>
      </c>
      <c r="AL2650" t="n">
        <v>0</v>
      </c>
      <c r="AM2650" t="n">
        <v>0</v>
      </c>
      <c r="AN2650" t="n">
        <v>0</v>
      </c>
      <c r="AO2650" t="n">
        <v>0</v>
      </c>
      <c r="AP2650" t="inlineStr">
        <is>
          <t>No</t>
        </is>
      </c>
      <c r="AQ2650" t="inlineStr">
        <is>
          <t>Yes</t>
        </is>
      </c>
      <c r="AR2650">
        <f>HYPERLINK("http://catalog.hathitrust.org/Record/001606677","HathiTrust Record")</f>
        <v/>
      </c>
      <c r="AS2650">
        <f>HYPERLINK("https://creighton-primo.hosted.exlibrisgroup.com/primo-explore/search?tab=default_tab&amp;search_scope=EVERYTHING&amp;vid=01CRU&amp;lang=en_US&amp;offset=0&amp;query=any,contains,991002455869702656","Catalog Record")</f>
        <v/>
      </c>
      <c r="AT2650">
        <f>HYPERLINK("http://www.worldcat.org/oclc/354362","WorldCat Record")</f>
        <v/>
      </c>
      <c r="AU2650" t="inlineStr">
        <is>
          <t>287473804:eng</t>
        </is>
      </c>
      <c r="AV2650" t="inlineStr">
        <is>
          <t>354362</t>
        </is>
      </c>
      <c r="AW2650" t="inlineStr">
        <is>
          <t>991002455869702656</t>
        </is>
      </c>
      <c r="AX2650" t="inlineStr">
        <is>
          <t>991002455869702656</t>
        </is>
      </c>
      <c r="AY2650" t="inlineStr">
        <is>
          <t>2266294470002656</t>
        </is>
      </c>
      <c r="AZ2650" t="inlineStr">
        <is>
          <t>BOOK</t>
        </is>
      </c>
      <c r="BC2650" t="inlineStr">
        <is>
          <t>32285000370824</t>
        </is>
      </c>
      <c r="BD2650" t="inlineStr">
        <is>
          <t>893335339</t>
        </is>
      </c>
    </row>
    <row r="2651">
      <c r="A2651" t="inlineStr">
        <is>
          <t>No</t>
        </is>
      </c>
      <c r="B2651" t="inlineStr">
        <is>
          <t>DS915 .K56</t>
        </is>
      </c>
      <c r="C2651" t="inlineStr">
        <is>
          <t>0                      DS 0915000K  56</t>
        </is>
      </c>
      <c r="D2651" t="inlineStr">
        <is>
          <t>The last phase of the East Asian world order : Korea, Japan, and the Chinese Empire, 1860-1882 / Key-Hiuk Kim.</t>
        </is>
      </c>
      <c r="F2651" t="inlineStr">
        <is>
          <t>No</t>
        </is>
      </c>
      <c r="G2651" t="inlineStr">
        <is>
          <t>1</t>
        </is>
      </c>
      <c r="H2651" t="inlineStr">
        <is>
          <t>No</t>
        </is>
      </c>
      <c r="I2651" t="inlineStr">
        <is>
          <t>No</t>
        </is>
      </c>
      <c r="J2651" t="inlineStr">
        <is>
          <t>0</t>
        </is>
      </c>
      <c r="K2651" t="inlineStr">
        <is>
          <t>Kim, Key-Hiuk.</t>
        </is>
      </c>
      <c r="L2651" t="inlineStr">
        <is>
          <t>Berkeley : University of California Press, c1980.</t>
        </is>
      </c>
      <c r="M2651" t="inlineStr">
        <is>
          <t>1980</t>
        </is>
      </c>
      <c r="O2651" t="inlineStr">
        <is>
          <t>eng</t>
        </is>
      </c>
      <c r="P2651" t="inlineStr">
        <is>
          <t xml:space="preserve">xx </t>
        </is>
      </c>
      <c r="R2651" t="inlineStr">
        <is>
          <t xml:space="preserve">DS </t>
        </is>
      </c>
      <c r="S2651" t="n">
        <v>4</v>
      </c>
      <c r="T2651" t="n">
        <v>4</v>
      </c>
      <c r="U2651" t="inlineStr">
        <is>
          <t>1995-03-03</t>
        </is>
      </c>
      <c r="V2651" t="inlineStr">
        <is>
          <t>1995-03-03</t>
        </is>
      </c>
      <c r="W2651" t="inlineStr">
        <is>
          <t>1990-11-01</t>
        </is>
      </c>
      <c r="X2651" t="inlineStr">
        <is>
          <t>1990-11-01</t>
        </is>
      </c>
      <c r="Y2651" t="n">
        <v>454</v>
      </c>
      <c r="Z2651" t="n">
        <v>332</v>
      </c>
      <c r="AA2651" t="n">
        <v>332</v>
      </c>
      <c r="AB2651" t="n">
        <v>3</v>
      </c>
      <c r="AC2651" t="n">
        <v>3</v>
      </c>
      <c r="AD2651" t="n">
        <v>20</v>
      </c>
      <c r="AE2651" t="n">
        <v>20</v>
      </c>
      <c r="AF2651" t="n">
        <v>9</v>
      </c>
      <c r="AG2651" t="n">
        <v>9</v>
      </c>
      <c r="AH2651" t="n">
        <v>5</v>
      </c>
      <c r="AI2651" t="n">
        <v>5</v>
      </c>
      <c r="AJ2651" t="n">
        <v>11</v>
      </c>
      <c r="AK2651" t="n">
        <v>11</v>
      </c>
      <c r="AL2651" t="n">
        <v>2</v>
      </c>
      <c r="AM2651" t="n">
        <v>2</v>
      </c>
      <c r="AN2651" t="n">
        <v>0</v>
      </c>
      <c r="AO2651" t="n">
        <v>0</v>
      </c>
      <c r="AP2651" t="inlineStr">
        <is>
          <t>No</t>
        </is>
      </c>
      <c r="AQ2651" t="inlineStr">
        <is>
          <t>No</t>
        </is>
      </c>
      <c r="AS2651">
        <f>HYPERLINK("https://creighton-primo.hosted.exlibrisgroup.com/primo-explore/search?tab=default_tab&amp;search_scope=EVERYTHING&amp;vid=01CRU&amp;lang=en_US&amp;offset=0&amp;query=any,contains,991004932999702656","Catalog Record")</f>
        <v/>
      </c>
      <c r="AT2651">
        <f>HYPERLINK("http://www.worldcat.org/oclc/6114963","WorldCat Record")</f>
        <v/>
      </c>
      <c r="AU2651" t="inlineStr">
        <is>
          <t>501663:eng</t>
        </is>
      </c>
      <c r="AV2651" t="inlineStr">
        <is>
          <t>6114963</t>
        </is>
      </c>
      <c r="AW2651" t="inlineStr">
        <is>
          <t>991004932999702656</t>
        </is>
      </c>
      <c r="AX2651" t="inlineStr">
        <is>
          <t>991004932999702656</t>
        </is>
      </c>
      <c r="AY2651" t="inlineStr">
        <is>
          <t>2255658550002656</t>
        </is>
      </c>
      <c r="AZ2651" t="inlineStr">
        <is>
          <t>BOOK</t>
        </is>
      </c>
      <c r="BB2651" t="inlineStr">
        <is>
          <t>9780520035560</t>
        </is>
      </c>
      <c r="BC2651" t="inlineStr">
        <is>
          <t>32285000370832</t>
        </is>
      </c>
      <c r="BD2651" t="inlineStr">
        <is>
          <t>893776601</t>
        </is>
      </c>
    </row>
    <row r="2652">
      <c r="A2652" t="inlineStr">
        <is>
          <t>No</t>
        </is>
      </c>
      <c r="B2652" t="inlineStr">
        <is>
          <t>DS916.5.R5 O4 1973</t>
        </is>
      </c>
      <c r="C2652" t="inlineStr">
        <is>
          <t>0                      DS 0916500R  5                  O  4           1973</t>
        </is>
      </c>
      <c r="D2652" t="inlineStr">
        <is>
          <t>Syngman Rhee, the man behind the myth, by Robert T. Oliver.</t>
        </is>
      </c>
      <c r="F2652" t="inlineStr">
        <is>
          <t>No</t>
        </is>
      </c>
      <c r="G2652" t="inlineStr">
        <is>
          <t>1</t>
        </is>
      </c>
      <c r="H2652" t="inlineStr">
        <is>
          <t>No</t>
        </is>
      </c>
      <c r="I2652" t="inlineStr">
        <is>
          <t>No</t>
        </is>
      </c>
      <c r="J2652" t="inlineStr">
        <is>
          <t>0</t>
        </is>
      </c>
      <c r="K2652" t="inlineStr">
        <is>
          <t>Oliver, Robert T. (Robert Tarbell), 1909-2000.</t>
        </is>
      </c>
      <c r="L2652" t="inlineStr">
        <is>
          <t>Westport, Conn., Greenwood Press [1973, c1954]</t>
        </is>
      </c>
      <c r="M2652" t="inlineStr">
        <is>
          <t>1973</t>
        </is>
      </c>
      <c r="O2652" t="inlineStr">
        <is>
          <t>eng</t>
        </is>
      </c>
      <c r="P2652" t="inlineStr">
        <is>
          <t>ctu</t>
        </is>
      </c>
      <c r="R2652" t="inlineStr">
        <is>
          <t xml:space="preserve">DS </t>
        </is>
      </c>
      <c r="S2652" t="n">
        <v>2</v>
      </c>
      <c r="T2652" t="n">
        <v>2</v>
      </c>
      <c r="U2652" t="inlineStr">
        <is>
          <t>2007-03-03</t>
        </is>
      </c>
      <c r="V2652" t="inlineStr">
        <is>
          <t>2007-03-03</t>
        </is>
      </c>
      <c r="W2652" t="inlineStr">
        <is>
          <t>1997-03-17</t>
        </is>
      </c>
      <c r="X2652" t="inlineStr">
        <is>
          <t>1997-03-17</t>
        </is>
      </c>
      <c r="Y2652" t="n">
        <v>71</v>
      </c>
      <c r="Z2652" t="n">
        <v>61</v>
      </c>
      <c r="AA2652" t="n">
        <v>724</v>
      </c>
      <c r="AB2652" t="n">
        <v>1</v>
      </c>
      <c r="AC2652" t="n">
        <v>5</v>
      </c>
      <c r="AD2652" t="n">
        <v>2</v>
      </c>
      <c r="AE2652" t="n">
        <v>22</v>
      </c>
      <c r="AF2652" t="n">
        <v>0</v>
      </c>
      <c r="AG2652" t="n">
        <v>7</v>
      </c>
      <c r="AH2652" t="n">
        <v>1</v>
      </c>
      <c r="AI2652" t="n">
        <v>7</v>
      </c>
      <c r="AJ2652" t="n">
        <v>1</v>
      </c>
      <c r="AK2652" t="n">
        <v>10</v>
      </c>
      <c r="AL2652" t="n">
        <v>0</v>
      </c>
      <c r="AM2652" t="n">
        <v>3</v>
      </c>
      <c r="AN2652" t="n">
        <v>0</v>
      </c>
      <c r="AO2652" t="n">
        <v>0</v>
      </c>
      <c r="AP2652" t="inlineStr">
        <is>
          <t>No</t>
        </is>
      </c>
      <c r="AQ2652" t="inlineStr">
        <is>
          <t>No</t>
        </is>
      </c>
      <c r="AS2652">
        <f>HYPERLINK("https://creighton-primo.hosted.exlibrisgroup.com/primo-explore/search?tab=default_tab&amp;search_scope=EVERYTHING&amp;vid=01CRU&amp;lang=en_US&amp;offset=0&amp;query=any,contains,991003032609702656","Catalog Record")</f>
        <v/>
      </c>
      <c r="AT2652">
        <f>HYPERLINK("http://www.worldcat.org/oclc/595318","WorldCat Record")</f>
        <v/>
      </c>
      <c r="AU2652" t="inlineStr">
        <is>
          <t>1717678:eng</t>
        </is>
      </c>
      <c r="AV2652" t="inlineStr">
        <is>
          <t>595318</t>
        </is>
      </c>
      <c r="AW2652" t="inlineStr">
        <is>
          <t>991003032609702656</t>
        </is>
      </c>
      <c r="AX2652" t="inlineStr">
        <is>
          <t>991003032609702656</t>
        </is>
      </c>
      <c r="AY2652" t="inlineStr">
        <is>
          <t>2272285740002656</t>
        </is>
      </c>
      <c r="AZ2652" t="inlineStr">
        <is>
          <t>BOOK</t>
        </is>
      </c>
      <c r="BB2652" t="inlineStr">
        <is>
          <t>9780837167596</t>
        </is>
      </c>
      <c r="BC2652" t="inlineStr">
        <is>
          <t>32285002451044</t>
        </is>
      </c>
      <c r="BD2652" t="inlineStr">
        <is>
          <t>893717250</t>
        </is>
      </c>
    </row>
    <row r="2653">
      <c r="A2653" t="inlineStr">
        <is>
          <t>No</t>
        </is>
      </c>
      <c r="B2653" t="inlineStr">
        <is>
          <t>DS916.58.K56 A36 2000</t>
        </is>
      </c>
      <c r="C2653" t="inlineStr">
        <is>
          <t>0                      DS 0916580K  56                 A  36          2000</t>
        </is>
      </c>
      <c r="D2653" t="inlineStr">
        <is>
          <t>The autobiography of Kim Ku / translated, annotated and introduced by Jongsoo Lee.</t>
        </is>
      </c>
      <c r="F2653" t="inlineStr">
        <is>
          <t>No</t>
        </is>
      </c>
      <c r="G2653" t="inlineStr">
        <is>
          <t>1</t>
        </is>
      </c>
      <c r="H2653" t="inlineStr">
        <is>
          <t>No</t>
        </is>
      </c>
      <c r="I2653" t="inlineStr">
        <is>
          <t>No</t>
        </is>
      </c>
      <c r="J2653" t="inlineStr">
        <is>
          <t>0</t>
        </is>
      </c>
      <c r="K2653" t="inlineStr">
        <is>
          <t>Kim, Ku, 1876-1949.</t>
        </is>
      </c>
      <c r="L2653" t="inlineStr">
        <is>
          <t>Lanham, MD : University Press of America, 2000.</t>
        </is>
      </c>
      <c r="M2653" t="inlineStr">
        <is>
          <t>2000</t>
        </is>
      </c>
      <c r="O2653" t="inlineStr">
        <is>
          <t>eng</t>
        </is>
      </c>
      <c r="P2653" t="inlineStr">
        <is>
          <t>mdu</t>
        </is>
      </c>
      <c r="R2653" t="inlineStr">
        <is>
          <t xml:space="preserve">DS </t>
        </is>
      </c>
      <c r="S2653" t="n">
        <v>1</v>
      </c>
      <c r="T2653" t="n">
        <v>1</v>
      </c>
      <c r="U2653" t="inlineStr">
        <is>
          <t>2009-03-20</t>
        </is>
      </c>
      <c r="V2653" t="inlineStr">
        <is>
          <t>2009-03-20</t>
        </is>
      </c>
      <c r="W2653" t="inlineStr">
        <is>
          <t>2001-06-12</t>
        </is>
      </c>
      <c r="X2653" t="inlineStr">
        <is>
          <t>2001-06-12</t>
        </is>
      </c>
      <c r="Y2653" t="n">
        <v>148</v>
      </c>
      <c r="Z2653" t="n">
        <v>122</v>
      </c>
      <c r="AA2653" t="n">
        <v>124</v>
      </c>
      <c r="AB2653" t="n">
        <v>2</v>
      </c>
      <c r="AC2653" t="n">
        <v>2</v>
      </c>
      <c r="AD2653" t="n">
        <v>7</v>
      </c>
      <c r="AE2653" t="n">
        <v>7</v>
      </c>
      <c r="AF2653" t="n">
        <v>2</v>
      </c>
      <c r="AG2653" t="n">
        <v>2</v>
      </c>
      <c r="AH2653" t="n">
        <v>3</v>
      </c>
      <c r="AI2653" t="n">
        <v>3</v>
      </c>
      <c r="AJ2653" t="n">
        <v>4</v>
      </c>
      <c r="AK2653" t="n">
        <v>4</v>
      </c>
      <c r="AL2653" t="n">
        <v>1</v>
      </c>
      <c r="AM2653" t="n">
        <v>1</v>
      </c>
      <c r="AN2653" t="n">
        <v>0</v>
      </c>
      <c r="AO2653" t="n">
        <v>0</v>
      </c>
      <c r="AP2653" t="inlineStr">
        <is>
          <t>No</t>
        </is>
      </c>
      <c r="AQ2653" t="inlineStr">
        <is>
          <t>Yes</t>
        </is>
      </c>
      <c r="AR2653">
        <f>HYPERLINK("http://catalog.hathitrust.org/Record/004131467","HathiTrust Record")</f>
        <v/>
      </c>
      <c r="AS2653">
        <f>HYPERLINK("https://creighton-primo.hosted.exlibrisgroup.com/primo-explore/search?tab=default_tab&amp;search_scope=EVERYTHING&amp;vid=01CRU&amp;lang=en_US&amp;offset=0&amp;query=any,contains,991003520899702656","Catalog Record")</f>
        <v/>
      </c>
      <c r="AT2653">
        <f>HYPERLINK("http://www.worldcat.org/oclc/43641313","WorldCat Record")</f>
        <v/>
      </c>
      <c r="AU2653" t="inlineStr">
        <is>
          <t>9592854399:eng</t>
        </is>
      </c>
      <c r="AV2653" t="inlineStr">
        <is>
          <t>43641313</t>
        </is>
      </c>
      <c r="AW2653" t="inlineStr">
        <is>
          <t>991003520899702656</t>
        </is>
      </c>
      <c r="AX2653" t="inlineStr">
        <is>
          <t>991003520899702656</t>
        </is>
      </c>
      <c r="AY2653" t="inlineStr">
        <is>
          <t>2268166630002656</t>
        </is>
      </c>
      <c r="AZ2653" t="inlineStr">
        <is>
          <t>BOOK</t>
        </is>
      </c>
      <c r="BB2653" t="inlineStr">
        <is>
          <t>9780761816850</t>
        </is>
      </c>
      <c r="BC2653" t="inlineStr">
        <is>
          <t>32285004326582</t>
        </is>
      </c>
      <c r="BD2653" t="inlineStr">
        <is>
          <t>893416467</t>
        </is>
      </c>
    </row>
    <row r="2654">
      <c r="A2654" t="inlineStr">
        <is>
          <t>No</t>
        </is>
      </c>
      <c r="B2654" t="inlineStr">
        <is>
          <t>DS917 .C86 2005</t>
        </is>
      </c>
      <c r="C2654" t="inlineStr">
        <is>
          <t>0                      DS 0917000C  86          2005</t>
        </is>
      </c>
      <c r="D2654" t="inlineStr">
        <is>
          <t>Korea's place in the sun : a modern history / Bruce Cumings.</t>
        </is>
      </c>
      <c r="F2654" t="inlineStr">
        <is>
          <t>No</t>
        </is>
      </c>
      <c r="G2654" t="inlineStr">
        <is>
          <t>1</t>
        </is>
      </c>
      <c r="H2654" t="inlineStr">
        <is>
          <t>No</t>
        </is>
      </c>
      <c r="I2654" t="inlineStr">
        <is>
          <t>No</t>
        </is>
      </c>
      <c r="J2654" t="inlineStr">
        <is>
          <t>0</t>
        </is>
      </c>
      <c r="K2654" t="inlineStr">
        <is>
          <t>Cumings, Bruce, 1943-</t>
        </is>
      </c>
      <c r="L2654" t="inlineStr">
        <is>
          <t>New York ; London : W. W. Norton, 2005.</t>
        </is>
      </c>
      <c r="M2654" t="inlineStr">
        <is>
          <t>2005</t>
        </is>
      </c>
      <c r="N2654" t="inlineStr">
        <is>
          <t>Updated ed.</t>
        </is>
      </c>
      <c r="O2654" t="inlineStr">
        <is>
          <t>eng</t>
        </is>
      </c>
      <c r="P2654" t="inlineStr">
        <is>
          <t>nyu</t>
        </is>
      </c>
      <c r="R2654" t="inlineStr">
        <is>
          <t xml:space="preserve">DS </t>
        </is>
      </c>
      <c r="S2654" t="n">
        <v>3</v>
      </c>
      <c r="T2654" t="n">
        <v>3</v>
      </c>
      <c r="U2654" t="inlineStr">
        <is>
          <t>2007-11-30</t>
        </is>
      </c>
      <c r="V2654" t="inlineStr">
        <is>
          <t>2007-11-30</t>
        </is>
      </c>
      <c r="W2654" t="inlineStr">
        <is>
          <t>2005-12-05</t>
        </is>
      </c>
      <c r="X2654" t="inlineStr">
        <is>
          <t>2005-12-05</t>
        </is>
      </c>
      <c r="Y2654" t="n">
        <v>606</v>
      </c>
      <c r="Z2654" t="n">
        <v>479</v>
      </c>
      <c r="AA2654" t="n">
        <v>1578</v>
      </c>
      <c r="AB2654" t="n">
        <v>5</v>
      </c>
      <c r="AC2654" t="n">
        <v>12</v>
      </c>
      <c r="AD2654" t="n">
        <v>15</v>
      </c>
      <c r="AE2654" t="n">
        <v>42</v>
      </c>
      <c r="AF2654" t="n">
        <v>6</v>
      </c>
      <c r="AG2654" t="n">
        <v>19</v>
      </c>
      <c r="AH2654" t="n">
        <v>6</v>
      </c>
      <c r="AI2654" t="n">
        <v>9</v>
      </c>
      <c r="AJ2654" t="n">
        <v>7</v>
      </c>
      <c r="AK2654" t="n">
        <v>17</v>
      </c>
      <c r="AL2654" t="n">
        <v>1</v>
      </c>
      <c r="AM2654" t="n">
        <v>7</v>
      </c>
      <c r="AN2654" t="n">
        <v>0</v>
      </c>
      <c r="AO2654" t="n">
        <v>0</v>
      </c>
      <c r="AP2654" t="inlineStr">
        <is>
          <t>No</t>
        </is>
      </c>
      <c r="AQ2654" t="inlineStr">
        <is>
          <t>No</t>
        </is>
      </c>
      <c r="AS2654">
        <f>HYPERLINK("https://creighton-primo.hosted.exlibrisgroup.com/primo-explore/search?tab=default_tab&amp;search_scope=EVERYTHING&amp;vid=01CRU&amp;lang=en_US&amp;offset=0&amp;query=any,contains,991004683159702656","Catalog Record")</f>
        <v/>
      </c>
      <c r="AT2654">
        <f>HYPERLINK("http://www.worldcat.org/oclc/62042862","WorldCat Record")</f>
        <v/>
      </c>
      <c r="AU2654" t="inlineStr">
        <is>
          <t>179148:eng</t>
        </is>
      </c>
      <c r="AV2654" t="inlineStr">
        <is>
          <t>62042862</t>
        </is>
      </c>
      <c r="AW2654" t="inlineStr">
        <is>
          <t>991004683159702656</t>
        </is>
      </c>
      <c r="AX2654" t="inlineStr">
        <is>
          <t>991004683159702656</t>
        </is>
      </c>
      <c r="AY2654" t="inlineStr">
        <is>
          <t>2264174600002656</t>
        </is>
      </c>
      <c r="AZ2654" t="inlineStr">
        <is>
          <t>BOOK</t>
        </is>
      </c>
      <c r="BB2654" t="inlineStr">
        <is>
          <t>9780393327021</t>
        </is>
      </c>
      <c r="BC2654" t="inlineStr">
        <is>
          <t>32285005150858</t>
        </is>
      </c>
      <c r="BD2654" t="inlineStr">
        <is>
          <t>893889135</t>
        </is>
      </c>
    </row>
    <row r="2655">
      <c r="A2655" t="inlineStr">
        <is>
          <t>No</t>
        </is>
      </c>
      <c r="B2655" t="inlineStr">
        <is>
          <t>DS917 .G6</t>
        </is>
      </c>
      <c r="C2655" t="inlineStr">
        <is>
          <t>0                      DS 0917000G  6</t>
        </is>
      </c>
      <c r="D2655" t="inlineStr">
        <is>
          <t>Korea : a study of U. S. policy in the United Nations.</t>
        </is>
      </c>
      <c r="F2655" t="inlineStr">
        <is>
          <t>No</t>
        </is>
      </c>
      <c r="G2655" t="inlineStr">
        <is>
          <t>1</t>
        </is>
      </c>
      <c r="H2655" t="inlineStr">
        <is>
          <t>No</t>
        </is>
      </c>
      <c r="I2655" t="inlineStr">
        <is>
          <t>No</t>
        </is>
      </c>
      <c r="J2655" t="inlineStr">
        <is>
          <t>0</t>
        </is>
      </c>
      <c r="K2655" t="inlineStr">
        <is>
          <t>Goodrich, Leland M. (Leland Matthew), 1899-1990.</t>
        </is>
      </c>
      <c r="L2655" t="inlineStr">
        <is>
          <t>New York : Council on Foreign Relations, 1956.</t>
        </is>
      </c>
      <c r="M2655" t="inlineStr">
        <is>
          <t>1956</t>
        </is>
      </c>
      <c r="N2655" t="inlineStr">
        <is>
          <t>[1st ed.]</t>
        </is>
      </c>
      <c r="O2655" t="inlineStr">
        <is>
          <t>eng</t>
        </is>
      </c>
      <c r="P2655" t="inlineStr">
        <is>
          <t>nyu</t>
        </is>
      </c>
      <c r="R2655" t="inlineStr">
        <is>
          <t xml:space="preserve">DS </t>
        </is>
      </c>
      <c r="S2655" t="n">
        <v>4</v>
      </c>
      <c r="T2655" t="n">
        <v>4</v>
      </c>
      <c r="U2655" t="inlineStr">
        <is>
          <t>1994-11-13</t>
        </is>
      </c>
      <c r="V2655" t="inlineStr">
        <is>
          <t>1994-11-13</t>
        </is>
      </c>
      <c r="W2655" t="inlineStr">
        <is>
          <t>1994-01-06</t>
        </is>
      </c>
      <c r="X2655" t="inlineStr">
        <is>
          <t>1994-01-06</t>
        </is>
      </c>
      <c r="Y2655" t="n">
        <v>392</v>
      </c>
      <c r="Z2655" t="n">
        <v>348</v>
      </c>
      <c r="AA2655" t="n">
        <v>520</v>
      </c>
      <c r="AB2655" t="n">
        <v>3</v>
      </c>
      <c r="AC2655" t="n">
        <v>5</v>
      </c>
      <c r="AD2655" t="n">
        <v>17</v>
      </c>
      <c r="AE2655" t="n">
        <v>33</v>
      </c>
      <c r="AF2655" t="n">
        <v>5</v>
      </c>
      <c r="AG2655" t="n">
        <v>10</v>
      </c>
      <c r="AH2655" t="n">
        <v>3</v>
      </c>
      <c r="AI2655" t="n">
        <v>6</v>
      </c>
      <c r="AJ2655" t="n">
        <v>8</v>
      </c>
      <c r="AK2655" t="n">
        <v>14</v>
      </c>
      <c r="AL2655" t="n">
        <v>2</v>
      </c>
      <c r="AM2655" t="n">
        <v>2</v>
      </c>
      <c r="AN2655" t="n">
        <v>2</v>
      </c>
      <c r="AO2655" t="n">
        <v>9</v>
      </c>
      <c r="AP2655" t="inlineStr">
        <is>
          <t>No</t>
        </is>
      </c>
      <c r="AQ2655" t="inlineStr">
        <is>
          <t>Yes</t>
        </is>
      </c>
      <c r="AR2655">
        <f>HYPERLINK("http://catalog.hathitrust.org/Record/001606698","HathiTrust Record")</f>
        <v/>
      </c>
      <c r="AS2655">
        <f>HYPERLINK("https://creighton-primo.hosted.exlibrisgroup.com/primo-explore/search?tab=default_tab&amp;search_scope=EVERYTHING&amp;vid=01CRU&amp;lang=en_US&amp;offset=0&amp;query=any,contains,991003815089702656","Catalog Record")</f>
        <v/>
      </c>
      <c r="AT2655">
        <f>HYPERLINK("http://www.worldcat.org/oclc/1546243","WorldCat Record")</f>
        <v/>
      </c>
      <c r="AU2655" t="inlineStr">
        <is>
          <t>365416061:eng</t>
        </is>
      </c>
      <c r="AV2655" t="inlineStr">
        <is>
          <t>1546243</t>
        </is>
      </c>
      <c r="AW2655" t="inlineStr">
        <is>
          <t>991003815089702656</t>
        </is>
      </c>
      <c r="AX2655" t="inlineStr">
        <is>
          <t>991003815089702656</t>
        </is>
      </c>
      <c r="AY2655" t="inlineStr">
        <is>
          <t>2271590970002656</t>
        </is>
      </c>
      <c r="AZ2655" t="inlineStr">
        <is>
          <t>BOOK</t>
        </is>
      </c>
      <c r="BC2655" t="inlineStr">
        <is>
          <t>32285001828846</t>
        </is>
      </c>
      <c r="BD2655" t="inlineStr">
        <is>
          <t>893318442</t>
        </is>
      </c>
    </row>
    <row r="2656">
      <c r="A2656" t="inlineStr">
        <is>
          <t>No</t>
        </is>
      </c>
      <c r="B2656" t="inlineStr">
        <is>
          <t>DS917 .K5437 1980</t>
        </is>
      </c>
      <c r="C2656" t="inlineStr">
        <is>
          <t>0                      DS 0917000K  5437        1980</t>
        </is>
      </c>
      <c r="D2656" t="inlineStr">
        <is>
          <t>The Korean War, 1950-53 / by Kim Chum-kon.</t>
        </is>
      </c>
      <c r="F2656" t="inlineStr">
        <is>
          <t>No</t>
        </is>
      </c>
      <c r="G2656" t="inlineStr">
        <is>
          <t>1</t>
        </is>
      </c>
      <c r="H2656" t="inlineStr">
        <is>
          <t>No</t>
        </is>
      </c>
      <c r="I2656" t="inlineStr">
        <is>
          <t>No</t>
        </is>
      </c>
      <c r="J2656" t="inlineStr">
        <is>
          <t>0</t>
        </is>
      </c>
      <c r="K2656" t="inlineStr">
        <is>
          <t>Kim, Chŏm-gon, 1923-</t>
        </is>
      </c>
      <c r="L2656" t="inlineStr">
        <is>
          <t>Seoul (Korea) : Kwangmyong Pub. Co., c1980.</t>
        </is>
      </c>
      <c r="M2656" t="inlineStr">
        <is>
          <t>1980</t>
        </is>
      </c>
      <c r="O2656" t="inlineStr">
        <is>
          <t>eng</t>
        </is>
      </c>
      <c r="P2656" t="inlineStr">
        <is>
          <t xml:space="preserve">ko </t>
        </is>
      </c>
      <c r="R2656" t="inlineStr">
        <is>
          <t xml:space="preserve">DS </t>
        </is>
      </c>
      <c r="S2656" t="n">
        <v>7</v>
      </c>
      <c r="T2656" t="n">
        <v>7</v>
      </c>
      <c r="U2656" t="inlineStr">
        <is>
          <t>1999-03-10</t>
        </is>
      </c>
      <c r="V2656" t="inlineStr">
        <is>
          <t>1999-03-10</t>
        </is>
      </c>
      <c r="W2656" t="inlineStr">
        <is>
          <t>1990-11-01</t>
        </is>
      </c>
      <c r="X2656" t="inlineStr">
        <is>
          <t>1990-11-01</t>
        </is>
      </c>
      <c r="Y2656" t="n">
        <v>156</v>
      </c>
      <c r="Z2656" t="n">
        <v>153</v>
      </c>
      <c r="AA2656" t="n">
        <v>191</v>
      </c>
      <c r="AB2656" t="n">
        <v>2</v>
      </c>
      <c r="AC2656" t="n">
        <v>2</v>
      </c>
      <c r="AD2656" t="n">
        <v>10</v>
      </c>
      <c r="AE2656" t="n">
        <v>10</v>
      </c>
      <c r="AF2656" t="n">
        <v>5</v>
      </c>
      <c r="AG2656" t="n">
        <v>5</v>
      </c>
      <c r="AH2656" t="n">
        <v>2</v>
      </c>
      <c r="AI2656" t="n">
        <v>2</v>
      </c>
      <c r="AJ2656" t="n">
        <v>5</v>
      </c>
      <c r="AK2656" t="n">
        <v>5</v>
      </c>
      <c r="AL2656" t="n">
        <v>1</v>
      </c>
      <c r="AM2656" t="n">
        <v>1</v>
      </c>
      <c r="AN2656" t="n">
        <v>0</v>
      </c>
      <c r="AO2656" t="n">
        <v>0</v>
      </c>
      <c r="AP2656" t="inlineStr">
        <is>
          <t>No</t>
        </is>
      </c>
      <c r="AQ2656" t="inlineStr">
        <is>
          <t>No</t>
        </is>
      </c>
      <c r="AS2656">
        <f>HYPERLINK("https://creighton-primo.hosted.exlibrisgroup.com/primo-explore/search?tab=default_tab&amp;search_scope=EVERYTHING&amp;vid=01CRU&amp;lang=en_US&amp;offset=0&amp;query=any,contains,991005001319702656","Catalog Record")</f>
        <v/>
      </c>
      <c r="AT2656">
        <f>HYPERLINK("http://www.worldcat.org/oclc/6549105","WorldCat Record")</f>
        <v/>
      </c>
      <c r="AU2656" t="inlineStr">
        <is>
          <t>1966590:eng</t>
        </is>
      </c>
      <c r="AV2656" t="inlineStr">
        <is>
          <t>6549105</t>
        </is>
      </c>
      <c r="AW2656" t="inlineStr">
        <is>
          <t>991005001319702656</t>
        </is>
      </c>
      <c r="AX2656" t="inlineStr">
        <is>
          <t>991005001319702656</t>
        </is>
      </c>
      <c r="AY2656" t="inlineStr">
        <is>
          <t>2262368490002656</t>
        </is>
      </c>
      <c r="AZ2656" t="inlineStr">
        <is>
          <t>BOOK</t>
        </is>
      </c>
      <c r="BC2656" t="inlineStr">
        <is>
          <t>32285000370865</t>
        </is>
      </c>
      <c r="BD2656" t="inlineStr">
        <is>
          <t>893722693</t>
        </is>
      </c>
    </row>
    <row r="2657">
      <c r="A2657" t="inlineStr">
        <is>
          <t>No</t>
        </is>
      </c>
      <c r="B2657" t="inlineStr">
        <is>
          <t>DS917 .K5517813 1976</t>
        </is>
      </c>
      <c r="C2657" t="inlineStr">
        <is>
          <t>0                      DS 0917000K  5517813     1976</t>
        </is>
      </c>
      <c r="D2657" t="inlineStr">
        <is>
          <t>For the independent peaceful reunification of Korea / Kim Il Sung.</t>
        </is>
      </c>
      <c r="F2657" t="inlineStr">
        <is>
          <t>No</t>
        </is>
      </c>
      <c r="G2657" t="inlineStr">
        <is>
          <t>1</t>
        </is>
      </c>
      <c r="H2657" t="inlineStr">
        <is>
          <t>No</t>
        </is>
      </c>
      <c r="I2657" t="inlineStr">
        <is>
          <t>No</t>
        </is>
      </c>
      <c r="J2657" t="inlineStr">
        <is>
          <t>0</t>
        </is>
      </c>
      <c r="K2657" t="inlineStr">
        <is>
          <t>Kim, Il-sŏng, 1912-1994.</t>
        </is>
      </c>
      <c r="L2657" t="inlineStr">
        <is>
          <t>New York : Guardian Associates, c1976.</t>
        </is>
      </c>
      <c r="M2657" t="inlineStr">
        <is>
          <t>1976</t>
        </is>
      </c>
      <c r="N2657" t="inlineStr">
        <is>
          <t>Rev. ed.</t>
        </is>
      </c>
      <c r="O2657" t="inlineStr">
        <is>
          <t>eng</t>
        </is>
      </c>
      <c r="P2657" t="inlineStr">
        <is>
          <t>nyu</t>
        </is>
      </c>
      <c r="R2657" t="inlineStr">
        <is>
          <t xml:space="preserve">DS </t>
        </is>
      </c>
      <c r="S2657" t="n">
        <v>3</v>
      </c>
      <c r="T2657" t="n">
        <v>3</v>
      </c>
      <c r="U2657" t="inlineStr">
        <is>
          <t>2002-11-25</t>
        </is>
      </c>
      <c r="V2657" t="inlineStr">
        <is>
          <t>2002-11-25</t>
        </is>
      </c>
      <c r="W2657" t="inlineStr">
        <is>
          <t>1991-04-19</t>
        </is>
      </c>
      <c r="X2657" t="inlineStr">
        <is>
          <t>1991-04-19</t>
        </is>
      </c>
      <c r="Y2657" t="n">
        <v>678</v>
      </c>
      <c r="Z2657" t="n">
        <v>670</v>
      </c>
      <c r="AA2657" t="n">
        <v>1124</v>
      </c>
      <c r="AB2657" t="n">
        <v>6</v>
      </c>
      <c r="AC2657" t="n">
        <v>8</v>
      </c>
      <c r="AD2657" t="n">
        <v>26</v>
      </c>
      <c r="AE2657" t="n">
        <v>49</v>
      </c>
      <c r="AF2657" t="n">
        <v>5</v>
      </c>
      <c r="AG2657" t="n">
        <v>20</v>
      </c>
      <c r="AH2657" t="n">
        <v>8</v>
      </c>
      <c r="AI2657" t="n">
        <v>10</v>
      </c>
      <c r="AJ2657" t="n">
        <v>10</v>
      </c>
      <c r="AK2657" t="n">
        <v>20</v>
      </c>
      <c r="AL2657" t="n">
        <v>5</v>
      </c>
      <c r="AM2657" t="n">
        <v>7</v>
      </c>
      <c r="AN2657" t="n">
        <v>3</v>
      </c>
      <c r="AO2657" t="n">
        <v>3</v>
      </c>
      <c r="AP2657" t="inlineStr">
        <is>
          <t>No</t>
        </is>
      </c>
      <c r="AQ2657" t="inlineStr">
        <is>
          <t>Yes</t>
        </is>
      </c>
      <c r="AR2657">
        <f>HYPERLINK("http://catalog.hathitrust.org/Record/000737313","HathiTrust Record")</f>
        <v/>
      </c>
      <c r="AS2657">
        <f>HYPERLINK("https://creighton-primo.hosted.exlibrisgroup.com/primo-explore/search?tab=default_tab&amp;search_scope=EVERYTHING&amp;vid=01CRU&amp;lang=en_US&amp;offset=0&amp;query=any,contains,991004174389702656","Catalog Record")</f>
        <v/>
      </c>
      <c r="AT2657">
        <f>HYPERLINK("http://www.worldcat.org/oclc/2593062","WorldCat Record")</f>
        <v/>
      </c>
      <c r="AU2657" t="inlineStr">
        <is>
          <t>149180902:eng</t>
        </is>
      </c>
      <c r="AV2657" t="inlineStr">
        <is>
          <t>2593062</t>
        </is>
      </c>
      <c r="AW2657" t="inlineStr">
        <is>
          <t>991004174389702656</t>
        </is>
      </c>
      <c r="AX2657" t="inlineStr">
        <is>
          <t>991004174389702656</t>
        </is>
      </c>
      <c r="AY2657" t="inlineStr">
        <is>
          <t>2267892420002656</t>
        </is>
      </c>
      <c r="AZ2657" t="inlineStr">
        <is>
          <t>BOOK</t>
        </is>
      </c>
      <c r="BB2657" t="inlineStr">
        <is>
          <t>9780917654046</t>
        </is>
      </c>
      <c r="BC2657" t="inlineStr">
        <is>
          <t>32285000583772</t>
        </is>
      </c>
      <c r="BD2657" t="inlineStr">
        <is>
          <t>893794561</t>
        </is>
      </c>
    </row>
    <row r="2658">
      <c r="A2658" t="inlineStr">
        <is>
          <t>No</t>
        </is>
      </c>
      <c r="B2658" t="inlineStr">
        <is>
          <t>DS917 .K667</t>
        </is>
      </c>
      <c r="C2658" t="inlineStr">
        <is>
          <t>0                      DS 0917000K  667</t>
        </is>
      </c>
      <c r="D2658" t="inlineStr">
        <is>
          <t>Korean politics in transition / edited by Edward Reynolds Wright ; contributors, Suk-choon Cho ... [et al.].</t>
        </is>
      </c>
      <c r="F2658" t="inlineStr">
        <is>
          <t>No</t>
        </is>
      </c>
      <c r="G2658" t="inlineStr">
        <is>
          <t>1</t>
        </is>
      </c>
      <c r="H2658" t="inlineStr">
        <is>
          <t>No</t>
        </is>
      </c>
      <c r="I2658" t="inlineStr">
        <is>
          <t>No</t>
        </is>
      </c>
      <c r="J2658" t="inlineStr">
        <is>
          <t>0</t>
        </is>
      </c>
      <c r="L2658" t="inlineStr">
        <is>
          <t>Seattle : Published for the Royal Asiatic Society, Korea Branch, by the University of Washington Press, 1975.</t>
        </is>
      </c>
      <c r="M2658" t="inlineStr">
        <is>
          <t>1975</t>
        </is>
      </c>
      <c r="O2658" t="inlineStr">
        <is>
          <t>eng</t>
        </is>
      </c>
      <c r="P2658" t="inlineStr">
        <is>
          <t>wau</t>
        </is>
      </c>
      <c r="R2658" t="inlineStr">
        <is>
          <t xml:space="preserve">DS </t>
        </is>
      </c>
      <c r="S2658" t="n">
        <v>7</v>
      </c>
      <c r="T2658" t="n">
        <v>7</v>
      </c>
      <c r="U2658" t="inlineStr">
        <is>
          <t>1997-10-11</t>
        </is>
      </c>
      <c r="V2658" t="inlineStr">
        <is>
          <t>1997-10-11</t>
        </is>
      </c>
      <c r="W2658" t="inlineStr">
        <is>
          <t>1992-08-07</t>
        </is>
      </c>
      <c r="X2658" t="inlineStr">
        <is>
          <t>1992-08-07</t>
        </is>
      </c>
      <c r="Y2658" t="n">
        <v>475</v>
      </c>
      <c r="Z2658" t="n">
        <v>394</v>
      </c>
      <c r="AA2658" t="n">
        <v>396</v>
      </c>
      <c r="AB2658" t="n">
        <v>4</v>
      </c>
      <c r="AC2658" t="n">
        <v>4</v>
      </c>
      <c r="AD2658" t="n">
        <v>19</v>
      </c>
      <c r="AE2658" t="n">
        <v>19</v>
      </c>
      <c r="AF2658" t="n">
        <v>6</v>
      </c>
      <c r="AG2658" t="n">
        <v>6</v>
      </c>
      <c r="AH2658" t="n">
        <v>5</v>
      </c>
      <c r="AI2658" t="n">
        <v>5</v>
      </c>
      <c r="AJ2658" t="n">
        <v>11</v>
      </c>
      <c r="AK2658" t="n">
        <v>11</v>
      </c>
      <c r="AL2658" t="n">
        <v>3</v>
      </c>
      <c r="AM2658" t="n">
        <v>3</v>
      </c>
      <c r="AN2658" t="n">
        <v>0</v>
      </c>
      <c r="AO2658" t="n">
        <v>0</v>
      </c>
      <c r="AP2658" t="inlineStr">
        <is>
          <t>No</t>
        </is>
      </c>
      <c r="AQ2658" t="inlineStr">
        <is>
          <t>Yes</t>
        </is>
      </c>
      <c r="AR2658">
        <f>HYPERLINK("http://catalog.hathitrust.org/Record/000025371","HathiTrust Record")</f>
        <v/>
      </c>
      <c r="AS2658">
        <f>HYPERLINK("https://creighton-primo.hosted.exlibrisgroup.com/primo-explore/search?tab=default_tab&amp;search_scope=EVERYTHING&amp;vid=01CRU&amp;lang=en_US&amp;offset=0&amp;query=any,contains,991003817479702656","Catalog Record")</f>
        <v/>
      </c>
      <c r="AT2658">
        <f>HYPERLINK("http://www.worldcat.org/oclc/1551118","WorldCat Record")</f>
        <v/>
      </c>
      <c r="AU2658" t="inlineStr">
        <is>
          <t>537101526:eng</t>
        </is>
      </c>
      <c r="AV2658" t="inlineStr">
        <is>
          <t>1551118</t>
        </is>
      </c>
      <c r="AW2658" t="inlineStr">
        <is>
          <t>991003817479702656</t>
        </is>
      </c>
      <c r="AX2658" t="inlineStr">
        <is>
          <t>991003817479702656</t>
        </is>
      </c>
      <c r="AY2658" t="inlineStr">
        <is>
          <t>2265778680002656</t>
        </is>
      </c>
      <c r="AZ2658" t="inlineStr">
        <is>
          <t>BOOK</t>
        </is>
      </c>
      <c r="BB2658" t="inlineStr">
        <is>
          <t>9780295954226</t>
        </is>
      </c>
      <c r="BC2658" t="inlineStr">
        <is>
          <t>32285001243111</t>
        </is>
      </c>
      <c r="BD2658" t="inlineStr">
        <is>
          <t>893445874</t>
        </is>
      </c>
    </row>
    <row r="2659">
      <c r="A2659" t="inlineStr">
        <is>
          <t>No</t>
        </is>
      </c>
      <c r="B2659" t="inlineStr">
        <is>
          <t>DS917 .K67</t>
        </is>
      </c>
      <c r="C2659" t="inlineStr">
        <is>
          <t>0                      DS 0917000K  67</t>
        </is>
      </c>
      <c r="D2659" t="inlineStr">
        <is>
          <t>Road to peaceful Korean unification : Republic of Korea's basic policy toward unification.</t>
        </is>
      </c>
      <c r="F2659" t="inlineStr">
        <is>
          <t>No</t>
        </is>
      </c>
      <c r="G2659" t="inlineStr">
        <is>
          <t>1</t>
        </is>
      </c>
      <c r="H2659" t="inlineStr">
        <is>
          <t>No</t>
        </is>
      </c>
      <c r="I2659" t="inlineStr">
        <is>
          <t>No</t>
        </is>
      </c>
      <c r="J2659" t="inlineStr">
        <is>
          <t>0</t>
        </is>
      </c>
      <c r="K2659" t="inlineStr">
        <is>
          <t>Korea (South). Haeoe Kongbogwan.</t>
        </is>
      </c>
      <c r="L2659" t="inlineStr">
        <is>
          <t>Seoul : Korean Overseas Information Service, 1973.</t>
        </is>
      </c>
      <c r="M2659" t="inlineStr">
        <is>
          <t>1973</t>
        </is>
      </c>
      <c r="O2659" t="inlineStr">
        <is>
          <t>eng</t>
        </is>
      </c>
      <c r="P2659" t="inlineStr">
        <is>
          <t xml:space="preserve">ko </t>
        </is>
      </c>
      <c r="R2659" t="inlineStr">
        <is>
          <t xml:space="preserve">DS </t>
        </is>
      </c>
      <c r="S2659" t="n">
        <v>1</v>
      </c>
      <c r="T2659" t="n">
        <v>1</v>
      </c>
      <c r="U2659" t="inlineStr">
        <is>
          <t>2002-11-25</t>
        </is>
      </c>
      <c r="V2659" t="inlineStr">
        <is>
          <t>2002-11-25</t>
        </is>
      </c>
      <c r="W2659" t="inlineStr">
        <is>
          <t>1995-04-18</t>
        </is>
      </c>
      <c r="X2659" t="inlineStr">
        <is>
          <t>1995-04-18</t>
        </is>
      </c>
      <c r="Y2659" t="n">
        <v>59</v>
      </c>
      <c r="Z2659" t="n">
        <v>40</v>
      </c>
      <c r="AA2659" t="n">
        <v>41</v>
      </c>
      <c r="AB2659" t="n">
        <v>2</v>
      </c>
      <c r="AC2659" t="n">
        <v>2</v>
      </c>
      <c r="AD2659" t="n">
        <v>5</v>
      </c>
      <c r="AE2659" t="n">
        <v>5</v>
      </c>
      <c r="AF2659" t="n">
        <v>0</v>
      </c>
      <c r="AG2659" t="n">
        <v>0</v>
      </c>
      <c r="AH2659" t="n">
        <v>2</v>
      </c>
      <c r="AI2659" t="n">
        <v>2</v>
      </c>
      <c r="AJ2659" t="n">
        <v>3</v>
      </c>
      <c r="AK2659" t="n">
        <v>3</v>
      </c>
      <c r="AL2659" t="n">
        <v>1</v>
      </c>
      <c r="AM2659" t="n">
        <v>1</v>
      </c>
      <c r="AN2659" t="n">
        <v>0</v>
      </c>
      <c r="AO2659" t="n">
        <v>0</v>
      </c>
      <c r="AP2659" t="inlineStr">
        <is>
          <t>No</t>
        </is>
      </c>
      <c r="AQ2659" t="inlineStr">
        <is>
          <t>Yes</t>
        </is>
      </c>
      <c r="AR2659">
        <f>HYPERLINK("http://catalog.hathitrust.org/Record/009048042","HathiTrust Record")</f>
        <v/>
      </c>
      <c r="AS2659">
        <f>HYPERLINK("https://creighton-primo.hosted.exlibrisgroup.com/primo-explore/search?tab=default_tab&amp;search_scope=EVERYTHING&amp;vid=01CRU&amp;lang=en_US&amp;offset=0&amp;query=any,contains,991004451379702656","Catalog Record")</f>
        <v/>
      </c>
      <c r="AT2659">
        <f>HYPERLINK("http://www.worldcat.org/oclc/3515538","WorldCat Record")</f>
        <v/>
      </c>
      <c r="AU2659" t="inlineStr">
        <is>
          <t>350054506:eng</t>
        </is>
      </c>
      <c r="AV2659" t="inlineStr">
        <is>
          <t>3515538</t>
        </is>
      </c>
      <c r="AW2659" t="inlineStr">
        <is>
          <t>991004451379702656</t>
        </is>
      </c>
      <c r="AX2659" t="inlineStr">
        <is>
          <t>991004451379702656</t>
        </is>
      </c>
      <c r="AY2659" t="inlineStr">
        <is>
          <t>2271983420002656</t>
        </is>
      </c>
      <c r="AZ2659" t="inlineStr">
        <is>
          <t>BOOK</t>
        </is>
      </c>
      <c r="BC2659" t="inlineStr">
        <is>
          <t>32285002027745</t>
        </is>
      </c>
      <c r="BD2659" t="inlineStr">
        <is>
          <t>893618683</t>
        </is>
      </c>
    </row>
    <row r="2660">
      <c r="A2660" t="inlineStr">
        <is>
          <t>No</t>
        </is>
      </c>
      <c r="B2660" t="inlineStr">
        <is>
          <t>DS917 .O4 1950</t>
        </is>
      </c>
      <c r="C2660" t="inlineStr">
        <is>
          <t>0                      DS 0917000O  4           1950</t>
        </is>
      </c>
      <c r="D2660" t="inlineStr">
        <is>
          <t>Why war came in Korea / Robert T. Oliver.</t>
        </is>
      </c>
      <c r="F2660" t="inlineStr">
        <is>
          <t>No</t>
        </is>
      </c>
      <c r="G2660" t="inlineStr">
        <is>
          <t>1</t>
        </is>
      </c>
      <c r="H2660" t="inlineStr">
        <is>
          <t>No</t>
        </is>
      </c>
      <c r="I2660" t="inlineStr">
        <is>
          <t>No</t>
        </is>
      </c>
      <c r="J2660" t="inlineStr">
        <is>
          <t>0</t>
        </is>
      </c>
      <c r="K2660" t="inlineStr">
        <is>
          <t>Oliver, Robert T. (Robert Tarbell), 1909-2000.</t>
        </is>
      </c>
      <c r="L2660" t="inlineStr">
        <is>
          <t>New York : Fordham University Press ; D.X. McMullen Co., Distributors, 1950.</t>
        </is>
      </c>
      <c r="M2660" t="inlineStr">
        <is>
          <t>1950</t>
        </is>
      </c>
      <c r="O2660" t="inlineStr">
        <is>
          <t>eng</t>
        </is>
      </c>
      <c r="P2660" t="inlineStr">
        <is>
          <t>nyu</t>
        </is>
      </c>
      <c r="R2660" t="inlineStr">
        <is>
          <t xml:space="preserve">DS </t>
        </is>
      </c>
      <c r="S2660" t="n">
        <v>6</v>
      </c>
      <c r="T2660" t="n">
        <v>6</v>
      </c>
      <c r="U2660" t="inlineStr">
        <is>
          <t>2001-01-10</t>
        </is>
      </c>
      <c r="V2660" t="inlineStr">
        <is>
          <t>2001-01-10</t>
        </is>
      </c>
      <c r="W2660" t="inlineStr">
        <is>
          <t>1991-03-06</t>
        </is>
      </c>
      <c r="X2660" t="inlineStr">
        <is>
          <t>1991-03-06</t>
        </is>
      </c>
      <c r="Y2660" t="n">
        <v>422</v>
      </c>
      <c r="Z2660" t="n">
        <v>392</v>
      </c>
      <c r="AA2660" t="n">
        <v>401</v>
      </c>
      <c r="AB2660" t="n">
        <v>5</v>
      </c>
      <c r="AC2660" t="n">
        <v>5</v>
      </c>
      <c r="AD2660" t="n">
        <v>24</v>
      </c>
      <c r="AE2660" t="n">
        <v>24</v>
      </c>
      <c r="AF2660" t="n">
        <v>9</v>
      </c>
      <c r="AG2660" t="n">
        <v>9</v>
      </c>
      <c r="AH2660" t="n">
        <v>2</v>
      </c>
      <c r="AI2660" t="n">
        <v>2</v>
      </c>
      <c r="AJ2660" t="n">
        <v>13</v>
      </c>
      <c r="AK2660" t="n">
        <v>13</v>
      </c>
      <c r="AL2660" t="n">
        <v>4</v>
      </c>
      <c r="AM2660" t="n">
        <v>4</v>
      </c>
      <c r="AN2660" t="n">
        <v>0</v>
      </c>
      <c r="AO2660" t="n">
        <v>0</v>
      </c>
      <c r="AP2660" t="inlineStr">
        <is>
          <t>Yes</t>
        </is>
      </c>
      <c r="AQ2660" t="inlineStr">
        <is>
          <t>No</t>
        </is>
      </c>
      <c r="AR2660">
        <f>HYPERLINK("http://catalog.hathitrust.org/Record/001606706","HathiTrust Record")</f>
        <v/>
      </c>
      <c r="AS2660">
        <f>HYPERLINK("https://creighton-primo.hosted.exlibrisgroup.com/primo-explore/search?tab=default_tab&amp;search_scope=EVERYTHING&amp;vid=01CRU&amp;lang=en_US&amp;offset=0&amp;query=any,contains,991002720849702656","Catalog Record")</f>
        <v/>
      </c>
      <c r="AT2660">
        <f>HYPERLINK("http://www.worldcat.org/oclc/412572","WorldCat Record")</f>
        <v/>
      </c>
      <c r="AU2660" t="inlineStr">
        <is>
          <t>1462798:eng</t>
        </is>
      </c>
      <c r="AV2660" t="inlineStr">
        <is>
          <t>412572</t>
        </is>
      </c>
      <c r="AW2660" t="inlineStr">
        <is>
          <t>991002720849702656</t>
        </is>
      </c>
      <c r="AX2660" t="inlineStr">
        <is>
          <t>991002720849702656</t>
        </is>
      </c>
      <c r="AY2660" t="inlineStr">
        <is>
          <t>2264536490002656</t>
        </is>
      </c>
      <c r="AZ2660" t="inlineStr">
        <is>
          <t>BOOK</t>
        </is>
      </c>
      <c r="BC2660" t="inlineStr">
        <is>
          <t>32285000299981</t>
        </is>
      </c>
      <c r="BD2660" t="inlineStr">
        <is>
          <t>893610201</t>
        </is>
      </c>
    </row>
    <row r="2661">
      <c r="A2661" t="inlineStr">
        <is>
          <t>No</t>
        </is>
      </c>
      <c r="B2661" t="inlineStr">
        <is>
          <t>DS917 .P313 1970</t>
        </is>
      </c>
      <c r="C2661" t="inlineStr">
        <is>
          <t>0                      DS 0917000P  313         1970</t>
        </is>
      </c>
      <c r="D2661" t="inlineStr">
        <is>
          <t>Our nation's path: ideology of social reconstruction, by Park Chung Hee.</t>
        </is>
      </c>
      <c r="F2661" t="inlineStr">
        <is>
          <t>No</t>
        </is>
      </c>
      <c r="G2661" t="inlineStr">
        <is>
          <t>1</t>
        </is>
      </c>
      <c r="H2661" t="inlineStr">
        <is>
          <t>No</t>
        </is>
      </c>
      <c r="I2661" t="inlineStr">
        <is>
          <t>No</t>
        </is>
      </c>
      <c r="J2661" t="inlineStr">
        <is>
          <t>0</t>
        </is>
      </c>
      <c r="K2661" t="inlineStr">
        <is>
          <t>Park, Chung Hee, 1917-1979.</t>
        </is>
      </c>
      <c r="L2661" t="inlineStr">
        <is>
          <t>Seoul, Hollym Corp. [1970]</t>
        </is>
      </c>
      <c r="M2661" t="inlineStr">
        <is>
          <t>1970</t>
        </is>
      </c>
      <c r="N2661" t="inlineStr">
        <is>
          <t>[2d ed.]</t>
        </is>
      </c>
      <c r="O2661" t="inlineStr">
        <is>
          <t>eng</t>
        </is>
      </c>
      <c r="P2661" t="inlineStr">
        <is>
          <t xml:space="preserve">ko </t>
        </is>
      </c>
      <c r="Q2661" t="inlineStr">
        <is>
          <t>A New horizon in Asia, 1</t>
        </is>
      </c>
      <c r="R2661" t="inlineStr">
        <is>
          <t xml:space="preserve">DS </t>
        </is>
      </c>
      <c r="S2661" t="n">
        <v>1</v>
      </c>
      <c r="T2661" t="n">
        <v>1</v>
      </c>
      <c r="U2661" t="inlineStr">
        <is>
          <t>2001-03-28</t>
        </is>
      </c>
      <c r="V2661" t="inlineStr">
        <is>
          <t>2001-03-28</t>
        </is>
      </c>
      <c r="W2661" t="inlineStr">
        <is>
          <t>1996-08-12</t>
        </is>
      </c>
      <c r="X2661" t="inlineStr">
        <is>
          <t>1996-08-12</t>
        </is>
      </c>
      <c r="Y2661" t="n">
        <v>251</v>
      </c>
      <c r="Z2661" t="n">
        <v>158</v>
      </c>
      <c r="AA2661" t="n">
        <v>161</v>
      </c>
      <c r="AB2661" t="n">
        <v>1</v>
      </c>
      <c r="AC2661" t="n">
        <v>1</v>
      </c>
      <c r="AD2661" t="n">
        <v>6</v>
      </c>
      <c r="AE2661" t="n">
        <v>7</v>
      </c>
      <c r="AF2661" t="n">
        <v>2</v>
      </c>
      <c r="AG2661" t="n">
        <v>2</v>
      </c>
      <c r="AH2661" t="n">
        <v>2</v>
      </c>
      <c r="AI2661" t="n">
        <v>3</v>
      </c>
      <c r="AJ2661" t="n">
        <v>4</v>
      </c>
      <c r="AK2661" t="n">
        <v>4</v>
      </c>
      <c r="AL2661" t="n">
        <v>0</v>
      </c>
      <c r="AM2661" t="n">
        <v>0</v>
      </c>
      <c r="AN2661" t="n">
        <v>0</v>
      </c>
      <c r="AO2661" t="n">
        <v>0</v>
      </c>
      <c r="AP2661" t="inlineStr">
        <is>
          <t>No</t>
        </is>
      </c>
      <c r="AQ2661" t="inlineStr">
        <is>
          <t>Yes</t>
        </is>
      </c>
      <c r="AR2661">
        <f>HYPERLINK("http://catalog.hathitrust.org/Record/001605025","HathiTrust Record")</f>
        <v/>
      </c>
      <c r="AS2661">
        <f>HYPERLINK("https://creighton-primo.hosted.exlibrisgroup.com/primo-explore/search?tab=default_tab&amp;search_scope=EVERYTHING&amp;vid=01CRU&amp;lang=en_US&amp;offset=0&amp;query=any,contains,991003540889702656","Catalog Record")</f>
        <v/>
      </c>
      <c r="AT2661">
        <f>HYPERLINK("http://www.worldcat.org/oclc/1105075","WorldCat Record")</f>
        <v/>
      </c>
      <c r="AU2661" t="inlineStr">
        <is>
          <t>1901178:eng</t>
        </is>
      </c>
      <c r="AV2661" t="inlineStr">
        <is>
          <t>1105075</t>
        </is>
      </c>
      <c r="AW2661" t="inlineStr">
        <is>
          <t>991003540889702656</t>
        </is>
      </c>
      <c r="AX2661" t="inlineStr">
        <is>
          <t>991003540889702656</t>
        </is>
      </c>
      <c r="AY2661" t="inlineStr">
        <is>
          <t>2258994720002656</t>
        </is>
      </c>
      <c r="AZ2661" t="inlineStr">
        <is>
          <t>BOOK</t>
        </is>
      </c>
      <c r="BC2661" t="inlineStr">
        <is>
          <t>32285002274305</t>
        </is>
      </c>
      <c r="BD2661" t="inlineStr">
        <is>
          <t>893422678</t>
        </is>
      </c>
    </row>
    <row r="2662">
      <c r="A2662" t="inlineStr">
        <is>
          <t>No</t>
        </is>
      </c>
      <c r="B2662" t="inlineStr">
        <is>
          <t>DS917 .P74 2004</t>
        </is>
      </c>
      <c r="C2662" t="inlineStr">
        <is>
          <t>0                      DS 0917000P  74          2004</t>
        </is>
      </c>
      <c r="D2662" t="inlineStr">
        <is>
          <t>A hard journey to justice : first term report by the Presidential Truth Commission on Suspicious Deaths of the Republic of Korea.</t>
        </is>
      </c>
      <c r="F2662" t="inlineStr">
        <is>
          <t>No</t>
        </is>
      </c>
      <c r="G2662" t="inlineStr">
        <is>
          <t>1</t>
        </is>
      </c>
      <c r="H2662" t="inlineStr">
        <is>
          <t>No</t>
        </is>
      </c>
      <c r="I2662" t="inlineStr">
        <is>
          <t>No</t>
        </is>
      </c>
      <c r="J2662" t="inlineStr">
        <is>
          <t>0</t>
        </is>
      </c>
      <c r="K2662" t="inlineStr">
        <is>
          <t>Taetʻongnyŏng Sosok Ŭimunsa Chinsang Kyumyŏng Wiwŏnhoe (Korea)</t>
        </is>
      </c>
      <c r="L2662" t="inlineStr">
        <is>
          <t>Seoul, South Korea : Samin Books, 2004.</t>
        </is>
      </c>
      <c r="M2662" t="inlineStr">
        <is>
          <t>2004</t>
        </is>
      </c>
      <c r="O2662" t="inlineStr">
        <is>
          <t>eng</t>
        </is>
      </c>
      <c r="P2662" t="inlineStr">
        <is>
          <t xml:space="preserve">ko </t>
        </is>
      </c>
      <c r="R2662" t="inlineStr">
        <is>
          <t xml:space="preserve">DS </t>
        </is>
      </c>
      <c r="S2662" t="n">
        <v>1</v>
      </c>
      <c r="T2662" t="n">
        <v>1</v>
      </c>
      <c r="U2662" t="inlineStr">
        <is>
          <t>2004-07-20</t>
        </is>
      </c>
      <c r="V2662" t="inlineStr">
        <is>
          <t>2004-07-20</t>
        </is>
      </c>
      <c r="W2662" t="inlineStr">
        <is>
          <t>2004-07-20</t>
        </is>
      </c>
      <c r="X2662" t="inlineStr">
        <is>
          <t>2004-07-20</t>
        </is>
      </c>
      <c r="Y2662" t="n">
        <v>331</v>
      </c>
      <c r="Z2662" t="n">
        <v>287</v>
      </c>
      <c r="AA2662" t="n">
        <v>288</v>
      </c>
      <c r="AB2662" t="n">
        <v>3</v>
      </c>
      <c r="AC2662" t="n">
        <v>3</v>
      </c>
      <c r="AD2662" t="n">
        <v>16</v>
      </c>
      <c r="AE2662" t="n">
        <v>16</v>
      </c>
      <c r="AF2662" t="n">
        <v>5</v>
      </c>
      <c r="AG2662" t="n">
        <v>5</v>
      </c>
      <c r="AH2662" t="n">
        <v>5</v>
      </c>
      <c r="AI2662" t="n">
        <v>5</v>
      </c>
      <c r="AJ2662" t="n">
        <v>8</v>
      </c>
      <c r="AK2662" t="n">
        <v>8</v>
      </c>
      <c r="AL2662" t="n">
        <v>2</v>
      </c>
      <c r="AM2662" t="n">
        <v>2</v>
      </c>
      <c r="AN2662" t="n">
        <v>0</v>
      </c>
      <c r="AO2662" t="n">
        <v>0</v>
      </c>
      <c r="AP2662" t="inlineStr">
        <is>
          <t>No</t>
        </is>
      </c>
      <c r="AQ2662" t="inlineStr">
        <is>
          <t>Yes</t>
        </is>
      </c>
      <c r="AR2662">
        <f>HYPERLINK("http://catalog.hathitrust.org/Record/007256620","HathiTrust Record")</f>
        <v/>
      </c>
      <c r="AS2662">
        <f>HYPERLINK("https://creighton-primo.hosted.exlibrisgroup.com/primo-explore/search?tab=default_tab&amp;search_scope=EVERYTHING&amp;vid=01CRU&amp;lang=en_US&amp;offset=0&amp;query=any,contains,991004321779702656","Catalog Record")</f>
        <v/>
      </c>
      <c r="AT2662">
        <f>HYPERLINK("http://www.worldcat.org/oclc/55945625","WorldCat Record")</f>
        <v/>
      </c>
      <c r="AU2662" t="inlineStr">
        <is>
          <t>16515202:eng</t>
        </is>
      </c>
      <c r="AV2662" t="inlineStr">
        <is>
          <t>55945625</t>
        </is>
      </c>
      <c r="AW2662" t="inlineStr">
        <is>
          <t>991004321779702656</t>
        </is>
      </c>
      <c r="AX2662" t="inlineStr">
        <is>
          <t>991004321779702656</t>
        </is>
      </c>
      <c r="AY2662" t="inlineStr">
        <is>
          <t>2262816640002656</t>
        </is>
      </c>
      <c r="AZ2662" t="inlineStr">
        <is>
          <t>BOOK</t>
        </is>
      </c>
      <c r="BC2662" t="inlineStr">
        <is>
          <t>32285004923347</t>
        </is>
      </c>
      <c r="BD2662" t="inlineStr">
        <is>
          <t>893599697</t>
        </is>
      </c>
    </row>
    <row r="2663">
      <c r="A2663" t="inlineStr">
        <is>
          <t>No</t>
        </is>
      </c>
      <c r="B2663" t="inlineStr">
        <is>
          <t>DS917 .T86</t>
        </is>
      </c>
      <c r="C2663" t="inlineStr">
        <is>
          <t>0                      DS 0917000T  86</t>
        </is>
      </c>
      <c r="D2663" t="inlineStr">
        <is>
          <t>The Two Koreas in East Asian affairs / edited by William J. Barnds.</t>
        </is>
      </c>
      <c r="F2663" t="inlineStr">
        <is>
          <t>No</t>
        </is>
      </c>
      <c r="G2663" t="inlineStr">
        <is>
          <t>1</t>
        </is>
      </c>
      <c r="H2663" t="inlineStr">
        <is>
          <t>No</t>
        </is>
      </c>
      <c r="I2663" t="inlineStr">
        <is>
          <t>No</t>
        </is>
      </c>
      <c r="J2663" t="inlineStr">
        <is>
          <t>0</t>
        </is>
      </c>
      <c r="L2663" t="inlineStr">
        <is>
          <t>New York : New York University Press, 1976.</t>
        </is>
      </c>
      <c r="M2663" t="inlineStr">
        <is>
          <t>1976</t>
        </is>
      </c>
      <c r="O2663" t="inlineStr">
        <is>
          <t>eng</t>
        </is>
      </c>
      <c r="P2663" t="inlineStr">
        <is>
          <t>nyu</t>
        </is>
      </c>
      <c r="R2663" t="inlineStr">
        <is>
          <t xml:space="preserve">DS </t>
        </is>
      </c>
      <c r="S2663" t="n">
        <v>2</v>
      </c>
      <c r="T2663" t="n">
        <v>2</v>
      </c>
      <c r="U2663" t="inlineStr">
        <is>
          <t>1999-03-10</t>
        </is>
      </c>
      <c r="V2663" t="inlineStr">
        <is>
          <t>1999-03-10</t>
        </is>
      </c>
      <c r="W2663" t="inlineStr">
        <is>
          <t>1997-03-18</t>
        </is>
      </c>
      <c r="X2663" t="inlineStr">
        <is>
          <t>1997-03-18</t>
        </is>
      </c>
      <c r="Y2663" t="n">
        <v>490</v>
      </c>
      <c r="Z2663" t="n">
        <v>389</v>
      </c>
      <c r="AA2663" t="n">
        <v>408</v>
      </c>
      <c r="AB2663" t="n">
        <v>3</v>
      </c>
      <c r="AC2663" t="n">
        <v>3</v>
      </c>
      <c r="AD2663" t="n">
        <v>16</v>
      </c>
      <c r="AE2663" t="n">
        <v>20</v>
      </c>
      <c r="AF2663" t="n">
        <v>4</v>
      </c>
      <c r="AG2663" t="n">
        <v>4</v>
      </c>
      <c r="AH2663" t="n">
        <v>4</v>
      </c>
      <c r="AI2663" t="n">
        <v>4</v>
      </c>
      <c r="AJ2663" t="n">
        <v>11</v>
      </c>
      <c r="AK2663" t="n">
        <v>11</v>
      </c>
      <c r="AL2663" t="n">
        <v>2</v>
      </c>
      <c r="AM2663" t="n">
        <v>2</v>
      </c>
      <c r="AN2663" t="n">
        <v>0</v>
      </c>
      <c r="AO2663" t="n">
        <v>4</v>
      </c>
      <c r="AP2663" t="inlineStr">
        <is>
          <t>No</t>
        </is>
      </c>
      <c r="AQ2663" t="inlineStr">
        <is>
          <t>No</t>
        </is>
      </c>
      <c r="AS2663">
        <f>HYPERLINK("https://creighton-primo.hosted.exlibrisgroup.com/primo-explore/search?tab=default_tab&amp;search_scope=EVERYTHING&amp;vid=01CRU&amp;lang=en_US&amp;offset=0&amp;query=any,contains,991003980979702656","Catalog Record")</f>
        <v/>
      </c>
      <c r="AT2663">
        <f>HYPERLINK("http://www.worldcat.org/oclc/2020057","WorldCat Record")</f>
        <v/>
      </c>
      <c r="AU2663" t="inlineStr">
        <is>
          <t>54097747:eng</t>
        </is>
      </c>
      <c r="AV2663" t="inlineStr">
        <is>
          <t>2020057</t>
        </is>
      </c>
      <c r="AW2663" t="inlineStr">
        <is>
          <t>991003980979702656</t>
        </is>
      </c>
      <c r="AX2663" t="inlineStr">
        <is>
          <t>991003980979702656</t>
        </is>
      </c>
      <c r="AY2663" t="inlineStr">
        <is>
          <t>2271690390002656</t>
        </is>
      </c>
      <c r="AZ2663" t="inlineStr">
        <is>
          <t>BOOK</t>
        </is>
      </c>
      <c r="BB2663" t="inlineStr">
        <is>
          <t>9780814709887</t>
        </is>
      </c>
      <c r="BC2663" t="inlineStr">
        <is>
          <t>32285002451127</t>
        </is>
      </c>
      <c r="BD2663" t="inlineStr">
        <is>
          <t>893722195</t>
        </is>
      </c>
    </row>
    <row r="2664">
      <c r="A2664" t="inlineStr">
        <is>
          <t>No</t>
        </is>
      </c>
      <c r="B2664" t="inlineStr">
        <is>
          <t>DS917 .U54 1969</t>
        </is>
      </c>
      <c r="C2664" t="inlineStr">
        <is>
          <t>0                      DS 0917000U  54          1969</t>
        </is>
      </c>
      <c r="D2664" t="inlineStr">
        <is>
          <t>Korea, 1945 to 1948; a report on political developments and economic resources with selected documents.</t>
        </is>
      </c>
      <c r="F2664" t="inlineStr">
        <is>
          <t>No</t>
        </is>
      </c>
      <c r="G2664" t="inlineStr">
        <is>
          <t>1</t>
        </is>
      </c>
      <c r="H2664" t="inlineStr">
        <is>
          <t>No</t>
        </is>
      </c>
      <c r="I2664" t="inlineStr">
        <is>
          <t>No</t>
        </is>
      </c>
      <c r="J2664" t="inlineStr">
        <is>
          <t>0</t>
        </is>
      </c>
      <c r="K2664" t="inlineStr">
        <is>
          <t>United States. Department of State. Office of Public Affairs.</t>
        </is>
      </c>
      <c r="L2664" t="inlineStr">
        <is>
          <t>New York, Greenwood Press [1969]</t>
        </is>
      </c>
      <c r="M2664" t="inlineStr">
        <is>
          <t>1969</t>
        </is>
      </c>
      <c r="O2664" t="inlineStr">
        <is>
          <t>eng</t>
        </is>
      </c>
      <c r="P2664" t="inlineStr">
        <is>
          <t>nyu</t>
        </is>
      </c>
      <c r="R2664" t="inlineStr">
        <is>
          <t xml:space="preserve">DS </t>
        </is>
      </c>
      <c r="S2664" t="n">
        <v>2</v>
      </c>
      <c r="T2664" t="n">
        <v>2</v>
      </c>
      <c r="U2664" t="inlineStr">
        <is>
          <t>1999-03-10</t>
        </is>
      </c>
      <c r="V2664" t="inlineStr">
        <is>
          <t>1999-03-10</t>
        </is>
      </c>
      <c r="W2664" t="inlineStr">
        <is>
          <t>1997-03-18</t>
        </is>
      </c>
      <c r="X2664" t="inlineStr">
        <is>
          <t>1997-03-18</t>
        </is>
      </c>
      <c r="Y2664" t="n">
        <v>208</v>
      </c>
      <c r="Z2664" t="n">
        <v>181</v>
      </c>
      <c r="AA2664" t="n">
        <v>182</v>
      </c>
      <c r="AB2664" t="n">
        <v>4</v>
      </c>
      <c r="AC2664" t="n">
        <v>4</v>
      </c>
      <c r="AD2664" t="n">
        <v>10</v>
      </c>
      <c r="AE2664" t="n">
        <v>10</v>
      </c>
      <c r="AF2664" t="n">
        <v>1</v>
      </c>
      <c r="AG2664" t="n">
        <v>1</v>
      </c>
      <c r="AH2664" t="n">
        <v>2</v>
      </c>
      <c r="AI2664" t="n">
        <v>2</v>
      </c>
      <c r="AJ2664" t="n">
        <v>5</v>
      </c>
      <c r="AK2664" t="n">
        <v>5</v>
      </c>
      <c r="AL2664" t="n">
        <v>3</v>
      </c>
      <c r="AM2664" t="n">
        <v>3</v>
      </c>
      <c r="AN2664" t="n">
        <v>0</v>
      </c>
      <c r="AO2664" t="n">
        <v>0</v>
      </c>
      <c r="AP2664" t="inlineStr">
        <is>
          <t>No</t>
        </is>
      </c>
      <c r="AQ2664" t="inlineStr">
        <is>
          <t>Yes</t>
        </is>
      </c>
      <c r="AR2664">
        <f>HYPERLINK("http://catalog.hathitrust.org/Record/006253183","HathiTrust Record")</f>
        <v/>
      </c>
      <c r="AS2664">
        <f>HYPERLINK("https://creighton-primo.hosted.exlibrisgroup.com/primo-explore/search?tab=default_tab&amp;search_scope=EVERYTHING&amp;vid=01CRU&amp;lang=en_US&amp;offset=0&amp;query=any,contains,991000041539702656","Catalog Record")</f>
        <v/>
      </c>
      <c r="AT2664">
        <f>HYPERLINK("http://www.worldcat.org/oclc/21845","WorldCat Record")</f>
        <v/>
      </c>
      <c r="AU2664" t="inlineStr">
        <is>
          <t>8907729467:eng</t>
        </is>
      </c>
      <c r="AV2664" t="inlineStr">
        <is>
          <t>21845</t>
        </is>
      </c>
      <c r="AW2664" t="inlineStr">
        <is>
          <t>991000041539702656</t>
        </is>
      </c>
      <c r="AX2664" t="inlineStr">
        <is>
          <t>991000041539702656</t>
        </is>
      </c>
      <c r="AY2664" t="inlineStr">
        <is>
          <t>2261435530002656</t>
        </is>
      </c>
      <c r="AZ2664" t="inlineStr">
        <is>
          <t>BOOK</t>
        </is>
      </c>
      <c r="BB2664" t="inlineStr">
        <is>
          <t>9780837117317</t>
        </is>
      </c>
      <c r="BC2664" t="inlineStr">
        <is>
          <t>32285002451135</t>
        </is>
      </c>
      <c r="BD2664" t="inlineStr">
        <is>
          <t>893601404</t>
        </is>
      </c>
    </row>
    <row r="2665">
      <c r="A2665" t="inlineStr">
        <is>
          <t>No</t>
        </is>
      </c>
      <c r="B2665" t="inlineStr">
        <is>
          <t>DS917.444 .O54 1994</t>
        </is>
      </c>
      <c r="C2665" t="inlineStr">
        <is>
          <t>0                      DS 0917444O  54          1994</t>
        </is>
      </c>
      <c r="D2665" t="inlineStr">
        <is>
          <t>One Korea? : challenges and prospects for reunification / edited by Thomas H. Henriksen and Kyongsoo Lho.</t>
        </is>
      </c>
      <c r="F2665" t="inlineStr">
        <is>
          <t>No</t>
        </is>
      </c>
      <c r="G2665" t="inlineStr">
        <is>
          <t>1</t>
        </is>
      </c>
      <c r="H2665" t="inlineStr">
        <is>
          <t>No</t>
        </is>
      </c>
      <c r="I2665" t="inlineStr">
        <is>
          <t>No</t>
        </is>
      </c>
      <c r="J2665" t="inlineStr">
        <is>
          <t>0</t>
        </is>
      </c>
      <c r="L2665" t="inlineStr">
        <is>
          <t>Stanford, Calif. : Hoover Institution Press, c1994.</t>
        </is>
      </c>
      <c r="M2665" t="inlineStr">
        <is>
          <t>1994</t>
        </is>
      </c>
      <c r="O2665" t="inlineStr">
        <is>
          <t>eng</t>
        </is>
      </c>
      <c r="P2665" t="inlineStr">
        <is>
          <t>cau</t>
        </is>
      </c>
      <c r="Q2665" t="inlineStr">
        <is>
          <t>Hoover Institution Press publication ; no. 421a</t>
        </is>
      </c>
      <c r="R2665" t="inlineStr">
        <is>
          <t xml:space="preserve">DS </t>
        </is>
      </c>
      <c r="S2665" t="n">
        <v>10</v>
      </c>
      <c r="T2665" t="n">
        <v>10</v>
      </c>
      <c r="U2665" t="inlineStr">
        <is>
          <t>2008-04-11</t>
        </is>
      </c>
      <c r="V2665" t="inlineStr">
        <is>
          <t>2008-04-11</t>
        </is>
      </c>
      <c r="W2665" t="inlineStr">
        <is>
          <t>1995-11-02</t>
        </is>
      </c>
      <c r="X2665" t="inlineStr">
        <is>
          <t>1995-11-02</t>
        </is>
      </c>
      <c r="Y2665" t="n">
        <v>388</v>
      </c>
      <c r="Z2665" t="n">
        <v>331</v>
      </c>
      <c r="AA2665" t="n">
        <v>337</v>
      </c>
      <c r="AB2665" t="n">
        <v>3</v>
      </c>
      <c r="AC2665" t="n">
        <v>3</v>
      </c>
      <c r="AD2665" t="n">
        <v>19</v>
      </c>
      <c r="AE2665" t="n">
        <v>19</v>
      </c>
      <c r="AF2665" t="n">
        <v>8</v>
      </c>
      <c r="AG2665" t="n">
        <v>8</v>
      </c>
      <c r="AH2665" t="n">
        <v>5</v>
      </c>
      <c r="AI2665" t="n">
        <v>5</v>
      </c>
      <c r="AJ2665" t="n">
        <v>9</v>
      </c>
      <c r="AK2665" t="n">
        <v>9</v>
      </c>
      <c r="AL2665" t="n">
        <v>2</v>
      </c>
      <c r="AM2665" t="n">
        <v>2</v>
      </c>
      <c r="AN2665" t="n">
        <v>0</v>
      </c>
      <c r="AO2665" t="n">
        <v>0</v>
      </c>
      <c r="AP2665" t="inlineStr">
        <is>
          <t>No</t>
        </is>
      </c>
      <c r="AQ2665" t="inlineStr">
        <is>
          <t>Yes</t>
        </is>
      </c>
      <c r="AR2665">
        <f>HYPERLINK("http://catalog.hathitrust.org/Record/002902312","HathiTrust Record")</f>
        <v/>
      </c>
      <c r="AS2665">
        <f>HYPERLINK("https://creighton-primo.hosted.exlibrisgroup.com/primo-explore/search?tab=default_tab&amp;search_scope=EVERYTHING&amp;vid=01CRU&amp;lang=en_US&amp;offset=0&amp;query=any,contains,991002353789702656","Catalog Record")</f>
        <v/>
      </c>
      <c r="AT2665">
        <f>HYPERLINK("http://www.worldcat.org/oclc/30625391","WorldCat Record")</f>
        <v/>
      </c>
      <c r="AU2665" t="inlineStr">
        <is>
          <t>366521841:eng</t>
        </is>
      </c>
      <c r="AV2665" t="inlineStr">
        <is>
          <t>30625391</t>
        </is>
      </c>
      <c r="AW2665" t="inlineStr">
        <is>
          <t>991002353789702656</t>
        </is>
      </c>
      <c r="AX2665" t="inlineStr">
        <is>
          <t>991002353789702656</t>
        </is>
      </c>
      <c r="AY2665" t="inlineStr">
        <is>
          <t>2260665870002656</t>
        </is>
      </c>
      <c r="AZ2665" t="inlineStr">
        <is>
          <t>BOOK</t>
        </is>
      </c>
      <c r="BB2665" t="inlineStr">
        <is>
          <t>9780817992910</t>
        </is>
      </c>
      <c r="BC2665" t="inlineStr">
        <is>
          <t>32285002100450</t>
        </is>
      </c>
      <c r="BD2665" t="inlineStr">
        <is>
          <t>893427504</t>
        </is>
      </c>
    </row>
    <row r="2666">
      <c r="A2666" t="inlineStr">
        <is>
          <t>No</t>
        </is>
      </c>
      <c r="B2666" t="inlineStr">
        <is>
          <t>DS918 .A555 2002</t>
        </is>
      </c>
      <c r="C2666" t="inlineStr">
        <is>
          <t>0                      DS 0918000A  555         2002</t>
        </is>
      </c>
      <c r="D2666" t="inlineStr">
        <is>
          <t>Rethinking the Korean war : a new diplomatic and strategic history / William Stueck.</t>
        </is>
      </c>
      <c r="F2666" t="inlineStr">
        <is>
          <t>No</t>
        </is>
      </c>
      <c r="G2666" t="inlineStr">
        <is>
          <t>1</t>
        </is>
      </c>
      <c r="H2666" t="inlineStr">
        <is>
          <t>No</t>
        </is>
      </c>
      <c r="I2666" t="inlineStr">
        <is>
          <t>No</t>
        </is>
      </c>
      <c r="J2666" t="inlineStr">
        <is>
          <t>0</t>
        </is>
      </c>
      <c r="K2666" t="inlineStr">
        <is>
          <t>Stueck, William Whitney, 1945-</t>
        </is>
      </c>
      <c r="L2666" t="inlineStr">
        <is>
          <t>Princeton, NJ : Princeton University Press, 2002.</t>
        </is>
      </c>
      <c r="M2666" t="inlineStr">
        <is>
          <t>2002</t>
        </is>
      </c>
      <c r="O2666" t="inlineStr">
        <is>
          <t>eng</t>
        </is>
      </c>
      <c r="P2666" t="inlineStr">
        <is>
          <t>nju</t>
        </is>
      </c>
      <c r="R2666" t="inlineStr">
        <is>
          <t xml:space="preserve">DS </t>
        </is>
      </c>
      <c r="S2666" t="n">
        <v>8</v>
      </c>
      <c r="T2666" t="n">
        <v>8</v>
      </c>
      <c r="U2666" t="inlineStr">
        <is>
          <t>2010-08-26</t>
        </is>
      </c>
      <c r="V2666" t="inlineStr">
        <is>
          <t>2010-08-26</t>
        </is>
      </c>
      <c r="W2666" t="inlineStr">
        <is>
          <t>2005-04-11</t>
        </is>
      </c>
      <c r="X2666" t="inlineStr">
        <is>
          <t>2005-04-11</t>
        </is>
      </c>
      <c r="Y2666" t="n">
        <v>641</v>
      </c>
      <c r="Z2666" t="n">
        <v>504</v>
      </c>
      <c r="AA2666" t="n">
        <v>758</v>
      </c>
      <c r="AB2666" t="n">
        <v>3</v>
      </c>
      <c r="AC2666" t="n">
        <v>3</v>
      </c>
      <c r="AD2666" t="n">
        <v>25</v>
      </c>
      <c r="AE2666" t="n">
        <v>37</v>
      </c>
      <c r="AF2666" t="n">
        <v>13</v>
      </c>
      <c r="AG2666" t="n">
        <v>19</v>
      </c>
      <c r="AH2666" t="n">
        <v>6</v>
      </c>
      <c r="AI2666" t="n">
        <v>9</v>
      </c>
      <c r="AJ2666" t="n">
        <v>12</v>
      </c>
      <c r="AK2666" t="n">
        <v>16</v>
      </c>
      <c r="AL2666" t="n">
        <v>2</v>
      </c>
      <c r="AM2666" t="n">
        <v>2</v>
      </c>
      <c r="AN2666" t="n">
        <v>0</v>
      </c>
      <c r="AO2666" t="n">
        <v>1</v>
      </c>
      <c r="AP2666" t="inlineStr">
        <is>
          <t>No</t>
        </is>
      </c>
      <c r="AQ2666" t="inlineStr">
        <is>
          <t>No</t>
        </is>
      </c>
      <c r="AS2666">
        <f>HYPERLINK("https://creighton-primo.hosted.exlibrisgroup.com/primo-explore/search?tab=default_tab&amp;search_scope=EVERYTHING&amp;vid=01CRU&amp;lang=en_US&amp;offset=0&amp;query=any,contains,991004499519702656","Catalog Record")</f>
        <v/>
      </c>
      <c r="AT2666">
        <f>HYPERLINK("http://www.worldcat.org/oclc/48613450","WorldCat Record")</f>
        <v/>
      </c>
      <c r="AU2666" t="inlineStr">
        <is>
          <t>50464374:eng</t>
        </is>
      </c>
      <c r="AV2666" t="inlineStr">
        <is>
          <t>48613450</t>
        </is>
      </c>
      <c r="AW2666" t="inlineStr">
        <is>
          <t>991004499519702656</t>
        </is>
      </c>
      <c r="AX2666" t="inlineStr">
        <is>
          <t>991004499519702656</t>
        </is>
      </c>
      <c r="AY2666" t="inlineStr">
        <is>
          <t>2257091990002656</t>
        </is>
      </c>
      <c r="AZ2666" t="inlineStr">
        <is>
          <t>BOOK</t>
        </is>
      </c>
      <c r="BB2666" t="inlineStr">
        <is>
          <t>9780691088532</t>
        </is>
      </c>
      <c r="BC2666" t="inlineStr">
        <is>
          <t>32285005049282</t>
        </is>
      </c>
      <c r="BD2666" t="inlineStr">
        <is>
          <t>893319312</t>
        </is>
      </c>
    </row>
    <row r="2667">
      <c r="A2667" t="inlineStr">
        <is>
          <t>No</t>
        </is>
      </c>
      <c r="B2667" t="inlineStr">
        <is>
          <t>DS918 .A64 1986</t>
        </is>
      </c>
      <c r="C2667" t="inlineStr">
        <is>
          <t>0                      DS 0918000A  64          1986</t>
        </is>
      </c>
      <c r="D2667" t="inlineStr">
        <is>
          <t>Korea, the first war we lost / Bevin Alexander.</t>
        </is>
      </c>
      <c r="F2667" t="inlineStr">
        <is>
          <t>No</t>
        </is>
      </c>
      <c r="G2667" t="inlineStr">
        <is>
          <t>1</t>
        </is>
      </c>
      <c r="H2667" t="inlineStr">
        <is>
          <t>No</t>
        </is>
      </c>
      <c r="I2667" t="inlineStr">
        <is>
          <t>No</t>
        </is>
      </c>
      <c r="J2667" t="inlineStr">
        <is>
          <t>0</t>
        </is>
      </c>
      <c r="K2667" t="inlineStr">
        <is>
          <t>Alexander, Bevin.</t>
        </is>
      </c>
      <c r="L2667" t="inlineStr">
        <is>
          <t>New York (171 Madison Ave., New York, N.Y. 10016) : Hippocrene, c1986.</t>
        </is>
      </c>
      <c r="M2667" t="inlineStr">
        <is>
          <t>1986</t>
        </is>
      </c>
      <c r="O2667" t="inlineStr">
        <is>
          <t>eng</t>
        </is>
      </c>
      <c r="P2667" t="inlineStr">
        <is>
          <t>nyu</t>
        </is>
      </c>
      <c r="R2667" t="inlineStr">
        <is>
          <t xml:space="preserve">DS </t>
        </is>
      </c>
      <c r="S2667" t="n">
        <v>9</v>
      </c>
      <c r="T2667" t="n">
        <v>9</v>
      </c>
      <c r="U2667" t="inlineStr">
        <is>
          <t>2009-05-06</t>
        </is>
      </c>
      <c r="V2667" t="inlineStr">
        <is>
          <t>2009-05-06</t>
        </is>
      </c>
      <c r="W2667" t="inlineStr">
        <is>
          <t>1990-06-05</t>
        </is>
      </c>
      <c r="X2667" t="inlineStr">
        <is>
          <t>1990-06-05</t>
        </is>
      </c>
      <c r="Y2667" t="n">
        <v>1003</v>
      </c>
      <c r="Z2667" t="n">
        <v>959</v>
      </c>
      <c r="AA2667" t="n">
        <v>1109</v>
      </c>
      <c r="AB2667" t="n">
        <v>8</v>
      </c>
      <c r="AC2667" t="n">
        <v>9</v>
      </c>
      <c r="AD2667" t="n">
        <v>19</v>
      </c>
      <c r="AE2667" t="n">
        <v>22</v>
      </c>
      <c r="AF2667" t="n">
        <v>8</v>
      </c>
      <c r="AG2667" t="n">
        <v>8</v>
      </c>
      <c r="AH2667" t="n">
        <v>3</v>
      </c>
      <c r="AI2667" t="n">
        <v>4</v>
      </c>
      <c r="AJ2667" t="n">
        <v>11</v>
      </c>
      <c r="AK2667" t="n">
        <v>14</v>
      </c>
      <c r="AL2667" t="n">
        <v>2</v>
      </c>
      <c r="AM2667" t="n">
        <v>2</v>
      </c>
      <c r="AN2667" t="n">
        <v>0</v>
      </c>
      <c r="AO2667" t="n">
        <v>0</v>
      </c>
      <c r="AP2667" t="inlineStr">
        <is>
          <t>No</t>
        </is>
      </c>
      <c r="AQ2667" t="inlineStr">
        <is>
          <t>Yes</t>
        </is>
      </c>
      <c r="AR2667">
        <f>HYPERLINK("http://catalog.hathitrust.org/Record/000446349","HathiTrust Record")</f>
        <v/>
      </c>
      <c r="AS2667">
        <f>HYPERLINK("https://creighton-primo.hosted.exlibrisgroup.com/primo-explore/search?tab=default_tab&amp;search_scope=EVERYTHING&amp;vid=01CRU&amp;lang=en_US&amp;offset=0&amp;query=any,contains,991000876349702656","Catalog Record")</f>
        <v/>
      </c>
      <c r="AT2667">
        <f>HYPERLINK("http://www.worldcat.org/oclc/20994629","WorldCat Record")</f>
        <v/>
      </c>
      <c r="AU2667" t="inlineStr">
        <is>
          <t>3901210125:eng</t>
        </is>
      </c>
      <c r="AV2667" t="inlineStr">
        <is>
          <t>20994629</t>
        </is>
      </c>
      <c r="AW2667" t="inlineStr">
        <is>
          <t>991000876349702656</t>
        </is>
      </c>
      <c r="AX2667" t="inlineStr">
        <is>
          <t>991000876349702656</t>
        </is>
      </c>
      <c r="AY2667" t="inlineStr">
        <is>
          <t>2271917860002656</t>
        </is>
      </c>
      <c r="AZ2667" t="inlineStr">
        <is>
          <t>BOOK</t>
        </is>
      </c>
      <c r="BB2667" t="inlineStr">
        <is>
          <t>9780870521355</t>
        </is>
      </c>
      <c r="BC2667" t="inlineStr">
        <is>
          <t>32285000181718</t>
        </is>
      </c>
      <c r="BD2667" t="inlineStr">
        <is>
          <t>893608354</t>
        </is>
      </c>
    </row>
    <row r="2668">
      <c r="A2668" t="inlineStr">
        <is>
          <t>No</t>
        </is>
      </c>
      <c r="B2668" t="inlineStr">
        <is>
          <t>DS918 .B4 1964</t>
        </is>
      </c>
      <c r="C2668" t="inlineStr">
        <is>
          <t>0                      DS 0918000B  4           1964</t>
        </is>
      </c>
      <c r="D2668" t="inlineStr">
        <is>
          <t>The Korea knot : a military-political history.</t>
        </is>
      </c>
      <c r="F2668" t="inlineStr">
        <is>
          <t>No</t>
        </is>
      </c>
      <c r="G2668" t="inlineStr">
        <is>
          <t>1</t>
        </is>
      </c>
      <c r="H2668" t="inlineStr">
        <is>
          <t>No</t>
        </is>
      </c>
      <c r="I2668" t="inlineStr">
        <is>
          <t>No</t>
        </is>
      </c>
      <c r="J2668" t="inlineStr">
        <is>
          <t>0</t>
        </is>
      </c>
      <c r="K2668" t="inlineStr">
        <is>
          <t>Berger, Carl, 1925 January 28-</t>
        </is>
      </c>
      <c r="L2668" t="inlineStr">
        <is>
          <t>Philadelphia, Pa. : University of Pennsylvania Press, 1964, c1957.</t>
        </is>
      </c>
      <c r="M2668" t="inlineStr">
        <is>
          <t>1964</t>
        </is>
      </c>
      <c r="N2668" t="inlineStr">
        <is>
          <t>Rev. ed.</t>
        </is>
      </c>
      <c r="O2668" t="inlineStr">
        <is>
          <t>eng</t>
        </is>
      </c>
      <c r="P2668" t="inlineStr">
        <is>
          <t>pau</t>
        </is>
      </c>
      <c r="R2668" t="inlineStr">
        <is>
          <t xml:space="preserve">DS </t>
        </is>
      </c>
      <c r="S2668" t="n">
        <v>2</v>
      </c>
      <c r="T2668" t="n">
        <v>2</v>
      </c>
      <c r="U2668" t="inlineStr">
        <is>
          <t>1999-03-10</t>
        </is>
      </c>
      <c r="V2668" t="inlineStr">
        <is>
          <t>1999-03-10</t>
        </is>
      </c>
      <c r="W2668" t="inlineStr">
        <is>
          <t>1997-03-18</t>
        </is>
      </c>
      <c r="X2668" t="inlineStr">
        <is>
          <t>1997-03-18</t>
        </is>
      </c>
      <c r="Y2668" t="n">
        <v>118</v>
      </c>
      <c r="Z2668" t="n">
        <v>73</v>
      </c>
      <c r="AA2668" t="n">
        <v>1050</v>
      </c>
      <c r="AB2668" t="n">
        <v>2</v>
      </c>
      <c r="AC2668" t="n">
        <v>8</v>
      </c>
      <c r="AD2668" t="n">
        <v>3</v>
      </c>
      <c r="AE2668" t="n">
        <v>43</v>
      </c>
      <c r="AF2668" t="n">
        <v>0</v>
      </c>
      <c r="AG2668" t="n">
        <v>19</v>
      </c>
      <c r="AH2668" t="n">
        <v>1</v>
      </c>
      <c r="AI2668" t="n">
        <v>9</v>
      </c>
      <c r="AJ2668" t="n">
        <v>2</v>
      </c>
      <c r="AK2668" t="n">
        <v>17</v>
      </c>
      <c r="AL2668" t="n">
        <v>1</v>
      </c>
      <c r="AM2668" t="n">
        <v>7</v>
      </c>
      <c r="AN2668" t="n">
        <v>0</v>
      </c>
      <c r="AO2668" t="n">
        <v>0</v>
      </c>
      <c r="AP2668" t="inlineStr">
        <is>
          <t>No</t>
        </is>
      </c>
      <c r="AQ2668" t="inlineStr">
        <is>
          <t>No</t>
        </is>
      </c>
      <c r="AS2668">
        <f>HYPERLINK("https://creighton-primo.hosted.exlibrisgroup.com/primo-explore/search?tab=default_tab&amp;search_scope=EVERYTHING&amp;vid=01CRU&amp;lang=en_US&amp;offset=0&amp;query=any,contains,991001012369702656","Catalog Record")</f>
        <v/>
      </c>
      <c r="AT2668">
        <f>HYPERLINK("http://www.worldcat.org/oclc/15285559","WorldCat Record")</f>
        <v/>
      </c>
      <c r="AU2668" t="inlineStr">
        <is>
          <t>19752037:eng</t>
        </is>
      </c>
      <c r="AV2668" t="inlineStr">
        <is>
          <t>15285559</t>
        </is>
      </c>
      <c r="AW2668" t="inlineStr">
        <is>
          <t>991001012369702656</t>
        </is>
      </c>
      <c r="AX2668" t="inlineStr">
        <is>
          <t>991001012369702656</t>
        </is>
      </c>
      <c r="AY2668" t="inlineStr">
        <is>
          <t>2262183020002656</t>
        </is>
      </c>
      <c r="AZ2668" t="inlineStr">
        <is>
          <t>BOOK</t>
        </is>
      </c>
      <c r="BC2668" t="inlineStr">
        <is>
          <t>32285002451143</t>
        </is>
      </c>
      <c r="BD2668" t="inlineStr">
        <is>
          <t>893231625</t>
        </is>
      </c>
    </row>
    <row r="2669">
      <c r="A2669" t="inlineStr">
        <is>
          <t>No</t>
        </is>
      </c>
      <c r="B2669" t="inlineStr">
        <is>
          <t>DS918 .C28 2000</t>
        </is>
      </c>
      <c r="C2669" t="inlineStr">
        <is>
          <t>0                      DS 0918000C  28          2000</t>
        </is>
      </c>
      <c r="D2669" t="inlineStr">
        <is>
          <t>The Korean War, 1950-53 / Brian Catchpole.</t>
        </is>
      </c>
      <c r="F2669" t="inlineStr">
        <is>
          <t>No</t>
        </is>
      </c>
      <c r="G2669" t="inlineStr">
        <is>
          <t>1</t>
        </is>
      </c>
      <c r="H2669" t="inlineStr">
        <is>
          <t>No</t>
        </is>
      </c>
      <c r="I2669" t="inlineStr">
        <is>
          <t>No</t>
        </is>
      </c>
      <c r="J2669" t="inlineStr">
        <is>
          <t>0</t>
        </is>
      </c>
      <c r="K2669" t="inlineStr">
        <is>
          <t>Catchpole, Brian.</t>
        </is>
      </c>
      <c r="L2669" t="inlineStr">
        <is>
          <t>New York : Carroll &amp; Graf Publishers, Inc., 2000.</t>
        </is>
      </c>
      <c r="M2669" t="inlineStr">
        <is>
          <t>2000</t>
        </is>
      </c>
      <c r="N2669" t="inlineStr">
        <is>
          <t>1st Carroll &amp; Graf ed.</t>
        </is>
      </c>
      <c r="O2669" t="inlineStr">
        <is>
          <t>eng</t>
        </is>
      </c>
      <c r="P2669" t="inlineStr">
        <is>
          <t>nyu</t>
        </is>
      </c>
      <c r="R2669" t="inlineStr">
        <is>
          <t xml:space="preserve">DS </t>
        </is>
      </c>
      <c r="S2669" t="n">
        <v>3</v>
      </c>
      <c r="T2669" t="n">
        <v>3</v>
      </c>
      <c r="U2669" t="inlineStr">
        <is>
          <t>2008-02-18</t>
        </is>
      </c>
      <c r="V2669" t="inlineStr">
        <is>
          <t>2008-02-18</t>
        </is>
      </c>
      <c r="W2669" t="inlineStr">
        <is>
          <t>2002-02-20</t>
        </is>
      </c>
      <c r="X2669" t="inlineStr">
        <is>
          <t>2002-02-20</t>
        </is>
      </c>
      <c r="Y2669" t="n">
        <v>732</v>
      </c>
      <c r="Z2669" t="n">
        <v>711</v>
      </c>
      <c r="AA2669" t="n">
        <v>830</v>
      </c>
      <c r="AB2669" t="n">
        <v>5</v>
      </c>
      <c r="AC2669" t="n">
        <v>5</v>
      </c>
      <c r="AD2669" t="n">
        <v>9</v>
      </c>
      <c r="AE2669" t="n">
        <v>11</v>
      </c>
      <c r="AF2669" t="n">
        <v>5</v>
      </c>
      <c r="AG2669" t="n">
        <v>5</v>
      </c>
      <c r="AH2669" t="n">
        <v>1</v>
      </c>
      <c r="AI2669" t="n">
        <v>2</v>
      </c>
      <c r="AJ2669" t="n">
        <v>4</v>
      </c>
      <c r="AK2669" t="n">
        <v>6</v>
      </c>
      <c r="AL2669" t="n">
        <v>1</v>
      </c>
      <c r="AM2669" t="n">
        <v>1</v>
      </c>
      <c r="AN2669" t="n">
        <v>0</v>
      </c>
      <c r="AO2669" t="n">
        <v>0</v>
      </c>
      <c r="AP2669" t="inlineStr">
        <is>
          <t>No</t>
        </is>
      </c>
      <c r="AQ2669" t="inlineStr">
        <is>
          <t>No</t>
        </is>
      </c>
      <c r="AS2669">
        <f>HYPERLINK("https://creighton-primo.hosted.exlibrisgroup.com/primo-explore/search?tab=default_tab&amp;search_scope=EVERYTHING&amp;vid=01CRU&amp;lang=en_US&amp;offset=0&amp;query=any,contains,991003729849702656","Catalog Record")</f>
        <v/>
      </c>
      <c r="AT2669">
        <f>HYPERLINK("http://www.worldcat.org/oclc/45231073","WorldCat Record")</f>
        <v/>
      </c>
      <c r="AU2669" t="inlineStr">
        <is>
          <t>20525322:eng</t>
        </is>
      </c>
      <c r="AV2669" t="inlineStr">
        <is>
          <t>45231073</t>
        </is>
      </c>
      <c r="AW2669" t="inlineStr">
        <is>
          <t>991003729849702656</t>
        </is>
      </c>
      <c r="AX2669" t="inlineStr">
        <is>
          <t>991003729849702656</t>
        </is>
      </c>
      <c r="AY2669" t="inlineStr">
        <is>
          <t>2266920290002656</t>
        </is>
      </c>
      <c r="AZ2669" t="inlineStr">
        <is>
          <t>BOOK</t>
        </is>
      </c>
      <c r="BB2669" t="inlineStr">
        <is>
          <t>9780786707805</t>
        </is>
      </c>
      <c r="BC2669" t="inlineStr">
        <is>
          <t>32285004455241</t>
        </is>
      </c>
      <c r="BD2669" t="inlineStr">
        <is>
          <t>893875088</t>
        </is>
      </c>
    </row>
    <row r="2670">
      <c r="A2670" t="inlineStr">
        <is>
          <t>No</t>
        </is>
      </c>
      <c r="B2670" t="inlineStr">
        <is>
          <t>DS918 .C55 1973</t>
        </is>
      </c>
      <c r="C2670" t="inlineStr">
        <is>
          <t>0                      DS 0918000C  55          1973</t>
        </is>
      </c>
      <c r="D2670" t="inlineStr">
        <is>
          <t>From the Danube to the Yalu, by Mark W. Clark.</t>
        </is>
      </c>
      <c r="F2670" t="inlineStr">
        <is>
          <t>No</t>
        </is>
      </c>
      <c r="G2670" t="inlineStr">
        <is>
          <t>1</t>
        </is>
      </c>
      <c r="H2670" t="inlineStr">
        <is>
          <t>No</t>
        </is>
      </c>
      <c r="I2670" t="inlineStr">
        <is>
          <t>No</t>
        </is>
      </c>
      <c r="J2670" t="inlineStr">
        <is>
          <t>0</t>
        </is>
      </c>
      <c r="K2670" t="inlineStr">
        <is>
          <t>Clark, Mark W. (Mark Wayne), 1896-1984.</t>
        </is>
      </c>
      <c r="L2670" t="inlineStr">
        <is>
          <t>Westport, Conn., Greenwood Press [1973, c1954]</t>
        </is>
      </c>
      <c r="M2670" t="inlineStr">
        <is>
          <t>1973</t>
        </is>
      </c>
      <c r="O2670" t="inlineStr">
        <is>
          <t>eng</t>
        </is>
      </c>
      <c r="P2670" t="inlineStr">
        <is>
          <t>ctu</t>
        </is>
      </c>
      <c r="R2670" t="inlineStr">
        <is>
          <t xml:space="preserve">DS </t>
        </is>
      </c>
      <c r="S2670" t="n">
        <v>3</v>
      </c>
      <c r="T2670" t="n">
        <v>3</v>
      </c>
      <c r="U2670" t="inlineStr">
        <is>
          <t>1997-06-11</t>
        </is>
      </c>
      <c r="V2670" t="inlineStr">
        <is>
          <t>1997-06-11</t>
        </is>
      </c>
      <c r="W2670" t="inlineStr">
        <is>
          <t>1997-03-18</t>
        </is>
      </c>
      <c r="X2670" t="inlineStr">
        <is>
          <t>1997-03-18</t>
        </is>
      </c>
      <c r="Y2670" t="n">
        <v>75</v>
      </c>
      <c r="Z2670" t="n">
        <v>68</v>
      </c>
      <c r="AA2670" t="n">
        <v>864</v>
      </c>
      <c r="AB2670" t="n">
        <v>1</v>
      </c>
      <c r="AC2670" t="n">
        <v>7</v>
      </c>
      <c r="AD2670" t="n">
        <v>2</v>
      </c>
      <c r="AE2670" t="n">
        <v>34</v>
      </c>
      <c r="AF2670" t="n">
        <v>0</v>
      </c>
      <c r="AG2670" t="n">
        <v>11</v>
      </c>
      <c r="AH2670" t="n">
        <v>1</v>
      </c>
      <c r="AI2670" t="n">
        <v>6</v>
      </c>
      <c r="AJ2670" t="n">
        <v>1</v>
      </c>
      <c r="AK2670" t="n">
        <v>19</v>
      </c>
      <c r="AL2670" t="n">
        <v>0</v>
      </c>
      <c r="AM2670" t="n">
        <v>5</v>
      </c>
      <c r="AN2670" t="n">
        <v>0</v>
      </c>
      <c r="AO2670" t="n">
        <v>0</v>
      </c>
      <c r="AP2670" t="inlineStr">
        <is>
          <t>No</t>
        </is>
      </c>
      <c r="AQ2670" t="inlineStr">
        <is>
          <t>No</t>
        </is>
      </c>
      <c r="AS2670">
        <f>HYPERLINK("https://creighton-primo.hosted.exlibrisgroup.com/primo-explore/search?tab=default_tab&amp;search_scope=EVERYTHING&amp;vid=01CRU&amp;lang=en_US&amp;offset=0&amp;query=any,contains,991002970119702656","Catalog Record")</f>
        <v/>
      </c>
      <c r="AT2670">
        <f>HYPERLINK("http://www.worldcat.org/oclc/548093","WorldCat Record")</f>
        <v/>
      </c>
      <c r="AU2670" t="inlineStr">
        <is>
          <t>1317936:eng</t>
        </is>
      </c>
      <c r="AV2670" t="inlineStr">
        <is>
          <t>548093</t>
        </is>
      </c>
      <c r="AW2670" t="inlineStr">
        <is>
          <t>991002970119702656</t>
        </is>
      </c>
      <c r="AX2670" t="inlineStr">
        <is>
          <t>991002970119702656</t>
        </is>
      </c>
      <c r="AY2670" t="inlineStr">
        <is>
          <t>2262627540002656</t>
        </is>
      </c>
      <c r="AZ2670" t="inlineStr">
        <is>
          <t>BOOK</t>
        </is>
      </c>
      <c r="BB2670" t="inlineStr">
        <is>
          <t>9780837167428</t>
        </is>
      </c>
      <c r="BC2670" t="inlineStr">
        <is>
          <t>32285002451150</t>
        </is>
      </c>
      <c r="BD2670" t="inlineStr">
        <is>
          <t>893342089</t>
        </is>
      </c>
    </row>
    <row r="2671">
      <c r="A2671" t="inlineStr">
        <is>
          <t>No</t>
        </is>
      </c>
      <c r="B2671" t="inlineStr">
        <is>
          <t>DS918 .D8 1990</t>
        </is>
      </c>
      <c r="C2671" t="inlineStr">
        <is>
          <t>0                      DS 0918000D  8           1990</t>
        </is>
      </c>
      <c r="D2671" t="inlineStr">
        <is>
          <t>This is war! : a photo-narrative of the Korean War / by David Douglas Duncan ; with a foreword by Harrison E. Salisbury.</t>
        </is>
      </c>
      <c r="F2671" t="inlineStr">
        <is>
          <t>No</t>
        </is>
      </c>
      <c r="G2671" t="inlineStr">
        <is>
          <t>1</t>
        </is>
      </c>
      <c r="H2671" t="inlineStr">
        <is>
          <t>No</t>
        </is>
      </c>
      <c r="I2671" t="inlineStr">
        <is>
          <t>No</t>
        </is>
      </c>
      <c r="J2671" t="inlineStr">
        <is>
          <t>0</t>
        </is>
      </c>
      <c r="K2671" t="inlineStr">
        <is>
          <t>Duncan, David Douglas.</t>
        </is>
      </c>
      <c r="L2671" t="inlineStr">
        <is>
          <t>Boston : Little, Brown, c1990.</t>
        </is>
      </c>
      <c r="M2671" t="inlineStr">
        <is>
          <t>1990</t>
        </is>
      </c>
      <c r="O2671" t="inlineStr">
        <is>
          <t>eng</t>
        </is>
      </c>
      <c r="P2671" t="inlineStr">
        <is>
          <t>mau</t>
        </is>
      </c>
      <c r="R2671" t="inlineStr">
        <is>
          <t xml:space="preserve">DS </t>
        </is>
      </c>
      <c r="S2671" t="n">
        <v>6</v>
      </c>
      <c r="T2671" t="n">
        <v>6</v>
      </c>
      <c r="U2671" t="inlineStr">
        <is>
          <t>1998-10-26</t>
        </is>
      </c>
      <c r="V2671" t="inlineStr">
        <is>
          <t>1998-10-26</t>
        </is>
      </c>
      <c r="W2671" t="inlineStr">
        <is>
          <t>1998-06-10</t>
        </is>
      </c>
      <c r="X2671" t="inlineStr">
        <is>
          <t>1998-06-10</t>
        </is>
      </c>
      <c r="Y2671" t="n">
        <v>302</v>
      </c>
      <c r="Z2671" t="n">
        <v>273</v>
      </c>
      <c r="AA2671" t="n">
        <v>278</v>
      </c>
      <c r="AB2671" t="n">
        <v>6</v>
      </c>
      <c r="AC2671" t="n">
        <v>6</v>
      </c>
      <c r="AD2671" t="n">
        <v>8</v>
      </c>
      <c r="AE2671" t="n">
        <v>8</v>
      </c>
      <c r="AF2671" t="n">
        <v>5</v>
      </c>
      <c r="AG2671" t="n">
        <v>5</v>
      </c>
      <c r="AH2671" t="n">
        <v>0</v>
      </c>
      <c r="AI2671" t="n">
        <v>0</v>
      </c>
      <c r="AJ2671" t="n">
        <v>2</v>
      </c>
      <c r="AK2671" t="n">
        <v>2</v>
      </c>
      <c r="AL2671" t="n">
        <v>2</v>
      </c>
      <c r="AM2671" t="n">
        <v>2</v>
      </c>
      <c r="AN2671" t="n">
        <v>0</v>
      </c>
      <c r="AO2671" t="n">
        <v>0</v>
      </c>
      <c r="AP2671" t="inlineStr">
        <is>
          <t>No</t>
        </is>
      </c>
      <c r="AQ2671" t="inlineStr">
        <is>
          <t>No</t>
        </is>
      </c>
      <c r="AS2671">
        <f>HYPERLINK("https://creighton-primo.hosted.exlibrisgroup.com/primo-explore/search?tab=default_tab&amp;search_scope=EVERYTHING&amp;vid=01CRU&amp;lang=en_US&amp;offset=0&amp;query=any,contains,991001638499702656","Catalog Record")</f>
        <v/>
      </c>
      <c r="AT2671">
        <f>HYPERLINK("http://www.worldcat.org/oclc/20994221","WorldCat Record")</f>
        <v/>
      </c>
      <c r="AU2671" t="inlineStr">
        <is>
          <t>3856354370:eng</t>
        </is>
      </c>
      <c r="AV2671" t="inlineStr">
        <is>
          <t>20994221</t>
        </is>
      </c>
      <c r="AW2671" t="inlineStr">
        <is>
          <t>991001638499702656</t>
        </is>
      </c>
      <c r="AX2671" t="inlineStr">
        <is>
          <t>991001638499702656</t>
        </is>
      </c>
      <c r="AY2671" t="inlineStr">
        <is>
          <t>2270154330002656</t>
        </is>
      </c>
      <c r="AZ2671" t="inlineStr">
        <is>
          <t>BOOK</t>
        </is>
      </c>
      <c r="BB2671" t="inlineStr">
        <is>
          <t>9780316195652</t>
        </is>
      </c>
      <c r="BC2671" t="inlineStr">
        <is>
          <t>32285003414728</t>
        </is>
      </c>
      <c r="BD2671" t="inlineStr">
        <is>
          <t>893602741</t>
        </is>
      </c>
    </row>
    <row r="2672">
      <c r="A2672" t="inlineStr">
        <is>
          <t>No</t>
        </is>
      </c>
      <c r="B2672" t="inlineStr">
        <is>
          <t>DS918 .E36 1998</t>
        </is>
      </c>
      <c r="C2672" t="inlineStr">
        <is>
          <t>0                      DS 0918000E  36          1998</t>
        </is>
      </c>
      <c r="D2672" t="inlineStr">
        <is>
          <t>The Korean War : an annotated bibliography / compiled by Paul M. Edwards.</t>
        </is>
      </c>
      <c r="F2672" t="inlineStr">
        <is>
          <t>No</t>
        </is>
      </c>
      <c r="G2672" t="inlineStr">
        <is>
          <t>1</t>
        </is>
      </c>
      <c r="H2672" t="inlineStr">
        <is>
          <t>No</t>
        </is>
      </c>
      <c r="I2672" t="inlineStr">
        <is>
          <t>No</t>
        </is>
      </c>
      <c r="J2672" t="inlineStr">
        <is>
          <t>0</t>
        </is>
      </c>
      <c r="K2672" t="inlineStr">
        <is>
          <t>Edwards, Paul M.</t>
        </is>
      </c>
      <c r="L2672" t="inlineStr">
        <is>
          <t>Westport, Conn. : Greenwood Press, 1998.</t>
        </is>
      </c>
      <c r="M2672" t="inlineStr">
        <is>
          <t>1998</t>
        </is>
      </c>
      <c r="O2672" t="inlineStr">
        <is>
          <t>eng</t>
        </is>
      </c>
      <c r="P2672" t="inlineStr">
        <is>
          <t>ctu</t>
        </is>
      </c>
      <c r="Q2672" t="inlineStr">
        <is>
          <t>Bibliographies and indexes in military studies, 1040-7995 ; no. 10</t>
        </is>
      </c>
      <c r="R2672" t="inlineStr">
        <is>
          <t xml:space="preserve">DS </t>
        </is>
      </c>
      <c r="S2672" t="n">
        <v>3</v>
      </c>
      <c r="T2672" t="n">
        <v>3</v>
      </c>
      <c r="U2672" t="inlineStr">
        <is>
          <t>2007-04-15</t>
        </is>
      </c>
      <c r="V2672" t="inlineStr">
        <is>
          <t>2007-04-15</t>
        </is>
      </c>
      <c r="W2672" t="inlineStr">
        <is>
          <t>1999-04-26</t>
        </is>
      </c>
      <c r="X2672" t="inlineStr">
        <is>
          <t>1999-04-26</t>
        </is>
      </c>
      <c r="Y2672" t="n">
        <v>260</v>
      </c>
      <c r="Z2672" t="n">
        <v>208</v>
      </c>
      <c r="AA2672" t="n">
        <v>212</v>
      </c>
      <c r="AB2672" t="n">
        <v>2</v>
      </c>
      <c r="AC2672" t="n">
        <v>2</v>
      </c>
      <c r="AD2672" t="n">
        <v>11</v>
      </c>
      <c r="AE2672" t="n">
        <v>11</v>
      </c>
      <c r="AF2672" t="n">
        <v>3</v>
      </c>
      <c r="AG2672" t="n">
        <v>3</v>
      </c>
      <c r="AH2672" t="n">
        <v>3</v>
      </c>
      <c r="AI2672" t="n">
        <v>3</v>
      </c>
      <c r="AJ2672" t="n">
        <v>7</v>
      </c>
      <c r="AK2672" t="n">
        <v>7</v>
      </c>
      <c r="AL2672" t="n">
        <v>1</v>
      </c>
      <c r="AM2672" t="n">
        <v>1</v>
      </c>
      <c r="AN2672" t="n">
        <v>0</v>
      </c>
      <c r="AO2672" t="n">
        <v>0</v>
      </c>
      <c r="AP2672" t="inlineStr">
        <is>
          <t>No</t>
        </is>
      </c>
      <c r="AQ2672" t="inlineStr">
        <is>
          <t>No</t>
        </is>
      </c>
      <c r="AS2672">
        <f>HYPERLINK("https://creighton-primo.hosted.exlibrisgroup.com/primo-explore/search?tab=default_tab&amp;search_scope=EVERYTHING&amp;vid=01CRU&amp;lang=en_US&amp;offset=0&amp;query=any,contains,991002858839702656","Catalog Record")</f>
        <v/>
      </c>
      <c r="AT2672">
        <f>HYPERLINK("http://www.worldcat.org/oclc/37675804","WorldCat Record")</f>
        <v/>
      </c>
      <c r="AU2672" t="inlineStr">
        <is>
          <t>3943930052:eng</t>
        </is>
      </c>
      <c r="AV2672" t="inlineStr">
        <is>
          <t>37675804</t>
        </is>
      </c>
      <c r="AW2672" t="inlineStr">
        <is>
          <t>991002858839702656</t>
        </is>
      </c>
      <c r="AX2672" t="inlineStr">
        <is>
          <t>991002858839702656</t>
        </is>
      </c>
      <c r="AY2672" t="inlineStr">
        <is>
          <t>2266467070002656</t>
        </is>
      </c>
      <c r="AZ2672" t="inlineStr">
        <is>
          <t>BOOK</t>
        </is>
      </c>
      <c r="BB2672" t="inlineStr">
        <is>
          <t>9780313303173</t>
        </is>
      </c>
      <c r="BC2672" t="inlineStr">
        <is>
          <t>32285003555256</t>
        </is>
      </c>
      <c r="BD2672" t="inlineStr">
        <is>
          <t>893698356</t>
        </is>
      </c>
    </row>
    <row r="2673">
      <c r="A2673" t="inlineStr">
        <is>
          <t>No</t>
        </is>
      </c>
      <c r="B2673" t="inlineStr">
        <is>
          <t>DS918 .E39 2000</t>
        </is>
      </c>
      <c r="C2673" t="inlineStr">
        <is>
          <t>0                      DS 0918000E  39          2000</t>
        </is>
      </c>
      <c r="D2673" t="inlineStr">
        <is>
          <t>To acknowledge a war : the Korean War in American memory / Paul M. Edwards.</t>
        </is>
      </c>
      <c r="F2673" t="inlineStr">
        <is>
          <t>No</t>
        </is>
      </c>
      <c r="G2673" t="inlineStr">
        <is>
          <t>1</t>
        </is>
      </c>
      <c r="H2673" t="inlineStr">
        <is>
          <t>No</t>
        </is>
      </c>
      <c r="I2673" t="inlineStr">
        <is>
          <t>No</t>
        </is>
      </c>
      <c r="J2673" t="inlineStr">
        <is>
          <t>0</t>
        </is>
      </c>
      <c r="K2673" t="inlineStr">
        <is>
          <t>Edwards, Paul M.</t>
        </is>
      </c>
      <c r="L2673" t="inlineStr">
        <is>
          <t>Westport, Conn. : Greenwood Press, 2000.</t>
        </is>
      </c>
      <c r="M2673" t="inlineStr">
        <is>
          <t>2000</t>
        </is>
      </c>
      <c r="O2673" t="inlineStr">
        <is>
          <t>eng</t>
        </is>
      </c>
      <c r="P2673" t="inlineStr">
        <is>
          <t>ctu</t>
        </is>
      </c>
      <c r="Q2673" t="inlineStr">
        <is>
          <t>Contributions in military studies, 0883-6884 ; no. 193</t>
        </is>
      </c>
      <c r="R2673" t="inlineStr">
        <is>
          <t xml:space="preserve">DS </t>
        </is>
      </c>
      <c r="S2673" t="n">
        <v>4</v>
      </c>
      <c r="T2673" t="n">
        <v>4</v>
      </c>
      <c r="U2673" t="inlineStr">
        <is>
          <t>2001-03-13</t>
        </is>
      </c>
      <c r="V2673" t="inlineStr">
        <is>
          <t>2001-03-13</t>
        </is>
      </c>
      <c r="W2673" t="inlineStr">
        <is>
          <t>2001-01-09</t>
        </is>
      </c>
      <c r="X2673" t="inlineStr">
        <is>
          <t>2001-01-09</t>
        </is>
      </c>
      <c r="Y2673" t="n">
        <v>252</v>
      </c>
      <c r="Z2673" t="n">
        <v>204</v>
      </c>
      <c r="AA2673" t="n">
        <v>216</v>
      </c>
      <c r="AB2673" t="n">
        <v>3</v>
      </c>
      <c r="AC2673" t="n">
        <v>3</v>
      </c>
      <c r="AD2673" t="n">
        <v>11</v>
      </c>
      <c r="AE2673" t="n">
        <v>11</v>
      </c>
      <c r="AF2673" t="n">
        <v>4</v>
      </c>
      <c r="AG2673" t="n">
        <v>4</v>
      </c>
      <c r="AH2673" t="n">
        <v>3</v>
      </c>
      <c r="AI2673" t="n">
        <v>3</v>
      </c>
      <c r="AJ2673" t="n">
        <v>8</v>
      </c>
      <c r="AK2673" t="n">
        <v>8</v>
      </c>
      <c r="AL2673" t="n">
        <v>2</v>
      </c>
      <c r="AM2673" t="n">
        <v>2</v>
      </c>
      <c r="AN2673" t="n">
        <v>0</v>
      </c>
      <c r="AO2673" t="n">
        <v>0</v>
      </c>
      <c r="AP2673" t="inlineStr">
        <is>
          <t>No</t>
        </is>
      </c>
      <c r="AQ2673" t="inlineStr">
        <is>
          <t>Yes</t>
        </is>
      </c>
      <c r="AR2673">
        <f>HYPERLINK("http://catalog.hathitrust.org/Record/003501235","HathiTrust Record")</f>
        <v/>
      </c>
      <c r="AS2673">
        <f>HYPERLINK("https://creighton-primo.hosted.exlibrisgroup.com/primo-explore/search?tab=default_tab&amp;search_scope=EVERYTHING&amp;vid=01CRU&amp;lang=en_US&amp;offset=0&amp;query=any,contains,991003320219702656","Catalog Record")</f>
        <v/>
      </c>
      <c r="AT2673">
        <f>HYPERLINK("http://www.worldcat.org/oclc/42772737","WorldCat Record")</f>
        <v/>
      </c>
      <c r="AU2673" t="inlineStr">
        <is>
          <t>2632334:eng</t>
        </is>
      </c>
      <c r="AV2673" t="inlineStr">
        <is>
          <t>42772737</t>
        </is>
      </c>
      <c r="AW2673" t="inlineStr">
        <is>
          <t>991003320219702656</t>
        </is>
      </c>
      <c r="AX2673" t="inlineStr">
        <is>
          <t>991003320219702656</t>
        </is>
      </c>
      <c r="AY2673" t="inlineStr">
        <is>
          <t>2272666480002656</t>
        </is>
      </c>
      <c r="AZ2673" t="inlineStr">
        <is>
          <t>BOOK</t>
        </is>
      </c>
      <c r="BB2673" t="inlineStr">
        <is>
          <t>9780313310218</t>
        </is>
      </c>
      <c r="BC2673" t="inlineStr">
        <is>
          <t>32285004281662</t>
        </is>
      </c>
      <c r="BD2673" t="inlineStr">
        <is>
          <t>893511825</t>
        </is>
      </c>
    </row>
    <row r="2674">
      <c r="A2674" t="inlineStr">
        <is>
          <t>No</t>
        </is>
      </c>
      <c r="B2674" t="inlineStr">
        <is>
          <t>DS918 .F62 1985</t>
        </is>
      </c>
      <c r="C2674" t="inlineStr">
        <is>
          <t>0                      DS 0918000F  62          1985</t>
        </is>
      </c>
      <c r="D2674" t="inlineStr">
        <is>
          <t>The wrong war : American policy and the dimensions of the Korean conflict, 1950-1953 / Rosemary Foot.</t>
        </is>
      </c>
      <c r="F2674" t="inlineStr">
        <is>
          <t>No</t>
        </is>
      </c>
      <c r="G2674" t="inlineStr">
        <is>
          <t>1</t>
        </is>
      </c>
      <c r="H2674" t="inlineStr">
        <is>
          <t>No</t>
        </is>
      </c>
      <c r="I2674" t="inlineStr">
        <is>
          <t>No</t>
        </is>
      </c>
      <c r="J2674" t="inlineStr">
        <is>
          <t>0</t>
        </is>
      </c>
      <c r="K2674" t="inlineStr">
        <is>
          <t>Foot, Rosemary, 1948-</t>
        </is>
      </c>
      <c r="L2674" t="inlineStr">
        <is>
          <t>Ithaca : Cornell University Press, 1985.</t>
        </is>
      </c>
      <c r="M2674" t="inlineStr">
        <is>
          <t>1985</t>
        </is>
      </c>
      <c r="O2674" t="inlineStr">
        <is>
          <t>eng</t>
        </is>
      </c>
      <c r="P2674" t="inlineStr">
        <is>
          <t>nyu</t>
        </is>
      </c>
      <c r="Q2674" t="inlineStr">
        <is>
          <t>Cornell studies in security affairs</t>
        </is>
      </c>
      <c r="R2674" t="inlineStr">
        <is>
          <t xml:space="preserve">DS </t>
        </is>
      </c>
      <c r="S2674" t="n">
        <v>7</v>
      </c>
      <c r="T2674" t="n">
        <v>7</v>
      </c>
      <c r="U2674" t="inlineStr">
        <is>
          <t>1999-03-10</t>
        </is>
      </c>
      <c r="V2674" t="inlineStr">
        <is>
          <t>1999-03-10</t>
        </is>
      </c>
      <c r="W2674" t="inlineStr">
        <is>
          <t>1990-11-01</t>
        </is>
      </c>
      <c r="X2674" t="inlineStr">
        <is>
          <t>1990-11-01</t>
        </is>
      </c>
      <c r="Y2674" t="n">
        <v>721</v>
      </c>
      <c r="Z2674" t="n">
        <v>597</v>
      </c>
      <c r="AA2674" t="n">
        <v>742</v>
      </c>
      <c r="AB2674" t="n">
        <v>4</v>
      </c>
      <c r="AC2674" t="n">
        <v>4</v>
      </c>
      <c r="AD2674" t="n">
        <v>24</v>
      </c>
      <c r="AE2674" t="n">
        <v>33</v>
      </c>
      <c r="AF2674" t="n">
        <v>10</v>
      </c>
      <c r="AG2674" t="n">
        <v>15</v>
      </c>
      <c r="AH2674" t="n">
        <v>5</v>
      </c>
      <c r="AI2674" t="n">
        <v>9</v>
      </c>
      <c r="AJ2674" t="n">
        <v>12</v>
      </c>
      <c r="AK2674" t="n">
        <v>16</v>
      </c>
      <c r="AL2674" t="n">
        <v>3</v>
      </c>
      <c r="AM2674" t="n">
        <v>3</v>
      </c>
      <c r="AN2674" t="n">
        <v>0</v>
      </c>
      <c r="AO2674" t="n">
        <v>0</v>
      </c>
      <c r="AP2674" t="inlineStr">
        <is>
          <t>No</t>
        </is>
      </c>
      <c r="AQ2674" t="inlineStr">
        <is>
          <t>Yes</t>
        </is>
      </c>
      <c r="AR2674">
        <f>HYPERLINK("http://catalog.hathitrust.org/Record/000651789","HathiTrust Record")</f>
        <v/>
      </c>
      <c r="AS2674">
        <f>HYPERLINK("https://creighton-primo.hosted.exlibrisgroup.com/primo-explore/search?tab=default_tab&amp;search_scope=EVERYTHING&amp;vid=01CRU&amp;lang=en_US&amp;offset=0&amp;query=any,contains,991000564739702656","Catalog Record")</f>
        <v/>
      </c>
      <c r="AT2674">
        <f>HYPERLINK("http://www.worldcat.org/oclc/11621430","WorldCat Record")</f>
        <v/>
      </c>
      <c r="AU2674" t="inlineStr">
        <is>
          <t>4440417:eng</t>
        </is>
      </c>
      <c r="AV2674" t="inlineStr">
        <is>
          <t>11621430</t>
        </is>
      </c>
      <c r="AW2674" t="inlineStr">
        <is>
          <t>991000564739702656</t>
        </is>
      </c>
      <c r="AX2674" t="inlineStr">
        <is>
          <t>991000564739702656</t>
        </is>
      </c>
      <c r="AY2674" t="inlineStr">
        <is>
          <t>2263493580002656</t>
        </is>
      </c>
      <c r="AZ2674" t="inlineStr">
        <is>
          <t>BOOK</t>
        </is>
      </c>
      <c r="BB2674" t="inlineStr">
        <is>
          <t>9780801418006</t>
        </is>
      </c>
      <c r="BC2674" t="inlineStr">
        <is>
          <t>32285000370923</t>
        </is>
      </c>
      <c r="BD2674" t="inlineStr">
        <is>
          <t>893496359</t>
        </is>
      </c>
    </row>
    <row r="2675">
      <c r="A2675" t="inlineStr">
        <is>
          <t>No</t>
        </is>
      </c>
      <c r="B2675" t="inlineStr">
        <is>
          <t>DS918 .H515</t>
        </is>
      </c>
      <c r="C2675" t="inlineStr">
        <is>
          <t>0                      DS 0918000H  515</t>
        </is>
      </c>
      <c r="D2675" t="inlineStr">
        <is>
          <t>Korea and the fall of MacArthur; a précis in limited war.</t>
        </is>
      </c>
      <c r="F2675" t="inlineStr">
        <is>
          <t>No</t>
        </is>
      </c>
      <c r="G2675" t="inlineStr">
        <is>
          <t>1</t>
        </is>
      </c>
      <c r="H2675" t="inlineStr">
        <is>
          <t>No</t>
        </is>
      </c>
      <c r="I2675" t="inlineStr">
        <is>
          <t>No</t>
        </is>
      </c>
      <c r="J2675" t="inlineStr">
        <is>
          <t>0</t>
        </is>
      </c>
      <c r="K2675" t="inlineStr">
        <is>
          <t>Higgins, Trumbull.</t>
        </is>
      </c>
      <c r="L2675" t="inlineStr">
        <is>
          <t>New York, Oxford University Press, 1960.</t>
        </is>
      </c>
      <c r="M2675" t="inlineStr">
        <is>
          <t>1960</t>
        </is>
      </c>
      <c r="O2675" t="inlineStr">
        <is>
          <t>eng</t>
        </is>
      </c>
      <c r="P2675" t="inlineStr">
        <is>
          <t>nyu</t>
        </is>
      </c>
      <c r="R2675" t="inlineStr">
        <is>
          <t xml:space="preserve">DS </t>
        </is>
      </c>
      <c r="S2675" t="n">
        <v>2</v>
      </c>
      <c r="T2675" t="n">
        <v>2</v>
      </c>
      <c r="U2675" t="inlineStr">
        <is>
          <t>2004-04-18</t>
        </is>
      </c>
      <c r="V2675" t="inlineStr">
        <is>
          <t>2004-04-18</t>
        </is>
      </c>
      <c r="W2675" t="inlineStr">
        <is>
          <t>1997-03-18</t>
        </is>
      </c>
      <c r="X2675" t="inlineStr">
        <is>
          <t>1997-03-18</t>
        </is>
      </c>
      <c r="Y2675" t="n">
        <v>862</v>
      </c>
      <c r="Z2675" t="n">
        <v>770</v>
      </c>
      <c r="AA2675" t="n">
        <v>787</v>
      </c>
      <c r="AB2675" t="n">
        <v>8</v>
      </c>
      <c r="AC2675" t="n">
        <v>8</v>
      </c>
      <c r="AD2675" t="n">
        <v>33</v>
      </c>
      <c r="AE2675" t="n">
        <v>34</v>
      </c>
      <c r="AF2675" t="n">
        <v>15</v>
      </c>
      <c r="AG2675" t="n">
        <v>15</v>
      </c>
      <c r="AH2675" t="n">
        <v>7</v>
      </c>
      <c r="AI2675" t="n">
        <v>7</v>
      </c>
      <c r="AJ2675" t="n">
        <v>13</v>
      </c>
      <c r="AK2675" t="n">
        <v>14</v>
      </c>
      <c r="AL2675" t="n">
        <v>6</v>
      </c>
      <c r="AM2675" t="n">
        <v>6</v>
      </c>
      <c r="AN2675" t="n">
        <v>0</v>
      </c>
      <c r="AO2675" t="n">
        <v>0</v>
      </c>
      <c r="AP2675" t="inlineStr">
        <is>
          <t>No</t>
        </is>
      </c>
      <c r="AQ2675" t="inlineStr">
        <is>
          <t>Yes</t>
        </is>
      </c>
      <c r="AR2675">
        <f>HYPERLINK("http://catalog.hathitrust.org/Record/001606721","HathiTrust Record")</f>
        <v/>
      </c>
      <c r="AS2675">
        <f>HYPERLINK("https://creighton-primo.hosted.exlibrisgroup.com/primo-explore/search?tab=default_tab&amp;search_scope=EVERYTHING&amp;vid=01CRU&amp;lang=en_US&amp;offset=0&amp;query=any,contains,991002720929702656","Catalog Record")</f>
        <v/>
      </c>
      <c r="AT2675">
        <f>HYPERLINK("http://www.worldcat.org/oclc/412581","WorldCat Record")</f>
        <v/>
      </c>
      <c r="AU2675" t="inlineStr">
        <is>
          <t>1462840:eng</t>
        </is>
      </c>
      <c r="AV2675" t="inlineStr">
        <is>
          <t>412581</t>
        </is>
      </c>
      <c r="AW2675" t="inlineStr">
        <is>
          <t>991002720929702656</t>
        </is>
      </c>
      <c r="AX2675" t="inlineStr">
        <is>
          <t>991002720929702656</t>
        </is>
      </c>
      <c r="AY2675" t="inlineStr">
        <is>
          <t>2264533950002656</t>
        </is>
      </c>
      <c r="AZ2675" t="inlineStr">
        <is>
          <t>BOOK</t>
        </is>
      </c>
      <c r="BC2675" t="inlineStr">
        <is>
          <t>32285002451176</t>
        </is>
      </c>
      <c r="BD2675" t="inlineStr">
        <is>
          <t>893317169</t>
        </is>
      </c>
    </row>
    <row r="2676">
      <c r="A2676" t="inlineStr">
        <is>
          <t>No</t>
        </is>
      </c>
      <c r="B2676" t="inlineStr">
        <is>
          <t>DS918 .K68 1998</t>
        </is>
      </c>
      <c r="C2676" t="inlineStr">
        <is>
          <t>0                      DS 0918000K  68          1998</t>
        </is>
      </c>
      <c r="D2676" t="inlineStr">
        <is>
          <t>The Korean war in retrospect : lessons for the future / edited by Daniel J. Meador, James Monroe.</t>
        </is>
      </c>
      <c r="F2676" t="inlineStr">
        <is>
          <t>No</t>
        </is>
      </c>
      <c r="G2676" t="inlineStr">
        <is>
          <t>1</t>
        </is>
      </c>
      <c r="H2676" t="inlineStr">
        <is>
          <t>No</t>
        </is>
      </c>
      <c r="I2676" t="inlineStr">
        <is>
          <t>No</t>
        </is>
      </c>
      <c r="J2676" t="inlineStr">
        <is>
          <t>0</t>
        </is>
      </c>
      <c r="L2676" t="inlineStr">
        <is>
          <t>Lanham : University Press of America, c1998.</t>
        </is>
      </c>
      <c r="M2676" t="inlineStr">
        <is>
          <t>1998</t>
        </is>
      </c>
      <c r="O2676" t="inlineStr">
        <is>
          <t>eng</t>
        </is>
      </c>
      <c r="P2676" t="inlineStr">
        <is>
          <t>mdu</t>
        </is>
      </c>
      <c r="R2676" t="inlineStr">
        <is>
          <t xml:space="preserve">DS </t>
        </is>
      </c>
      <c r="S2676" t="n">
        <v>1</v>
      </c>
      <c r="T2676" t="n">
        <v>1</v>
      </c>
      <c r="U2676" t="inlineStr">
        <is>
          <t>2001-07-10</t>
        </is>
      </c>
      <c r="V2676" t="inlineStr">
        <is>
          <t>2001-07-10</t>
        </is>
      </c>
      <c r="W2676" t="inlineStr">
        <is>
          <t>2001-07-10</t>
        </is>
      </c>
      <c r="X2676" t="inlineStr">
        <is>
          <t>2001-07-10</t>
        </is>
      </c>
      <c r="Y2676" t="n">
        <v>160</v>
      </c>
      <c r="Z2676" t="n">
        <v>133</v>
      </c>
      <c r="AA2676" t="n">
        <v>135</v>
      </c>
      <c r="AB2676" t="n">
        <v>2</v>
      </c>
      <c r="AC2676" t="n">
        <v>2</v>
      </c>
      <c r="AD2676" t="n">
        <v>9</v>
      </c>
      <c r="AE2676" t="n">
        <v>9</v>
      </c>
      <c r="AF2676" t="n">
        <v>3</v>
      </c>
      <c r="AG2676" t="n">
        <v>3</v>
      </c>
      <c r="AH2676" t="n">
        <v>3</v>
      </c>
      <c r="AI2676" t="n">
        <v>3</v>
      </c>
      <c r="AJ2676" t="n">
        <v>4</v>
      </c>
      <c r="AK2676" t="n">
        <v>4</v>
      </c>
      <c r="AL2676" t="n">
        <v>1</v>
      </c>
      <c r="AM2676" t="n">
        <v>1</v>
      </c>
      <c r="AN2676" t="n">
        <v>0</v>
      </c>
      <c r="AO2676" t="n">
        <v>0</v>
      </c>
      <c r="AP2676" t="inlineStr">
        <is>
          <t>No</t>
        </is>
      </c>
      <c r="AQ2676" t="inlineStr">
        <is>
          <t>Yes</t>
        </is>
      </c>
      <c r="AR2676">
        <f>HYPERLINK("http://catalog.hathitrust.org/Record/003987731","HathiTrust Record")</f>
        <v/>
      </c>
      <c r="AS2676">
        <f>HYPERLINK("https://creighton-primo.hosted.exlibrisgroup.com/primo-explore/search?tab=default_tab&amp;search_scope=EVERYTHING&amp;vid=01CRU&amp;lang=en_US&amp;offset=0&amp;query=any,contains,991003520919702656","Catalog Record")</f>
        <v/>
      </c>
      <c r="AT2676">
        <f>HYPERLINK("http://www.worldcat.org/oclc/38281712","WorldCat Record")</f>
        <v/>
      </c>
      <c r="AU2676" t="inlineStr">
        <is>
          <t>501843310:eng</t>
        </is>
      </c>
      <c r="AV2676" t="inlineStr">
        <is>
          <t>38281712</t>
        </is>
      </c>
      <c r="AW2676" t="inlineStr">
        <is>
          <t>991003520919702656</t>
        </is>
      </c>
      <c r="AX2676" t="inlineStr">
        <is>
          <t>991003520919702656</t>
        </is>
      </c>
      <c r="AY2676" t="inlineStr">
        <is>
          <t>2262462030002656</t>
        </is>
      </c>
      <c r="AZ2676" t="inlineStr">
        <is>
          <t>BOOK</t>
        </is>
      </c>
      <c r="BB2676" t="inlineStr">
        <is>
          <t>9780761810735</t>
        </is>
      </c>
      <c r="BC2676" t="inlineStr">
        <is>
          <t>32285004330972</t>
        </is>
      </c>
      <c r="BD2676" t="inlineStr">
        <is>
          <t>893524893</t>
        </is>
      </c>
    </row>
    <row r="2677">
      <c r="A2677" t="inlineStr">
        <is>
          <t>No</t>
        </is>
      </c>
      <c r="B2677" t="inlineStr">
        <is>
          <t>DS918 .K684 2004</t>
        </is>
      </c>
      <c r="C2677" t="inlineStr">
        <is>
          <t>0                      DS 0918000K  684         2004</t>
        </is>
      </c>
      <c r="D2677" t="inlineStr">
        <is>
          <t>The Korean War in world history / edited by William Stueck.</t>
        </is>
      </c>
      <c r="F2677" t="inlineStr">
        <is>
          <t>No</t>
        </is>
      </c>
      <c r="G2677" t="inlineStr">
        <is>
          <t>1</t>
        </is>
      </c>
      <c r="H2677" t="inlineStr">
        <is>
          <t>No</t>
        </is>
      </c>
      <c r="I2677" t="inlineStr">
        <is>
          <t>No</t>
        </is>
      </c>
      <c r="J2677" t="inlineStr">
        <is>
          <t>0</t>
        </is>
      </c>
      <c r="L2677" t="inlineStr">
        <is>
          <t>Lexington, Ky. : University Press of Kentucky, c2004.</t>
        </is>
      </c>
      <c r="M2677" t="inlineStr">
        <is>
          <t>2004</t>
        </is>
      </c>
      <c r="O2677" t="inlineStr">
        <is>
          <t>eng</t>
        </is>
      </c>
      <c r="P2677" t="inlineStr">
        <is>
          <t>kyu</t>
        </is>
      </c>
      <c r="R2677" t="inlineStr">
        <is>
          <t xml:space="preserve">DS </t>
        </is>
      </c>
      <c r="S2677" t="n">
        <v>2</v>
      </c>
      <c r="T2677" t="n">
        <v>2</v>
      </c>
      <c r="U2677" t="inlineStr">
        <is>
          <t>2007-04-11</t>
        </is>
      </c>
      <c r="V2677" t="inlineStr">
        <is>
          <t>2007-04-11</t>
        </is>
      </c>
      <c r="W2677" t="inlineStr">
        <is>
          <t>2007-03-28</t>
        </is>
      </c>
      <c r="X2677" t="inlineStr">
        <is>
          <t>2007-03-28</t>
        </is>
      </c>
      <c r="Y2677" t="n">
        <v>470</v>
      </c>
      <c r="Z2677" t="n">
        <v>387</v>
      </c>
      <c r="AA2677" t="n">
        <v>1049</v>
      </c>
      <c r="AB2677" t="n">
        <v>3</v>
      </c>
      <c r="AC2677" t="n">
        <v>6</v>
      </c>
      <c r="AD2677" t="n">
        <v>20</v>
      </c>
      <c r="AE2677" t="n">
        <v>32</v>
      </c>
      <c r="AF2677" t="n">
        <v>11</v>
      </c>
      <c r="AG2677" t="n">
        <v>17</v>
      </c>
      <c r="AH2677" t="n">
        <v>5</v>
      </c>
      <c r="AI2677" t="n">
        <v>7</v>
      </c>
      <c r="AJ2677" t="n">
        <v>9</v>
      </c>
      <c r="AK2677" t="n">
        <v>14</v>
      </c>
      <c r="AL2677" t="n">
        <v>2</v>
      </c>
      <c r="AM2677" t="n">
        <v>4</v>
      </c>
      <c r="AN2677" t="n">
        <v>0</v>
      </c>
      <c r="AO2677" t="n">
        <v>0</v>
      </c>
      <c r="AP2677" t="inlineStr">
        <is>
          <t>No</t>
        </is>
      </c>
      <c r="AQ2677" t="inlineStr">
        <is>
          <t>Yes</t>
        </is>
      </c>
      <c r="AR2677">
        <f>HYPERLINK("http://catalog.hathitrust.org/Record/004381561","HathiTrust Record")</f>
        <v/>
      </c>
      <c r="AS2677">
        <f>HYPERLINK("https://creighton-primo.hosted.exlibrisgroup.com/primo-explore/search?tab=default_tab&amp;search_scope=EVERYTHING&amp;vid=01CRU&amp;lang=en_US&amp;offset=0&amp;query=any,contains,991005053639702656","Catalog Record")</f>
        <v/>
      </c>
      <c r="AT2677">
        <f>HYPERLINK("http://www.worldcat.org/oclc/53375148","WorldCat Record")</f>
        <v/>
      </c>
      <c r="AU2677" t="inlineStr">
        <is>
          <t>56968215:eng</t>
        </is>
      </c>
      <c r="AV2677" t="inlineStr">
        <is>
          <t>53375148</t>
        </is>
      </c>
      <c r="AW2677" t="inlineStr">
        <is>
          <t>991005053639702656</t>
        </is>
      </c>
      <c r="AX2677" t="inlineStr">
        <is>
          <t>991005053639702656</t>
        </is>
      </c>
      <c r="AY2677" t="inlineStr">
        <is>
          <t>2270951370002656</t>
        </is>
      </c>
      <c r="AZ2677" t="inlineStr">
        <is>
          <t>BOOK</t>
        </is>
      </c>
      <c r="BB2677" t="inlineStr">
        <is>
          <t>9780813123066</t>
        </is>
      </c>
      <c r="BC2677" t="inlineStr">
        <is>
          <t>32285005283626</t>
        </is>
      </c>
      <c r="BD2677" t="inlineStr">
        <is>
          <t>893242122</t>
        </is>
      </c>
    </row>
    <row r="2678">
      <c r="A2678" t="inlineStr">
        <is>
          <t>No</t>
        </is>
      </c>
      <c r="B2678" t="inlineStr">
        <is>
          <t>DS918 .L68 1986</t>
        </is>
      </c>
      <c r="C2678" t="inlineStr">
        <is>
          <t>0                      DS 0918000L  68          1986</t>
        </is>
      </c>
      <c r="D2678" t="inlineStr">
        <is>
          <t>The origins of the Korean War / Peter Lowe.</t>
        </is>
      </c>
      <c r="F2678" t="inlineStr">
        <is>
          <t>No</t>
        </is>
      </c>
      <c r="G2678" t="inlineStr">
        <is>
          <t>1</t>
        </is>
      </c>
      <c r="H2678" t="inlineStr">
        <is>
          <t>No</t>
        </is>
      </c>
      <c r="I2678" t="inlineStr">
        <is>
          <t>No</t>
        </is>
      </c>
      <c r="J2678" t="inlineStr">
        <is>
          <t>0</t>
        </is>
      </c>
      <c r="K2678" t="inlineStr">
        <is>
          <t>Lowe, Peter.</t>
        </is>
      </c>
      <c r="L2678" t="inlineStr">
        <is>
          <t>London ; New York : Longman, 1986.</t>
        </is>
      </c>
      <c r="M2678" t="inlineStr">
        <is>
          <t>1986</t>
        </is>
      </c>
      <c r="O2678" t="inlineStr">
        <is>
          <t>eng</t>
        </is>
      </c>
      <c r="P2678" t="inlineStr">
        <is>
          <t>enk</t>
        </is>
      </c>
      <c r="Q2678" t="inlineStr">
        <is>
          <t>Origins of modern wars</t>
        </is>
      </c>
      <c r="R2678" t="inlineStr">
        <is>
          <t xml:space="preserve">DS </t>
        </is>
      </c>
      <c r="S2678" t="n">
        <v>20</v>
      </c>
      <c r="T2678" t="n">
        <v>20</v>
      </c>
      <c r="U2678" t="inlineStr">
        <is>
          <t>1999-05-02</t>
        </is>
      </c>
      <c r="V2678" t="inlineStr">
        <is>
          <t>1999-05-02</t>
        </is>
      </c>
      <c r="W2678" t="inlineStr">
        <is>
          <t>1990-11-01</t>
        </is>
      </c>
      <c r="X2678" t="inlineStr">
        <is>
          <t>1990-11-01</t>
        </is>
      </c>
      <c r="Y2678" t="n">
        <v>593</v>
      </c>
      <c r="Z2678" t="n">
        <v>345</v>
      </c>
      <c r="AA2678" t="n">
        <v>466</v>
      </c>
      <c r="AB2678" t="n">
        <v>5</v>
      </c>
      <c r="AC2678" t="n">
        <v>5</v>
      </c>
      <c r="AD2678" t="n">
        <v>20</v>
      </c>
      <c r="AE2678" t="n">
        <v>25</v>
      </c>
      <c r="AF2678" t="n">
        <v>7</v>
      </c>
      <c r="AG2678" t="n">
        <v>9</v>
      </c>
      <c r="AH2678" t="n">
        <v>7</v>
      </c>
      <c r="AI2678" t="n">
        <v>8</v>
      </c>
      <c r="AJ2678" t="n">
        <v>9</v>
      </c>
      <c r="AK2678" t="n">
        <v>13</v>
      </c>
      <c r="AL2678" t="n">
        <v>4</v>
      </c>
      <c r="AM2678" t="n">
        <v>4</v>
      </c>
      <c r="AN2678" t="n">
        <v>0</v>
      </c>
      <c r="AO2678" t="n">
        <v>0</v>
      </c>
      <c r="AP2678" t="inlineStr">
        <is>
          <t>No</t>
        </is>
      </c>
      <c r="AQ2678" t="inlineStr">
        <is>
          <t>Yes</t>
        </is>
      </c>
      <c r="AR2678">
        <f>HYPERLINK("http://catalog.hathitrust.org/Record/000537973","HathiTrust Record")</f>
        <v/>
      </c>
      <c r="AS2678">
        <f>HYPERLINK("https://creighton-primo.hosted.exlibrisgroup.com/primo-explore/search?tab=default_tab&amp;search_scope=EVERYTHING&amp;vid=01CRU&amp;lang=en_US&amp;offset=0&amp;query=any,contains,991000712119702656","Catalog Record")</f>
        <v/>
      </c>
      <c r="AT2678">
        <f>HYPERLINK("http://www.worldcat.org/oclc/12585335","WorldCat Record")</f>
        <v/>
      </c>
      <c r="AU2678" t="inlineStr">
        <is>
          <t>571750:eng</t>
        </is>
      </c>
      <c r="AV2678" t="inlineStr">
        <is>
          <t>12585335</t>
        </is>
      </c>
      <c r="AW2678" t="inlineStr">
        <is>
          <t>991000712119702656</t>
        </is>
      </c>
      <c r="AX2678" t="inlineStr">
        <is>
          <t>991000712119702656</t>
        </is>
      </c>
      <c r="AY2678" t="inlineStr">
        <is>
          <t>2263067510002656</t>
        </is>
      </c>
      <c r="AZ2678" t="inlineStr">
        <is>
          <t>BOOK</t>
        </is>
      </c>
      <c r="BB2678" t="inlineStr">
        <is>
          <t>9780582492783</t>
        </is>
      </c>
      <c r="BC2678" t="inlineStr">
        <is>
          <t>32285000370956</t>
        </is>
      </c>
      <c r="BD2678" t="inlineStr">
        <is>
          <t>893620731</t>
        </is>
      </c>
    </row>
    <row r="2679">
      <c r="A2679" t="inlineStr">
        <is>
          <t>No</t>
        </is>
      </c>
      <c r="B2679" t="inlineStr">
        <is>
          <t>DS918 .M263 1987</t>
        </is>
      </c>
      <c r="C2679" t="inlineStr">
        <is>
          <t>0                      DS 0918000M  263         1987</t>
        </is>
      </c>
      <c r="D2679" t="inlineStr">
        <is>
          <t>Korea, the war before Vietnam / Callum A. MacDonald.</t>
        </is>
      </c>
      <c r="F2679" t="inlineStr">
        <is>
          <t>No</t>
        </is>
      </c>
      <c r="G2679" t="inlineStr">
        <is>
          <t>1</t>
        </is>
      </c>
      <c r="H2679" t="inlineStr">
        <is>
          <t>No</t>
        </is>
      </c>
      <c r="I2679" t="inlineStr">
        <is>
          <t>No</t>
        </is>
      </c>
      <c r="J2679" t="inlineStr">
        <is>
          <t>0</t>
        </is>
      </c>
      <c r="K2679" t="inlineStr">
        <is>
          <t>MacDonald, C. A.</t>
        </is>
      </c>
      <c r="L2679" t="inlineStr">
        <is>
          <t>New York : Free Press, 1987.</t>
        </is>
      </c>
      <c r="M2679" t="inlineStr">
        <is>
          <t>1987</t>
        </is>
      </c>
      <c r="N2679" t="inlineStr">
        <is>
          <t>1st American ed.</t>
        </is>
      </c>
      <c r="O2679" t="inlineStr">
        <is>
          <t>eng</t>
        </is>
      </c>
      <c r="P2679" t="inlineStr">
        <is>
          <t>nyu</t>
        </is>
      </c>
      <c r="R2679" t="inlineStr">
        <is>
          <t xml:space="preserve">DS </t>
        </is>
      </c>
      <c r="S2679" t="n">
        <v>7</v>
      </c>
      <c r="T2679" t="n">
        <v>7</v>
      </c>
      <c r="U2679" t="inlineStr">
        <is>
          <t>1999-03-02</t>
        </is>
      </c>
      <c r="V2679" t="inlineStr">
        <is>
          <t>1999-03-02</t>
        </is>
      </c>
      <c r="W2679" t="inlineStr">
        <is>
          <t>1990-11-01</t>
        </is>
      </c>
      <c r="X2679" t="inlineStr">
        <is>
          <t>1990-11-01</t>
        </is>
      </c>
      <c r="Y2679" t="n">
        <v>1324</v>
      </c>
      <c r="Z2679" t="n">
        <v>1259</v>
      </c>
      <c r="AA2679" t="n">
        <v>1352</v>
      </c>
      <c r="AB2679" t="n">
        <v>10</v>
      </c>
      <c r="AC2679" t="n">
        <v>11</v>
      </c>
      <c r="AD2679" t="n">
        <v>45</v>
      </c>
      <c r="AE2679" t="n">
        <v>47</v>
      </c>
      <c r="AF2679" t="n">
        <v>19</v>
      </c>
      <c r="AG2679" t="n">
        <v>20</v>
      </c>
      <c r="AH2679" t="n">
        <v>9</v>
      </c>
      <c r="AI2679" t="n">
        <v>9</v>
      </c>
      <c r="AJ2679" t="n">
        <v>20</v>
      </c>
      <c r="AK2679" t="n">
        <v>21</v>
      </c>
      <c r="AL2679" t="n">
        <v>7</v>
      </c>
      <c r="AM2679" t="n">
        <v>8</v>
      </c>
      <c r="AN2679" t="n">
        <v>0</v>
      </c>
      <c r="AO2679" t="n">
        <v>0</v>
      </c>
      <c r="AP2679" t="inlineStr">
        <is>
          <t>No</t>
        </is>
      </c>
      <c r="AQ2679" t="inlineStr">
        <is>
          <t>No</t>
        </is>
      </c>
      <c r="AS2679">
        <f>HYPERLINK("https://creighton-primo.hosted.exlibrisgroup.com/primo-explore/search?tab=default_tab&amp;search_scope=EVERYTHING&amp;vid=01CRU&amp;lang=en_US&amp;offset=0&amp;query=any,contains,991000925939702656","Catalog Record")</f>
        <v/>
      </c>
      <c r="AT2679">
        <f>HYPERLINK("http://www.worldcat.org/oclc/14240157","WorldCat Record")</f>
        <v/>
      </c>
      <c r="AU2679" t="inlineStr">
        <is>
          <t>8997889:eng</t>
        </is>
      </c>
      <c r="AV2679" t="inlineStr">
        <is>
          <t>14240157</t>
        </is>
      </c>
      <c r="AW2679" t="inlineStr">
        <is>
          <t>991000925939702656</t>
        </is>
      </c>
      <c r="AX2679" t="inlineStr">
        <is>
          <t>991000925939702656</t>
        </is>
      </c>
      <c r="AY2679" t="inlineStr">
        <is>
          <t>2258763500002656</t>
        </is>
      </c>
      <c r="AZ2679" t="inlineStr">
        <is>
          <t>BOOK</t>
        </is>
      </c>
      <c r="BB2679" t="inlineStr">
        <is>
          <t>9780029196212</t>
        </is>
      </c>
      <c r="BC2679" t="inlineStr">
        <is>
          <t>32285000370964</t>
        </is>
      </c>
      <c r="BD2679" t="inlineStr">
        <is>
          <t>893784635</t>
        </is>
      </c>
    </row>
    <row r="2680">
      <c r="A2680" t="inlineStr">
        <is>
          <t>No</t>
        </is>
      </c>
      <c r="B2680" t="inlineStr">
        <is>
          <t>DS918 .P8</t>
        </is>
      </c>
      <c r="C2680" t="inlineStr">
        <is>
          <t>0                      DS 0918000P  8</t>
        </is>
      </c>
      <c r="D2680" t="inlineStr">
        <is>
          <t>The truth behind the Korean War : a review of worldwide news reports and editorials.</t>
        </is>
      </c>
      <c r="E2680" t="inlineStr">
        <is>
          <t>V.1</t>
        </is>
      </c>
      <c r="F2680" t="inlineStr">
        <is>
          <t>No</t>
        </is>
      </c>
      <c r="G2680" t="inlineStr">
        <is>
          <t>1</t>
        </is>
      </c>
      <c r="H2680" t="inlineStr">
        <is>
          <t>No</t>
        </is>
      </c>
      <c r="I2680" t="inlineStr">
        <is>
          <t>No</t>
        </is>
      </c>
      <c r="J2680" t="inlineStr">
        <is>
          <t>0</t>
        </is>
      </c>
      <c r="K2680" t="inlineStr">
        <is>
          <t>Hanʼguk Hongbo Hyŏphoe.</t>
        </is>
      </c>
      <c r="M2680" t="inlineStr">
        <is>
          <t>1973</t>
        </is>
      </c>
      <c r="O2680" t="inlineStr">
        <is>
          <t>eng</t>
        </is>
      </c>
      <c r="P2680" t="inlineStr">
        <is>
          <t xml:space="preserve">ko </t>
        </is>
      </c>
      <c r="R2680" t="inlineStr">
        <is>
          <t xml:space="preserve">DS </t>
        </is>
      </c>
      <c r="S2680" t="n">
        <v>7</v>
      </c>
      <c r="T2680" t="n">
        <v>7</v>
      </c>
      <c r="U2680" t="inlineStr">
        <is>
          <t>2006-11-28</t>
        </is>
      </c>
      <c r="V2680" t="inlineStr">
        <is>
          <t>2006-11-28</t>
        </is>
      </c>
      <c r="W2680" t="inlineStr">
        <is>
          <t>1991-02-04</t>
        </is>
      </c>
      <c r="X2680" t="inlineStr">
        <is>
          <t>1991-02-04</t>
        </is>
      </c>
      <c r="Y2680" t="n">
        <v>50</v>
      </c>
      <c r="Z2680" t="n">
        <v>33</v>
      </c>
      <c r="AA2680" t="n">
        <v>34</v>
      </c>
      <c r="AB2680" t="n">
        <v>1</v>
      </c>
      <c r="AC2680" t="n">
        <v>1</v>
      </c>
      <c r="AD2680" t="n">
        <v>1</v>
      </c>
      <c r="AE2680" t="n">
        <v>1</v>
      </c>
      <c r="AF2680" t="n">
        <v>0</v>
      </c>
      <c r="AG2680" t="n">
        <v>0</v>
      </c>
      <c r="AH2680" t="n">
        <v>0</v>
      </c>
      <c r="AI2680" t="n">
        <v>0</v>
      </c>
      <c r="AJ2680" t="n">
        <v>1</v>
      </c>
      <c r="AK2680" t="n">
        <v>1</v>
      </c>
      <c r="AL2680" t="n">
        <v>0</v>
      </c>
      <c r="AM2680" t="n">
        <v>0</v>
      </c>
      <c r="AN2680" t="n">
        <v>0</v>
      </c>
      <c r="AO2680" t="n">
        <v>0</v>
      </c>
      <c r="AP2680" t="inlineStr">
        <is>
          <t>No</t>
        </is>
      </c>
      <c r="AQ2680" t="inlineStr">
        <is>
          <t>Yes</t>
        </is>
      </c>
      <c r="AR2680">
        <f>HYPERLINK("http://catalog.hathitrust.org/Record/102062917","HathiTrust Record")</f>
        <v/>
      </c>
      <c r="AS2680">
        <f>HYPERLINK("https://creighton-primo.hosted.exlibrisgroup.com/primo-explore/search?tab=default_tab&amp;search_scope=EVERYTHING&amp;vid=01CRU&amp;lang=en_US&amp;offset=0&amp;query=any,contains,991003787319702656","Catalog Record")</f>
        <v/>
      </c>
      <c r="AT2680">
        <f>HYPERLINK("http://www.worldcat.org/oclc/1502748","WorldCat Record")</f>
        <v/>
      </c>
      <c r="AU2680" t="inlineStr">
        <is>
          <t>4036687541:eng</t>
        </is>
      </c>
      <c r="AV2680" t="inlineStr">
        <is>
          <t>1502748</t>
        </is>
      </c>
      <c r="AW2680" t="inlineStr">
        <is>
          <t>991003787319702656</t>
        </is>
      </c>
      <c r="AX2680" t="inlineStr">
        <is>
          <t>991003787319702656</t>
        </is>
      </c>
      <c r="AY2680" t="inlineStr">
        <is>
          <t>2263392170002656</t>
        </is>
      </c>
      <c r="AZ2680" t="inlineStr">
        <is>
          <t>BOOK</t>
        </is>
      </c>
      <c r="BC2680" t="inlineStr">
        <is>
          <t>32285000470962</t>
        </is>
      </c>
      <c r="BD2680" t="inlineStr">
        <is>
          <t>893693157</t>
        </is>
      </c>
    </row>
    <row r="2681">
      <c r="A2681" t="inlineStr">
        <is>
          <t>No</t>
        </is>
      </c>
      <c r="B2681" t="inlineStr">
        <is>
          <t>DS918 .R47 1993</t>
        </is>
      </c>
      <c r="C2681" t="inlineStr">
        <is>
          <t>0                      DS 0918000R  47          1993</t>
        </is>
      </c>
      <c r="D2681" t="inlineStr">
        <is>
          <t>A revolutionary war : Korea and the transformation of the postwar world / edited by William J. Williams.</t>
        </is>
      </c>
      <c r="F2681" t="inlineStr">
        <is>
          <t>No</t>
        </is>
      </c>
      <c r="G2681" t="inlineStr">
        <is>
          <t>1</t>
        </is>
      </c>
      <c r="H2681" t="inlineStr">
        <is>
          <t>No</t>
        </is>
      </c>
      <c r="I2681" t="inlineStr">
        <is>
          <t>No</t>
        </is>
      </c>
      <c r="J2681" t="inlineStr">
        <is>
          <t>0</t>
        </is>
      </c>
      <c r="L2681" t="inlineStr">
        <is>
          <t>Chicago : Imprint Publications, 1993.</t>
        </is>
      </c>
      <c r="M2681" t="inlineStr">
        <is>
          <t>1993</t>
        </is>
      </c>
      <c r="O2681" t="inlineStr">
        <is>
          <t>eng</t>
        </is>
      </c>
      <c r="P2681" t="inlineStr">
        <is>
          <t>ilu</t>
        </is>
      </c>
      <c r="Q2681" t="inlineStr">
        <is>
          <t>Military History Symposium series of the United States Air Force Academy ; v. 2</t>
        </is>
      </c>
      <c r="R2681" t="inlineStr">
        <is>
          <t xml:space="preserve">DS </t>
        </is>
      </c>
      <c r="S2681" t="n">
        <v>0</v>
      </c>
      <c r="T2681" t="n">
        <v>0</v>
      </c>
      <c r="U2681" t="inlineStr">
        <is>
          <t>2008-07-01</t>
        </is>
      </c>
      <c r="V2681" t="inlineStr">
        <is>
          <t>2008-07-01</t>
        </is>
      </c>
      <c r="W2681" t="inlineStr">
        <is>
          <t>1999-11-04</t>
        </is>
      </c>
      <c r="X2681" t="inlineStr">
        <is>
          <t>1999-11-04</t>
        </is>
      </c>
      <c r="Y2681" t="n">
        <v>93</v>
      </c>
      <c r="Z2681" t="n">
        <v>73</v>
      </c>
      <c r="AA2681" t="n">
        <v>75</v>
      </c>
      <c r="AB2681" t="n">
        <v>2</v>
      </c>
      <c r="AC2681" t="n">
        <v>2</v>
      </c>
      <c r="AD2681" t="n">
        <v>4</v>
      </c>
      <c r="AE2681" t="n">
        <v>4</v>
      </c>
      <c r="AF2681" t="n">
        <v>1</v>
      </c>
      <c r="AG2681" t="n">
        <v>1</v>
      </c>
      <c r="AH2681" t="n">
        <v>0</v>
      </c>
      <c r="AI2681" t="n">
        <v>0</v>
      </c>
      <c r="AJ2681" t="n">
        <v>3</v>
      </c>
      <c r="AK2681" t="n">
        <v>3</v>
      </c>
      <c r="AL2681" t="n">
        <v>1</v>
      </c>
      <c r="AM2681" t="n">
        <v>1</v>
      </c>
      <c r="AN2681" t="n">
        <v>0</v>
      </c>
      <c r="AO2681" t="n">
        <v>0</v>
      </c>
      <c r="AP2681" t="inlineStr">
        <is>
          <t>No</t>
        </is>
      </c>
      <c r="AQ2681" t="inlineStr">
        <is>
          <t>Yes</t>
        </is>
      </c>
      <c r="AR2681">
        <f>HYPERLINK("http://catalog.hathitrust.org/Record/003088436","HathiTrust Record")</f>
        <v/>
      </c>
      <c r="AS2681">
        <f>HYPERLINK("https://creighton-primo.hosted.exlibrisgroup.com/primo-explore/search?tab=default_tab&amp;search_scope=EVERYTHING&amp;vid=01CRU&amp;lang=en_US&amp;offset=0&amp;query=any,contains,991002301869702656","Catalog Record")</f>
        <v/>
      </c>
      <c r="AT2681">
        <f>HYPERLINK("http://www.worldcat.org/oclc/29863776","WorldCat Record")</f>
        <v/>
      </c>
      <c r="AU2681" t="inlineStr">
        <is>
          <t>474146148:eng</t>
        </is>
      </c>
      <c r="AV2681" t="inlineStr">
        <is>
          <t>29863776</t>
        </is>
      </c>
      <c r="AW2681" t="inlineStr">
        <is>
          <t>991002301869702656</t>
        </is>
      </c>
      <c r="AX2681" t="inlineStr">
        <is>
          <t>991002301869702656</t>
        </is>
      </c>
      <c r="AY2681" t="inlineStr">
        <is>
          <t>2259135340002656</t>
        </is>
      </c>
      <c r="AZ2681" t="inlineStr">
        <is>
          <t>BOOK</t>
        </is>
      </c>
      <c r="BB2681" t="inlineStr">
        <is>
          <t>9781879176164</t>
        </is>
      </c>
      <c r="BC2681" t="inlineStr">
        <is>
          <t>32285003618401</t>
        </is>
      </c>
      <c r="BD2681" t="inlineStr">
        <is>
          <t>893433727</t>
        </is>
      </c>
    </row>
    <row r="2682">
      <c r="A2682" t="inlineStr">
        <is>
          <t>No</t>
        </is>
      </c>
      <c r="B2682" t="inlineStr">
        <is>
          <t>DS918 .R5 1973</t>
        </is>
      </c>
      <c r="C2682" t="inlineStr">
        <is>
          <t>0                      DS 0918000R  5           1973</t>
        </is>
      </c>
      <c r="D2682" t="inlineStr">
        <is>
          <t>The Reds take a city; the Communist occupation of Seoul, with eyewitness accounts, by John W. Riley, Jr. and Wilbur Schramm. Narratives translated by Hugh Heung-wu Cynn.</t>
        </is>
      </c>
      <c r="F2682" t="inlineStr">
        <is>
          <t>No</t>
        </is>
      </c>
      <c r="G2682" t="inlineStr">
        <is>
          <t>1</t>
        </is>
      </c>
      <c r="H2682" t="inlineStr">
        <is>
          <t>No</t>
        </is>
      </c>
      <c r="I2682" t="inlineStr">
        <is>
          <t>No</t>
        </is>
      </c>
      <c r="J2682" t="inlineStr">
        <is>
          <t>0</t>
        </is>
      </c>
      <c r="K2682" t="inlineStr">
        <is>
          <t>Riley, John W.</t>
        </is>
      </c>
      <c r="L2682" t="inlineStr">
        <is>
          <t>Westport, Conn., Greenwood Press [1973, c1951]</t>
        </is>
      </c>
      <c r="M2682" t="inlineStr">
        <is>
          <t>1973</t>
        </is>
      </c>
      <c r="O2682" t="inlineStr">
        <is>
          <t>eng</t>
        </is>
      </c>
      <c r="P2682" t="inlineStr">
        <is>
          <t>ctu</t>
        </is>
      </c>
      <c r="R2682" t="inlineStr">
        <is>
          <t xml:space="preserve">DS </t>
        </is>
      </c>
      <c r="S2682" t="n">
        <v>1</v>
      </c>
      <c r="T2682" t="n">
        <v>1</v>
      </c>
      <c r="U2682" t="inlineStr">
        <is>
          <t>1997-06-13</t>
        </is>
      </c>
      <c r="V2682" t="inlineStr">
        <is>
          <t>1997-06-13</t>
        </is>
      </c>
      <c r="W2682" t="inlineStr">
        <is>
          <t>1997-03-18</t>
        </is>
      </c>
      <c r="X2682" t="inlineStr">
        <is>
          <t>1997-03-18</t>
        </is>
      </c>
      <c r="Y2682" t="n">
        <v>70</v>
      </c>
      <c r="Z2682" t="n">
        <v>55</v>
      </c>
      <c r="AA2682" t="n">
        <v>57</v>
      </c>
      <c r="AB2682" t="n">
        <v>1</v>
      </c>
      <c r="AC2682" t="n">
        <v>1</v>
      </c>
      <c r="AD2682" t="n">
        <v>0</v>
      </c>
      <c r="AE2682" t="n">
        <v>0</v>
      </c>
      <c r="AF2682" t="n">
        <v>0</v>
      </c>
      <c r="AG2682" t="n">
        <v>0</v>
      </c>
      <c r="AH2682" t="n">
        <v>0</v>
      </c>
      <c r="AI2682" t="n">
        <v>0</v>
      </c>
      <c r="AJ2682" t="n">
        <v>0</v>
      </c>
      <c r="AK2682" t="n">
        <v>0</v>
      </c>
      <c r="AL2682" t="n">
        <v>0</v>
      </c>
      <c r="AM2682" t="n">
        <v>0</v>
      </c>
      <c r="AN2682" t="n">
        <v>0</v>
      </c>
      <c r="AO2682" t="n">
        <v>0</v>
      </c>
      <c r="AP2682" t="inlineStr">
        <is>
          <t>No</t>
        </is>
      </c>
      <c r="AQ2682" t="inlineStr">
        <is>
          <t>No</t>
        </is>
      </c>
      <c r="AS2682">
        <f>HYPERLINK("https://creighton-primo.hosted.exlibrisgroup.com/primo-explore/search?tab=default_tab&amp;search_scope=EVERYTHING&amp;vid=01CRU&amp;lang=en_US&amp;offset=0&amp;query=any,contains,991003011199702656","Catalog Record")</f>
        <v/>
      </c>
      <c r="AT2682">
        <f>HYPERLINK("http://www.worldcat.org/oclc/578009","WorldCat Record")</f>
        <v/>
      </c>
      <c r="AU2682" t="inlineStr">
        <is>
          <t>4020402385:eng</t>
        </is>
      </c>
      <c r="AV2682" t="inlineStr">
        <is>
          <t>578009</t>
        </is>
      </c>
      <c r="AW2682" t="inlineStr">
        <is>
          <t>991003011199702656</t>
        </is>
      </c>
      <c r="AX2682" t="inlineStr">
        <is>
          <t>991003011199702656</t>
        </is>
      </c>
      <c r="AY2682" t="inlineStr">
        <is>
          <t>2256438460002656</t>
        </is>
      </c>
      <c r="AZ2682" t="inlineStr">
        <is>
          <t>BOOK</t>
        </is>
      </c>
      <c r="BB2682" t="inlineStr">
        <is>
          <t>9780837167114</t>
        </is>
      </c>
      <c r="BC2682" t="inlineStr">
        <is>
          <t>32285002451192</t>
        </is>
      </c>
      <c r="BD2682" t="inlineStr">
        <is>
          <t>893874322</t>
        </is>
      </c>
    </row>
    <row r="2683">
      <c r="A2683" t="inlineStr">
        <is>
          <t>No</t>
        </is>
      </c>
      <c r="B2683" t="inlineStr">
        <is>
          <t>DS918 .S55</t>
        </is>
      </c>
      <c r="C2683" t="inlineStr">
        <is>
          <t>0                      DS 0918000S  55</t>
        </is>
      </c>
      <c r="D2683" t="inlineStr">
        <is>
          <t>The strained alliance : Peking, Pʼyŏngyang, Moscow, and the politics of the Korean Civil War / [by] Robert R. Simmons.</t>
        </is>
      </c>
      <c r="F2683" t="inlineStr">
        <is>
          <t>No</t>
        </is>
      </c>
      <c r="G2683" t="inlineStr">
        <is>
          <t>1</t>
        </is>
      </c>
      <c r="H2683" t="inlineStr">
        <is>
          <t>No</t>
        </is>
      </c>
      <c r="I2683" t="inlineStr">
        <is>
          <t>No</t>
        </is>
      </c>
      <c r="J2683" t="inlineStr">
        <is>
          <t>0</t>
        </is>
      </c>
      <c r="K2683" t="inlineStr">
        <is>
          <t>Simmons, Robert R.</t>
        </is>
      </c>
      <c r="L2683" t="inlineStr">
        <is>
          <t>New York : Free Press, [1975]</t>
        </is>
      </c>
      <c r="M2683" t="inlineStr">
        <is>
          <t>1975</t>
        </is>
      </c>
      <c r="O2683" t="inlineStr">
        <is>
          <t>eng</t>
        </is>
      </c>
      <c r="P2683" t="inlineStr">
        <is>
          <t>nyu</t>
        </is>
      </c>
      <c r="R2683" t="inlineStr">
        <is>
          <t xml:space="preserve">DS </t>
        </is>
      </c>
      <c r="S2683" t="n">
        <v>3</v>
      </c>
      <c r="T2683" t="n">
        <v>3</v>
      </c>
      <c r="U2683" t="inlineStr">
        <is>
          <t>2006-11-28</t>
        </is>
      </c>
      <c r="V2683" t="inlineStr">
        <is>
          <t>2006-11-28</t>
        </is>
      </c>
      <c r="W2683" t="inlineStr">
        <is>
          <t>1995-02-24</t>
        </is>
      </c>
      <c r="X2683" t="inlineStr">
        <is>
          <t>1995-02-24</t>
        </is>
      </c>
      <c r="Y2683" t="n">
        <v>599</v>
      </c>
      <c r="Z2683" t="n">
        <v>487</v>
      </c>
      <c r="AA2683" t="n">
        <v>579</v>
      </c>
      <c r="AB2683" t="n">
        <v>5</v>
      </c>
      <c r="AC2683" t="n">
        <v>5</v>
      </c>
      <c r="AD2683" t="n">
        <v>21</v>
      </c>
      <c r="AE2683" t="n">
        <v>23</v>
      </c>
      <c r="AF2683" t="n">
        <v>6</v>
      </c>
      <c r="AG2683" t="n">
        <v>8</v>
      </c>
      <c r="AH2683" t="n">
        <v>6</v>
      </c>
      <c r="AI2683" t="n">
        <v>6</v>
      </c>
      <c r="AJ2683" t="n">
        <v>12</v>
      </c>
      <c r="AK2683" t="n">
        <v>12</v>
      </c>
      <c r="AL2683" t="n">
        <v>4</v>
      </c>
      <c r="AM2683" t="n">
        <v>4</v>
      </c>
      <c r="AN2683" t="n">
        <v>0</v>
      </c>
      <c r="AO2683" t="n">
        <v>0</v>
      </c>
      <c r="AP2683" t="inlineStr">
        <is>
          <t>No</t>
        </is>
      </c>
      <c r="AQ2683" t="inlineStr">
        <is>
          <t>Yes</t>
        </is>
      </c>
      <c r="AR2683">
        <f>HYPERLINK("http://catalog.hathitrust.org/Record/001606731","HathiTrust Record")</f>
        <v/>
      </c>
      <c r="AS2683">
        <f>HYPERLINK("https://creighton-primo.hosted.exlibrisgroup.com/primo-explore/search?tab=default_tab&amp;search_scope=EVERYTHING&amp;vid=01CRU&amp;lang=en_US&amp;offset=0&amp;query=any,contains,991003747339702656","Catalog Record")</f>
        <v/>
      </c>
      <c r="AT2683">
        <f>HYPERLINK("http://www.worldcat.org/oclc/1419668","WorldCat Record")</f>
        <v/>
      </c>
      <c r="AU2683" t="inlineStr">
        <is>
          <t>400816:eng</t>
        </is>
      </c>
      <c r="AV2683" t="inlineStr">
        <is>
          <t>1419668</t>
        </is>
      </c>
      <c r="AW2683" t="inlineStr">
        <is>
          <t>991003747339702656</t>
        </is>
      </c>
      <c r="AX2683" t="inlineStr">
        <is>
          <t>991003747339702656</t>
        </is>
      </c>
      <c r="AY2683" t="inlineStr">
        <is>
          <t>2260575970002656</t>
        </is>
      </c>
      <c r="AZ2683" t="inlineStr">
        <is>
          <t>BOOK</t>
        </is>
      </c>
      <c r="BB2683" t="inlineStr">
        <is>
          <t>9780029288801</t>
        </is>
      </c>
      <c r="BC2683" t="inlineStr">
        <is>
          <t>32285002010048</t>
        </is>
      </c>
      <c r="BD2683" t="inlineStr">
        <is>
          <t>893318357</t>
        </is>
      </c>
    </row>
    <row r="2684">
      <c r="A2684" t="inlineStr">
        <is>
          <t>No</t>
        </is>
      </c>
      <c r="B2684" t="inlineStr">
        <is>
          <t>DS918 .S86 1990</t>
        </is>
      </c>
      <c r="C2684" t="inlineStr">
        <is>
          <t>0                      DS 0918000S  86          1990</t>
        </is>
      </c>
      <c r="D2684" t="inlineStr">
        <is>
          <t>Korean War almanac / Harry G. Summers, Jr.</t>
        </is>
      </c>
      <c r="F2684" t="inlineStr">
        <is>
          <t>No</t>
        </is>
      </c>
      <c r="G2684" t="inlineStr">
        <is>
          <t>1</t>
        </is>
      </c>
      <c r="H2684" t="inlineStr">
        <is>
          <t>No</t>
        </is>
      </c>
      <c r="I2684" t="inlineStr">
        <is>
          <t>No</t>
        </is>
      </c>
      <c r="J2684" t="inlineStr">
        <is>
          <t>0</t>
        </is>
      </c>
      <c r="K2684" t="inlineStr">
        <is>
          <t>Summers, Harry G.</t>
        </is>
      </c>
      <c r="L2684" t="inlineStr">
        <is>
          <t>New York, N.Y. : Facts on File, 1990.</t>
        </is>
      </c>
      <c r="M2684" t="inlineStr">
        <is>
          <t>1990</t>
        </is>
      </c>
      <c r="O2684" t="inlineStr">
        <is>
          <t>eng</t>
        </is>
      </c>
      <c r="P2684" t="inlineStr">
        <is>
          <t>nyu</t>
        </is>
      </c>
      <c r="R2684" t="inlineStr">
        <is>
          <t xml:space="preserve">DS </t>
        </is>
      </c>
      <c r="S2684" t="n">
        <v>14</v>
      </c>
      <c r="T2684" t="n">
        <v>14</v>
      </c>
      <c r="U2684" t="inlineStr">
        <is>
          <t>2001-01-10</t>
        </is>
      </c>
      <c r="V2684" t="inlineStr">
        <is>
          <t>2001-01-10</t>
        </is>
      </c>
      <c r="W2684" t="inlineStr">
        <is>
          <t>1990-06-29</t>
        </is>
      </c>
      <c r="X2684" t="inlineStr">
        <is>
          <t>1990-06-29</t>
        </is>
      </c>
      <c r="Y2684" t="n">
        <v>1324</v>
      </c>
      <c r="Z2684" t="n">
        <v>1240</v>
      </c>
      <c r="AA2684" t="n">
        <v>1253</v>
      </c>
      <c r="AB2684" t="n">
        <v>9</v>
      </c>
      <c r="AC2684" t="n">
        <v>9</v>
      </c>
      <c r="AD2684" t="n">
        <v>35</v>
      </c>
      <c r="AE2684" t="n">
        <v>35</v>
      </c>
      <c r="AF2684" t="n">
        <v>14</v>
      </c>
      <c r="AG2684" t="n">
        <v>14</v>
      </c>
      <c r="AH2684" t="n">
        <v>10</v>
      </c>
      <c r="AI2684" t="n">
        <v>10</v>
      </c>
      <c r="AJ2684" t="n">
        <v>14</v>
      </c>
      <c r="AK2684" t="n">
        <v>14</v>
      </c>
      <c r="AL2684" t="n">
        <v>5</v>
      </c>
      <c r="AM2684" t="n">
        <v>5</v>
      </c>
      <c r="AN2684" t="n">
        <v>0</v>
      </c>
      <c r="AO2684" t="n">
        <v>0</v>
      </c>
      <c r="AP2684" t="inlineStr">
        <is>
          <t>No</t>
        </is>
      </c>
      <c r="AQ2684" t="inlineStr">
        <is>
          <t>No</t>
        </is>
      </c>
      <c r="AS2684">
        <f>HYPERLINK("https://creighton-primo.hosted.exlibrisgroup.com/primo-explore/search?tab=default_tab&amp;search_scope=EVERYTHING&amp;vid=01CRU&amp;lang=en_US&amp;offset=0&amp;query=any,contains,991001490549702656","Catalog Record")</f>
        <v/>
      </c>
      <c r="AT2684">
        <f>HYPERLINK("http://www.worldcat.org/oclc/19722569","WorldCat Record")</f>
        <v/>
      </c>
      <c r="AU2684" t="inlineStr">
        <is>
          <t>21473341:eng</t>
        </is>
      </c>
      <c r="AV2684" t="inlineStr">
        <is>
          <t>19722569</t>
        </is>
      </c>
      <c r="AW2684" t="inlineStr">
        <is>
          <t>991001490549702656</t>
        </is>
      </c>
      <c r="AX2684" t="inlineStr">
        <is>
          <t>991001490549702656</t>
        </is>
      </c>
      <c r="AY2684" t="inlineStr">
        <is>
          <t>2256278040002656</t>
        </is>
      </c>
      <c r="AZ2684" t="inlineStr">
        <is>
          <t>BOOK</t>
        </is>
      </c>
      <c r="BB2684" t="inlineStr">
        <is>
          <t>9780816017379</t>
        </is>
      </c>
      <c r="BC2684" t="inlineStr">
        <is>
          <t>32285000206754</t>
        </is>
      </c>
      <c r="BD2684" t="inlineStr">
        <is>
          <t>893503448</t>
        </is>
      </c>
    </row>
    <row r="2685">
      <c r="A2685" t="inlineStr">
        <is>
          <t>No</t>
        </is>
      </c>
      <c r="B2685" t="inlineStr">
        <is>
          <t>DS918 .T658 1991</t>
        </is>
      </c>
      <c r="C2685" t="inlineStr">
        <is>
          <t>0                      DS 0918000T  658         1991</t>
        </is>
      </c>
      <c r="D2685" t="inlineStr">
        <is>
          <t>In mortal combat : Korea, 1950-1953 / John Toland.</t>
        </is>
      </c>
      <c r="F2685" t="inlineStr">
        <is>
          <t>No</t>
        </is>
      </c>
      <c r="G2685" t="inlineStr">
        <is>
          <t>1</t>
        </is>
      </c>
      <c r="H2685" t="inlineStr">
        <is>
          <t>No</t>
        </is>
      </c>
      <c r="I2685" t="inlineStr">
        <is>
          <t>No</t>
        </is>
      </c>
      <c r="J2685" t="inlineStr">
        <is>
          <t>0</t>
        </is>
      </c>
      <c r="K2685" t="inlineStr">
        <is>
          <t>Toland, John.</t>
        </is>
      </c>
      <c r="L2685" t="inlineStr">
        <is>
          <t>New York : Morrow, c1991.</t>
        </is>
      </c>
      <c r="M2685" t="inlineStr">
        <is>
          <t>1991</t>
        </is>
      </c>
      <c r="N2685" t="inlineStr">
        <is>
          <t>1st ed.</t>
        </is>
      </c>
      <c r="O2685" t="inlineStr">
        <is>
          <t>eng</t>
        </is>
      </c>
      <c r="P2685" t="inlineStr">
        <is>
          <t>nyu</t>
        </is>
      </c>
      <c r="R2685" t="inlineStr">
        <is>
          <t xml:space="preserve">DS </t>
        </is>
      </c>
      <c r="S2685" t="n">
        <v>8</v>
      </c>
      <c r="T2685" t="n">
        <v>8</v>
      </c>
      <c r="U2685" t="inlineStr">
        <is>
          <t>1997-01-06</t>
        </is>
      </c>
      <c r="V2685" t="inlineStr">
        <is>
          <t>1997-01-06</t>
        </is>
      </c>
      <c r="W2685" t="inlineStr">
        <is>
          <t>1992-04-08</t>
        </is>
      </c>
      <c r="X2685" t="inlineStr">
        <is>
          <t>1992-04-08</t>
        </is>
      </c>
      <c r="Y2685" t="n">
        <v>1367</v>
      </c>
      <c r="Z2685" t="n">
        <v>1302</v>
      </c>
      <c r="AA2685" t="n">
        <v>1468</v>
      </c>
      <c r="AB2685" t="n">
        <v>8</v>
      </c>
      <c r="AC2685" t="n">
        <v>10</v>
      </c>
      <c r="AD2685" t="n">
        <v>29</v>
      </c>
      <c r="AE2685" t="n">
        <v>30</v>
      </c>
      <c r="AF2685" t="n">
        <v>13</v>
      </c>
      <c r="AG2685" t="n">
        <v>13</v>
      </c>
      <c r="AH2685" t="n">
        <v>6</v>
      </c>
      <c r="AI2685" t="n">
        <v>6</v>
      </c>
      <c r="AJ2685" t="n">
        <v>15</v>
      </c>
      <c r="AK2685" t="n">
        <v>15</v>
      </c>
      <c r="AL2685" t="n">
        <v>3</v>
      </c>
      <c r="AM2685" t="n">
        <v>4</v>
      </c>
      <c r="AN2685" t="n">
        <v>0</v>
      </c>
      <c r="AO2685" t="n">
        <v>0</v>
      </c>
      <c r="AP2685" t="inlineStr">
        <is>
          <t>No</t>
        </is>
      </c>
      <c r="AQ2685" t="inlineStr">
        <is>
          <t>No</t>
        </is>
      </c>
      <c r="AS2685">
        <f>HYPERLINK("https://creighton-primo.hosted.exlibrisgroup.com/primo-explore/search?tab=default_tab&amp;search_scope=EVERYTHING&amp;vid=01CRU&amp;lang=en_US&amp;offset=0&amp;query=any,contains,991001841139702656","Catalog Record")</f>
        <v/>
      </c>
      <c r="AT2685">
        <f>HYPERLINK("http://www.worldcat.org/oclc/23140489","WorldCat Record")</f>
        <v/>
      </c>
      <c r="AU2685" t="inlineStr">
        <is>
          <t>3769139896:eng</t>
        </is>
      </c>
      <c r="AV2685" t="inlineStr">
        <is>
          <t>23140489</t>
        </is>
      </c>
      <c r="AW2685" t="inlineStr">
        <is>
          <t>991001841139702656</t>
        </is>
      </c>
      <c r="AX2685" t="inlineStr">
        <is>
          <t>991001841139702656</t>
        </is>
      </c>
      <c r="AY2685" t="inlineStr">
        <is>
          <t>2266731080002656</t>
        </is>
      </c>
      <c r="AZ2685" t="inlineStr">
        <is>
          <t>BOOK</t>
        </is>
      </c>
      <c r="BB2685" t="inlineStr">
        <is>
          <t>9780688100797</t>
        </is>
      </c>
      <c r="BC2685" t="inlineStr">
        <is>
          <t>32285001008829</t>
        </is>
      </c>
      <c r="BD2685" t="inlineStr">
        <is>
          <t>893426913</t>
        </is>
      </c>
    </row>
    <row r="2686">
      <c r="A2686" t="inlineStr">
        <is>
          <t>No</t>
        </is>
      </c>
      <c r="B2686" t="inlineStr">
        <is>
          <t>DS918 .W37 2001</t>
        </is>
      </c>
      <c r="C2686" t="inlineStr">
        <is>
          <t>0                      DS 0918000W  37          2001</t>
        </is>
      </c>
      <c r="D2686" t="inlineStr">
        <is>
          <t>War and democracy : a comparative study of the Korean War and the Peloponnesian War / David McCann and Barry S. Strauss, editors.</t>
        </is>
      </c>
      <c r="F2686" t="inlineStr">
        <is>
          <t>No</t>
        </is>
      </c>
      <c r="G2686" t="inlineStr">
        <is>
          <t>1</t>
        </is>
      </c>
      <c r="H2686" t="inlineStr">
        <is>
          <t>No</t>
        </is>
      </c>
      <c r="I2686" t="inlineStr">
        <is>
          <t>No</t>
        </is>
      </c>
      <c r="J2686" t="inlineStr">
        <is>
          <t>0</t>
        </is>
      </c>
      <c r="L2686" t="inlineStr">
        <is>
          <t>Armonk, N.Y. : M.E. Sharpe, c2001.</t>
        </is>
      </c>
      <c r="M2686" t="inlineStr">
        <is>
          <t>2001</t>
        </is>
      </c>
      <c r="O2686" t="inlineStr">
        <is>
          <t>eng</t>
        </is>
      </c>
      <c r="P2686" t="inlineStr">
        <is>
          <t>nyu</t>
        </is>
      </c>
      <c r="R2686" t="inlineStr">
        <is>
          <t xml:space="preserve">DS </t>
        </is>
      </c>
      <c r="S2686" t="n">
        <v>2</v>
      </c>
      <c r="T2686" t="n">
        <v>2</v>
      </c>
      <c r="U2686" t="inlineStr">
        <is>
          <t>2001-11-07</t>
        </is>
      </c>
      <c r="V2686" t="inlineStr">
        <is>
          <t>2001-11-07</t>
        </is>
      </c>
      <c r="W2686" t="inlineStr">
        <is>
          <t>2001-10-29</t>
        </is>
      </c>
      <c r="X2686" t="inlineStr">
        <is>
          <t>2001-10-29</t>
        </is>
      </c>
      <c r="Y2686" t="n">
        <v>255</v>
      </c>
      <c r="Z2686" t="n">
        <v>190</v>
      </c>
      <c r="AA2686" t="n">
        <v>407</v>
      </c>
      <c r="AB2686" t="n">
        <v>3</v>
      </c>
      <c r="AC2686" t="n">
        <v>3</v>
      </c>
      <c r="AD2686" t="n">
        <v>9</v>
      </c>
      <c r="AE2686" t="n">
        <v>20</v>
      </c>
      <c r="AF2686" t="n">
        <v>2</v>
      </c>
      <c r="AG2686" t="n">
        <v>10</v>
      </c>
      <c r="AH2686" t="n">
        <v>3</v>
      </c>
      <c r="AI2686" t="n">
        <v>6</v>
      </c>
      <c r="AJ2686" t="n">
        <v>6</v>
      </c>
      <c r="AK2686" t="n">
        <v>8</v>
      </c>
      <c r="AL2686" t="n">
        <v>2</v>
      </c>
      <c r="AM2686" t="n">
        <v>2</v>
      </c>
      <c r="AN2686" t="n">
        <v>0</v>
      </c>
      <c r="AO2686" t="n">
        <v>0</v>
      </c>
      <c r="AP2686" t="inlineStr">
        <is>
          <t>No</t>
        </is>
      </c>
      <c r="AQ2686" t="inlineStr">
        <is>
          <t>Yes</t>
        </is>
      </c>
      <c r="AR2686">
        <f>HYPERLINK("http://catalog.hathitrust.org/Record/004170468","HathiTrust Record")</f>
        <v/>
      </c>
      <c r="AS2686">
        <f>HYPERLINK("https://creighton-primo.hosted.exlibrisgroup.com/primo-explore/search?tab=default_tab&amp;search_scope=EVERYTHING&amp;vid=01CRU&amp;lang=en_US&amp;offset=0&amp;query=any,contains,991003638049702656","Catalog Record")</f>
        <v/>
      </c>
      <c r="AT2686">
        <f>HYPERLINK("http://www.worldcat.org/oclc/44683497","WorldCat Record")</f>
        <v/>
      </c>
      <c r="AU2686" t="inlineStr">
        <is>
          <t>889759967:eng</t>
        </is>
      </c>
      <c r="AV2686" t="inlineStr">
        <is>
          <t>44683497</t>
        </is>
      </c>
      <c r="AW2686" t="inlineStr">
        <is>
          <t>991003638049702656</t>
        </is>
      </c>
      <c r="AX2686" t="inlineStr">
        <is>
          <t>991003638049702656</t>
        </is>
      </c>
      <c r="AY2686" t="inlineStr">
        <is>
          <t>2257718750002656</t>
        </is>
      </c>
      <c r="AZ2686" t="inlineStr">
        <is>
          <t>BOOK</t>
        </is>
      </c>
      <c r="BB2686" t="inlineStr">
        <is>
          <t>9780765606945</t>
        </is>
      </c>
      <c r="BC2686" t="inlineStr">
        <is>
          <t>32285004415864</t>
        </is>
      </c>
      <c r="BD2686" t="inlineStr">
        <is>
          <t>893598785</t>
        </is>
      </c>
    </row>
    <row r="2687">
      <c r="A2687" t="inlineStr">
        <is>
          <t>No</t>
        </is>
      </c>
      <c r="B2687" t="inlineStr">
        <is>
          <t>DS918 .W485</t>
        </is>
      </c>
      <c r="C2687" t="inlineStr">
        <is>
          <t>0                      DS 0918000W  485</t>
        </is>
      </c>
      <c r="D2687" t="inlineStr">
        <is>
          <t>Who started the war? : The truth about the Korean conflict.</t>
        </is>
      </c>
      <c r="F2687" t="inlineStr">
        <is>
          <t>No</t>
        </is>
      </c>
      <c r="G2687" t="inlineStr">
        <is>
          <t>1</t>
        </is>
      </c>
      <c r="H2687" t="inlineStr">
        <is>
          <t>No</t>
        </is>
      </c>
      <c r="I2687" t="inlineStr">
        <is>
          <t>No</t>
        </is>
      </c>
      <c r="J2687" t="inlineStr">
        <is>
          <t>0</t>
        </is>
      </c>
      <c r="L2687" t="inlineStr">
        <is>
          <t>[Seoul : Public Relations Association of Korea, 1973]</t>
        </is>
      </c>
      <c r="M2687" t="inlineStr">
        <is>
          <t>1973</t>
        </is>
      </c>
      <c r="O2687" t="inlineStr">
        <is>
          <t>eng</t>
        </is>
      </c>
      <c r="P2687" t="inlineStr">
        <is>
          <t xml:space="preserve">ko </t>
        </is>
      </c>
      <c r="R2687" t="inlineStr">
        <is>
          <t xml:space="preserve">DS </t>
        </is>
      </c>
      <c r="S2687" t="n">
        <v>7</v>
      </c>
      <c r="T2687" t="n">
        <v>7</v>
      </c>
      <c r="U2687" t="inlineStr">
        <is>
          <t>2009-05-06</t>
        </is>
      </c>
      <c r="V2687" t="inlineStr">
        <is>
          <t>2009-05-06</t>
        </is>
      </c>
      <c r="W2687" t="inlineStr">
        <is>
          <t>1993-12-16</t>
        </is>
      </c>
      <c r="X2687" t="inlineStr">
        <is>
          <t>1993-12-16</t>
        </is>
      </c>
      <c r="Y2687" t="n">
        <v>61</v>
      </c>
      <c r="Z2687" t="n">
        <v>39</v>
      </c>
      <c r="AA2687" t="n">
        <v>39</v>
      </c>
      <c r="AB2687" t="n">
        <v>2</v>
      </c>
      <c r="AC2687" t="n">
        <v>2</v>
      </c>
      <c r="AD2687" t="n">
        <v>5</v>
      </c>
      <c r="AE2687" t="n">
        <v>5</v>
      </c>
      <c r="AF2687" t="n">
        <v>1</v>
      </c>
      <c r="AG2687" t="n">
        <v>1</v>
      </c>
      <c r="AH2687" t="n">
        <v>2</v>
      </c>
      <c r="AI2687" t="n">
        <v>2</v>
      </c>
      <c r="AJ2687" t="n">
        <v>3</v>
      </c>
      <c r="AK2687" t="n">
        <v>3</v>
      </c>
      <c r="AL2687" t="n">
        <v>1</v>
      </c>
      <c r="AM2687" t="n">
        <v>1</v>
      </c>
      <c r="AN2687" t="n">
        <v>0</v>
      </c>
      <c r="AO2687" t="n">
        <v>0</v>
      </c>
      <c r="AP2687" t="inlineStr">
        <is>
          <t>No</t>
        </is>
      </c>
      <c r="AQ2687" t="inlineStr">
        <is>
          <t>No</t>
        </is>
      </c>
      <c r="AS2687">
        <f>HYPERLINK("https://creighton-primo.hosted.exlibrisgroup.com/primo-explore/search?tab=default_tab&amp;search_scope=EVERYTHING&amp;vid=01CRU&amp;lang=en_US&amp;offset=0&amp;query=any,contains,991003398449702656","Catalog Record")</f>
        <v/>
      </c>
      <c r="AT2687">
        <f>HYPERLINK("http://www.worldcat.org/oclc/937651","WorldCat Record")</f>
        <v/>
      </c>
      <c r="AU2687" t="inlineStr">
        <is>
          <t>1894001:eng</t>
        </is>
      </c>
      <c r="AV2687" t="inlineStr">
        <is>
          <t>937651</t>
        </is>
      </c>
      <c r="AW2687" t="inlineStr">
        <is>
          <t>991003398449702656</t>
        </is>
      </c>
      <c r="AX2687" t="inlineStr">
        <is>
          <t>991003398449702656</t>
        </is>
      </c>
      <c r="AY2687" t="inlineStr">
        <is>
          <t>2266170540002656</t>
        </is>
      </c>
      <c r="AZ2687" t="inlineStr">
        <is>
          <t>BOOK</t>
        </is>
      </c>
      <c r="BC2687" t="inlineStr">
        <is>
          <t>32285001809796</t>
        </is>
      </c>
      <c r="BD2687" t="inlineStr">
        <is>
          <t>893698972</t>
        </is>
      </c>
    </row>
    <row r="2688">
      <c r="A2688" t="inlineStr">
        <is>
          <t>No</t>
        </is>
      </c>
      <c r="B2688" t="inlineStr">
        <is>
          <t>DS918.15 .D85 2003</t>
        </is>
      </c>
      <c r="C2688" t="inlineStr">
        <is>
          <t>0                      DS 0918150D  85          2003</t>
        </is>
      </c>
      <c r="D2688" t="inlineStr">
        <is>
          <t>Battle for Korea : a history of the Korean conflict / Robert J. Dvorchak.</t>
        </is>
      </c>
      <c r="F2688" t="inlineStr">
        <is>
          <t>No</t>
        </is>
      </c>
      <c r="G2688" t="inlineStr">
        <is>
          <t>1</t>
        </is>
      </c>
      <c r="H2688" t="inlineStr">
        <is>
          <t>No</t>
        </is>
      </c>
      <c r="I2688" t="inlineStr">
        <is>
          <t>No</t>
        </is>
      </c>
      <c r="J2688" t="inlineStr">
        <is>
          <t>0</t>
        </is>
      </c>
      <c r="K2688" t="inlineStr">
        <is>
          <t>Dvorchak, Robert J.</t>
        </is>
      </c>
      <c r="L2688" t="inlineStr">
        <is>
          <t>Cambridge, Mass. : Da Capo ; London : Eurospan, 2003.</t>
        </is>
      </c>
      <c r="M2688" t="inlineStr">
        <is>
          <t>2003</t>
        </is>
      </c>
      <c r="N2688" t="inlineStr">
        <is>
          <t>1st Da Capo ed.</t>
        </is>
      </c>
      <c r="O2688" t="inlineStr">
        <is>
          <t>eng</t>
        </is>
      </c>
      <c r="P2688" t="inlineStr">
        <is>
          <t>mau</t>
        </is>
      </c>
      <c r="R2688" t="inlineStr">
        <is>
          <t xml:space="preserve">DS </t>
        </is>
      </c>
      <c r="S2688" t="n">
        <v>4</v>
      </c>
      <c r="T2688" t="n">
        <v>4</v>
      </c>
      <c r="U2688" t="inlineStr">
        <is>
          <t>2007-09-05</t>
        </is>
      </c>
      <c r="V2688" t="inlineStr">
        <is>
          <t>2007-09-05</t>
        </is>
      </c>
      <c r="W2688" t="inlineStr">
        <is>
          <t>2003-11-17</t>
        </is>
      </c>
      <c r="X2688" t="inlineStr">
        <is>
          <t>2003-11-17</t>
        </is>
      </c>
      <c r="Y2688" t="n">
        <v>93</v>
      </c>
      <c r="Z2688" t="n">
        <v>78</v>
      </c>
      <c r="AA2688" t="n">
        <v>422</v>
      </c>
      <c r="AB2688" t="n">
        <v>2</v>
      </c>
      <c r="AC2688" t="n">
        <v>5</v>
      </c>
      <c r="AD2688" t="n">
        <v>3</v>
      </c>
      <c r="AE2688" t="n">
        <v>9</v>
      </c>
      <c r="AF2688" t="n">
        <v>3</v>
      </c>
      <c r="AG2688" t="n">
        <v>3</v>
      </c>
      <c r="AH2688" t="n">
        <v>0</v>
      </c>
      <c r="AI2688" t="n">
        <v>2</v>
      </c>
      <c r="AJ2688" t="n">
        <v>2</v>
      </c>
      <c r="AK2688" t="n">
        <v>6</v>
      </c>
      <c r="AL2688" t="n">
        <v>0</v>
      </c>
      <c r="AM2688" t="n">
        <v>2</v>
      </c>
      <c r="AN2688" t="n">
        <v>0</v>
      </c>
      <c r="AO2688" t="n">
        <v>0</v>
      </c>
      <c r="AP2688" t="inlineStr">
        <is>
          <t>No</t>
        </is>
      </c>
      <c r="AQ2688" t="inlineStr">
        <is>
          <t>No</t>
        </is>
      </c>
      <c r="AS2688">
        <f>HYPERLINK("https://creighton-primo.hosted.exlibrisgroup.com/primo-explore/search?tab=default_tab&amp;search_scope=EVERYTHING&amp;vid=01CRU&amp;lang=en_US&amp;offset=0&amp;query=any,contains,991004164789702656","Catalog Record")</f>
        <v/>
      </c>
      <c r="AT2688">
        <f>HYPERLINK("http://www.worldcat.org/oclc/51668369","WorldCat Record")</f>
        <v/>
      </c>
      <c r="AU2688" t="inlineStr">
        <is>
          <t>793074917:eng</t>
        </is>
      </c>
      <c r="AV2688" t="inlineStr">
        <is>
          <t>51668369</t>
        </is>
      </c>
      <c r="AW2688" t="inlineStr">
        <is>
          <t>991004164789702656</t>
        </is>
      </c>
      <c r="AX2688" t="inlineStr">
        <is>
          <t>991004164789702656</t>
        </is>
      </c>
      <c r="AY2688" t="inlineStr">
        <is>
          <t>2267124480002656</t>
        </is>
      </c>
      <c r="AZ2688" t="inlineStr">
        <is>
          <t>BOOK</t>
        </is>
      </c>
      <c r="BB2688" t="inlineStr">
        <is>
          <t>9780306812446</t>
        </is>
      </c>
      <c r="BC2688" t="inlineStr">
        <is>
          <t>32285004798293</t>
        </is>
      </c>
      <c r="BD2688" t="inlineStr">
        <is>
          <t>893423460</t>
        </is>
      </c>
    </row>
    <row r="2689">
      <c r="A2689" t="inlineStr">
        <is>
          <t>No</t>
        </is>
      </c>
      <c r="B2689" t="inlineStr">
        <is>
          <t>DS918.2.C4 M3 1970</t>
        </is>
      </c>
      <c r="C2689" t="inlineStr">
        <is>
          <t>0                      DS 0918200C  4                  M  3           1970</t>
        </is>
      </c>
      <c r="D2689" t="inlineStr">
        <is>
          <t>The river and the gauntlet : defeat of the Eighth Army by the Chinese Communist forces, November, 1950, in the Battle of the Chongchon River, Korea / by S. L. A. Marshall.</t>
        </is>
      </c>
      <c r="F2689" t="inlineStr">
        <is>
          <t>No</t>
        </is>
      </c>
      <c r="G2689" t="inlineStr">
        <is>
          <t>1</t>
        </is>
      </c>
      <c r="H2689" t="inlineStr">
        <is>
          <t>No</t>
        </is>
      </c>
      <c r="I2689" t="inlineStr">
        <is>
          <t>No</t>
        </is>
      </c>
      <c r="J2689" t="inlineStr">
        <is>
          <t>0</t>
        </is>
      </c>
      <c r="K2689" t="inlineStr">
        <is>
          <t>Marshall, S. L. A. (Samuel Lyman Atwood), 1900-1977.</t>
        </is>
      </c>
      <c r="L2689" t="inlineStr">
        <is>
          <t>Westport, Conn. : Greenwood Press, [1970, c1953]</t>
        </is>
      </c>
      <c r="M2689" t="inlineStr">
        <is>
          <t>1970</t>
        </is>
      </c>
      <c r="O2689" t="inlineStr">
        <is>
          <t>eng</t>
        </is>
      </c>
      <c r="P2689" t="inlineStr">
        <is>
          <t>ctu</t>
        </is>
      </c>
      <c r="R2689" t="inlineStr">
        <is>
          <t xml:space="preserve">DS </t>
        </is>
      </c>
      <c r="S2689" t="n">
        <v>2</v>
      </c>
      <c r="T2689" t="n">
        <v>2</v>
      </c>
      <c r="U2689" t="inlineStr">
        <is>
          <t>2008-07-25</t>
        </is>
      </c>
      <c r="V2689" t="inlineStr">
        <is>
          <t>2008-07-25</t>
        </is>
      </c>
      <c r="W2689" t="inlineStr">
        <is>
          <t>1990-11-05</t>
        </is>
      </c>
      <c r="X2689" t="inlineStr">
        <is>
          <t>1990-11-05</t>
        </is>
      </c>
      <c r="Y2689" t="n">
        <v>234</v>
      </c>
      <c r="Z2689" t="n">
        <v>203</v>
      </c>
      <c r="AA2689" t="n">
        <v>1022</v>
      </c>
      <c r="AB2689" t="n">
        <v>2</v>
      </c>
      <c r="AC2689" t="n">
        <v>8</v>
      </c>
      <c r="AD2689" t="n">
        <v>11</v>
      </c>
      <c r="AE2689" t="n">
        <v>40</v>
      </c>
      <c r="AF2689" t="n">
        <v>7</v>
      </c>
      <c r="AG2689" t="n">
        <v>17</v>
      </c>
      <c r="AH2689" t="n">
        <v>2</v>
      </c>
      <c r="AI2689" t="n">
        <v>9</v>
      </c>
      <c r="AJ2689" t="n">
        <v>5</v>
      </c>
      <c r="AK2689" t="n">
        <v>19</v>
      </c>
      <c r="AL2689" t="n">
        <v>1</v>
      </c>
      <c r="AM2689" t="n">
        <v>5</v>
      </c>
      <c r="AN2689" t="n">
        <v>0</v>
      </c>
      <c r="AO2689" t="n">
        <v>0</v>
      </c>
      <c r="AP2689" t="inlineStr">
        <is>
          <t>No</t>
        </is>
      </c>
      <c r="AQ2689" t="inlineStr">
        <is>
          <t>Yes</t>
        </is>
      </c>
      <c r="AR2689">
        <f>HYPERLINK("http://catalog.hathitrust.org/Record/102068585","HathiTrust Record")</f>
        <v/>
      </c>
      <c r="AS2689">
        <f>HYPERLINK("https://creighton-primo.hosted.exlibrisgroup.com/primo-explore/search?tab=default_tab&amp;search_scope=EVERYTHING&amp;vid=01CRU&amp;lang=en_US&amp;offset=0&amp;query=any,contains,991000312929702656","Catalog Record")</f>
        <v/>
      </c>
      <c r="AT2689">
        <f>HYPERLINK("http://www.worldcat.org/oclc/69456","WorldCat Record")</f>
        <v/>
      </c>
      <c r="AU2689" t="inlineStr">
        <is>
          <t>1102585922:eng</t>
        </is>
      </c>
      <c r="AV2689" t="inlineStr">
        <is>
          <t>69456</t>
        </is>
      </c>
      <c r="AW2689" t="inlineStr">
        <is>
          <t>991000312929702656</t>
        </is>
      </c>
      <c r="AX2689" t="inlineStr">
        <is>
          <t>991000312929702656</t>
        </is>
      </c>
      <c r="AY2689" t="inlineStr">
        <is>
          <t>2259471390002656</t>
        </is>
      </c>
      <c r="AZ2689" t="inlineStr">
        <is>
          <t>BOOK</t>
        </is>
      </c>
      <c r="BB2689" t="inlineStr">
        <is>
          <t>9780837130118</t>
        </is>
      </c>
      <c r="BC2689" t="inlineStr">
        <is>
          <t>32285000370980</t>
        </is>
      </c>
      <c r="BD2689" t="inlineStr">
        <is>
          <t>893249239</t>
        </is>
      </c>
    </row>
    <row r="2690">
      <c r="A2690" t="inlineStr">
        <is>
          <t>No</t>
        </is>
      </c>
      <c r="B2690" t="inlineStr">
        <is>
          <t>DS919 .G37 1972</t>
        </is>
      </c>
      <c r="C2690" t="inlineStr">
        <is>
          <t>0                      DS 0919000G  37          1972</t>
        </is>
      </c>
      <c r="D2690" t="inlineStr">
        <is>
          <t>The Korean War / edited with an introd. by Lloyd C. Gardner.</t>
        </is>
      </c>
      <c r="F2690" t="inlineStr">
        <is>
          <t>No</t>
        </is>
      </c>
      <c r="G2690" t="inlineStr">
        <is>
          <t>1</t>
        </is>
      </c>
      <c r="H2690" t="inlineStr">
        <is>
          <t>No</t>
        </is>
      </c>
      <c r="I2690" t="inlineStr">
        <is>
          <t>No</t>
        </is>
      </c>
      <c r="J2690" t="inlineStr">
        <is>
          <t>0</t>
        </is>
      </c>
      <c r="K2690" t="inlineStr">
        <is>
          <t>Gardner, Lloyd C., 1934- compiler.</t>
        </is>
      </c>
      <c r="L2690" t="inlineStr">
        <is>
          <t>New York : Quadrangle Books, 1972.</t>
        </is>
      </c>
      <c r="M2690" t="inlineStr">
        <is>
          <t>1972</t>
        </is>
      </c>
      <c r="O2690" t="inlineStr">
        <is>
          <t>eng</t>
        </is>
      </c>
      <c r="P2690" t="inlineStr">
        <is>
          <t>nyu</t>
        </is>
      </c>
      <c r="R2690" t="inlineStr">
        <is>
          <t xml:space="preserve">DS </t>
        </is>
      </c>
      <c r="S2690" t="n">
        <v>10</v>
      </c>
      <c r="T2690" t="n">
        <v>10</v>
      </c>
      <c r="U2690" t="inlineStr">
        <is>
          <t>2009-05-06</t>
        </is>
      </c>
      <c r="V2690" t="inlineStr">
        <is>
          <t>2009-05-06</t>
        </is>
      </c>
      <c r="W2690" t="inlineStr">
        <is>
          <t>1990-11-05</t>
        </is>
      </c>
      <c r="X2690" t="inlineStr">
        <is>
          <t>1990-11-05</t>
        </is>
      </c>
      <c r="Y2690" t="n">
        <v>660</v>
      </c>
      <c r="Z2690" t="n">
        <v>601</v>
      </c>
      <c r="AA2690" t="n">
        <v>608</v>
      </c>
      <c r="AB2690" t="n">
        <v>6</v>
      </c>
      <c r="AC2690" t="n">
        <v>6</v>
      </c>
      <c r="AD2690" t="n">
        <v>13</v>
      </c>
      <c r="AE2690" t="n">
        <v>13</v>
      </c>
      <c r="AF2690" t="n">
        <v>4</v>
      </c>
      <c r="AG2690" t="n">
        <v>4</v>
      </c>
      <c r="AH2690" t="n">
        <v>4</v>
      </c>
      <c r="AI2690" t="n">
        <v>4</v>
      </c>
      <c r="AJ2690" t="n">
        <v>5</v>
      </c>
      <c r="AK2690" t="n">
        <v>5</v>
      </c>
      <c r="AL2690" t="n">
        <v>3</v>
      </c>
      <c r="AM2690" t="n">
        <v>3</v>
      </c>
      <c r="AN2690" t="n">
        <v>0</v>
      </c>
      <c r="AO2690" t="n">
        <v>0</v>
      </c>
      <c r="AP2690" t="inlineStr">
        <is>
          <t>No</t>
        </is>
      </c>
      <c r="AQ2690" t="inlineStr">
        <is>
          <t>Yes</t>
        </is>
      </c>
      <c r="AR2690">
        <f>HYPERLINK("http://catalog.hathitrust.org/Record/001606746","HathiTrust Record")</f>
        <v/>
      </c>
      <c r="AS2690">
        <f>HYPERLINK("https://creighton-primo.hosted.exlibrisgroup.com/primo-explore/search?tab=default_tab&amp;search_scope=EVERYTHING&amp;vid=01CRU&amp;lang=en_US&amp;offset=0&amp;query=any,contains,991002917409702656","Catalog Record")</f>
        <v/>
      </c>
      <c r="AT2690">
        <f>HYPERLINK("http://www.worldcat.org/oclc/524545","WorldCat Record")</f>
        <v/>
      </c>
      <c r="AU2690" t="inlineStr">
        <is>
          <t>1527103:eng</t>
        </is>
      </c>
      <c r="AV2690" t="inlineStr">
        <is>
          <t>524545</t>
        </is>
      </c>
      <c r="AW2690" t="inlineStr">
        <is>
          <t>991002917409702656</t>
        </is>
      </c>
      <c r="AX2690" t="inlineStr">
        <is>
          <t>991002917409702656</t>
        </is>
      </c>
      <c r="AY2690" t="inlineStr">
        <is>
          <t>2261111520002656</t>
        </is>
      </c>
      <c r="AZ2690" t="inlineStr">
        <is>
          <t>BOOK</t>
        </is>
      </c>
      <c r="BB2690" t="inlineStr">
        <is>
          <t>9780812902495</t>
        </is>
      </c>
      <c r="BC2690" t="inlineStr">
        <is>
          <t>32285000371004</t>
        </is>
      </c>
      <c r="BD2690" t="inlineStr">
        <is>
          <t>893434454</t>
        </is>
      </c>
    </row>
    <row r="2691">
      <c r="A2691" t="inlineStr">
        <is>
          <t>No</t>
        </is>
      </c>
      <c r="B2691" t="inlineStr">
        <is>
          <t>DS919 .G8</t>
        </is>
      </c>
      <c r="C2691" t="inlineStr">
        <is>
          <t>0                      DS 0919000G  8</t>
        </is>
      </c>
      <c r="D2691" t="inlineStr">
        <is>
          <t>Korea and the theory of limited war.</t>
        </is>
      </c>
      <c r="F2691" t="inlineStr">
        <is>
          <t>No</t>
        </is>
      </c>
      <c r="G2691" t="inlineStr">
        <is>
          <t>1</t>
        </is>
      </c>
      <c r="H2691" t="inlineStr">
        <is>
          <t>No</t>
        </is>
      </c>
      <c r="I2691" t="inlineStr">
        <is>
          <t>No</t>
        </is>
      </c>
      <c r="J2691" t="inlineStr">
        <is>
          <t>0</t>
        </is>
      </c>
      <c r="K2691" t="inlineStr">
        <is>
          <t>Guttmann, Allen compiler.</t>
        </is>
      </c>
      <c r="L2691" t="inlineStr">
        <is>
          <t>Boston, Heath [1967]</t>
        </is>
      </c>
      <c r="M2691" t="inlineStr">
        <is>
          <t>1967</t>
        </is>
      </c>
      <c r="O2691" t="inlineStr">
        <is>
          <t>eng</t>
        </is>
      </c>
      <c r="P2691" t="inlineStr">
        <is>
          <t>mau</t>
        </is>
      </c>
      <c r="Q2691" t="inlineStr">
        <is>
          <t>Problems in American civilization</t>
        </is>
      </c>
      <c r="R2691" t="inlineStr">
        <is>
          <t xml:space="preserve">DS </t>
        </is>
      </c>
      <c r="S2691" t="n">
        <v>2</v>
      </c>
      <c r="T2691" t="n">
        <v>2</v>
      </c>
      <c r="U2691" t="inlineStr">
        <is>
          <t>2009-05-06</t>
        </is>
      </c>
      <c r="V2691" t="inlineStr">
        <is>
          <t>2009-05-06</t>
        </is>
      </c>
      <c r="W2691" t="inlineStr">
        <is>
          <t>1997-03-18</t>
        </is>
      </c>
      <c r="X2691" t="inlineStr">
        <is>
          <t>1997-03-18</t>
        </is>
      </c>
      <c r="Y2691" t="n">
        <v>652</v>
      </c>
      <c r="Z2691" t="n">
        <v>558</v>
      </c>
      <c r="AA2691" t="n">
        <v>570</v>
      </c>
      <c r="AB2691" t="n">
        <v>5</v>
      </c>
      <c r="AC2691" t="n">
        <v>5</v>
      </c>
      <c r="AD2691" t="n">
        <v>26</v>
      </c>
      <c r="AE2691" t="n">
        <v>27</v>
      </c>
      <c r="AF2691" t="n">
        <v>7</v>
      </c>
      <c r="AG2691" t="n">
        <v>7</v>
      </c>
      <c r="AH2691" t="n">
        <v>5</v>
      </c>
      <c r="AI2691" t="n">
        <v>6</v>
      </c>
      <c r="AJ2691" t="n">
        <v>16</v>
      </c>
      <c r="AK2691" t="n">
        <v>16</v>
      </c>
      <c r="AL2691" t="n">
        <v>4</v>
      </c>
      <c r="AM2691" t="n">
        <v>4</v>
      </c>
      <c r="AN2691" t="n">
        <v>0</v>
      </c>
      <c r="AO2691" t="n">
        <v>0</v>
      </c>
      <c r="AP2691" t="inlineStr">
        <is>
          <t>No</t>
        </is>
      </c>
      <c r="AQ2691" t="inlineStr">
        <is>
          <t>Yes</t>
        </is>
      </c>
      <c r="AR2691">
        <f>HYPERLINK("http://catalog.hathitrust.org/Record/003091161","HathiTrust Record")</f>
        <v/>
      </c>
      <c r="AS2691">
        <f>HYPERLINK("https://creighton-primo.hosted.exlibrisgroup.com/primo-explore/search?tab=default_tab&amp;search_scope=EVERYTHING&amp;vid=01CRU&amp;lang=en_US&amp;offset=0&amp;query=any,contains,991004170319702656","Catalog Record")</f>
        <v/>
      </c>
      <c r="AT2691">
        <f>HYPERLINK("http://www.worldcat.org/oclc/2579698","WorldCat Record")</f>
        <v/>
      </c>
      <c r="AU2691" t="inlineStr">
        <is>
          <t>118271822:eng</t>
        </is>
      </c>
      <c r="AV2691" t="inlineStr">
        <is>
          <t>2579698</t>
        </is>
      </c>
      <c r="AW2691" t="inlineStr">
        <is>
          <t>991004170319702656</t>
        </is>
      </c>
      <c r="AX2691" t="inlineStr">
        <is>
          <t>991004170319702656</t>
        </is>
      </c>
      <c r="AY2691" t="inlineStr">
        <is>
          <t>2257614500002656</t>
        </is>
      </c>
      <c r="AZ2691" t="inlineStr">
        <is>
          <t>BOOK</t>
        </is>
      </c>
      <c r="BC2691" t="inlineStr">
        <is>
          <t>32285002451218</t>
        </is>
      </c>
      <c r="BD2691" t="inlineStr">
        <is>
          <t>893806752</t>
        </is>
      </c>
    </row>
    <row r="2692">
      <c r="A2692" t="inlineStr">
        <is>
          <t>No</t>
        </is>
      </c>
      <c r="B2692" t="inlineStr">
        <is>
          <t>DS919 .H35 2007</t>
        </is>
      </c>
      <c r="C2692" t="inlineStr">
        <is>
          <t>0                      DS 0919000H  35          2007</t>
        </is>
      </c>
      <c r="D2692" t="inlineStr">
        <is>
          <t>The coldest winter : America and the Korean War / David Halberstam.</t>
        </is>
      </c>
      <c r="F2692" t="inlineStr">
        <is>
          <t>No</t>
        </is>
      </c>
      <c r="G2692" t="inlineStr">
        <is>
          <t>1</t>
        </is>
      </c>
      <c r="H2692" t="inlineStr">
        <is>
          <t>No</t>
        </is>
      </c>
      <c r="I2692" t="inlineStr">
        <is>
          <t>No</t>
        </is>
      </c>
      <c r="J2692" t="inlineStr">
        <is>
          <t>0</t>
        </is>
      </c>
      <c r="K2692" t="inlineStr">
        <is>
          <t>Halberstam, David.</t>
        </is>
      </c>
      <c r="L2692" t="inlineStr">
        <is>
          <t>New York : Hyperion, c2007.</t>
        </is>
      </c>
      <c r="M2692" t="inlineStr">
        <is>
          <t>2007</t>
        </is>
      </c>
      <c r="N2692" t="inlineStr">
        <is>
          <t>1st ed.</t>
        </is>
      </c>
      <c r="O2692" t="inlineStr">
        <is>
          <t>eng</t>
        </is>
      </c>
      <c r="P2692" t="inlineStr">
        <is>
          <t>nyu</t>
        </is>
      </c>
      <c r="R2692" t="inlineStr">
        <is>
          <t xml:space="preserve">DS </t>
        </is>
      </c>
      <c r="S2692" t="n">
        <v>5</v>
      </c>
      <c r="T2692" t="n">
        <v>5</v>
      </c>
      <c r="U2692" t="inlineStr">
        <is>
          <t>2010-09-24</t>
        </is>
      </c>
      <c r="V2692" t="inlineStr">
        <is>
          <t>2010-09-24</t>
        </is>
      </c>
      <c r="W2692" t="inlineStr">
        <is>
          <t>2008-04-29</t>
        </is>
      </c>
      <c r="X2692" t="inlineStr">
        <is>
          <t>2008-04-29</t>
        </is>
      </c>
      <c r="Y2692" t="n">
        <v>3076</v>
      </c>
      <c r="Z2692" t="n">
        <v>2939</v>
      </c>
      <c r="AA2692" t="n">
        <v>3151</v>
      </c>
      <c r="AB2692" t="n">
        <v>40</v>
      </c>
      <c r="AC2692" t="n">
        <v>41</v>
      </c>
      <c r="AD2692" t="n">
        <v>48</v>
      </c>
      <c r="AE2692" t="n">
        <v>50</v>
      </c>
      <c r="AF2692" t="n">
        <v>21</v>
      </c>
      <c r="AG2692" t="n">
        <v>21</v>
      </c>
      <c r="AH2692" t="n">
        <v>9</v>
      </c>
      <c r="AI2692" t="n">
        <v>9</v>
      </c>
      <c r="AJ2692" t="n">
        <v>19</v>
      </c>
      <c r="AK2692" t="n">
        <v>20</v>
      </c>
      <c r="AL2692" t="n">
        <v>8</v>
      </c>
      <c r="AM2692" t="n">
        <v>9</v>
      </c>
      <c r="AN2692" t="n">
        <v>1</v>
      </c>
      <c r="AO2692" t="n">
        <v>1</v>
      </c>
      <c r="AP2692" t="inlineStr">
        <is>
          <t>No</t>
        </is>
      </c>
      <c r="AQ2692" t="inlineStr">
        <is>
          <t>No</t>
        </is>
      </c>
      <c r="AS2692">
        <f>HYPERLINK("https://creighton-primo.hosted.exlibrisgroup.com/primo-explore/search?tab=default_tab&amp;search_scope=EVERYTHING&amp;vid=01CRU&amp;lang=en_US&amp;offset=0&amp;query=any,contains,991005206969702656","Catalog Record")</f>
        <v/>
      </c>
      <c r="AT2692">
        <f>HYPERLINK("http://www.worldcat.org/oclc/137324872","WorldCat Record")</f>
        <v/>
      </c>
      <c r="AU2692" t="inlineStr">
        <is>
          <t>168280440:eng</t>
        </is>
      </c>
      <c r="AV2692" t="inlineStr">
        <is>
          <t>137324872</t>
        </is>
      </c>
      <c r="AW2692" t="inlineStr">
        <is>
          <t>991005206969702656</t>
        </is>
      </c>
      <c r="AX2692" t="inlineStr">
        <is>
          <t>991005206969702656</t>
        </is>
      </c>
      <c r="AY2692" t="inlineStr">
        <is>
          <t>2256007540002656</t>
        </is>
      </c>
      <c r="AZ2692" t="inlineStr">
        <is>
          <t>BOOK</t>
        </is>
      </c>
      <c r="BB2692" t="inlineStr">
        <is>
          <t>9781401300524</t>
        </is>
      </c>
      <c r="BC2692" t="inlineStr">
        <is>
          <t>32285005404966</t>
        </is>
      </c>
      <c r="BD2692" t="inlineStr">
        <is>
          <t>893533361</t>
        </is>
      </c>
    </row>
    <row r="2693">
      <c r="A2693" t="inlineStr">
        <is>
          <t>No</t>
        </is>
      </c>
      <c r="B2693" t="inlineStr">
        <is>
          <t>DS919 .K38 1986</t>
        </is>
      </c>
      <c r="C2693" t="inlineStr">
        <is>
          <t>0                      DS 0919000K  38          1986</t>
        </is>
      </c>
      <c r="D2693" t="inlineStr">
        <is>
          <t>The Korean War : challenges in crisis, credibility, and command / Burton I. Kaufman.</t>
        </is>
      </c>
      <c r="F2693" t="inlineStr">
        <is>
          <t>No</t>
        </is>
      </c>
      <c r="G2693" t="inlineStr">
        <is>
          <t>1</t>
        </is>
      </c>
      <c r="H2693" t="inlineStr">
        <is>
          <t>No</t>
        </is>
      </c>
      <c r="I2693" t="inlineStr">
        <is>
          <t>No</t>
        </is>
      </c>
      <c r="J2693" t="inlineStr">
        <is>
          <t>0</t>
        </is>
      </c>
      <c r="K2693" t="inlineStr">
        <is>
          <t>Kaufman, Burton Ira.</t>
        </is>
      </c>
      <c r="L2693" t="inlineStr">
        <is>
          <t>Philadelphia : Temple University Press, c1986.</t>
        </is>
      </c>
      <c r="M2693" t="inlineStr">
        <is>
          <t>1986</t>
        </is>
      </c>
      <c r="N2693" t="inlineStr">
        <is>
          <t>1st ed.</t>
        </is>
      </c>
      <c r="O2693" t="inlineStr">
        <is>
          <t>eng</t>
        </is>
      </c>
      <c r="P2693" t="inlineStr">
        <is>
          <t>pau</t>
        </is>
      </c>
      <c r="R2693" t="inlineStr">
        <is>
          <t xml:space="preserve">DS </t>
        </is>
      </c>
      <c r="S2693" t="n">
        <v>11</v>
      </c>
      <c r="T2693" t="n">
        <v>11</v>
      </c>
      <c r="U2693" t="inlineStr">
        <is>
          <t>2009-04-30</t>
        </is>
      </c>
      <c r="V2693" t="inlineStr">
        <is>
          <t>2009-04-30</t>
        </is>
      </c>
      <c r="W2693" t="inlineStr">
        <is>
          <t>1990-11-05</t>
        </is>
      </c>
      <c r="X2693" t="inlineStr">
        <is>
          <t>1990-11-05</t>
        </is>
      </c>
      <c r="Y2693" t="n">
        <v>785</v>
      </c>
      <c r="Z2693" t="n">
        <v>695</v>
      </c>
      <c r="AA2693" t="n">
        <v>890</v>
      </c>
      <c r="AB2693" t="n">
        <v>4</v>
      </c>
      <c r="AC2693" t="n">
        <v>5</v>
      </c>
      <c r="AD2693" t="n">
        <v>27</v>
      </c>
      <c r="AE2693" t="n">
        <v>33</v>
      </c>
      <c r="AF2693" t="n">
        <v>11</v>
      </c>
      <c r="AG2693" t="n">
        <v>13</v>
      </c>
      <c r="AH2693" t="n">
        <v>7</v>
      </c>
      <c r="AI2693" t="n">
        <v>9</v>
      </c>
      <c r="AJ2693" t="n">
        <v>15</v>
      </c>
      <c r="AK2693" t="n">
        <v>17</v>
      </c>
      <c r="AL2693" t="n">
        <v>3</v>
      </c>
      <c r="AM2693" t="n">
        <v>4</v>
      </c>
      <c r="AN2693" t="n">
        <v>0</v>
      </c>
      <c r="AO2693" t="n">
        <v>0</v>
      </c>
      <c r="AP2693" t="inlineStr">
        <is>
          <t>No</t>
        </is>
      </c>
      <c r="AQ2693" t="inlineStr">
        <is>
          <t>No</t>
        </is>
      </c>
      <c r="AS2693">
        <f>HYPERLINK("https://creighton-primo.hosted.exlibrisgroup.com/primo-explore/search?tab=default_tab&amp;search_scope=EVERYTHING&amp;vid=01CRU&amp;lang=en_US&amp;offset=0&amp;query=any,contains,991000739139702656","Catalog Record")</f>
        <v/>
      </c>
      <c r="AT2693">
        <f>HYPERLINK("http://www.worldcat.org/oclc/12804982","WorldCat Record")</f>
        <v/>
      </c>
      <c r="AU2693" t="inlineStr">
        <is>
          <t>5385728:eng</t>
        </is>
      </c>
      <c r="AV2693" t="inlineStr">
        <is>
          <t>12804982</t>
        </is>
      </c>
      <c r="AW2693" t="inlineStr">
        <is>
          <t>991000739139702656</t>
        </is>
      </c>
      <c r="AX2693" t="inlineStr">
        <is>
          <t>991000739139702656</t>
        </is>
      </c>
      <c r="AY2693" t="inlineStr">
        <is>
          <t>2255978260002656</t>
        </is>
      </c>
      <c r="AZ2693" t="inlineStr">
        <is>
          <t>BOOK</t>
        </is>
      </c>
      <c r="BB2693" t="inlineStr">
        <is>
          <t>9780877224181</t>
        </is>
      </c>
      <c r="BC2693" t="inlineStr">
        <is>
          <t>32285000371012</t>
        </is>
      </c>
      <c r="BD2693" t="inlineStr">
        <is>
          <t>893620747</t>
        </is>
      </c>
    </row>
    <row r="2694">
      <c r="A2694" t="inlineStr">
        <is>
          <t>No</t>
        </is>
      </c>
      <c r="B2694" t="inlineStr">
        <is>
          <t>DS919 .N6 1975</t>
        </is>
      </c>
      <c r="C2694" t="inlineStr">
        <is>
          <t>0                      DS 0919000N  6           1975</t>
        </is>
      </c>
      <c r="D2694" t="inlineStr">
        <is>
          <t>Embassy at war / Harold Joyce Noble ; edited with an introd. by Frank Baldwin.</t>
        </is>
      </c>
      <c r="F2694" t="inlineStr">
        <is>
          <t>No</t>
        </is>
      </c>
      <c r="G2694" t="inlineStr">
        <is>
          <t>1</t>
        </is>
      </c>
      <c r="H2694" t="inlineStr">
        <is>
          <t>No</t>
        </is>
      </c>
      <c r="I2694" t="inlineStr">
        <is>
          <t>No</t>
        </is>
      </c>
      <c r="J2694" t="inlineStr">
        <is>
          <t>0</t>
        </is>
      </c>
      <c r="K2694" t="inlineStr">
        <is>
          <t>Noble, Harold Joyce, 1903-1953.</t>
        </is>
      </c>
      <c r="L2694" t="inlineStr">
        <is>
          <t>Seattle : University of Washington Press, [1975] c1974.</t>
        </is>
      </c>
      <c r="M2694" t="inlineStr">
        <is>
          <t>1975</t>
        </is>
      </c>
      <c r="O2694" t="inlineStr">
        <is>
          <t>eng</t>
        </is>
      </c>
      <c r="P2694" t="inlineStr">
        <is>
          <t>wau</t>
        </is>
      </c>
      <c r="Q2694" t="inlineStr">
        <is>
          <t>Studies of the East Asian Institute</t>
        </is>
      </c>
      <c r="R2694" t="inlineStr">
        <is>
          <t xml:space="preserve">DS </t>
        </is>
      </c>
      <c r="S2694" t="n">
        <v>4</v>
      </c>
      <c r="T2694" t="n">
        <v>4</v>
      </c>
      <c r="U2694" t="inlineStr">
        <is>
          <t>1997-06-11</t>
        </is>
      </c>
      <c r="V2694" t="inlineStr">
        <is>
          <t>1997-06-11</t>
        </is>
      </c>
      <c r="W2694" t="inlineStr">
        <is>
          <t>1997-03-17</t>
        </is>
      </c>
      <c r="X2694" t="inlineStr">
        <is>
          <t>1997-03-17</t>
        </is>
      </c>
      <c r="Y2694" t="n">
        <v>506</v>
      </c>
      <c r="Z2694" t="n">
        <v>447</v>
      </c>
      <c r="AA2694" t="n">
        <v>447</v>
      </c>
      <c r="AB2694" t="n">
        <v>3</v>
      </c>
      <c r="AC2694" t="n">
        <v>3</v>
      </c>
      <c r="AD2694" t="n">
        <v>22</v>
      </c>
      <c r="AE2694" t="n">
        <v>22</v>
      </c>
      <c r="AF2694" t="n">
        <v>9</v>
      </c>
      <c r="AG2694" t="n">
        <v>9</v>
      </c>
      <c r="AH2694" t="n">
        <v>5</v>
      </c>
      <c r="AI2694" t="n">
        <v>5</v>
      </c>
      <c r="AJ2694" t="n">
        <v>11</v>
      </c>
      <c r="AK2694" t="n">
        <v>11</v>
      </c>
      <c r="AL2694" t="n">
        <v>2</v>
      </c>
      <c r="AM2694" t="n">
        <v>2</v>
      </c>
      <c r="AN2694" t="n">
        <v>1</v>
      </c>
      <c r="AO2694" t="n">
        <v>1</v>
      </c>
      <c r="AP2694" t="inlineStr">
        <is>
          <t>No</t>
        </is>
      </c>
      <c r="AQ2694" t="inlineStr">
        <is>
          <t>No</t>
        </is>
      </c>
      <c r="AS2694">
        <f>HYPERLINK("https://creighton-primo.hosted.exlibrisgroup.com/primo-explore/search?tab=default_tab&amp;search_scope=EVERYTHING&amp;vid=01CRU&amp;lang=en_US&amp;offset=0&amp;query=any,contains,991003528179702656","Catalog Record")</f>
        <v/>
      </c>
      <c r="AT2694">
        <f>HYPERLINK("http://www.worldcat.org/oclc/1091788","WorldCat Record")</f>
        <v/>
      </c>
      <c r="AU2694" t="inlineStr">
        <is>
          <t>2063074:eng</t>
        </is>
      </c>
      <c r="AV2694" t="inlineStr">
        <is>
          <t>1091788</t>
        </is>
      </c>
      <c r="AW2694" t="inlineStr">
        <is>
          <t>991003528179702656</t>
        </is>
      </c>
      <c r="AX2694" t="inlineStr">
        <is>
          <t>991003528179702656</t>
        </is>
      </c>
      <c r="AY2694" t="inlineStr">
        <is>
          <t>2265980740002656</t>
        </is>
      </c>
      <c r="AZ2694" t="inlineStr">
        <is>
          <t>BOOK</t>
        </is>
      </c>
      <c r="BB2694" t="inlineStr">
        <is>
          <t>9780295953410</t>
        </is>
      </c>
      <c r="BC2694" t="inlineStr">
        <is>
          <t>32285002449022</t>
        </is>
      </c>
      <c r="BD2694" t="inlineStr">
        <is>
          <t>893499393</t>
        </is>
      </c>
    </row>
    <row r="2695">
      <c r="A2695" t="inlineStr">
        <is>
          <t>No</t>
        </is>
      </c>
      <c r="B2695" t="inlineStr">
        <is>
          <t>DS919 .S62</t>
        </is>
      </c>
      <c r="C2695" t="inlineStr">
        <is>
          <t>0                      DS 0919000S  62</t>
        </is>
      </c>
      <c r="D2695" t="inlineStr">
        <is>
          <t>The Truman-MacArthur controversy and the Korean War.</t>
        </is>
      </c>
      <c r="F2695" t="inlineStr">
        <is>
          <t>No</t>
        </is>
      </c>
      <c r="G2695" t="inlineStr">
        <is>
          <t>1</t>
        </is>
      </c>
      <c r="H2695" t="inlineStr">
        <is>
          <t>No</t>
        </is>
      </c>
      <c r="I2695" t="inlineStr">
        <is>
          <t>No</t>
        </is>
      </c>
      <c r="J2695" t="inlineStr">
        <is>
          <t>0</t>
        </is>
      </c>
      <c r="K2695" t="inlineStr">
        <is>
          <t>Spanier, John W.</t>
        </is>
      </c>
      <c r="L2695" t="inlineStr">
        <is>
          <t>Cambridge, Mass., Belknap Press, 1959.</t>
        </is>
      </c>
      <c r="M2695" t="inlineStr">
        <is>
          <t>1959</t>
        </is>
      </c>
      <c r="O2695" t="inlineStr">
        <is>
          <t>eng</t>
        </is>
      </c>
      <c r="P2695" t="inlineStr">
        <is>
          <t>mau</t>
        </is>
      </c>
      <c r="R2695" t="inlineStr">
        <is>
          <t xml:space="preserve">DS </t>
        </is>
      </c>
      <c r="S2695" t="n">
        <v>1</v>
      </c>
      <c r="T2695" t="n">
        <v>1</v>
      </c>
      <c r="U2695" t="inlineStr">
        <is>
          <t>2004-04-18</t>
        </is>
      </c>
      <c r="V2695" t="inlineStr">
        <is>
          <t>2004-04-18</t>
        </is>
      </c>
      <c r="W2695" t="inlineStr">
        <is>
          <t>1997-03-17</t>
        </is>
      </c>
      <c r="X2695" t="inlineStr">
        <is>
          <t>1997-03-17</t>
        </is>
      </c>
      <c r="Y2695" t="n">
        <v>1200</v>
      </c>
      <c r="Z2695" t="n">
        <v>1086</v>
      </c>
      <c r="AA2695" t="n">
        <v>1430</v>
      </c>
      <c r="AB2695" t="n">
        <v>10</v>
      </c>
      <c r="AC2695" t="n">
        <v>13</v>
      </c>
      <c r="AD2695" t="n">
        <v>40</v>
      </c>
      <c r="AE2695" t="n">
        <v>50</v>
      </c>
      <c r="AF2695" t="n">
        <v>18</v>
      </c>
      <c r="AG2695" t="n">
        <v>24</v>
      </c>
      <c r="AH2695" t="n">
        <v>7</v>
      </c>
      <c r="AI2695" t="n">
        <v>8</v>
      </c>
      <c r="AJ2695" t="n">
        <v>17</v>
      </c>
      <c r="AK2695" t="n">
        <v>21</v>
      </c>
      <c r="AL2695" t="n">
        <v>6</v>
      </c>
      <c r="AM2695" t="n">
        <v>8</v>
      </c>
      <c r="AN2695" t="n">
        <v>0</v>
      </c>
      <c r="AO2695" t="n">
        <v>0</v>
      </c>
      <c r="AP2695" t="inlineStr">
        <is>
          <t>No</t>
        </is>
      </c>
      <c r="AQ2695" t="inlineStr">
        <is>
          <t>Yes</t>
        </is>
      </c>
      <c r="AR2695">
        <f>HYPERLINK("http://catalog.hathitrust.org/Record/001606749","HathiTrust Record")</f>
        <v/>
      </c>
      <c r="AS2695">
        <f>HYPERLINK("https://creighton-primo.hosted.exlibrisgroup.com/primo-explore/search?tab=default_tab&amp;search_scope=EVERYTHING&amp;vid=01CRU&amp;lang=en_US&amp;offset=0&amp;query=any,contains,991002720699702656","Catalog Record")</f>
        <v/>
      </c>
      <c r="AT2695">
        <f>HYPERLINK("http://www.worldcat.org/oclc/412555","WorldCat Record")</f>
        <v/>
      </c>
      <c r="AU2695" t="inlineStr">
        <is>
          <t>459280:eng</t>
        </is>
      </c>
      <c r="AV2695" t="inlineStr">
        <is>
          <t>412555</t>
        </is>
      </c>
      <c r="AW2695" t="inlineStr">
        <is>
          <t>991002720699702656</t>
        </is>
      </c>
      <c r="AX2695" t="inlineStr">
        <is>
          <t>991002720699702656</t>
        </is>
      </c>
      <c r="AY2695" t="inlineStr">
        <is>
          <t>2264539390002656</t>
        </is>
      </c>
      <c r="AZ2695" t="inlineStr">
        <is>
          <t>BOOK</t>
        </is>
      </c>
      <c r="BC2695" t="inlineStr">
        <is>
          <t>32285002449048</t>
        </is>
      </c>
      <c r="BD2695" t="inlineStr">
        <is>
          <t>893421716</t>
        </is>
      </c>
    </row>
    <row r="2696">
      <c r="A2696" t="inlineStr">
        <is>
          <t>No</t>
        </is>
      </c>
      <c r="B2696" t="inlineStr">
        <is>
          <t>DS919.2 .W37 2002</t>
        </is>
      </c>
      <c r="C2696" t="inlineStr">
        <is>
          <t>0                      DS 0919200W  37          2002</t>
        </is>
      </c>
      <c r="D2696" t="inlineStr">
        <is>
          <t>Far Eastern tour : the Canadian infantry in Korea, 1950-1953 / Brent Byron Watson.</t>
        </is>
      </c>
      <c r="F2696" t="inlineStr">
        <is>
          <t>No</t>
        </is>
      </c>
      <c r="G2696" t="inlineStr">
        <is>
          <t>1</t>
        </is>
      </c>
      <c r="H2696" t="inlineStr">
        <is>
          <t>No</t>
        </is>
      </c>
      <c r="I2696" t="inlineStr">
        <is>
          <t>No</t>
        </is>
      </c>
      <c r="J2696" t="inlineStr">
        <is>
          <t>0</t>
        </is>
      </c>
      <c r="K2696" t="inlineStr">
        <is>
          <t>Watson, Brent Byron, 1970-</t>
        </is>
      </c>
      <c r="L2696" t="inlineStr">
        <is>
          <t>Montreal : McGill-Queen's University Press, c2002.</t>
        </is>
      </c>
      <c r="M2696" t="inlineStr">
        <is>
          <t>2002</t>
        </is>
      </c>
      <c r="O2696" t="inlineStr">
        <is>
          <t>eng</t>
        </is>
      </c>
      <c r="P2696" t="inlineStr">
        <is>
          <t>quc</t>
        </is>
      </c>
      <c r="R2696" t="inlineStr">
        <is>
          <t xml:space="preserve">DS </t>
        </is>
      </c>
      <c r="S2696" t="n">
        <v>1</v>
      </c>
      <c r="T2696" t="n">
        <v>1</v>
      </c>
      <c r="U2696" t="inlineStr">
        <is>
          <t>2004-03-03</t>
        </is>
      </c>
      <c r="V2696" t="inlineStr">
        <is>
          <t>2004-03-03</t>
        </is>
      </c>
      <c r="W2696" t="inlineStr">
        <is>
          <t>2004-03-03</t>
        </is>
      </c>
      <c r="X2696" t="inlineStr">
        <is>
          <t>2004-03-03</t>
        </is>
      </c>
      <c r="Y2696" t="n">
        <v>209</v>
      </c>
      <c r="Z2696" t="n">
        <v>120</v>
      </c>
      <c r="AA2696" t="n">
        <v>778</v>
      </c>
      <c r="AB2696" t="n">
        <v>1</v>
      </c>
      <c r="AC2696" t="n">
        <v>8</v>
      </c>
      <c r="AD2696" t="n">
        <v>5</v>
      </c>
      <c r="AE2696" t="n">
        <v>32</v>
      </c>
      <c r="AF2696" t="n">
        <v>1</v>
      </c>
      <c r="AG2696" t="n">
        <v>10</v>
      </c>
      <c r="AH2696" t="n">
        <v>2</v>
      </c>
      <c r="AI2696" t="n">
        <v>9</v>
      </c>
      <c r="AJ2696" t="n">
        <v>5</v>
      </c>
      <c r="AK2696" t="n">
        <v>12</v>
      </c>
      <c r="AL2696" t="n">
        <v>0</v>
      </c>
      <c r="AM2696" t="n">
        <v>6</v>
      </c>
      <c r="AN2696" t="n">
        <v>0</v>
      </c>
      <c r="AO2696" t="n">
        <v>1</v>
      </c>
      <c r="AP2696" t="inlineStr">
        <is>
          <t>No</t>
        </is>
      </c>
      <c r="AQ2696" t="inlineStr">
        <is>
          <t>No</t>
        </is>
      </c>
      <c r="AS2696">
        <f>HYPERLINK("https://creighton-primo.hosted.exlibrisgroup.com/primo-explore/search?tab=default_tab&amp;search_scope=EVERYTHING&amp;vid=01CRU&amp;lang=en_US&amp;offset=0&amp;query=any,contains,991004242039702656","Catalog Record")</f>
        <v/>
      </c>
      <c r="AT2696">
        <f>HYPERLINK("http://www.worldcat.org/oclc/49512753","WorldCat Record")</f>
        <v/>
      </c>
      <c r="AU2696" t="inlineStr">
        <is>
          <t>793980927:eng</t>
        </is>
      </c>
      <c r="AV2696" t="inlineStr">
        <is>
          <t>49512753</t>
        </is>
      </c>
      <c r="AW2696" t="inlineStr">
        <is>
          <t>991004242039702656</t>
        </is>
      </c>
      <c r="AX2696" t="inlineStr">
        <is>
          <t>991004242039702656</t>
        </is>
      </c>
      <c r="AY2696" t="inlineStr">
        <is>
          <t>2269647670002656</t>
        </is>
      </c>
      <c r="AZ2696" t="inlineStr">
        <is>
          <t>BOOK</t>
        </is>
      </c>
      <c r="BB2696" t="inlineStr">
        <is>
          <t>9780773523722</t>
        </is>
      </c>
      <c r="BC2696" t="inlineStr">
        <is>
          <t>32285004892005</t>
        </is>
      </c>
      <c r="BD2696" t="inlineStr">
        <is>
          <t>893446101</t>
        </is>
      </c>
    </row>
    <row r="2697">
      <c r="A2697" t="inlineStr">
        <is>
          <t>No</t>
        </is>
      </c>
      <c r="B2697" t="inlineStr">
        <is>
          <t>DS920.8 .H36 2001</t>
        </is>
      </c>
      <c r="C2697" t="inlineStr">
        <is>
          <t>0                      DS 0920800H  36          2001</t>
        </is>
      </c>
      <c r="D2697" t="inlineStr">
        <is>
          <t>The bridge at No Gun Ri : a hidden nightmare from the Korean War / Charles J. Hanley, Sang-Hun Choe, and Martha Mendoza ; with research assistance by Randy Herschaft.</t>
        </is>
      </c>
      <c r="F2697" t="inlineStr">
        <is>
          <t>No</t>
        </is>
      </c>
      <c r="G2697" t="inlineStr">
        <is>
          <t>1</t>
        </is>
      </c>
      <c r="H2697" t="inlineStr">
        <is>
          <t>No</t>
        </is>
      </c>
      <c r="I2697" t="inlineStr">
        <is>
          <t>No</t>
        </is>
      </c>
      <c r="J2697" t="inlineStr">
        <is>
          <t>0</t>
        </is>
      </c>
      <c r="K2697" t="inlineStr">
        <is>
          <t>Hanley, Charles J.</t>
        </is>
      </c>
      <c r="L2697" t="inlineStr">
        <is>
          <t>New York : Henry Holt and Co., 2001.</t>
        </is>
      </c>
      <c r="M2697" t="inlineStr">
        <is>
          <t>2001</t>
        </is>
      </c>
      <c r="N2697" t="inlineStr">
        <is>
          <t>1st ed.</t>
        </is>
      </c>
      <c r="O2697" t="inlineStr">
        <is>
          <t>eng</t>
        </is>
      </c>
      <c r="P2697" t="inlineStr">
        <is>
          <t>nyu</t>
        </is>
      </c>
      <c r="R2697" t="inlineStr">
        <is>
          <t xml:space="preserve">DS </t>
        </is>
      </c>
      <c r="S2697" t="n">
        <v>6</v>
      </c>
      <c r="T2697" t="n">
        <v>6</v>
      </c>
      <c r="U2697" t="inlineStr">
        <is>
          <t>2005-04-12</t>
        </is>
      </c>
      <c r="V2697" t="inlineStr">
        <is>
          <t>2005-04-12</t>
        </is>
      </c>
      <c r="W2697" t="inlineStr">
        <is>
          <t>2003-01-28</t>
        </is>
      </c>
      <c r="X2697" t="inlineStr">
        <is>
          <t>2003-01-28</t>
        </is>
      </c>
      <c r="Y2697" t="n">
        <v>930</v>
      </c>
      <c r="Z2697" t="n">
        <v>890</v>
      </c>
      <c r="AA2697" t="n">
        <v>899</v>
      </c>
      <c r="AB2697" t="n">
        <v>8</v>
      </c>
      <c r="AC2697" t="n">
        <v>8</v>
      </c>
      <c r="AD2697" t="n">
        <v>24</v>
      </c>
      <c r="AE2697" t="n">
        <v>24</v>
      </c>
      <c r="AF2697" t="n">
        <v>8</v>
      </c>
      <c r="AG2697" t="n">
        <v>8</v>
      </c>
      <c r="AH2697" t="n">
        <v>7</v>
      </c>
      <c r="AI2697" t="n">
        <v>7</v>
      </c>
      <c r="AJ2697" t="n">
        <v>13</v>
      </c>
      <c r="AK2697" t="n">
        <v>13</v>
      </c>
      <c r="AL2697" t="n">
        <v>3</v>
      </c>
      <c r="AM2697" t="n">
        <v>3</v>
      </c>
      <c r="AN2697" t="n">
        <v>0</v>
      </c>
      <c r="AO2697" t="n">
        <v>0</v>
      </c>
      <c r="AP2697" t="inlineStr">
        <is>
          <t>No</t>
        </is>
      </c>
      <c r="AQ2697" t="inlineStr">
        <is>
          <t>No</t>
        </is>
      </c>
      <c r="AS2697">
        <f>HYPERLINK("https://creighton-primo.hosted.exlibrisgroup.com/primo-explore/search?tab=default_tab&amp;search_scope=EVERYTHING&amp;vid=01CRU&amp;lang=en_US&amp;offset=0&amp;query=any,contains,991003970979702656","Catalog Record")</f>
        <v/>
      </c>
      <c r="AT2697">
        <f>HYPERLINK("http://www.worldcat.org/oclc/46872329","WorldCat Record")</f>
        <v/>
      </c>
      <c r="AU2697" t="inlineStr">
        <is>
          <t>4757817896:eng</t>
        </is>
      </c>
      <c r="AV2697" t="inlineStr">
        <is>
          <t>46872329</t>
        </is>
      </c>
      <c r="AW2697" t="inlineStr">
        <is>
          <t>991003970979702656</t>
        </is>
      </c>
      <c r="AX2697" t="inlineStr">
        <is>
          <t>991003970979702656</t>
        </is>
      </c>
      <c r="AY2697" t="inlineStr">
        <is>
          <t>2271892580002656</t>
        </is>
      </c>
      <c r="AZ2697" t="inlineStr">
        <is>
          <t>BOOK</t>
        </is>
      </c>
      <c r="BB2697" t="inlineStr">
        <is>
          <t>9780805066586</t>
        </is>
      </c>
      <c r="BC2697" t="inlineStr">
        <is>
          <t>32285004695606</t>
        </is>
      </c>
      <c r="BD2697" t="inlineStr">
        <is>
          <t>893699656</t>
        </is>
      </c>
    </row>
    <row r="2698">
      <c r="A2698" t="inlineStr">
        <is>
          <t>No</t>
        </is>
      </c>
      <c r="B2698" t="inlineStr">
        <is>
          <t>DS921 .B72 2000</t>
        </is>
      </c>
      <c r="C2698" t="inlineStr">
        <is>
          <t>0                      DS 0921000B  72          2000</t>
        </is>
      </c>
      <c r="D2698" t="inlineStr">
        <is>
          <t>The coldest war : a memoir of Korea / James Brady.</t>
        </is>
      </c>
      <c r="F2698" t="inlineStr">
        <is>
          <t>No</t>
        </is>
      </c>
      <c r="G2698" t="inlineStr">
        <is>
          <t>1</t>
        </is>
      </c>
      <c r="H2698" t="inlineStr">
        <is>
          <t>No</t>
        </is>
      </c>
      <c r="I2698" t="inlineStr">
        <is>
          <t>No</t>
        </is>
      </c>
      <c r="J2698" t="inlineStr">
        <is>
          <t>0</t>
        </is>
      </c>
      <c r="K2698" t="inlineStr">
        <is>
          <t>Brady, James, 1928-2009.</t>
        </is>
      </c>
      <c r="L2698" t="inlineStr">
        <is>
          <t>New York : St. Martin's Griffin, [2000], c1990.</t>
        </is>
      </c>
      <c r="M2698" t="inlineStr">
        <is>
          <t>2000</t>
        </is>
      </c>
      <c r="O2698" t="inlineStr">
        <is>
          <t>eng</t>
        </is>
      </c>
      <c r="P2698" t="inlineStr">
        <is>
          <t>nyu</t>
        </is>
      </c>
      <c r="R2698" t="inlineStr">
        <is>
          <t xml:space="preserve">DS </t>
        </is>
      </c>
      <c r="S2698" t="n">
        <v>3</v>
      </c>
      <c r="T2698" t="n">
        <v>3</v>
      </c>
      <c r="U2698" t="inlineStr">
        <is>
          <t>2005-04-12</t>
        </is>
      </c>
      <c r="V2698" t="inlineStr">
        <is>
          <t>2005-04-12</t>
        </is>
      </c>
      <c r="W2698" t="inlineStr">
        <is>
          <t>2000-08-09</t>
        </is>
      </c>
      <c r="X2698" t="inlineStr">
        <is>
          <t>2000-08-09</t>
        </is>
      </c>
      <c r="Y2698" t="n">
        <v>421</v>
      </c>
      <c r="Z2698" t="n">
        <v>412</v>
      </c>
      <c r="AA2698" t="n">
        <v>1557</v>
      </c>
      <c r="AB2698" t="n">
        <v>4</v>
      </c>
      <c r="AC2698" t="n">
        <v>19</v>
      </c>
      <c r="AD2698" t="n">
        <v>5</v>
      </c>
      <c r="AE2698" t="n">
        <v>19</v>
      </c>
      <c r="AF2698" t="n">
        <v>2</v>
      </c>
      <c r="AG2698" t="n">
        <v>5</v>
      </c>
      <c r="AH2698" t="n">
        <v>1</v>
      </c>
      <c r="AI2698" t="n">
        <v>5</v>
      </c>
      <c r="AJ2698" t="n">
        <v>1</v>
      </c>
      <c r="AK2698" t="n">
        <v>8</v>
      </c>
      <c r="AL2698" t="n">
        <v>1</v>
      </c>
      <c r="AM2698" t="n">
        <v>5</v>
      </c>
      <c r="AN2698" t="n">
        <v>0</v>
      </c>
      <c r="AO2698" t="n">
        <v>0</v>
      </c>
      <c r="AP2698" t="inlineStr">
        <is>
          <t>No</t>
        </is>
      </c>
      <c r="AQ2698" t="inlineStr">
        <is>
          <t>No</t>
        </is>
      </c>
      <c r="AS2698">
        <f>HYPERLINK("https://creighton-primo.hosted.exlibrisgroup.com/primo-explore/search?tab=default_tab&amp;search_scope=EVERYTHING&amp;vid=01CRU&amp;lang=en_US&amp;offset=0&amp;query=any,contains,991003225849702656","Catalog Record")</f>
        <v/>
      </c>
      <c r="AT2698">
        <f>HYPERLINK("http://www.worldcat.org/oclc/44139882","WorldCat Record")</f>
        <v/>
      </c>
      <c r="AU2698" t="inlineStr">
        <is>
          <t>196068533:eng</t>
        </is>
      </c>
      <c r="AV2698" t="inlineStr">
        <is>
          <t>44139882</t>
        </is>
      </c>
      <c r="AW2698" t="inlineStr">
        <is>
          <t>991003225849702656</t>
        </is>
      </c>
      <c r="AX2698" t="inlineStr">
        <is>
          <t>991003225849702656</t>
        </is>
      </c>
      <c r="AY2698" t="inlineStr">
        <is>
          <t>2265162590002656</t>
        </is>
      </c>
      <c r="AZ2698" t="inlineStr">
        <is>
          <t>BOOK</t>
        </is>
      </c>
      <c r="BB2698" t="inlineStr">
        <is>
          <t>9780312265113</t>
        </is>
      </c>
      <c r="BC2698" t="inlineStr">
        <is>
          <t>32285003756763</t>
        </is>
      </c>
      <c r="BD2698" t="inlineStr">
        <is>
          <t>893511709</t>
        </is>
      </c>
    </row>
    <row r="2699">
      <c r="A2699" t="inlineStr">
        <is>
          <t>No</t>
        </is>
      </c>
      <c r="B2699" t="inlineStr">
        <is>
          <t>DS921 .C75 1955</t>
        </is>
      </c>
      <c r="C2699" t="inlineStr">
        <is>
          <t>0                      DS 0921000C  75          1955</t>
        </is>
      </c>
      <c r="D2699" t="inlineStr">
        <is>
          <t>March till they die.</t>
        </is>
      </c>
      <c r="F2699" t="inlineStr">
        <is>
          <t>No</t>
        </is>
      </c>
      <c r="G2699" t="inlineStr">
        <is>
          <t>1</t>
        </is>
      </c>
      <c r="H2699" t="inlineStr">
        <is>
          <t>No</t>
        </is>
      </c>
      <c r="I2699" t="inlineStr">
        <is>
          <t>No</t>
        </is>
      </c>
      <c r="J2699" t="inlineStr">
        <is>
          <t>0</t>
        </is>
      </c>
      <c r="K2699" t="inlineStr">
        <is>
          <t>Crosbie, Philip.</t>
        </is>
      </c>
      <c r="L2699" t="inlineStr">
        <is>
          <t>Dublin : Browne &amp; Nolan, limited, [1955]</t>
        </is>
      </c>
      <c r="M2699" t="inlineStr">
        <is>
          <t>1956</t>
        </is>
      </c>
      <c r="O2699" t="inlineStr">
        <is>
          <t>eng</t>
        </is>
      </c>
      <c r="P2699" t="inlineStr">
        <is>
          <t xml:space="preserve">xx </t>
        </is>
      </c>
      <c r="R2699" t="inlineStr">
        <is>
          <t xml:space="preserve">DS </t>
        </is>
      </c>
      <c r="S2699" t="n">
        <v>2</v>
      </c>
      <c r="T2699" t="n">
        <v>2</v>
      </c>
      <c r="U2699" t="inlineStr">
        <is>
          <t>1996-11-03</t>
        </is>
      </c>
      <c r="V2699" t="inlineStr">
        <is>
          <t>1996-11-03</t>
        </is>
      </c>
      <c r="W2699" t="inlineStr">
        <is>
          <t>1996-08-12</t>
        </is>
      </c>
      <c r="X2699" t="inlineStr">
        <is>
          <t>1996-08-12</t>
        </is>
      </c>
      <c r="Y2699" t="n">
        <v>72</v>
      </c>
      <c r="Z2699" t="n">
        <v>72</v>
      </c>
      <c r="AA2699" t="n">
        <v>147</v>
      </c>
      <c r="AB2699" t="n">
        <v>3</v>
      </c>
      <c r="AC2699" t="n">
        <v>3</v>
      </c>
      <c r="AD2699" t="n">
        <v>11</v>
      </c>
      <c r="AE2699" t="n">
        <v>20</v>
      </c>
      <c r="AF2699" t="n">
        <v>3</v>
      </c>
      <c r="AG2699" t="n">
        <v>5</v>
      </c>
      <c r="AH2699" t="n">
        <v>4</v>
      </c>
      <c r="AI2699" t="n">
        <v>6</v>
      </c>
      <c r="AJ2699" t="n">
        <v>7</v>
      </c>
      <c r="AK2699" t="n">
        <v>15</v>
      </c>
      <c r="AL2699" t="n">
        <v>1</v>
      </c>
      <c r="AM2699" t="n">
        <v>1</v>
      </c>
      <c r="AN2699" t="n">
        <v>0</v>
      </c>
      <c r="AO2699" t="n">
        <v>0</v>
      </c>
      <c r="AP2699" t="inlineStr">
        <is>
          <t>No</t>
        </is>
      </c>
      <c r="AQ2699" t="inlineStr">
        <is>
          <t>No</t>
        </is>
      </c>
      <c r="AS2699">
        <f>HYPERLINK("https://creighton-primo.hosted.exlibrisgroup.com/primo-explore/search?tab=default_tab&amp;search_scope=EVERYTHING&amp;vid=01CRU&amp;lang=en_US&amp;offset=0&amp;query=any,contains,991003974739702656","Catalog Record")</f>
        <v/>
      </c>
      <c r="AT2699">
        <f>HYPERLINK("http://www.worldcat.org/oclc/2000173","WorldCat Record")</f>
        <v/>
      </c>
      <c r="AU2699" t="inlineStr">
        <is>
          <t>2304278:eng</t>
        </is>
      </c>
      <c r="AV2699" t="inlineStr">
        <is>
          <t>2000173</t>
        </is>
      </c>
      <c r="AW2699" t="inlineStr">
        <is>
          <t>991003974739702656</t>
        </is>
      </c>
      <c r="AX2699" t="inlineStr">
        <is>
          <t>991003974739702656</t>
        </is>
      </c>
      <c r="AY2699" t="inlineStr">
        <is>
          <t>2258253090002656</t>
        </is>
      </c>
      <c r="AZ2699" t="inlineStr">
        <is>
          <t>BOOK</t>
        </is>
      </c>
      <c r="BC2699" t="inlineStr">
        <is>
          <t>32285002274321</t>
        </is>
      </c>
      <c r="BD2699" t="inlineStr">
        <is>
          <t>893442022</t>
        </is>
      </c>
    </row>
    <row r="2700">
      <c r="A2700" t="inlineStr">
        <is>
          <t>No</t>
        </is>
      </c>
      <c r="B2700" t="inlineStr">
        <is>
          <t>DS921 .L43 2000</t>
        </is>
      </c>
      <c r="C2700" t="inlineStr">
        <is>
          <t>0                      DS 0921000L  43          2000</t>
        </is>
      </c>
      <c r="D2700" t="inlineStr">
        <is>
          <t>Broken soldiers / Raymond B. Lech.</t>
        </is>
      </c>
      <c r="F2700" t="inlineStr">
        <is>
          <t>No</t>
        </is>
      </c>
      <c r="G2700" t="inlineStr">
        <is>
          <t>1</t>
        </is>
      </c>
      <c r="H2700" t="inlineStr">
        <is>
          <t>No</t>
        </is>
      </c>
      <c r="I2700" t="inlineStr">
        <is>
          <t>No</t>
        </is>
      </c>
      <c r="J2700" t="inlineStr">
        <is>
          <t>0</t>
        </is>
      </c>
      <c r="K2700" t="inlineStr">
        <is>
          <t>Lech, Raymond B., 1940-</t>
        </is>
      </c>
      <c r="L2700" t="inlineStr">
        <is>
          <t>Urbana : University of Illinois Press, c2000.</t>
        </is>
      </c>
      <c r="M2700" t="inlineStr">
        <is>
          <t>2000</t>
        </is>
      </c>
      <c r="O2700" t="inlineStr">
        <is>
          <t>eng</t>
        </is>
      </c>
      <c r="P2700" t="inlineStr">
        <is>
          <t>ilu</t>
        </is>
      </c>
      <c r="R2700" t="inlineStr">
        <is>
          <t xml:space="preserve">DS </t>
        </is>
      </c>
      <c r="S2700" t="n">
        <v>4</v>
      </c>
      <c r="T2700" t="n">
        <v>4</v>
      </c>
      <c r="U2700" t="inlineStr">
        <is>
          <t>2005-09-14</t>
        </is>
      </c>
      <c r="V2700" t="inlineStr">
        <is>
          <t>2005-09-14</t>
        </is>
      </c>
      <c r="W2700" t="inlineStr">
        <is>
          <t>2002-09-10</t>
        </is>
      </c>
      <c r="X2700" t="inlineStr">
        <is>
          <t>2002-09-10</t>
        </is>
      </c>
      <c r="Y2700" t="n">
        <v>623</v>
      </c>
      <c r="Z2700" t="n">
        <v>590</v>
      </c>
      <c r="AA2700" t="n">
        <v>590</v>
      </c>
      <c r="AB2700" t="n">
        <v>5</v>
      </c>
      <c r="AC2700" t="n">
        <v>5</v>
      </c>
      <c r="AD2700" t="n">
        <v>21</v>
      </c>
      <c r="AE2700" t="n">
        <v>21</v>
      </c>
      <c r="AF2700" t="n">
        <v>9</v>
      </c>
      <c r="AG2700" t="n">
        <v>9</v>
      </c>
      <c r="AH2700" t="n">
        <v>6</v>
      </c>
      <c r="AI2700" t="n">
        <v>6</v>
      </c>
      <c r="AJ2700" t="n">
        <v>11</v>
      </c>
      <c r="AK2700" t="n">
        <v>11</v>
      </c>
      <c r="AL2700" t="n">
        <v>3</v>
      </c>
      <c r="AM2700" t="n">
        <v>3</v>
      </c>
      <c r="AN2700" t="n">
        <v>0</v>
      </c>
      <c r="AO2700" t="n">
        <v>0</v>
      </c>
      <c r="AP2700" t="inlineStr">
        <is>
          <t>No</t>
        </is>
      </c>
      <c r="AQ2700" t="inlineStr">
        <is>
          <t>No</t>
        </is>
      </c>
      <c r="AS2700">
        <f>HYPERLINK("https://creighton-primo.hosted.exlibrisgroup.com/primo-explore/search?tab=default_tab&amp;search_scope=EVERYTHING&amp;vid=01CRU&amp;lang=en_US&amp;offset=0&amp;query=any,contains,991003864669702656","Catalog Record")</f>
        <v/>
      </c>
      <c r="AT2700">
        <f>HYPERLINK("http://www.worldcat.org/oclc/43384812","WorldCat Record")</f>
        <v/>
      </c>
      <c r="AU2700" t="inlineStr">
        <is>
          <t>44807994:eng</t>
        </is>
      </c>
      <c r="AV2700" t="inlineStr">
        <is>
          <t>43384812</t>
        </is>
      </c>
      <c r="AW2700" t="inlineStr">
        <is>
          <t>991003864669702656</t>
        </is>
      </c>
      <c r="AX2700" t="inlineStr">
        <is>
          <t>991003864669702656</t>
        </is>
      </c>
      <c r="AY2700" t="inlineStr">
        <is>
          <t>2263569410002656</t>
        </is>
      </c>
      <c r="AZ2700" t="inlineStr">
        <is>
          <t>BOOK</t>
        </is>
      </c>
      <c r="BB2700" t="inlineStr">
        <is>
          <t>9780252025419</t>
        </is>
      </c>
      <c r="BC2700" t="inlineStr">
        <is>
          <t>32285004646583</t>
        </is>
      </c>
      <c r="BD2700" t="inlineStr">
        <is>
          <t>893693238</t>
        </is>
      </c>
    </row>
    <row r="2701">
      <c r="A2701" t="inlineStr">
        <is>
          <t>No</t>
        </is>
      </c>
      <c r="B2701" t="inlineStr">
        <is>
          <t>DS921.2 .W4 1976</t>
        </is>
      </c>
      <c r="C2701" t="inlineStr">
        <is>
          <t>0                      DS 0921200W  4           1976</t>
        </is>
      </c>
      <c r="D2701" t="inlineStr">
        <is>
          <t>War in the wards : Korea's unknown battle in a prisoner-of-war hospital camp / Stanley Weintraub.</t>
        </is>
      </c>
      <c r="F2701" t="inlineStr">
        <is>
          <t>No</t>
        </is>
      </c>
      <c r="G2701" t="inlineStr">
        <is>
          <t>1</t>
        </is>
      </c>
      <c r="H2701" t="inlineStr">
        <is>
          <t>No</t>
        </is>
      </c>
      <c r="I2701" t="inlineStr">
        <is>
          <t>No</t>
        </is>
      </c>
      <c r="J2701" t="inlineStr">
        <is>
          <t>0</t>
        </is>
      </c>
      <c r="K2701" t="inlineStr">
        <is>
          <t>Weintraub, Stanley, 1929-2019.</t>
        </is>
      </c>
      <c r="L2701" t="inlineStr">
        <is>
          <t>San Rafael, Calif. : Presidio Press, c1976.</t>
        </is>
      </c>
      <c r="M2701" t="inlineStr">
        <is>
          <t>1976</t>
        </is>
      </c>
      <c r="N2701" t="inlineStr">
        <is>
          <t>2d ed.</t>
        </is>
      </c>
      <c r="O2701" t="inlineStr">
        <is>
          <t>eng</t>
        </is>
      </c>
      <c r="P2701" t="inlineStr">
        <is>
          <t>cau</t>
        </is>
      </c>
      <c r="R2701" t="inlineStr">
        <is>
          <t xml:space="preserve">DS </t>
        </is>
      </c>
      <c r="S2701" t="n">
        <v>3</v>
      </c>
      <c r="T2701" t="n">
        <v>3</v>
      </c>
      <c r="U2701" t="inlineStr">
        <is>
          <t>2005-09-14</t>
        </is>
      </c>
      <c r="V2701" t="inlineStr">
        <is>
          <t>2005-09-14</t>
        </is>
      </c>
      <c r="W2701" t="inlineStr">
        <is>
          <t>1997-03-18</t>
        </is>
      </c>
      <c r="X2701" t="inlineStr">
        <is>
          <t>1997-03-18</t>
        </is>
      </c>
      <c r="Y2701" t="n">
        <v>142</v>
      </c>
      <c r="Z2701" t="n">
        <v>130</v>
      </c>
      <c r="AA2701" t="n">
        <v>284</v>
      </c>
      <c r="AB2701" t="n">
        <v>3</v>
      </c>
      <c r="AC2701" t="n">
        <v>3</v>
      </c>
      <c r="AD2701" t="n">
        <v>5</v>
      </c>
      <c r="AE2701" t="n">
        <v>7</v>
      </c>
      <c r="AF2701" t="n">
        <v>1</v>
      </c>
      <c r="AG2701" t="n">
        <v>2</v>
      </c>
      <c r="AH2701" t="n">
        <v>2</v>
      </c>
      <c r="AI2701" t="n">
        <v>2</v>
      </c>
      <c r="AJ2701" t="n">
        <v>2</v>
      </c>
      <c r="AK2701" t="n">
        <v>4</v>
      </c>
      <c r="AL2701" t="n">
        <v>1</v>
      </c>
      <c r="AM2701" t="n">
        <v>1</v>
      </c>
      <c r="AN2701" t="n">
        <v>0</v>
      </c>
      <c r="AO2701" t="n">
        <v>0</v>
      </c>
      <c r="AP2701" t="inlineStr">
        <is>
          <t>No</t>
        </is>
      </c>
      <c r="AQ2701" t="inlineStr">
        <is>
          <t>Yes</t>
        </is>
      </c>
      <c r="AR2701">
        <f>HYPERLINK("http://catalog.hathitrust.org/Record/006035152","HathiTrust Record")</f>
        <v/>
      </c>
      <c r="AS2701">
        <f>HYPERLINK("https://creighton-primo.hosted.exlibrisgroup.com/primo-explore/search?tab=default_tab&amp;search_scope=EVERYTHING&amp;vid=01CRU&amp;lang=en_US&amp;offset=0&amp;query=any,contains,991004310989702656","Catalog Record")</f>
        <v/>
      </c>
      <c r="AT2701">
        <f>HYPERLINK("http://www.worldcat.org/oclc/2994345","WorldCat Record")</f>
        <v/>
      </c>
      <c r="AU2701" t="inlineStr">
        <is>
          <t>2248858:eng</t>
        </is>
      </c>
      <c r="AV2701" t="inlineStr">
        <is>
          <t>2994345</t>
        </is>
      </c>
      <c r="AW2701" t="inlineStr">
        <is>
          <t>991004310989702656</t>
        </is>
      </c>
      <c r="AX2701" t="inlineStr">
        <is>
          <t>991004310989702656</t>
        </is>
      </c>
      <c r="AY2701" t="inlineStr">
        <is>
          <t>2257307270002656</t>
        </is>
      </c>
      <c r="AZ2701" t="inlineStr">
        <is>
          <t>BOOK</t>
        </is>
      </c>
      <c r="BB2701" t="inlineStr">
        <is>
          <t>9780891410126</t>
        </is>
      </c>
      <c r="BC2701" t="inlineStr">
        <is>
          <t>32285002451242</t>
        </is>
      </c>
      <c r="BD2701" t="inlineStr">
        <is>
          <t>893722368</t>
        </is>
      </c>
    </row>
    <row r="2702">
      <c r="A2702" t="inlineStr">
        <is>
          <t>No</t>
        </is>
      </c>
      <c r="B2702" t="inlineStr">
        <is>
          <t>DS921.6 .P33 1995</t>
        </is>
      </c>
      <c r="C2702" t="inlineStr">
        <is>
          <t>0                      DS 0921600P  33          1995</t>
        </is>
      </c>
      <c r="D2702" t="inlineStr">
        <is>
          <t>Witness to war : Korea / Rod Paschall.</t>
        </is>
      </c>
      <c r="F2702" t="inlineStr">
        <is>
          <t>No</t>
        </is>
      </c>
      <c r="G2702" t="inlineStr">
        <is>
          <t>1</t>
        </is>
      </c>
      <c r="H2702" t="inlineStr">
        <is>
          <t>No</t>
        </is>
      </c>
      <c r="I2702" t="inlineStr">
        <is>
          <t>No</t>
        </is>
      </c>
      <c r="J2702" t="inlineStr">
        <is>
          <t>0</t>
        </is>
      </c>
      <c r="K2702" t="inlineStr">
        <is>
          <t>Paschall, Rod, 1935-</t>
        </is>
      </c>
      <c r="L2702" t="inlineStr">
        <is>
          <t>New York, N.Y. : Berkley Pub. Group, c1995.</t>
        </is>
      </c>
      <c r="M2702" t="inlineStr">
        <is>
          <t>1995</t>
        </is>
      </c>
      <c r="N2702" t="inlineStr">
        <is>
          <t>1st ed.</t>
        </is>
      </c>
      <c r="O2702" t="inlineStr">
        <is>
          <t>eng</t>
        </is>
      </c>
      <c r="P2702" t="inlineStr">
        <is>
          <t>nyu</t>
        </is>
      </c>
      <c r="R2702" t="inlineStr">
        <is>
          <t xml:space="preserve">DS </t>
        </is>
      </c>
      <c r="S2702" t="n">
        <v>1</v>
      </c>
      <c r="T2702" t="n">
        <v>1</v>
      </c>
      <c r="U2702" t="inlineStr">
        <is>
          <t>2005-09-14</t>
        </is>
      </c>
      <c r="V2702" t="inlineStr">
        <is>
          <t>2005-09-14</t>
        </is>
      </c>
      <c r="W2702" t="inlineStr">
        <is>
          <t>1999-10-18</t>
        </is>
      </c>
      <c r="X2702" t="inlineStr">
        <is>
          <t>1999-10-18</t>
        </is>
      </c>
      <c r="Y2702" t="n">
        <v>431</v>
      </c>
      <c r="Z2702" t="n">
        <v>414</v>
      </c>
      <c r="AA2702" t="n">
        <v>420</v>
      </c>
      <c r="AB2702" t="n">
        <v>5</v>
      </c>
      <c r="AC2702" t="n">
        <v>5</v>
      </c>
      <c r="AD2702" t="n">
        <v>7</v>
      </c>
      <c r="AE2702" t="n">
        <v>7</v>
      </c>
      <c r="AF2702" t="n">
        <v>2</v>
      </c>
      <c r="AG2702" t="n">
        <v>2</v>
      </c>
      <c r="AH2702" t="n">
        <v>2</v>
      </c>
      <c r="AI2702" t="n">
        <v>2</v>
      </c>
      <c r="AJ2702" t="n">
        <v>5</v>
      </c>
      <c r="AK2702" t="n">
        <v>5</v>
      </c>
      <c r="AL2702" t="n">
        <v>2</v>
      </c>
      <c r="AM2702" t="n">
        <v>2</v>
      </c>
      <c r="AN2702" t="n">
        <v>0</v>
      </c>
      <c r="AO2702" t="n">
        <v>0</v>
      </c>
      <c r="AP2702" t="inlineStr">
        <is>
          <t>No</t>
        </is>
      </c>
      <c r="AQ2702" t="inlineStr">
        <is>
          <t>Yes</t>
        </is>
      </c>
      <c r="AR2702">
        <f>HYPERLINK("http://catalog.hathitrust.org/Record/003061387","HathiTrust Record")</f>
        <v/>
      </c>
      <c r="AS2702">
        <f>HYPERLINK("https://creighton-primo.hosted.exlibrisgroup.com/primo-explore/search?tab=default_tab&amp;search_scope=EVERYTHING&amp;vid=01CRU&amp;lang=en_US&amp;offset=0&amp;query=any,contains,991002408199702656","Catalog Record")</f>
        <v/>
      </c>
      <c r="AT2702">
        <f>HYPERLINK("http://www.worldcat.org/oclc/31330354","WorldCat Record")</f>
        <v/>
      </c>
      <c r="AU2702" t="inlineStr">
        <is>
          <t>9657319521:eng</t>
        </is>
      </c>
      <c r="AV2702" t="inlineStr">
        <is>
          <t>31330354</t>
        </is>
      </c>
      <c r="AW2702" t="inlineStr">
        <is>
          <t>991002408199702656</t>
        </is>
      </c>
      <c r="AX2702" t="inlineStr">
        <is>
          <t>991002408199702656</t>
        </is>
      </c>
      <c r="AY2702" t="inlineStr">
        <is>
          <t>2255741970002656</t>
        </is>
      </c>
      <c r="AZ2702" t="inlineStr">
        <is>
          <t>BOOK</t>
        </is>
      </c>
      <c r="BB2702" t="inlineStr">
        <is>
          <t>9780399519345</t>
        </is>
      </c>
      <c r="BC2702" t="inlineStr">
        <is>
          <t>32285003611554</t>
        </is>
      </c>
      <c r="BD2702" t="inlineStr">
        <is>
          <t>893433843</t>
        </is>
      </c>
    </row>
    <row r="2703">
      <c r="A2703" t="inlineStr">
        <is>
          <t>No</t>
        </is>
      </c>
      <c r="B2703" t="inlineStr">
        <is>
          <t>DS921.7 .J625 1978</t>
        </is>
      </c>
      <c r="C2703" t="inlineStr">
        <is>
          <t>0                      DS 0921700J  625         1978</t>
        </is>
      </c>
      <c r="D2703" t="inlineStr">
        <is>
          <t>Negotiating while fighting : the diary of Admiral C. Turner Joy at the Korean Armistice Conference / edited and with an introd. by Allan E. Goodman ; foreword by Matthew B. Ridgway. --</t>
        </is>
      </c>
      <c r="F2703" t="inlineStr">
        <is>
          <t>No</t>
        </is>
      </c>
      <c r="G2703" t="inlineStr">
        <is>
          <t>1</t>
        </is>
      </c>
      <c r="H2703" t="inlineStr">
        <is>
          <t>No</t>
        </is>
      </c>
      <c r="I2703" t="inlineStr">
        <is>
          <t>No</t>
        </is>
      </c>
      <c r="J2703" t="inlineStr">
        <is>
          <t>0</t>
        </is>
      </c>
      <c r="K2703" t="inlineStr">
        <is>
          <t>Joy, C. Turner (Charles Turner), 1895-1956.</t>
        </is>
      </c>
      <c r="L2703" t="inlineStr">
        <is>
          <t>Stanford, Calif. : Hoover Institution Press, c1978.</t>
        </is>
      </c>
      <c r="M2703" t="inlineStr">
        <is>
          <t>1978</t>
        </is>
      </c>
      <c r="O2703" t="inlineStr">
        <is>
          <t>eng</t>
        </is>
      </c>
      <c r="P2703" t="inlineStr">
        <is>
          <t>cau</t>
        </is>
      </c>
      <c r="Q2703" t="inlineStr">
        <is>
          <t>Hoover archival documentaries</t>
        </is>
      </c>
      <c r="R2703" t="inlineStr">
        <is>
          <t xml:space="preserve">DS </t>
        </is>
      </c>
      <c r="S2703" t="n">
        <v>4</v>
      </c>
      <c r="T2703" t="n">
        <v>4</v>
      </c>
      <c r="U2703" t="inlineStr">
        <is>
          <t>1999-03-02</t>
        </is>
      </c>
      <c r="V2703" t="inlineStr">
        <is>
          <t>1999-03-02</t>
        </is>
      </c>
      <c r="W2703" t="inlineStr">
        <is>
          <t>1990-11-05</t>
        </is>
      </c>
      <c r="X2703" t="inlineStr">
        <is>
          <t>1990-11-05</t>
        </is>
      </c>
      <c r="Y2703" t="n">
        <v>337</v>
      </c>
      <c r="Z2703" t="n">
        <v>281</v>
      </c>
      <c r="AA2703" t="n">
        <v>283</v>
      </c>
      <c r="AB2703" t="n">
        <v>3</v>
      </c>
      <c r="AC2703" t="n">
        <v>3</v>
      </c>
      <c r="AD2703" t="n">
        <v>16</v>
      </c>
      <c r="AE2703" t="n">
        <v>16</v>
      </c>
      <c r="AF2703" t="n">
        <v>6</v>
      </c>
      <c r="AG2703" t="n">
        <v>6</v>
      </c>
      <c r="AH2703" t="n">
        <v>4</v>
      </c>
      <c r="AI2703" t="n">
        <v>4</v>
      </c>
      <c r="AJ2703" t="n">
        <v>11</v>
      </c>
      <c r="AK2703" t="n">
        <v>11</v>
      </c>
      <c r="AL2703" t="n">
        <v>2</v>
      </c>
      <c r="AM2703" t="n">
        <v>2</v>
      </c>
      <c r="AN2703" t="n">
        <v>0</v>
      </c>
      <c r="AO2703" t="n">
        <v>0</v>
      </c>
      <c r="AP2703" t="inlineStr">
        <is>
          <t>No</t>
        </is>
      </c>
      <c r="AQ2703" t="inlineStr">
        <is>
          <t>Yes</t>
        </is>
      </c>
      <c r="AR2703">
        <f>HYPERLINK("http://catalog.hathitrust.org/Record/000218658","HathiTrust Record")</f>
        <v/>
      </c>
      <c r="AS2703">
        <f>HYPERLINK("https://creighton-primo.hosted.exlibrisgroup.com/primo-explore/search?tab=default_tab&amp;search_scope=EVERYTHING&amp;vid=01CRU&amp;lang=en_US&amp;offset=0&amp;query=any,contains,991004624439702656","Catalog Record")</f>
        <v/>
      </c>
      <c r="AT2703">
        <f>HYPERLINK("http://www.worldcat.org/oclc/4325501","WorldCat Record")</f>
        <v/>
      </c>
      <c r="AU2703" t="inlineStr">
        <is>
          <t>14699538:eng</t>
        </is>
      </c>
      <c r="AV2703" t="inlineStr">
        <is>
          <t>4325501</t>
        </is>
      </c>
      <c r="AW2703" t="inlineStr">
        <is>
          <t>991004624439702656</t>
        </is>
      </c>
      <c r="AX2703" t="inlineStr">
        <is>
          <t>991004624439702656</t>
        </is>
      </c>
      <c r="AY2703" t="inlineStr">
        <is>
          <t>2260361070002656</t>
        </is>
      </c>
      <c r="AZ2703" t="inlineStr">
        <is>
          <t>BOOK</t>
        </is>
      </c>
      <c r="BB2703" t="inlineStr">
        <is>
          <t>9780817967512</t>
        </is>
      </c>
      <c r="BC2703" t="inlineStr">
        <is>
          <t>32285000371038</t>
        </is>
      </c>
      <c r="BD2703" t="inlineStr">
        <is>
          <t>893782443</t>
        </is>
      </c>
    </row>
    <row r="2704">
      <c r="A2704" t="inlineStr">
        <is>
          <t>No</t>
        </is>
      </c>
      <c r="B2704" t="inlineStr">
        <is>
          <t>DS921.7.V3 P3 1973</t>
        </is>
      </c>
      <c r="C2704" t="inlineStr">
        <is>
          <t>0                      DS 0921700V  3                  P  3           1973</t>
        </is>
      </c>
      <c r="D2704" t="inlineStr">
        <is>
          <t>Panmunjom; the story of the Korean military armistice negotiations, by William H. Vatcher, Jr.</t>
        </is>
      </c>
      <c r="F2704" t="inlineStr">
        <is>
          <t>No</t>
        </is>
      </c>
      <c r="G2704" t="inlineStr">
        <is>
          <t>1</t>
        </is>
      </c>
      <c r="H2704" t="inlineStr">
        <is>
          <t>No</t>
        </is>
      </c>
      <c r="I2704" t="inlineStr">
        <is>
          <t>No</t>
        </is>
      </c>
      <c r="J2704" t="inlineStr">
        <is>
          <t>0</t>
        </is>
      </c>
      <c r="K2704" t="inlineStr">
        <is>
          <t>Vatcher, William Henry.</t>
        </is>
      </c>
      <c r="L2704" t="inlineStr">
        <is>
          <t>Westport, Conn., Greenwood Press [1973, c1958]</t>
        </is>
      </c>
      <c r="M2704" t="inlineStr">
        <is>
          <t>1973</t>
        </is>
      </c>
      <c r="O2704" t="inlineStr">
        <is>
          <t>eng</t>
        </is>
      </c>
      <c r="P2704" t="inlineStr">
        <is>
          <t>ctu</t>
        </is>
      </c>
      <c r="R2704" t="inlineStr">
        <is>
          <t xml:space="preserve">DS </t>
        </is>
      </c>
      <c r="S2704" t="n">
        <v>3</v>
      </c>
      <c r="T2704" t="n">
        <v>3</v>
      </c>
      <c r="U2704" t="inlineStr">
        <is>
          <t>2005-09-14</t>
        </is>
      </c>
      <c r="V2704" t="inlineStr">
        <is>
          <t>2005-09-14</t>
        </is>
      </c>
      <c r="W2704" t="inlineStr">
        <is>
          <t>1997-03-18</t>
        </is>
      </c>
      <c r="X2704" t="inlineStr">
        <is>
          <t>1997-03-18</t>
        </is>
      </c>
      <c r="Y2704" t="n">
        <v>117</v>
      </c>
      <c r="Z2704" t="n">
        <v>93</v>
      </c>
      <c r="AA2704" t="n">
        <v>481</v>
      </c>
      <c r="AB2704" t="n">
        <v>1</v>
      </c>
      <c r="AC2704" t="n">
        <v>2</v>
      </c>
      <c r="AD2704" t="n">
        <v>4</v>
      </c>
      <c r="AE2704" t="n">
        <v>24</v>
      </c>
      <c r="AF2704" t="n">
        <v>1</v>
      </c>
      <c r="AG2704" t="n">
        <v>8</v>
      </c>
      <c r="AH2704" t="n">
        <v>3</v>
      </c>
      <c r="AI2704" t="n">
        <v>8</v>
      </c>
      <c r="AJ2704" t="n">
        <v>1</v>
      </c>
      <c r="AK2704" t="n">
        <v>15</v>
      </c>
      <c r="AL2704" t="n">
        <v>0</v>
      </c>
      <c r="AM2704" t="n">
        <v>1</v>
      </c>
      <c r="AN2704" t="n">
        <v>0</v>
      </c>
      <c r="AO2704" t="n">
        <v>0</v>
      </c>
      <c r="AP2704" t="inlineStr">
        <is>
          <t>No</t>
        </is>
      </c>
      <c r="AQ2704" t="inlineStr">
        <is>
          <t>No</t>
        </is>
      </c>
      <c r="AS2704">
        <f>HYPERLINK("https://creighton-primo.hosted.exlibrisgroup.com/primo-explore/search?tab=default_tab&amp;search_scope=EVERYTHING&amp;vid=01CRU&amp;lang=en_US&amp;offset=0&amp;query=any,contains,991003043869702656","Catalog Record")</f>
        <v/>
      </c>
      <c r="AT2704">
        <f>HYPERLINK("http://www.worldcat.org/oclc/604959","WorldCat Record")</f>
        <v/>
      </c>
      <c r="AU2704" t="inlineStr">
        <is>
          <t>118777098:eng</t>
        </is>
      </c>
      <c r="AV2704" t="inlineStr">
        <is>
          <t>604959</t>
        </is>
      </c>
      <c r="AW2704" t="inlineStr">
        <is>
          <t>991003043869702656</t>
        </is>
      </c>
      <c r="AX2704" t="inlineStr">
        <is>
          <t>991003043869702656</t>
        </is>
      </c>
      <c r="AY2704" t="inlineStr">
        <is>
          <t>2263193020002656</t>
        </is>
      </c>
      <c r="AZ2704" t="inlineStr">
        <is>
          <t>BOOK</t>
        </is>
      </c>
      <c r="BB2704" t="inlineStr">
        <is>
          <t>9780837167435</t>
        </is>
      </c>
      <c r="BC2704" t="inlineStr">
        <is>
          <t>32285002451275</t>
        </is>
      </c>
      <c r="BD2704" t="inlineStr">
        <is>
          <t>893610658</t>
        </is>
      </c>
    </row>
    <row r="2705">
      <c r="A2705" t="inlineStr">
        <is>
          <t>No</t>
        </is>
      </c>
      <c r="B2705" t="inlineStr">
        <is>
          <t>DS921.8 .K67</t>
        </is>
      </c>
      <c r="C2705" t="inlineStr">
        <is>
          <t>0                      DS 0921800K  67</t>
        </is>
      </c>
      <c r="D2705" t="inlineStr">
        <is>
          <t>The Korean problem : Unfinished task of the United Nations.</t>
        </is>
      </c>
      <c r="F2705" t="inlineStr">
        <is>
          <t>No</t>
        </is>
      </c>
      <c r="G2705" t="inlineStr">
        <is>
          <t>1</t>
        </is>
      </c>
      <c r="H2705" t="inlineStr">
        <is>
          <t>No</t>
        </is>
      </c>
      <c r="I2705" t="inlineStr">
        <is>
          <t>No</t>
        </is>
      </c>
      <c r="J2705" t="inlineStr">
        <is>
          <t>0</t>
        </is>
      </c>
      <c r="L2705" t="inlineStr">
        <is>
          <t>Seoul : Ministry of Foreign Affairs, Republic of Korea, [1960?]</t>
        </is>
      </c>
      <c r="M2705" t="inlineStr">
        <is>
          <t>1960</t>
        </is>
      </c>
      <c r="O2705" t="inlineStr">
        <is>
          <t>eng</t>
        </is>
      </c>
      <c r="P2705" t="inlineStr">
        <is>
          <t xml:space="preserve">ko </t>
        </is>
      </c>
      <c r="R2705" t="inlineStr">
        <is>
          <t xml:space="preserve">DS </t>
        </is>
      </c>
      <c r="S2705" t="n">
        <v>2</v>
      </c>
      <c r="T2705" t="n">
        <v>2</v>
      </c>
      <c r="U2705" t="inlineStr">
        <is>
          <t>2005-04-05</t>
        </is>
      </c>
      <c r="V2705" t="inlineStr">
        <is>
          <t>2005-04-05</t>
        </is>
      </c>
      <c r="W2705" t="inlineStr">
        <is>
          <t>1997-03-18</t>
        </is>
      </c>
      <c r="X2705" t="inlineStr">
        <is>
          <t>1997-03-18</t>
        </is>
      </c>
      <c r="Y2705" t="n">
        <v>13</v>
      </c>
      <c r="Z2705" t="n">
        <v>11</v>
      </c>
      <c r="AA2705" t="n">
        <v>17</v>
      </c>
      <c r="AB2705" t="n">
        <v>1</v>
      </c>
      <c r="AC2705" t="n">
        <v>1</v>
      </c>
      <c r="AD2705" t="n">
        <v>0</v>
      </c>
      <c r="AE2705" t="n">
        <v>0</v>
      </c>
      <c r="AF2705" t="n">
        <v>0</v>
      </c>
      <c r="AG2705" t="n">
        <v>0</v>
      </c>
      <c r="AH2705" t="n">
        <v>0</v>
      </c>
      <c r="AI2705" t="n">
        <v>0</v>
      </c>
      <c r="AJ2705" t="n">
        <v>0</v>
      </c>
      <c r="AK2705" t="n">
        <v>0</v>
      </c>
      <c r="AL2705" t="n">
        <v>0</v>
      </c>
      <c r="AM2705" t="n">
        <v>0</v>
      </c>
      <c r="AN2705" t="n">
        <v>0</v>
      </c>
      <c r="AO2705" t="n">
        <v>0</v>
      </c>
      <c r="AP2705" t="inlineStr">
        <is>
          <t>No</t>
        </is>
      </c>
      <c r="AQ2705" t="inlineStr">
        <is>
          <t>Yes</t>
        </is>
      </c>
      <c r="AR2705">
        <f>HYPERLINK("http://catalog.hathitrust.org/Record/102596841","HathiTrust Record")</f>
        <v/>
      </c>
      <c r="AS2705">
        <f>HYPERLINK("https://creighton-primo.hosted.exlibrisgroup.com/primo-explore/search?tab=default_tab&amp;search_scope=EVERYTHING&amp;vid=01CRU&amp;lang=en_US&amp;offset=0&amp;query=any,contains,991001476089702656","Catalog Record")</f>
        <v/>
      </c>
      <c r="AT2705">
        <f>HYPERLINK("http://www.worldcat.org/oclc/19565589","WorldCat Record")</f>
        <v/>
      </c>
      <c r="AU2705" t="inlineStr">
        <is>
          <t>40291925:eng</t>
        </is>
      </c>
      <c r="AV2705" t="inlineStr">
        <is>
          <t>19565589</t>
        </is>
      </c>
      <c r="AW2705" t="inlineStr">
        <is>
          <t>991001476089702656</t>
        </is>
      </c>
      <c r="AX2705" t="inlineStr">
        <is>
          <t>991001476089702656</t>
        </is>
      </c>
      <c r="AY2705" t="inlineStr">
        <is>
          <t>2261868130002656</t>
        </is>
      </c>
      <c r="AZ2705" t="inlineStr">
        <is>
          <t>BOOK</t>
        </is>
      </c>
      <c r="BC2705" t="inlineStr">
        <is>
          <t>32285002452612</t>
        </is>
      </c>
      <c r="BD2705" t="inlineStr">
        <is>
          <t>893703055</t>
        </is>
      </c>
    </row>
    <row r="2706">
      <c r="A2706" t="inlineStr">
        <is>
          <t>No</t>
        </is>
      </c>
      <c r="B2706" t="inlineStr">
        <is>
          <t>DS922 .K36</t>
        </is>
      </c>
      <c r="C2706" t="inlineStr">
        <is>
          <t>0                      DS 0922000K  36</t>
        </is>
      </c>
      <c r="D2706" t="inlineStr">
        <is>
          <t>Korean phoenix : a nation from the ashes / Michael Keon.</t>
        </is>
      </c>
      <c r="F2706" t="inlineStr">
        <is>
          <t>No</t>
        </is>
      </c>
      <c r="G2706" t="inlineStr">
        <is>
          <t>1</t>
        </is>
      </c>
      <c r="H2706" t="inlineStr">
        <is>
          <t>No</t>
        </is>
      </c>
      <c r="I2706" t="inlineStr">
        <is>
          <t>No</t>
        </is>
      </c>
      <c r="J2706" t="inlineStr">
        <is>
          <t>0</t>
        </is>
      </c>
      <c r="K2706" t="inlineStr">
        <is>
          <t>Keon, Michael, 1918-</t>
        </is>
      </c>
      <c r="L2706" t="inlineStr">
        <is>
          <t>Englewood Cliffs, N.J. : Prentice-Hall International, c1977.</t>
        </is>
      </c>
      <c r="M2706" t="inlineStr">
        <is>
          <t>1977</t>
        </is>
      </c>
      <c r="O2706" t="inlineStr">
        <is>
          <t>eng</t>
        </is>
      </c>
      <c r="P2706" t="inlineStr">
        <is>
          <t>nju</t>
        </is>
      </c>
      <c r="R2706" t="inlineStr">
        <is>
          <t xml:space="preserve">DS </t>
        </is>
      </c>
      <c r="S2706" t="n">
        <v>1</v>
      </c>
      <c r="T2706" t="n">
        <v>1</v>
      </c>
      <c r="U2706" t="inlineStr">
        <is>
          <t>2001-03-28</t>
        </is>
      </c>
      <c r="V2706" t="inlineStr">
        <is>
          <t>2001-03-28</t>
        </is>
      </c>
      <c r="W2706" t="inlineStr">
        <is>
          <t>1997-03-18</t>
        </is>
      </c>
      <c r="X2706" t="inlineStr">
        <is>
          <t>1997-03-18</t>
        </is>
      </c>
      <c r="Y2706" t="n">
        <v>577</v>
      </c>
      <c r="Z2706" t="n">
        <v>452</v>
      </c>
      <c r="AA2706" t="n">
        <v>470</v>
      </c>
      <c r="AB2706" t="n">
        <v>5</v>
      </c>
      <c r="AC2706" t="n">
        <v>5</v>
      </c>
      <c r="AD2706" t="n">
        <v>20</v>
      </c>
      <c r="AE2706" t="n">
        <v>22</v>
      </c>
      <c r="AF2706" t="n">
        <v>6</v>
      </c>
      <c r="AG2706" t="n">
        <v>7</v>
      </c>
      <c r="AH2706" t="n">
        <v>7</v>
      </c>
      <c r="AI2706" t="n">
        <v>8</v>
      </c>
      <c r="AJ2706" t="n">
        <v>8</v>
      </c>
      <c r="AK2706" t="n">
        <v>8</v>
      </c>
      <c r="AL2706" t="n">
        <v>4</v>
      </c>
      <c r="AM2706" t="n">
        <v>4</v>
      </c>
      <c r="AN2706" t="n">
        <v>0</v>
      </c>
      <c r="AO2706" t="n">
        <v>0</v>
      </c>
      <c r="AP2706" t="inlineStr">
        <is>
          <t>No</t>
        </is>
      </c>
      <c r="AQ2706" t="inlineStr">
        <is>
          <t>Yes</t>
        </is>
      </c>
      <c r="AR2706">
        <f>HYPERLINK("http://catalog.hathitrust.org/Record/000726188","HathiTrust Record")</f>
        <v/>
      </c>
      <c r="AS2706">
        <f>HYPERLINK("https://creighton-primo.hosted.exlibrisgroup.com/primo-explore/search?tab=default_tab&amp;search_scope=EVERYTHING&amp;vid=01CRU&amp;lang=en_US&amp;offset=0&amp;query=any,contains,991004269199702656","Catalog Record")</f>
        <v/>
      </c>
      <c r="AT2706">
        <f>HYPERLINK("http://www.worldcat.org/oclc/2874581","WorldCat Record")</f>
        <v/>
      </c>
      <c r="AU2706" t="inlineStr">
        <is>
          <t>6399306:eng</t>
        </is>
      </c>
      <c r="AV2706" t="inlineStr">
        <is>
          <t>2874581</t>
        </is>
      </c>
      <c r="AW2706" t="inlineStr">
        <is>
          <t>991004269199702656</t>
        </is>
      </c>
      <c r="AX2706" t="inlineStr">
        <is>
          <t>991004269199702656</t>
        </is>
      </c>
      <c r="AY2706" t="inlineStr">
        <is>
          <t>2258823660002656</t>
        </is>
      </c>
      <c r="AZ2706" t="inlineStr">
        <is>
          <t>BOOK</t>
        </is>
      </c>
      <c r="BB2706" t="inlineStr">
        <is>
          <t>9780135168233</t>
        </is>
      </c>
      <c r="BC2706" t="inlineStr">
        <is>
          <t>32285002451291</t>
        </is>
      </c>
      <c r="BD2706" t="inlineStr">
        <is>
          <t>893624531</t>
        </is>
      </c>
    </row>
    <row r="2707">
      <c r="A2707" t="inlineStr">
        <is>
          <t>No</t>
        </is>
      </c>
      <c r="B2707" t="inlineStr">
        <is>
          <t>DS922 .K575</t>
        </is>
      </c>
      <c r="C2707" t="inlineStr">
        <is>
          <t>0                      DS 0922000K  575</t>
        </is>
      </c>
      <c r="D2707" t="inlineStr">
        <is>
          <t>Korea in context : a primer on the dynamics of Northeast Asia / Association of the United States Army.</t>
        </is>
      </c>
      <c r="F2707" t="inlineStr">
        <is>
          <t>No</t>
        </is>
      </c>
      <c r="G2707" t="inlineStr">
        <is>
          <t>1</t>
        </is>
      </c>
      <c r="H2707" t="inlineStr">
        <is>
          <t>No</t>
        </is>
      </c>
      <c r="I2707" t="inlineStr">
        <is>
          <t>No</t>
        </is>
      </c>
      <c r="J2707" t="inlineStr">
        <is>
          <t>0</t>
        </is>
      </c>
      <c r="K2707" t="inlineStr">
        <is>
          <t>Association of the United States Army.</t>
        </is>
      </c>
      <c r="L2707" t="inlineStr">
        <is>
          <t>Washington : The Association, 1977.</t>
        </is>
      </c>
      <c r="M2707" t="inlineStr">
        <is>
          <t>1977</t>
        </is>
      </c>
      <c r="O2707" t="inlineStr">
        <is>
          <t>eng</t>
        </is>
      </c>
      <c r="P2707" t="inlineStr">
        <is>
          <t>dcu</t>
        </is>
      </c>
      <c r="R2707" t="inlineStr">
        <is>
          <t xml:space="preserve">DS </t>
        </is>
      </c>
      <c r="S2707" t="n">
        <v>1</v>
      </c>
      <c r="T2707" t="n">
        <v>1</v>
      </c>
      <c r="U2707" t="inlineStr">
        <is>
          <t>2005-04-11</t>
        </is>
      </c>
      <c r="V2707" t="inlineStr">
        <is>
          <t>2005-04-11</t>
        </is>
      </c>
      <c r="W2707" t="inlineStr">
        <is>
          <t>1997-03-18</t>
        </is>
      </c>
      <c r="X2707" t="inlineStr">
        <is>
          <t>1997-03-18</t>
        </is>
      </c>
      <c r="Y2707" t="n">
        <v>16</v>
      </c>
      <c r="Z2707" t="n">
        <v>16</v>
      </c>
      <c r="AA2707" t="n">
        <v>17</v>
      </c>
      <c r="AB2707" t="n">
        <v>1</v>
      </c>
      <c r="AC2707" t="n">
        <v>1</v>
      </c>
      <c r="AD2707" t="n">
        <v>0</v>
      </c>
      <c r="AE2707" t="n">
        <v>0</v>
      </c>
      <c r="AF2707" t="n">
        <v>0</v>
      </c>
      <c r="AG2707" t="n">
        <v>0</v>
      </c>
      <c r="AH2707" t="n">
        <v>0</v>
      </c>
      <c r="AI2707" t="n">
        <v>0</v>
      </c>
      <c r="AJ2707" t="n">
        <v>0</v>
      </c>
      <c r="AK2707" t="n">
        <v>0</v>
      </c>
      <c r="AL2707" t="n">
        <v>0</v>
      </c>
      <c r="AM2707" t="n">
        <v>0</v>
      </c>
      <c r="AN2707" t="n">
        <v>0</v>
      </c>
      <c r="AO2707" t="n">
        <v>0</v>
      </c>
      <c r="AP2707" t="inlineStr">
        <is>
          <t>No</t>
        </is>
      </c>
      <c r="AQ2707" t="inlineStr">
        <is>
          <t>No</t>
        </is>
      </c>
      <c r="AS2707">
        <f>HYPERLINK("https://creighton-primo.hosted.exlibrisgroup.com/primo-explore/search?tab=default_tab&amp;search_scope=EVERYTHING&amp;vid=01CRU&amp;lang=en_US&amp;offset=0&amp;query=any,contains,991004900129702656","Catalog Record")</f>
        <v/>
      </c>
      <c r="AT2707">
        <f>HYPERLINK("http://www.worldcat.org/oclc/5927061","WorldCat Record")</f>
        <v/>
      </c>
      <c r="AU2707" t="inlineStr">
        <is>
          <t>30835080:eng</t>
        </is>
      </c>
      <c r="AV2707" t="inlineStr">
        <is>
          <t>5927061</t>
        </is>
      </c>
      <c r="AW2707" t="inlineStr">
        <is>
          <t>991004900129702656</t>
        </is>
      </c>
      <c r="AX2707" t="inlineStr">
        <is>
          <t>991004900129702656</t>
        </is>
      </c>
      <c r="AY2707" t="inlineStr">
        <is>
          <t>2255503410002656</t>
        </is>
      </c>
      <c r="AZ2707" t="inlineStr">
        <is>
          <t>BOOK</t>
        </is>
      </c>
      <c r="BC2707" t="inlineStr">
        <is>
          <t>32285002451317</t>
        </is>
      </c>
      <c r="BD2707" t="inlineStr">
        <is>
          <t>893688330</t>
        </is>
      </c>
    </row>
    <row r="2708">
      <c r="A2708" t="inlineStr">
        <is>
          <t>No</t>
        </is>
      </c>
      <c r="B2708" t="inlineStr">
        <is>
          <t>DS922.2.P3 A55</t>
        </is>
      </c>
      <c r="C2708" t="inlineStr">
        <is>
          <t>0                      DS 0922200P  3                  A  55</t>
        </is>
      </c>
      <c r="D2708" t="inlineStr">
        <is>
          <t>Major speeches by Korea's Park Chung Hee. Compiled by Shin Bum Shik.</t>
        </is>
      </c>
      <c r="F2708" t="inlineStr">
        <is>
          <t>No</t>
        </is>
      </c>
      <c r="G2708" t="inlineStr">
        <is>
          <t>1</t>
        </is>
      </c>
      <c r="H2708" t="inlineStr">
        <is>
          <t>No</t>
        </is>
      </c>
      <c r="I2708" t="inlineStr">
        <is>
          <t>No</t>
        </is>
      </c>
      <c r="J2708" t="inlineStr">
        <is>
          <t>0</t>
        </is>
      </c>
      <c r="K2708" t="inlineStr">
        <is>
          <t>Park, Chung Hee, 1917-1979.</t>
        </is>
      </c>
      <c r="L2708" t="inlineStr">
        <is>
          <t>Seoul, Hollym Corp. [1970]</t>
        </is>
      </c>
      <c r="M2708" t="inlineStr">
        <is>
          <t>1970</t>
        </is>
      </c>
      <c r="N2708" t="inlineStr">
        <is>
          <t>[1st ed.]</t>
        </is>
      </c>
      <c r="O2708" t="inlineStr">
        <is>
          <t>eng</t>
        </is>
      </c>
      <c r="P2708" t="inlineStr">
        <is>
          <t xml:space="preserve">ko </t>
        </is>
      </c>
      <c r="Q2708" t="inlineStr">
        <is>
          <t>A New horizon in Asia, 3</t>
        </is>
      </c>
      <c r="R2708" t="inlineStr">
        <is>
          <t xml:space="preserve">DS </t>
        </is>
      </c>
      <c r="S2708" t="n">
        <v>1</v>
      </c>
      <c r="T2708" t="n">
        <v>1</v>
      </c>
      <c r="U2708" t="inlineStr">
        <is>
          <t>2006-03-07</t>
        </is>
      </c>
      <c r="V2708" t="inlineStr">
        <is>
          <t>2006-03-07</t>
        </is>
      </c>
      <c r="W2708" t="inlineStr">
        <is>
          <t>1997-03-18</t>
        </is>
      </c>
      <c r="X2708" t="inlineStr">
        <is>
          <t>1997-03-18</t>
        </is>
      </c>
      <c r="Y2708" t="n">
        <v>294</v>
      </c>
      <c r="Z2708" t="n">
        <v>182</v>
      </c>
      <c r="AA2708" t="n">
        <v>183</v>
      </c>
      <c r="AB2708" t="n">
        <v>1</v>
      </c>
      <c r="AC2708" t="n">
        <v>1</v>
      </c>
      <c r="AD2708" t="n">
        <v>9</v>
      </c>
      <c r="AE2708" t="n">
        <v>9</v>
      </c>
      <c r="AF2708" t="n">
        <v>2</v>
      </c>
      <c r="AG2708" t="n">
        <v>2</v>
      </c>
      <c r="AH2708" t="n">
        <v>4</v>
      </c>
      <c r="AI2708" t="n">
        <v>4</v>
      </c>
      <c r="AJ2708" t="n">
        <v>6</v>
      </c>
      <c r="AK2708" t="n">
        <v>6</v>
      </c>
      <c r="AL2708" t="n">
        <v>0</v>
      </c>
      <c r="AM2708" t="n">
        <v>0</v>
      </c>
      <c r="AN2708" t="n">
        <v>0</v>
      </c>
      <c r="AO2708" t="n">
        <v>0</v>
      </c>
      <c r="AP2708" t="inlineStr">
        <is>
          <t>No</t>
        </is>
      </c>
      <c r="AQ2708" t="inlineStr">
        <is>
          <t>Yes</t>
        </is>
      </c>
      <c r="AR2708">
        <f>HYPERLINK("http://catalog.hathitrust.org/Record/001605035","HathiTrust Record")</f>
        <v/>
      </c>
      <c r="AS2708">
        <f>HYPERLINK("https://creighton-primo.hosted.exlibrisgroup.com/primo-explore/search?tab=default_tab&amp;search_scope=EVERYTHING&amp;vid=01CRU&amp;lang=en_US&amp;offset=0&amp;query=any,contains,991002397229702656","Catalog Record")</f>
        <v/>
      </c>
      <c r="AT2708">
        <f>HYPERLINK("http://www.worldcat.org/oclc/335158","WorldCat Record")</f>
        <v/>
      </c>
      <c r="AU2708" t="inlineStr">
        <is>
          <t>1451687:eng</t>
        </is>
      </c>
      <c r="AV2708" t="inlineStr">
        <is>
          <t>335158</t>
        </is>
      </c>
      <c r="AW2708" t="inlineStr">
        <is>
          <t>991002397229702656</t>
        </is>
      </c>
      <c r="AX2708" t="inlineStr">
        <is>
          <t>991002397229702656</t>
        </is>
      </c>
      <c r="AY2708" t="inlineStr">
        <is>
          <t>2256610820002656</t>
        </is>
      </c>
      <c r="AZ2708" t="inlineStr">
        <is>
          <t>BOOK</t>
        </is>
      </c>
      <c r="BC2708" t="inlineStr">
        <is>
          <t>32285002451325</t>
        </is>
      </c>
      <c r="BD2708" t="inlineStr">
        <is>
          <t>893322885</t>
        </is>
      </c>
    </row>
    <row r="2709">
      <c r="A2709" t="inlineStr">
        <is>
          <t>No</t>
        </is>
      </c>
      <c r="B2709" t="inlineStr">
        <is>
          <t>DS922.35 .H56 1983</t>
        </is>
      </c>
      <c r="C2709" t="inlineStr">
        <is>
          <t>0                      DS 0922350H  56          1983</t>
        </is>
      </c>
      <c r="D2709" t="inlineStr">
        <is>
          <t>Korea under new leadership : the Fifth Republic / Harold C. Hinton.</t>
        </is>
      </c>
      <c r="F2709" t="inlineStr">
        <is>
          <t>No</t>
        </is>
      </c>
      <c r="G2709" t="inlineStr">
        <is>
          <t>1</t>
        </is>
      </c>
      <c r="H2709" t="inlineStr">
        <is>
          <t>No</t>
        </is>
      </c>
      <c r="I2709" t="inlineStr">
        <is>
          <t>No</t>
        </is>
      </c>
      <c r="J2709" t="inlineStr">
        <is>
          <t>0</t>
        </is>
      </c>
      <c r="K2709" t="inlineStr">
        <is>
          <t>Hinton, Harold C.</t>
        </is>
      </c>
      <c r="L2709" t="inlineStr">
        <is>
          <t>New York, NY : Praeger, 1983.</t>
        </is>
      </c>
      <c r="M2709" t="inlineStr">
        <is>
          <t>1983</t>
        </is>
      </c>
      <c r="O2709" t="inlineStr">
        <is>
          <t>eng</t>
        </is>
      </c>
      <c r="P2709" t="inlineStr">
        <is>
          <t>nyu</t>
        </is>
      </c>
      <c r="R2709" t="inlineStr">
        <is>
          <t xml:space="preserve">DS </t>
        </is>
      </c>
      <c r="S2709" t="n">
        <v>5</v>
      </c>
      <c r="T2709" t="n">
        <v>5</v>
      </c>
      <c r="U2709" t="inlineStr">
        <is>
          <t>2006-03-07</t>
        </is>
      </c>
      <c r="V2709" t="inlineStr">
        <is>
          <t>2006-03-07</t>
        </is>
      </c>
      <c r="W2709" t="inlineStr">
        <is>
          <t>1990-11-05</t>
        </is>
      </c>
      <c r="X2709" t="inlineStr">
        <is>
          <t>1990-11-05</t>
        </is>
      </c>
      <c r="Y2709" t="n">
        <v>429</v>
      </c>
      <c r="Z2709" t="n">
        <v>355</v>
      </c>
      <c r="AA2709" t="n">
        <v>361</v>
      </c>
      <c r="AB2709" t="n">
        <v>5</v>
      </c>
      <c r="AC2709" t="n">
        <v>5</v>
      </c>
      <c r="AD2709" t="n">
        <v>16</v>
      </c>
      <c r="AE2709" t="n">
        <v>16</v>
      </c>
      <c r="AF2709" t="n">
        <v>5</v>
      </c>
      <c r="AG2709" t="n">
        <v>5</v>
      </c>
      <c r="AH2709" t="n">
        <v>5</v>
      </c>
      <c r="AI2709" t="n">
        <v>5</v>
      </c>
      <c r="AJ2709" t="n">
        <v>6</v>
      </c>
      <c r="AK2709" t="n">
        <v>6</v>
      </c>
      <c r="AL2709" t="n">
        <v>4</v>
      </c>
      <c r="AM2709" t="n">
        <v>4</v>
      </c>
      <c r="AN2709" t="n">
        <v>0</v>
      </c>
      <c r="AO2709" t="n">
        <v>0</v>
      </c>
      <c r="AP2709" t="inlineStr">
        <is>
          <t>No</t>
        </is>
      </c>
      <c r="AQ2709" t="inlineStr">
        <is>
          <t>Yes</t>
        </is>
      </c>
      <c r="AR2709">
        <f>HYPERLINK("http://catalog.hathitrust.org/Record/000314323","HathiTrust Record")</f>
        <v/>
      </c>
      <c r="AS2709">
        <f>HYPERLINK("https://creighton-primo.hosted.exlibrisgroup.com/primo-explore/search?tab=default_tab&amp;search_scope=EVERYTHING&amp;vid=01CRU&amp;lang=en_US&amp;offset=0&amp;query=any,contains,991000153419702656","Catalog Record")</f>
        <v/>
      </c>
      <c r="AT2709">
        <f>HYPERLINK("http://www.worldcat.org/oclc/9219028","WorldCat Record")</f>
        <v/>
      </c>
      <c r="AU2709" t="inlineStr">
        <is>
          <t>292177981:eng</t>
        </is>
      </c>
      <c r="AV2709" t="inlineStr">
        <is>
          <t>9219028</t>
        </is>
      </c>
      <c r="AW2709" t="inlineStr">
        <is>
          <t>991000153419702656</t>
        </is>
      </c>
      <c r="AX2709" t="inlineStr">
        <is>
          <t>991000153419702656</t>
        </is>
      </c>
      <c r="AY2709" t="inlineStr">
        <is>
          <t>2268366810002656</t>
        </is>
      </c>
      <c r="AZ2709" t="inlineStr">
        <is>
          <t>BOOK</t>
        </is>
      </c>
      <c r="BB2709" t="inlineStr">
        <is>
          <t>9780030632839</t>
        </is>
      </c>
      <c r="BC2709" t="inlineStr">
        <is>
          <t>32285000371053</t>
        </is>
      </c>
      <c r="BD2709" t="inlineStr">
        <is>
          <t>893521448</t>
        </is>
      </c>
    </row>
    <row r="2710">
      <c r="A2710" t="inlineStr">
        <is>
          <t>No</t>
        </is>
      </c>
      <c r="B2710" t="inlineStr">
        <is>
          <t>DS922.35 .P3</t>
        </is>
      </c>
      <c r="C2710" t="inlineStr">
        <is>
          <t>0                      DS 0922350P  3</t>
        </is>
      </c>
      <c r="D2710" t="inlineStr">
        <is>
          <t>Korea reborn : a model for development / Park Chung Hee [i.e. C.-h. Pak]</t>
        </is>
      </c>
      <c r="F2710" t="inlineStr">
        <is>
          <t>No</t>
        </is>
      </c>
      <c r="G2710" t="inlineStr">
        <is>
          <t>1</t>
        </is>
      </c>
      <c r="H2710" t="inlineStr">
        <is>
          <t>No</t>
        </is>
      </c>
      <c r="I2710" t="inlineStr">
        <is>
          <t>No</t>
        </is>
      </c>
      <c r="J2710" t="inlineStr">
        <is>
          <t>0</t>
        </is>
      </c>
      <c r="K2710" t="inlineStr">
        <is>
          <t>Park, Chung Hee, 1917-1979.</t>
        </is>
      </c>
      <c r="L2710" t="inlineStr">
        <is>
          <t>Englewood Cliffs, N.J. : Prentice-Hall, c1979.</t>
        </is>
      </c>
      <c r="M2710" t="inlineStr">
        <is>
          <t>1979</t>
        </is>
      </c>
      <c r="O2710" t="inlineStr">
        <is>
          <t>eng</t>
        </is>
      </c>
      <c r="P2710" t="inlineStr">
        <is>
          <t>nju</t>
        </is>
      </c>
      <c r="R2710" t="inlineStr">
        <is>
          <t xml:space="preserve">DS </t>
        </is>
      </c>
      <c r="S2710" t="n">
        <v>2</v>
      </c>
      <c r="T2710" t="n">
        <v>2</v>
      </c>
      <c r="U2710" t="inlineStr">
        <is>
          <t>2005-10-30</t>
        </is>
      </c>
      <c r="V2710" t="inlineStr">
        <is>
          <t>2005-10-30</t>
        </is>
      </c>
      <c r="W2710" t="inlineStr">
        <is>
          <t>1990-11-05</t>
        </is>
      </c>
      <c r="X2710" t="inlineStr">
        <is>
          <t>1990-11-05</t>
        </is>
      </c>
      <c r="Y2710" t="n">
        <v>797</v>
      </c>
      <c r="Z2710" t="n">
        <v>728</v>
      </c>
      <c r="AA2710" t="n">
        <v>738</v>
      </c>
      <c r="AB2710" t="n">
        <v>5</v>
      </c>
      <c r="AC2710" t="n">
        <v>5</v>
      </c>
      <c r="AD2710" t="n">
        <v>36</v>
      </c>
      <c r="AE2710" t="n">
        <v>36</v>
      </c>
      <c r="AF2710" t="n">
        <v>16</v>
      </c>
      <c r="AG2710" t="n">
        <v>16</v>
      </c>
      <c r="AH2710" t="n">
        <v>6</v>
      </c>
      <c r="AI2710" t="n">
        <v>6</v>
      </c>
      <c r="AJ2710" t="n">
        <v>17</v>
      </c>
      <c r="AK2710" t="n">
        <v>17</v>
      </c>
      <c r="AL2710" t="n">
        <v>4</v>
      </c>
      <c r="AM2710" t="n">
        <v>4</v>
      </c>
      <c r="AN2710" t="n">
        <v>0</v>
      </c>
      <c r="AO2710" t="n">
        <v>0</v>
      </c>
      <c r="AP2710" t="inlineStr">
        <is>
          <t>No</t>
        </is>
      </c>
      <c r="AQ2710" t="inlineStr">
        <is>
          <t>Yes</t>
        </is>
      </c>
      <c r="AR2710">
        <f>HYPERLINK("http://catalog.hathitrust.org/Record/000298955","HathiTrust Record")</f>
        <v/>
      </c>
      <c r="AS2710">
        <f>HYPERLINK("https://creighton-primo.hosted.exlibrisgroup.com/primo-explore/search?tab=default_tab&amp;search_scope=EVERYTHING&amp;vid=01CRU&amp;lang=en_US&amp;offset=0&amp;query=any,contains,991004729309702656","Catalog Record")</f>
        <v/>
      </c>
      <c r="AT2710">
        <f>HYPERLINK("http://www.worldcat.org/oclc/4832589","WorldCat Record")</f>
        <v/>
      </c>
      <c r="AU2710" t="inlineStr">
        <is>
          <t>878289700:eng</t>
        </is>
      </c>
      <c r="AV2710" t="inlineStr">
        <is>
          <t>4832589</t>
        </is>
      </c>
      <c r="AW2710" t="inlineStr">
        <is>
          <t>991004729309702656</t>
        </is>
      </c>
      <c r="AX2710" t="inlineStr">
        <is>
          <t>991004729309702656</t>
        </is>
      </c>
      <c r="AY2710" t="inlineStr">
        <is>
          <t>2268634700002656</t>
        </is>
      </c>
      <c r="AZ2710" t="inlineStr">
        <is>
          <t>BOOK</t>
        </is>
      </c>
      <c r="BB2710" t="inlineStr">
        <is>
          <t>9780135168318</t>
        </is>
      </c>
      <c r="BC2710" t="inlineStr">
        <is>
          <t>32285000371061</t>
        </is>
      </c>
      <c r="BD2710" t="inlineStr">
        <is>
          <t>893612701</t>
        </is>
      </c>
    </row>
    <row r="2711">
      <c r="A2711" t="inlineStr">
        <is>
          <t>No</t>
        </is>
      </c>
      <c r="B2711" t="inlineStr">
        <is>
          <t>DS922.37 .C46 1987</t>
        </is>
      </c>
      <c r="C2711" t="inlineStr">
        <is>
          <t>0                      DS 0922370C  46          1987</t>
        </is>
      </c>
      <c r="D2711" t="inlineStr">
        <is>
          <t>Embattled Korea : the rivalry for international support / Ralph N. Clough.</t>
        </is>
      </c>
      <c r="F2711" t="inlineStr">
        <is>
          <t>No</t>
        </is>
      </c>
      <c r="G2711" t="inlineStr">
        <is>
          <t>1</t>
        </is>
      </c>
      <c r="H2711" t="inlineStr">
        <is>
          <t>No</t>
        </is>
      </c>
      <c r="I2711" t="inlineStr">
        <is>
          <t>No</t>
        </is>
      </c>
      <c r="J2711" t="inlineStr">
        <is>
          <t>0</t>
        </is>
      </c>
      <c r="K2711" t="inlineStr">
        <is>
          <t>Clough, Ralph N., 1916-2007.</t>
        </is>
      </c>
      <c r="L2711" t="inlineStr">
        <is>
          <t>Boulder, Colo. : Westview Press, c1987.</t>
        </is>
      </c>
      <c r="M2711" t="inlineStr">
        <is>
          <t>1987</t>
        </is>
      </c>
      <c r="O2711" t="inlineStr">
        <is>
          <t>eng</t>
        </is>
      </c>
      <c r="P2711" t="inlineStr">
        <is>
          <t>cou</t>
        </is>
      </c>
      <c r="R2711" t="inlineStr">
        <is>
          <t xml:space="preserve">DS </t>
        </is>
      </c>
      <c r="S2711" t="n">
        <v>11</v>
      </c>
      <c r="T2711" t="n">
        <v>11</v>
      </c>
      <c r="U2711" t="inlineStr">
        <is>
          <t>1997-11-10</t>
        </is>
      </c>
      <c r="V2711" t="inlineStr">
        <is>
          <t>1997-11-10</t>
        </is>
      </c>
      <c r="W2711" t="inlineStr">
        <is>
          <t>1990-11-05</t>
        </is>
      </c>
      <c r="X2711" t="inlineStr">
        <is>
          <t>1990-11-05</t>
        </is>
      </c>
      <c r="Y2711" t="n">
        <v>546</v>
      </c>
      <c r="Z2711" t="n">
        <v>474</v>
      </c>
      <c r="AA2711" t="n">
        <v>496</v>
      </c>
      <c r="AB2711" t="n">
        <v>3</v>
      </c>
      <c r="AC2711" t="n">
        <v>3</v>
      </c>
      <c r="AD2711" t="n">
        <v>19</v>
      </c>
      <c r="AE2711" t="n">
        <v>19</v>
      </c>
      <c r="AF2711" t="n">
        <v>8</v>
      </c>
      <c r="AG2711" t="n">
        <v>8</v>
      </c>
      <c r="AH2711" t="n">
        <v>5</v>
      </c>
      <c r="AI2711" t="n">
        <v>5</v>
      </c>
      <c r="AJ2711" t="n">
        <v>10</v>
      </c>
      <c r="AK2711" t="n">
        <v>10</v>
      </c>
      <c r="AL2711" t="n">
        <v>2</v>
      </c>
      <c r="AM2711" t="n">
        <v>2</v>
      </c>
      <c r="AN2711" t="n">
        <v>0</v>
      </c>
      <c r="AO2711" t="n">
        <v>0</v>
      </c>
      <c r="AP2711" t="inlineStr">
        <is>
          <t>No</t>
        </is>
      </c>
      <c r="AQ2711" t="inlineStr">
        <is>
          <t>Yes</t>
        </is>
      </c>
      <c r="AR2711">
        <f>HYPERLINK("http://catalog.hathitrust.org/Record/000850420","HathiTrust Record")</f>
        <v/>
      </c>
      <c r="AS2711">
        <f>HYPERLINK("https://creighton-primo.hosted.exlibrisgroup.com/primo-explore/search?tab=default_tab&amp;search_scope=EVERYTHING&amp;vid=01CRU&amp;lang=en_US&amp;offset=0&amp;query=any,contains,991001142049702656","Catalog Record")</f>
        <v/>
      </c>
      <c r="AT2711">
        <f>HYPERLINK("http://www.worldcat.org/oclc/16753053","WorldCat Record")</f>
        <v/>
      </c>
      <c r="AU2711" t="inlineStr">
        <is>
          <t>13125502:eng</t>
        </is>
      </c>
      <c r="AV2711" t="inlineStr">
        <is>
          <t>16753053</t>
        </is>
      </c>
      <c r="AW2711" t="inlineStr">
        <is>
          <t>991001142049702656</t>
        </is>
      </c>
      <c r="AX2711" t="inlineStr">
        <is>
          <t>991001142049702656</t>
        </is>
      </c>
      <c r="AY2711" t="inlineStr">
        <is>
          <t>2257001580002656</t>
        </is>
      </c>
      <c r="AZ2711" t="inlineStr">
        <is>
          <t>BOOK</t>
        </is>
      </c>
      <c r="BB2711" t="inlineStr">
        <is>
          <t>9780813373249</t>
        </is>
      </c>
      <c r="BC2711" t="inlineStr">
        <is>
          <t>32285000371079</t>
        </is>
      </c>
      <c r="BD2711" t="inlineStr">
        <is>
          <t>893340189</t>
        </is>
      </c>
    </row>
    <row r="2712">
      <c r="A2712" t="inlineStr">
        <is>
          <t>No</t>
        </is>
      </c>
      <c r="B2712" t="inlineStr">
        <is>
          <t>DS924.T655 K45 2008</t>
        </is>
      </c>
      <c r="C2712" t="inlineStr">
        <is>
          <t>0                      DS 0924000T  655                K  45          2008</t>
        </is>
      </c>
      <c r="D2712" t="inlineStr">
        <is>
          <t>The history of imperial Japan's seizure of Dokdo / Kim Byungryull.</t>
        </is>
      </c>
      <c r="F2712" t="inlineStr">
        <is>
          <t>No</t>
        </is>
      </c>
      <c r="G2712" t="inlineStr">
        <is>
          <t>1</t>
        </is>
      </c>
      <c r="H2712" t="inlineStr">
        <is>
          <t>No</t>
        </is>
      </c>
      <c r="I2712" t="inlineStr">
        <is>
          <t>No</t>
        </is>
      </c>
      <c r="J2712" t="inlineStr">
        <is>
          <t>0</t>
        </is>
      </c>
      <c r="K2712" t="inlineStr">
        <is>
          <t>Kim, Pyŏng-nyŏl, 1956-</t>
        </is>
      </c>
      <c r="L2712" t="inlineStr">
        <is>
          <t>Seoul : Northeast Asian History Foundation, c2008.</t>
        </is>
      </c>
      <c r="M2712" t="inlineStr">
        <is>
          <t>2008</t>
        </is>
      </c>
      <c r="O2712" t="inlineStr">
        <is>
          <t>eng</t>
        </is>
      </c>
      <c r="P2712" t="inlineStr">
        <is>
          <t xml:space="preserve">ko </t>
        </is>
      </c>
      <c r="R2712" t="inlineStr">
        <is>
          <t xml:space="preserve">DS </t>
        </is>
      </c>
      <c r="S2712" t="n">
        <v>1</v>
      </c>
      <c r="T2712" t="n">
        <v>1</v>
      </c>
      <c r="U2712" t="inlineStr">
        <is>
          <t>2009-02-17</t>
        </is>
      </c>
      <c r="V2712" t="inlineStr">
        <is>
          <t>2009-02-17</t>
        </is>
      </c>
      <c r="W2712" t="inlineStr">
        <is>
          <t>2009-02-17</t>
        </is>
      </c>
      <c r="X2712" t="inlineStr">
        <is>
          <t>2009-02-17</t>
        </is>
      </c>
      <c r="Y2712" t="n">
        <v>482</v>
      </c>
      <c r="Z2712" t="n">
        <v>382</v>
      </c>
      <c r="AA2712" t="n">
        <v>409</v>
      </c>
      <c r="AB2712" t="n">
        <v>5</v>
      </c>
      <c r="AC2712" t="n">
        <v>5</v>
      </c>
      <c r="AD2712" t="n">
        <v>18</v>
      </c>
      <c r="AE2712" t="n">
        <v>18</v>
      </c>
      <c r="AF2712" t="n">
        <v>8</v>
      </c>
      <c r="AG2712" t="n">
        <v>8</v>
      </c>
      <c r="AH2712" t="n">
        <v>4</v>
      </c>
      <c r="AI2712" t="n">
        <v>4</v>
      </c>
      <c r="AJ2712" t="n">
        <v>5</v>
      </c>
      <c r="AK2712" t="n">
        <v>5</v>
      </c>
      <c r="AL2712" t="n">
        <v>4</v>
      </c>
      <c r="AM2712" t="n">
        <v>4</v>
      </c>
      <c r="AN2712" t="n">
        <v>0</v>
      </c>
      <c r="AO2712" t="n">
        <v>0</v>
      </c>
      <c r="AP2712" t="inlineStr">
        <is>
          <t>No</t>
        </is>
      </c>
      <c r="AQ2712" t="inlineStr">
        <is>
          <t>Yes</t>
        </is>
      </c>
      <c r="AR2712">
        <f>HYPERLINK("http://catalog.hathitrust.org/Record/006780748","HathiTrust Record")</f>
        <v/>
      </c>
      <c r="AS2712">
        <f>HYPERLINK("https://creighton-primo.hosted.exlibrisgroup.com/primo-explore/search?tab=default_tab&amp;search_scope=EVERYTHING&amp;vid=01CRU&amp;lang=en_US&amp;offset=0&amp;query=any,contains,991005296959702656","Catalog Record")</f>
        <v/>
      </c>
      <c r="AT2712">
        <f>HYPERLINK("http://www.worldcat.org/oclc/277605671","WorldCat Record")</f>
        <v/>
      </c>
      <c r="AU2712" t="inlineStr">
        <is>
          <t>315604352:eng</t>
        </is>
      </c>
      <c r="AV2712" t="inlineStr">
        <is>
          <t>277605671</t>
        </is>
      </c>
      <c r="AW2712" t="inlineStr">
        <is>
          <t>991005296959702656</t>
        </is>
      </c>
      <c r="AX2712" t="inlineStr">
        <is>
          <t>991005296959702656</t>
        </is>
      </c>
      <c r="AY2712" t="inlineStr">
        <is>
          <t>2270528130002656</t>
        </is>
      </c>
      <c r="AZ2712" t="inlineStr">
        <is>
          <t>BOOK</t>
        </is>
      </c>
      <c r="BB2712" t="inlineStr">
        <is>
          <t>9788961870665</t>
        </is>
      </c>
      <c r="BC2712" t="inlineStr">
        <is>
          <t>32285005504906</t>
        </is>
      </c>
      <c r="BD2712" t="inlineStr">
        <is>
          <t>893501656</t>
        </is>
      </c>
    </row>
    <row r="2713">
      <c r="A2713" t="inlineStr">
        <is>
          <t>No</t>
        </is>
      </c>
      <c r="B2713" t="inlineStr">
        <is>
          <t>DS925.S4 A64 1974</t>
        </is>
      </c>
      <c r="C2713" t="inlineStr">
        <is>
          <t>0                      DS 0925000S  4                  A  64          1974</t>
        </is>
      </c>
      <c r="D2713" t="inlineStr">
        <is>
          <t>Through gates of Seoul : trails and tales of Yi dynasty / by Edward B. Adams ; foreword by Samuel H. Moffett.</t>
        </is>
      </c>
      <c r="E2713" t="inlineStr">
        <is>
          <t>V.1</t>
        </is>
      </c>
      <c r="F2713" t="inlineStr">
        <is>
          <t>Yes</t>
        </is>
      </c>
      <c r="G2713" t="inlineStr">
        <is>
          <t>1</t>
        </is>
      </c>
      <c r="H2713" t="inlineStr">
        <is>
          <t>No</t>
        </is>
      </c>
      <c r="I2713" t="inlineStr">
        <is>
          <t>No</t>
        </is>
      </c>
      <c r="J2713" t="inlineStr">
        <is>
          <t>0</t>
        </is>
      </c>
      <c r="K2713" t="inlineStr">
        <is>
          <t>Adams, Edward Ben, 1934-</t>
        </is>
      </c>
      <c r="L2713" t="inlineStr">
        <is>
          <t>Seoul : Taewon Pub. Corp., 1974-77.</t>
        </is>
      </c>
      <c r="M2713" t="inlineStr">
        <is>
          <t>1974</t>
        </is>
      </c>
      <c r="N2713" t="inlineStr">
        <is>
          <t>2d ed.</t>
        </is>
      </c>
      <c r="O2713" t="inlineStr">
        <is>
          <t>eng</t>
        </is>
      </c>
      <c r="P2713" t="inlineStr">
        <is>
          <t xml:space="preserve">ko </t>
        </is>
      </c>
      <c r="R2713" t="inlineStr">
        <is>
          <t xml:space="preserve">DS </t>
        </is>
      </c>
      <c r="S2713" t="n">
        <v>1</v>
      </c>
      <c r="T2713" t="n">
        <v>3</v>
      </c>
      <c r="U2713" t="inlineStr">
        <is>
          <t>1997-06-10</t>
        </is>
      </c>
      <c r="V2713" t="inlineStr">
        <is>
          <t>1997-06-10</t>
        </is>
      </c>
      <c r="W2713" t="inlineStr">
        <is>
          <t>1990-11-05</t>
        </is>
      </c>
      <c r="X2713" t="inlineStr">
        <is>
          <t>1990-11-05</t>
        </is>
      </c>
      <c r="Y2713" t="n">
        <v>87</v>
      </c>
      <c r="Z2713" t="n">
        <v>77</v>
      </c>
      <c r="AA2713" t="n">
        <v>173</v>
      </c>
      <c r="AB2713" t="n">
        <v>1</v>
      </c>
      <c r="AC2713" t="n">
        <v>1</v>
      </c>
      <c r="AD2713" t="n">
        <v>2</v>
      </c>
      <c r="AE2713" t="n">
        <v>5</v>
      </c>
      <c r="AF2713" t="n">
        <v>1</v>
      </c>
      <c r="AG2713" t="n">
        <v>3</v>
      </c>
      <c r="AH2713" t="n">
        <v>1</v>
      </c>
      <c r="AI2713" t="n">
        <v>2</v>
      </c>
      <c r="AJ2713" t="n">
        <v>2</v>
      </c>
      <c r="AK2713" t="n">
        <v>3</v>
      </c>
      <c r="AL2713" t="n">
        <v>0</v>
      </c>
      <c r="AM2713" t="n">
        <v>0</v>
      </c>
      <c r="AN2713" t="n">
        <v>0</v>
      </c>
      <c r="AO2713" t="n">
        <v>0</v>
      </c>
      <c r="AP2713" t="inlineStr">
        <is>
          <t>No</t>
        </is>
      </c>
      <c r="AQ2713" t="inlineStr">
        <is>
          <t>No</t>
        </is>
      </c>
      <c r="AS2713">
        <f>HYPERLINK("https://creighton-primo.hosted.exlibrisgroup.com/primo-explore/search?tab=default_tab&amp;search_scope=EVERYTHING&amp;vid=01CRU&amp;lang=en_US&amp;offset=0&amp;query=any,contains,991005009879702656","Catalog Record")</f>
        <v/>
      </c>
      <c r="AT2713">
        <f>HYPERLINK("http://www.worldcat.org/oclc/6596051","WorldCat Record")</f>
        <v/>
      </c>
      <c r="AU2713" t="inlineStr">
        <is>
          <t>1221082:eng</t>
        </is>
      </c>
      <c r="AV2713" t="inlineStr">
        <is>
          <t>6596051</t>
        </is>
      </c>
      <c r="AW2713" t="inlineStr">
        <is>
          <t>991005009879702656</t>
        </is>
      </c>
      <c r="AX2713" t="inlineStr">
        <is>
          <t>991005009879702656</t>
        </is>
      </c>
      <c r="AY2713" t="inlineStr">
        <is>
          <t>2256596060002656</t>
        </is>
      </c>
      <c r="AZ2713" t="inlineStr">
        <is>
          <t>BOOK</t>
        </is>
      </c>
      <c r="BC2713" t="inlineStr">
        <is>
          <t>32285000371087</t>
        </is>
      </c>
      <c r="BD2713" t="inlineStr">
        <is>
          <t>893319884</t>
        </is>
      </c>
    </row>
    <row r="2714">
      <c r="A2714" t="inlineStr">
        <is>
          <t>No</t>
        </is>
      </c>
      <c r="B2714" t="inlineStr">
        <is>
          <t>DS925.S4 A64 1974</t>
        </is>
      </c>
      <c r="C2714" t="inlineStr">
        <is>
          <t>0                      DS 0925000S  4                  A  64          1974</t>
        </is>
      </c>
      <c r="D2714" t="inlineStr">
        <is>
          <t>Through gates of Seoul : trails and tales of Yi dynasty / by Edward B. Adams ; foreword by Samuel H. Moffett.</t>
        </is>
      </c>
      <c r="E2714" t="inlineStr">
        <is>
          <t>V.2</t>
        </is>
      </c>
      <c r="F2714" t="inlineStr">
        <is>
          <t>Yes</t>
        </is>
      </c>
      <c r="G2714" t="inlineStr">
        <is>
          <t>1</t>
        </is>
      </c>
      <c r="H2714" t="inlineStr">
        <is>
          <t>No</t>
        </is>
      </c>
      <c r="I2714" t="inlineStr">
        <is>
          <t>No</t>
        </is>
      </c>
      <c r="J2714" t="inlineStr">
        <is>
          <t>0</t>
        </is>
      </c>
      <c r="K2714" t="inlineStr">
        <is>
          <t>Adams, Edward Ben, 1934-</t>
        </is>
      </c>
      <c r="L2714" t="inlineStr">
        <is>
          <t>Seoul : Taewon Pub. Corp., 1974-77.</t>
        </is>
      </c>
      <c r="M2714" t="inlineStr">
        <is>
          <t>1974</t>
        </is>
      </c>
      <c r="N2714" t="inlineStr">
        <is>
          <t>2d ed.</t>
        </is>
      </c>
      <c r="O2714" t="inlineStr">
        <is>
          <t>eng</t>
        </is>
      </c>
      <c r="P2714" t="inlineStr">
        <is>
          <t xml:space="preserve">ko </t>
        </is>
      </c>
      <c r="R2714" t="inlineStr">
        <is>
          <t xml:space="preserve">DS </t>
        </is>
      </c>
      <c r="S2714" t="n">
        <v>2</v>
      </c>
      <c r="T2714" t="n">
        <v>3</v>
      </c>
      <c r="U2714" t="inlineStr">
        <is>
          <t>1997-06-10</t>
        </is>
      </c>
      <c r="V2714" t="inlineStr">
        <is>
          <t>1997-06-10</t>
        </is>
      </c>
      <c r="W2714" t="inlineStr">
        <is>
          <t>1990-11-05</t>
        </is>
      </c>
      <c r="X2714" t="inlineStr">
        <is>
          <t>1990-11-05</t>
        </is>
      </c>
      <c r="Y2714" t="n">
        <v>87</v>
      </c>
      <c r="Z2714" t="n">
        <v>77</v>
      </c>
      <c r="AA2714" t="n">
        <v>173</v>
      </c>
      <c r="AB2714" t="n">
        <v>1</v>
      </c>
      <c r="AC2714" t="n">
        <v>1</v>
      </c>
      <c r="AD2714" t="n">
        <v>2</v>
      </c>
      <c r="AE2714" t="n">
        <v>5</v>
      </c>
      <c r="AF2714" t="n">
        <v>1</v>
      </c>
      <c r="AG2714" t="n">
        <v>3</v>
      </c>
      <c r="AH2714" t="n">
        <v>1</v>
      </c>
      <c r="AI2714" t="n">
        <v>2</v>
      </c>
      <c r="AJ2714" t="n">
        <v>2</v>
      </c>
      <c r="AK2714" t="n">
        <v>3</v>
      </c>
      <c r="AL2714" t="n">
        <v>0</v>
      </c>
      <c r="AM2714" t="n">
        <v>0</v>
      </c>
      <c r="AN2714" t="n">
        <v>0</v>
      </c>
      <c r="AO2714" t="n">
        <v>0</v>
      </c>
      <c r="AP2714" t="inlineStr">
        <is>
          <t>No</t>
        </is>
      </c>
      <c r="AQ2714" t="inlineStr">
        <is>
          <t>No</t>
        </is>
      </c>
      <c r="AS2714">
        <f>HYPERLINK("https://creighton-primo.hosted.exlibrisgroup.com/primo-explore/search?tab=default_tab&amp;search_scope=EVERYTHING&amp;vid=01CRU&amp;lang=en_US&amp;offset=0&amp;query=any,contains,991005009879702656","Catalog Record")</f>
        <v/>
      </c>
      <c r="AT2714">
        <f>HYPERLINK("http://www.worldcat.org/oclc/6596051","WorldCat Record")</f>
        <v/>
      </c>
      <c r="AU2714" t="inlineStr">
        <is>
          <t>1221082:eng</t>
        </is>
      </c>
      <c r="AV2714" t="inlineStr">
        <is>
          <t>6596051</t>
        </is>
      </c>
      <c r="AW2714" t="inlineStr">
        <is>
          <t>991005009879702656</t>
        </is>
      </c>
      <c r="AX2714" t="inlineStr">
        <is>
          <t>991005009879702656</t>
        </is>
      </c>
      <c r="AY2714" t="inlineStr">
        <is>
          <t>2256596060002656</t>
        </is>
      </c>
      <c r="AZ2714" t="inlineStr">
        <is>
          <t>BOOK</t>
        </is>
      </c>
      <c r="BC2714" t="inlineStr">
        <is>
          <t>32285000371095</t>
        </is>
      </c>
      <c r="BD2714" t="inlineStr">
        <is>
          <t>893353640</t>
        </is>
      </c>
    </row>
    <row r="2715">
      <c r="A2715" t="inlineStr">
        <is>
          <t>No</t>
        </is>
      </c>
      <c r="B2715" t="inlineStr">
        <is>
          <t>DS925.S4 H97 1984</t>
        </is>
      </c>
      <c r="C2715" t="inlineStr">
        <is>
          <t>0                      DS 0925000S  4                  H  97          1984</t>
        </is>
      </c>
      <c r="D2715" t="inlineStr">
        <is>
          <t>Seoul : the magnetic city / [text by Peter Hyun and photographs by Space Group of Korea].</t>
        </is>
      </c>
      <c r="F2715" t="inlineStr">
        <is>
          <t>No</t>
        </is>
      </c>
      <c r="G2715" t="inlineStr">
        <is>
          <t>1</t>
        </is>
      </c>
      <c r="H2715" t="inlineStr">
        <is>
          <t>No</t>
        </is>
      </c>
      <c r="I2715" t="inlineStr">
        <is>
          <t>No</t>
        </is>
      </c>
      <c r="J2715" t="inlineStr">
        <is>
          <t>0</t>
        </is>
      </c>
      <c r="K2715" t="inlineStr">
        <is>
          <t>Hyun, Peter.</t>
        </is>
      </c>
      <c r="L2715" t="inlineStr">
        <is>
          <t>[S.l.] : Space Group, c1984.</t>
        </is>
      </c>
      <c r="M2715" t="inlineStr">
        <is>
          <t>1984</t>
        </is>
      </c>
      <c r="O2715" t="inlineStr">
        <is>
          <t>eng</t>
        </is>
      </c>
      <c r="P2715" t="inlineStr">
        <is>
          <t xml:space="preserve">xx </t>
        </is>
      </c>
      <c r="R2715" t="inlineStr">
        <is>
          <t xml:space="preserve">DS </t>
        </is>
      </c>
      <c r="S2715" t="n">
        <v>2</v>
      </c>
      <c r="T2715" t="n">
        <v>2</v>
      </c>
      <c r="U2715" t="inlineStr">
        <is>
          <t>1998-04-21</t>
        </is>
      </c>
      <c r="V2715" t="inlineStr">
        <is>
          <t>1998-04-21</t>
        </is>
      </c>
      <c r="W2715" t="inlineStr">
        <is>
          <t>1994-03-04</t>
        </is>
      </c>
      <c r="X2715" t="inlineStr">
        <is>
          <t>1994-03-04</t>
        </is>
      </c>
      <c r="Y2715" t="n">
        <v>63</v>
      </c>
      <c r="Z2715" t="n">
        <v>43</v>
      </c>
      <c r="AA2715" t="n">
        <v>53</v>
      </c>
      <c r="AB2715" t="n">
        <v>2</v>
      </c>
      <c r="AC2715" t="n">
        <v>2</v>
      </c>
      <c r="AD2715" t="n">
        <v>1</v>
      </c>
      <c r="AE2715" t="n">
        <v>1</v>
      </c>
      <c r="AF2715" t="n">
        <v>0</v>
      </c>
      <c r="AG2715" t="n">
        <v>0</v>
      </c>
      <c r="AH2715" t="n">
        <v>0</v>
      </c>
      <c r="AI2715" t="n">
        <v>0</v>
      </c>
      <c r="AJ2715" t="n">
        <v>0</v>
      </c>
      <c r="AK2715" t="n">
        <v>0</v>
      </c>
      <c r="AL2715" t="n">
        <v>1</v>
      </c>
      <c r="AM2715" t="n">
        <v>1</v>
      </c>
      <c r="AN2715" t="n">
        <v>0</v>
      </c>
      <c r="AO2715" t="n">
        <v>0</v>
      </c>
      <c r="AP2715" t="inlineStr">
        <is>
          <t>No</t>
        </is>
      </c>
      <c r="AQ2715" t="inlineStr">
        <is>
          <t>No</t>
        </is>
      </c>
      <c r="AS2715">
        <f>HYPERLINK("https://creighton-primo.hosted.exlibrisgroup.com/primo-explore/search?tab=default_tab&amp;search_scope=EVERYTHING&amp;vid=01CRU&amp;lang=en_US&amp;offset=0&amp;query=any,contains,991000688279702656","Catalog Record")</f>
        <v/>
      </c>
      <c r="AT2715">
        <f>HYPERLINK("http://www.worldcat.org/oclc/12422333","WorldCat Record")</f>
        <v/>
      </c>
      <c r="AU2715" t="inlineStr">
        <is>
          <t>7833199:eng</t>
        </is>
      </c>
      <c r="AV2715" t="inlineStr">
        <is>
          <t>12422333</t>
        </is>
      </c>
      <c r="AW2715" t="inlineStr">
        <is>
          <t>991000688279702656</t>
        </is>
      </c>
      <c r="AX2715" t="inlineStr">
        <is>
          <t>991000688279702656</t>
        </is>
      </c>
      <c r="AY2715" t="inlineStr">
        <is>
          <t>2256074770002656</t>
        </is>
      </c>
      <c r="AZ2715" t="inlineStr">
        <is>
          <t>BOOK</t>
        </is>
      </c>
      <c r="BC2715" t="inlineStr">
        <is>
          <t>32285001861441</t>
        </is>
      </c>
      <c r="BD2715" t="inlineStr">
        <is>
          <t>893601982</t>
        </is>
      </c>
    </row>
    <row r="2716">
      <c r="A2716" t="inlineStr">
        <is>
          <t>No</t>
        </is>
      </c>
      <c r="B2716" t="inlineStr">
        <is>
          <t>DS934.K5 A512 1977</t>
        </is>
      </c>
      <c r="C2716" t="inlineStr">
        <is>
          <t>0                      DS 0934000K  5                  A  512         1977</t>
        </is>
      </c>
      <c r="D2716" t="inlineStr">
        <is>
          <t>Answers to the questions raised by foreign journalists, 2 / Kim Il Sung.</t>
        </is>
      </c>
      <c r="F2716" t="inlineStr">
        <is>
          <t>No</t>
        </is>
      </c>
      <c r="G2716" t="inlineStr">
        <is>
          <t>1</t>
        </is>
      </c>
      <c r="H2716" t="inlineStr">
        <is>
          <t>No</t>
        </is>
      </c>
      <c r="I2716" t="inlineStr">
        <is>
          <t>No</t>
        </is>
      </c>
      <c r="J2716" t="inlineStr">
        <is>
          <t>0</t>
        </is>
      </c>
      <c r="K2716" t="inlineStr">
        <is>
          <t>Kim, Il-sŏng, 1912-1994.</t>
        </is>
      </c>
      <c r="L2716" t="inlineStr">
        <is>
          <t>Pyongyang : Foreign Languages Pub. House, 1977</t>
        </is>
      </c>
      <c r="M2716" t="inlineStr">
        <is>
          <t>1977</t>
        </is>
      </c>
      <c r="N2716" t="inlineStr">
        <is>
          <t>2d ed.</t>
        </is>
      </c>
      <c r="O2716" t="inlineStr">
        <is>
          <t>eng</t>
        </is>
      </c>
      <c r="P2716" t="inlineStr">
        <is>
          <t xml:space="preserve">kn </t>
        </is>
      </c>
      <c r="R2716" t="inlineStr">
        <is>
          <t xml:space="preserve">DS </t>
        </is>
      </c>
      <c r="S2716" t="n">
        <v>2</v>
      </c>
      <c r="T2716" t="n">
        <v>2</v>
      </c>
      <c r="U2716" t="inlineStr">
        <is>
          <t>1996-04-23</t>
        </is>
      </c>
      <c r="V2716" t="inlineStr">
        <is>
          <t>1996-04-23</t>
        </is>
      </c>
      <c r="W2716" t="inlineStr">
        <is>
          <t>1990-11-05</t>
        </is>
      </c>
      <c r="X2716" t="inlineStr">
        <is>
          <t>1990-11-05</t>
        </is>
      </c>
      <c r="Y2716" t="n">
        <v>12</v>
      </c>
      <c r="Z2716" t="n">
        <v>7</v>
      </c>
      <c r="AA2716" t="n">
        <v>27</v>
      </c>
      <c r="AB2716" t="n">
        <v>1</v>
      </c>
      <c r="AC2716" t="n">
        <v>1</v>
      </c>
      <c r="AD2716" t="n">
        <v>0</v>
      </c>
      <c r="AE2716" t="n">
        <v>1</v>
      </c>
      <c r="AF2716" t="n">
        <v>0</v>
      </c>
      <c r="AG2716" t="n">
        <v>0</v>
      </c>
      <c r="AH2716" t="n">
        <v>0</v>
      </c>
      <c r="AI2716" t="n">
        <v>1</v>
      </c>
      <c r="AJ2716" t="n">
        <v>0</v>
      </c>
      <c r="AK2716" t="n">
        <v>1</v>
      </c>
      <c r="AL2716" t="n">
        <v>0</v>
      </c>
      <c r="AM2716" t="n">
        <v>0</v>
      </c>
      <c r="AN2716" t="n">
        <v>0</v>
      </c>
      <c r="AO2716" t="n">
        <v>0</v>
      </c>
      <c r="AP2716" t="inlineStr">
        <is>
          <t>No</t>
        </is>
      </c>
      <c r="AQ2716" t="inlineStr">
        <is>
          <t>No</t>
        </is>
      </c>
      <c r="AS2716">
        <f>HYPERLINK("https://creighton-primo.hosted.exlibrisgroup.com/primo-explore/search?tab=default_tab&amp;search_scope=EVERYTHING&amp;vid=01CRU&amp;lang=en_US&amp;offset=0&amp;query=any,contains,991004586289702656","Catalog Record")</f>
        <v/>
      </c>
      <c r="AT2716">
        <f>HYPERLINK("http://www.worldcat.org/oclc/4090003","WorldCat Record")</f>
        <v/>
      </c>
      <c r="AU2716" t="inlineStr">
        <is>
          <t>3372526420:eng</t>
        </is>
      </c>
      <c r="AV2716" t="inlineStr">
        <is>
          <t>4090003</t>
        </is>
      </c>
      <c r="AW2716" t="inlineStr">
        <is>
          <t>991004586289702656</t>
        </is>
      </c>
      <c r="AX2716" t="inlineStr">
        <is>
          <t>991004586289702656</t>
        </is>
      </c>
      <c r="AY2716" t="inlineStr">
        <is>
          <t>2261229960002656</t>
        </is>
      </c>
      <c r="AZ2716" t="inlineStr">
        <is>
          <t>BOOK</t>
        </is>
      </c>
      <c r="BC2716" t="inlineStr">
        <is>
          <t>32285000371103</t>
        </is>
      </c>
      <c r="BD2716" t="inlineStr">
        <is>
          <t>893888921</t>
        </is>
      </c>
    </row>
    <row r="2717">
      <c r="A2717" t="inlineStr">
        <is>
          <t>No</t>
        </is>
      </c>
      <c r="B2717" t="inlineStr">
        <is>
          <t>DS935 .F74 2005</t>
        </is>
      </c>
      <c r="C2717" t="inlineStr">
        <is>
          <t>0                      DS 0935000F  74          2005</t>
        </is>
      </c>
      <c r="D2717" t="inlineStr">
        <is>
          <t>North Korea : the paranoid peninsula--a modern history / Paul French.</t>
        </is>
      </c>
      <c r="F2717" t="inlineStr">
        <is>
          <t>No</t>
        </is>
      </c>
      <c r="G2717" t="inlineStr">
        <is>
          <t>1</t>
        </is>
      </c>
      <c r="H2717" t="inlineStr">
        <is>
          <t>No</t>
        </is>
      </c>
      <c r="I2717" t="inlineStr">
        <is>
          <t>No</t>
        </is>
      </c>
      <c r="J2717" t="inlineStr">
        <is>
          <t>0</t>
        </is>
      </c>
      <c r="K2717" t="inlineStr">
        <is>
          <t>French, Paul, 1966-</t>
        </is>
      </c>
      <c r="L2717" t="inlineStr">
        <is>
          <t>London ; New York : Zed Books ; New York : Distributed in the USA by Palgrave Macmillan, c2005.</t>
        </is>
      </c>
      <c r="M2717" t="inlineStr">
        <is>
          <t>2005</t>
        </is>
      </c>
      <c r="O2717" t="inlineStr">
        <is>
          <t>eng</t>
        </is>
      </c>
      <c r="P2717" t="inlineStr">
        <is>
          <t>enk</t>
        </is>
      </c>
      <c r="R2717" t="inlineStr">
        <is>
          <t xml:space="preserve">DS </t>
        </is>
      </c>
      <c r="S2717" t="n">
        <v>2</v>
      </c>
      <c r="T2717" t="n">
        <v>2</v>
      </c>
      <c r="U2717" t="inlineStr">
        <is>
          <t>2005-05-19</t>
        </is>
      </c>
      <c r="V2717" t="inlineStr">
        <is>
          <t>2005-05-19</t>
        </is>
      </c>
      <c r="W2717" t="inlineStr">
        <is>
          <t>2005-05-19</t>
        </is>
      </c>
      <c r="X2717" t="inlineStr">
        <is>
          <t>2005-05-19</t>
        </is>
      </c>
      <c r="Y2717" t="n">
        <v>367</v>
      </c>
      <c r="Z2717" t="n">
        <v>266</v>
      </c>
      <c r="AA2717" t="n">
        <v>378</v>
      </c>
      <c r="AB2717" t="n">
        <v>2</v>
      </c>
      <c r="AC2717" t="n">
        <v>3</v>
      </c>
      <c r="AD2717" t="n">
        <v>15</v>
      </c>
      <c r="AE2717" t="n">
        <v>20</v>
      </c>
      <c r="AF2717" t="n">
        <v>6</v>
      </c>
      <c r="AG2717" t="n">
        <v>7</v>
      </c>
      <c r="AH2717" t="n">
        <v>4</v>
      </c>
      <c r="AI2717" t="n">
        <v>6</v>
      </c>
      <c r="AJ2717" t="n">
        <v>9</v>
      </c>
      <c r="AK2717" t="n">
        <v>10</v>
      </c>
      <c r="AL2717" t="n">
        <v>1</v>
      </c>
      <c r="AM2717" t="n">
        <v>2</v>
      </c>
      <c r="AN2717" t="n">
        <v>0</v>
      </c>
      <c r="AO2717" t="n">
        <v>0</v>
      </c>
      <c r="AP2717" t="inlineStr">
        <is>
          <t>No</t>
        </is>
      </c>
      <c r="AQ2717" t="inlineStr">
        <is>
          <t>Yes</t>
        </is>
      </c>
      <c r="AR2717">
        <f>HYPERLINK("http://catalog.hathitrust.org/Record/004959467","HathiTrust Record")</f>
        <v/>
      </c>
      <c r="AS2717">
        <f>HYPERLINK("https://creighton-primo.hosted.exlibrisgroup.com/primo-explore/search?tab=default_tab&amp;search_scope=EVERYTHING&amp;vid=01CRU&amp;lang=en_US&amp;offset=0&amp;query=any,contains,991004547739702656","Catalog Record")</f>
        <v/>
      </c>
      <c r="AT2717">
        <f>HYPERLINK("http://www.worldcat.org/oclc/54960606","WorldCat Record")</f>
        <v/>
      </c>
      <c r="AU2717" t="inlineStr">
        <is>
          <t>800413960:eng</t>
        </is>
      </c>
      <c r="AV2717" t="inlineStr">
        <is>
          <t>54960606</t>
        </is>
      </c>
      <c r="AW2717" t="inlineStr">
        <is>
          <t>991004547739702656</t>
        </is>
      </c>
      <c r="AX2717" t="inlineStr">
        <is>
          <t>991004547739702656</t>
        </is>
      </c>
      <c r="AY2717" t="inlineStr">
        <is>
          <t>2263565580002656</t>
        </is>
      </c>
      <c r="AZ2717" t="inlineStr">
        <is>
          <t>BOOK</t>
        </is>
      </c>
      <c r="BB2717" t="inlineStr">
        <is>
          <t>9781842774724</t>
        </is>
      </c>
      <c r="BC2717" t="inlineStr">
        <is>
          <t>32285005038962</t>
        </is>
      </c>
      <c r="BD2717" t="inlineStr">
        <is>
          <t>893337868</t>
        </is>
      </c>
    </row>
    <row r="2718">
      <c r="A2718" t="inlineStr">
        <is>
          <t>No</t>
        </is>
      </c>
      <c r="B2718" t="inlineStr">
        <is>
          <t>DS935.5 .C6</t>
        </is>
      </c>
      <c r="C2718" t="inlineStr">
        <is>
          <t>0                      DS 0935500C  6</t>
        </is>
      </c>
      <c r="D2718" t="inlineStr">
        <is>
          <t>Pʻyongyang between Peking and Moscow : North Korea's involvement in the Sino-Soviet dispute, 1958-1975 / Chin O. Chung. --</t>
        </is>
      </c>
      <c r="F2718" t="inlineStr">
        <is>
          <t>No</t>
        </is>
      </c>
      <c r="G2718" t="inlineStr">
        <is>
          <t>1</t>
        </is>
      </c>
      <c r="H2718" t="inlineStr">
        <is>
          <t>No</t>
        </is>
      </c>
      <c r="I2718" t="inlineStr">
        <is>
          <t>No</t>
        </is>
      </c>
      <c r="J2718" t="inlineStr">
        <is>
          <t>0</t>
        </is>
      </c>
      <c r="K2718" t="inlineStr">
        <is>
          <t>Chŏng, Chin-wi, 1938-</t>
        </is>
      </c>
      <c r="L2718" t="inlineStr">
        <is>
          <t>University, Ala. : University of Alabama Press, c1978.</t>
        </is>
      </c>
      <c r="M2718" t="inlineStr">
        <is>
          <t>1978</t>
        </is>
      </c>
      <c r="O2718" t="inlineStr">
        <is>
          <t>eng</t>
        </is>
      </c>
      <c r="P2718" t="inlineStr">
        <is>
          <t>alu</t>
        </is>
      </c>
      <c r="R2718" t="inlineStr">
        <is>
          <t xml:space="preserve">DS </t>
        </is>
      </c>
      <c r="S2718" t="n">
        <v>3</v>
      </c>
      <c r="T2718" t="n">
        <v>3</v>
      </c>
      <c r="U2718" t="inlineStr">
        <is>
          <t>1994-10-30</t>
        </is>
      </c>
      <c r="V2718" t="inlineStr">
        <is>
          <t>1994-10-30</t>
        </is>
      </c>
      <c r="W2718" t="inlineStr">
        <is>
          <t>1990-11-05</t>
        </is>
      </c>
      <c r="X2718" t="inlineStr">
        <is>
          <t>1990-11-05</t>
        </is>
      </c>
      <c r="Y2718" t="n">
        <v>432</v>
      </c>
      <c r="Z2718" t="n">
        <v>352</v>
      </c>
      <c r="AA2718" t="n">
        <v>360</v>
      </c>
      <c r="AB2718" t="n">
        <v>4</v>
      </c>
      <c r="AC2718" t="n">
        <v>4</v>
      </c>
      <c r="AD2718" t="n">
        <v>17</v>
      </c>
      <c r="AE2718" t="n">
        <v>17</v>
      </c>
      <c r="AF2718" t="n">
        <v>4</v>
      </c>
      <c r="AG2718" t="n">
        <v>4</v>
      </c>
      <c r="AH2718" t="n">
        <v>5</v>
      </c>
      <c r="AI2718" t="n">
        <v>5</v>
      </c>
      <c r="AJ2718" t="n">
        <v>8</v>
      </c>
      <c r="AK2718" t="n">
        <v>8</v>
      </c>
      <c r="AL2718" t="n">
        <v>3</v>
      </c>
      <c r="AM2718" t="n">
        <v>3</v>
      </c>
      <c r="AN2718" t="n">
        <v>0</v>
      </c>
      <c r="AO2718" t="n">
        <v>0</v>
      </c>
      <c r="AP2718" t="inlineStr">
        <is>
          <t>No</t>
        </is>
      </c>
      <c r="AQ2718" t="inlineStr">
        <is>
          <t>Yes</t>
        </is>
      </c>
      <c r="AR2718">
        <f>HYPERLINK("http://catalog.hathitrust.org/Record/000082958","HathiTrust Record")</f>
        <v/>
      </c>
      <c r="AS2718">
        <f>HYPERLINK("https://creighton-primo.hosted.exlibrisgroup.com/primo-explore/search?tab=default_tab&amp;search_scope=EVERYTHING&amp;vid=01CRU&amp;lang=en_US&amp;offset=0&amp;query=any,contains,991004144969702656","Catalog Record")</f>
        <v/>
      </c>
      <c r="AT2718">
        <f>HYPERLINK("http://www.worldcat.org/oclc/2508036","WorldCat Record")</f>
        <v/>
      </c>
      <c r="AU2718" t="inlineStr">
        <is>
          <t>289702936:eng</t>
        </is>
      </c>
      <c r="AV2718" t="inlineStr">
        <is>
          <t>2508036</t>
        </is>
      </c>
      <c r="AW2718" t="inlineStr">
        <is>
          <t>991004144969702656</t>
        </is>
      </c>
      <c r="AX2718" t="inlineStr">
        <is>
          <t>991004144969702656</t>
        </is>
      </c>
      <c r="AY2718" t="inlineStr">
        <is>
          <t>2254862760002656</t>
        </is>
      </c>
      <c r="AZ2718" t="inlineStr">
        <is>
          <t>BOOK</t>
        </is>
      </c>
      <c r="BB2718" t="inlineStr">
        <is>
          <t>9780817347284</t>
        </is>
      </c>
      <c r="BC2718" t="inlineStr">
        <is>
          <t>32285000371137</t>
        </is>
      </c>
      <c r="BD2718" t="inlineStr">
        <is>
          <t>893775687</t>
        </is>
      </c>
    </row>
    <row r="2719">
      <c r="A2719" t="inlineStr">
        <is>
          <t>No</t>
        </is>
      </c>
      <c r="B2719" t="inlineStr">
        <is>
          <t>DS935.5 .L36 2002</t>
        </is>
      </c>
      <c r="C2719" t="inlineStr">
        <is>
          <t>0                      DS 0935500L  36          2002</t>
        </is>
      </c>
      <c r="D2719" t="inlineStr">
        <is>
          <t>From Stalin to Kim Il Sung : the formation of North Korea, 1945-1960 / Andrei Lankov.</t>
        </is>
      </c>
      <c r="F2719" t="inlineStr">
        <is>
          <t>No</t>
        </is>
      </c>
      <c r="G2719" t="inlineStr">
        <is>
          <t>1</t>
        </is>
      </c>
      <c r="H2719" t="inlineStr">
        <is>
          <t>No</t>
        </is>
      </c>
      <c r="I2719" t="inlineStr">
        <is>
          <t>No</t>
        </is>
      </c>
      <c r="J2719" t="inlineStr">
        <is>
          <t>0</t>
        </is>
      </c>
      <c r="K2719" t="inlineStr">
        <is>
          <t>Lanʹkov, A. N. (Andreĭ Nikolaevich)</t>
        </is>
      </c>
      <c r="L2719" t="inlineStr">
        <is>
          <t>New Brunswick, N.J. : Rutgers University Press, 2002.</t>
        </is>
      </c>
      <c r="M2719" t="inlineStr">
        <is>
          <t>2002</t>
        </is>
      </c>
      <c r="O2719" t="inlineStr">
        <is>
          <t>eng</t>
        </is>
      </c>
      <c r="P2719" t="inlineStr">
        <is>
          <t>nju</t>
        </is>
      </c>
      <c r="R2719" t="inlineStr">
        <is>
          <t xml:space="preserve">DS </t>
        </is>
      </c>
      <c r="S2719" t="n">
        <v>3</v>
      </c>
      <c r="T2719" t="n">
        <v>3</v>
      </c>
      <c r="U2719" t="inlineStr">
        <is>
          <t>2006-11-25</t>
        </is>
      </c>
      <c r="V2719" t="inlineStr">
        <is>
          <t>2006-11-25</t>
        </is>
      </c>
      <c r="W2719" t="inlineStr">
        <is>
          <t>2003-01-29</t>
        </is>
      </c>
      <c r="X2719" t="inlineStr">
        <is>
          <t>2003-01-29</t>
        </is>
      </c>
      <c r="Y2719" t="n">
        <v>427</v>
      </c>
      <c r="Z2719" t="n">
        <v>370</v>
      </c>
      <c r="AA2719" t="n">
        <v>398</v>
      </c>
      <c r="AB2719" t="n">
        <v>2</v>
      </c>
      <c r="AC2719" t="n">
        <v>2</v>
      </c>
      <c r="AD2719" t="n">
        <v>18</v>
      </c>
      <c r="AE2719" t="n">
        <v>20</v>
      </c>
      <c r="AF2719" t="n">
        <v>11</v>
      </c>
      <c r="AG2719" t="n">
        <v>11</v>
      </c>
      <c r="AH2719" t="n">
        <v>6</v>
      </c>
      <c r="AI2719" t="n">
        <v>7</v>
      </c>
      <c r="AJ2719" t="n">
        <v>8</v>
      </c>
      <c r="AK2719" t="n">
        <v>10</v>
      </c>
      <c r="AL2719" t="n">
        <v>1</v>
      </c>
      <c r="AM2719" t="n">
        <v>1</v>
      </c>
      <c r="AN2719" t="n">
        <v>0</v>
      </c>
      <c r="AO2719" t="n">
        <v>0</v>
      </c>
      <c r="AP2719" t="inlineStr">
        <is>
          <t>No</t>
        </is>
      </c>
      <c r="AQ2719" t="inlineStr">
        <is>
          <t>No</t>
        </is>
      </c>
      <c r="AS2719">
        <f>HYPERLINK("https://creighton-primo.hosted.exlibrisgroup.com/primo-explore/search?tab=default_tab&amp;search_scope=EVERYTHING&amp;vid=01CRU&amp;lang=en_US&amp;offset=0&amp;query=any,contains,991003968819702656","Catalog Record")</f>
        <v/>
      </c>
      <c r="AT2719">
        <f>HYPERLINK("http://www.worldcat.org/oclc/48170675","WorldCat Record")</f>
        <v/>
      </c>
      <c r="AU2719" t="inlineStr">
        <is>
          <t>234045215:eng</t>
        </is>
      </c>
      <c r="AV2719" t="inlineStr">
        <is>
          <t>48170675</t>
        </is>
      </c>
      <c r="AW2719" t="inlineStr">
        <is>
          <t>991003968819702656</t>
        </is>
      </c>
      <c r="AX2719" t="inlineStr">
        <is>
          <t>991003968819702656</t>
        </is>
      </c>
      <c r="AY2719" t="inlineStr">
        <is>
          <t>2261598820002656</t>
        </is>
      </c>
      <c r="AZ2719" t="inlineStr">
        <is>
          <t>BOOK</t>
        </is>
      </c>
      <c r="BB2719" t="inlineStr">
        <is>
          <t>9780813531175</t>
        </is>
      </c>
      <c r="BC2719" t="inlineStr">
        <is>
          <t>32285004695861</t>
        </is>
      </c>
      <c r="BD2719" t="inlineStr">
        <is>
          <t>893519099</t>
        </is>
      </c>
    </row>
    <row r="2720">
      <c r="A2720" t="inlineStr">
        <is>
          <t>No</t>
        </is>
      </c>
      <c r="B2720" t="inlineStr">
        <is>
          <t>DS935.5 .N66 1997</t>
        </is>
      </c>
      <c r="C2720" t="inlineStr">
        <is>
          <t>0                      DS 0935500N  66          1997</t>
        </is>
      </c>
      <c r="D2720" t="inlineStr">
        <is>
          <t>North Korea after Kim Il Sung : continuity or change? / edited by Thomas H. Henriksen and Jongryn Mo.</t>
        </is>
      </c>
      <c r="F2720" t="inlineStr">
        <is>
          <t>No</t>
        </is>
      </c>
      <c r="G2720" t="inlineStr">
        <is>
          <t>1</t>
        </is>
      </c>
      <c r="H2720" t="inlineStr">
        <is>
          <t>No</t>
        </is>
      </c>
      <c r="I2720" t="inlineStr">
        <is>
          <t>No</t>
        </is>
      </c>
      <c r="J2720" t="inlineStr">
        <is>
          <t>0</t>
        </is>
      </c>
      <c r="L2720" t="inlineStr">
        <is>
          <t>Stanford, Calif. : Hoover Institution Press, Stanford University, c1997.</t>
        </is>
      </c>
      <c r="M2720" t="inlineStr">
        <is>
          <t>1997</t>
        </is>
      </c>
      <c r="O2720" t="inlineStr">
        <is>
          <t>eng</t>
        </is>
      </c>
      <c r="P2720" t="inlineStr">
        <is>
          <t>cau</t>
        </is>
      </c>
      <c r="Q2720" t="inlineStr">
        <is>
          <t>Hoover Institution Press publication ; no. 438</t>
        </is>
      </c>
      <c r="R2720" t="inlineStr">
        <is>
          <t xml:space="preserve">DS </t>
        </is>
      </c>
      <c r="S2720" t="n">
        <v>5</v>
      </c>
      <c r="T2720" t="n">
        <v>5</v>
      </c>
      <c r="U2720" t="inlineStr">
        <is>
          <t>2005-04-05</t>
        </is>
      </c>
      <c r="V2720" t="inlineStr">
        <is>
          <t>2005-04-05</t>
        </is>
      </c>
      <c r="W2720" t="inlineStr">
        <is>
          <t>1997-05-28</t>
        </is>
      </c>
      <c r="X2720" t="inlineStr">
        <is>
          <t>1997-05-28</t>
        </is>
      </c>
      <c r="Y2720" t="n">
        <v>312</v>
      </c>
      <c r="Z2720" t="n">
        <v>251</v>
      </c>
      <c r="AA2720" t="n">
        <v>258</v>
      </c>
      <c r="AB2720" t="n">
        <v>4</v>
      </c>
      <c r="AC2720" t="n">
        <v>4</v>
      </c>
      <c r="AD2720" t="n">
        <v>17</v>
      </c>
      <c r="AE2720" t="n">
        <v>17</v>
      </c>
      <c r="AF2720" t="n">
        <v>6</v>
      </c>
      <c r="AG2720" t="n">
        <v>6</v>
      </c>
      <c r="AH2720" t="n">
        <v>5</v>
      </c>
      <c r="AI2720" t="n">
        <v>5</v>
      </c>
      <c r="AJ2720" t="n">
        <v>9</v>
      </c>
      <c r="AK2720" t="n">
        <v>9</v>
      </c>
      <c r="AL2720" t="n">
        <v>3</v>
      </c>
      <c r="AM2720" t="n">
        <v>3</v>
      </c>
      <c r="AN2720" t="n">
        <v>0</v>
      </c>
      <c r="AO2720" t="n">
        <v>0</v>
      </c>
      <c r="AP2720" t="inlineStr">
        <is>
          <t>No</t>
        </is>
      </c>
      <c r="AQ2720" t="inlineStr">
        <is>
          <t>Yes</t>
        </is>
      </c>
      <c r="AR2720">
        <f>HYPERLINK("http://catalog.hathitrust.org/Record/003172291","HathiTrust Record")</f>
        <v/>
      </c>
      <c r="AS2720">
        <f>HYPERLINK("https://creighton-primo.hosted.exlibrisgroup.com/primo-explore/search?tab=default_tab&amp;search_scope=EVERYTHING&amp;vid=01CRU&amp;lang=en_US&amp;offset=0&amp;query=any,contains,991002704959702656","Catalog Record")</f>
        <v/>
      </c>
      <c r="AT2720">
        <f>HYPERLINK("http://www.worldcat.org/oclc/35317786","WorldCat Record")</f>
        <v/>
      </c>
      <c r="AU2720" t="inlineStr">
        <is>
          <t>365894678:eng</t>
        </is>
      </c>
      <c r="AV2720" t="inlineStr">
        <is>
          <t>35317786</t>
        </is>
      </c>
      <c r="AW2720" t="inlineStr">
        <is>
          <t>991002704959702656</t>
        </is>
      </c>
      <c r="AX2720" t="inlineStr">
        <is>
          <t>991002704959702656</t>
        </is>
      </c>
      <c r="AY2720" t="inlineStr">
        <is>
          <t>2257384790002656</t>
        </is>
      </c>
      <c r="AZ2720" t="inlineStr">
        <is>
          <t>BOOK</t>
        </is>
      </c>
      <c r="BB2720" t="inlineStr">
        <is>
          <t>9780817994624</t>
        </is>
      </c>
      <c r="BC2720" t="inlineStr">
        <is>
          <t>32285002611878</t>
        </is>
      </c>
      <c r="BD2720" t="inlineStr">
        <is>
          <t>893616457</t>
        </is>
      </c>
    </row>
    <row r="2721">
      <c r="A2721" t="inlineStr">
        <is>
          <t>No</t>
        </is>
      </c>
      <c r="B2721" t="inlineStr">
        <is>
          <t>DS935.55 .A76 2003</t>
        </is>
      </c>
      <c r="C2721" t="inlineStr">
        <is>
          <t>0                      DS 0935550A  76          2003</t>
        </is>
      </c>
      <c r="D2721" t="inlineStr">
        <is>
          <t>The North Korean revolution, 1945-1950 / Charles K. Armstrong.</t>
        </is>
      </c>
      <c r="F2721" t="inlineStr">
        <is>
          <t>No</t>
        </is>
      </c>
      <c r="G2721" t="inlineStr">
        <is>
          <t>1</t>
        </is>
      </c>
      <c r="H2721" t="inlineStr">
        <is>
          <t>No</t>
        </is>
      </c>
      <c r="I2721" t="inlineStr">
        <is>
          <t>No</t>
        </is>
      </c>
      <c r="J2721" t="inlineStr">
        <is>
          <t>0</t>
        </is>
      </c>
      <c r="K2721" t="inlineStr">
        <is>
          <t>Armstrong, Charles K.</t>
        </is>
      </c>
      <c r="L2721" t="inlineStr">
        <is>
          <t>Ithaca, N.Y. : Cornell University Press, 2003.</t>
        </is>
      </c>
      <c r="M2721" t="inlineStr">
        <is>
          <t>2003</t>
        </is>
      </c>
      <c r="O2721" t="inlineStr">
        <is>
          <t>eng</t>
        </is>
      </c>
      <c r="P2721" t="inlineStr">
        <is>
          <t>nyu</t>
        </is>
      </c>
      <c r="Q2721" t="inlineStr">
        <is>
          <t>Studies of the East Asian Institute</t>
        </is>
      </c>
      <c r="R2721" t="inlineStr">
        <is>
          <t xml:space="preserve">DS </t>
        </is>
      </c>
      <c r="S2721" t="n">
        <v>3</v>
      </c>
      <c r="T2721" t="n">
        <v>3</v>
      </c>
      <c r="U2721" t="inlineStr">
        <is>
          <t>2003-03-28</t>
        </is>
      </c>
      <c r="V2721" t="inlineStr">
        <is>
          <t>2003-03-28</t>
        </is>
      </c>
      <c r="W2721" t="inlineStr">
        <is>
          <t>2003-02-19</t>
        </is>
      </c>
      <c r="X2721" t="inlineStr">
        <is>
          <t>2003-02-19</t>
        </is>
      </c>
      <c r="Y2721" t="n">
        <v>561</v>
      </c>
      <c r="Z2721" t="n">
        <v>471</v>
      </c>
      <c r="AA2721" t="n">
        <v>935</v>
      </c>
      <c r="AB2721" t="n">
        <v>3</v>
      </c>
      <c r="AC2721" t="n">
        <v>8</v>
      </c>
      <c r="AD2721" t="n">
        <v>26</v>
      </c>
      <c r="AE2721" t="n">
        <v>43</v>
      </c>
      <c r="AF2721" t="n">
        <v>11</v>
      </c>
      <c r="AG2721" t="n">
        <v>17</v>
      </c>
      <c r="AH2721" t="n">
        <v>8</v>
      </c>
      <c r="AI2721" t="n">
        <v>10</v>
      </c>
      <c r="AJ2721" t="n">
        <v>15</v>
      </c>
      <c r="AK2721" t="n">
        <v>19</v>
      </c>
      <c r="AL2721" t="n">
        <v>2</v>
      </c>
      <c r="AM2721" t="n">
        <v>6</v>
      </c>
      <c r="AN2721" t="n">
        <v>0</v>
      </c>
      <c r="AO2721" t="n">
        <v>1</v>
      </c>
      <c r="AP2721" t="inlineStr">
        <is>
          <t>No</t>
        </is>
      </c>
      <c r="AQ2721" t="inlineStr">
        <is>
          <t>Yes</t>
        </is>
      </c>
      <c r="AR2721">
        <f>HYPERLINK("http://catalog.hathitrust.org/Record/003800472","HathiTrust Record")</f>
        <v/>
      </c>
      <c r="AS2721">
        <f>HYPERLINK("https://creighton-primo.hosted.exlibrisgroup.com/primo-explore/search?tab=default_tab&amp;search_scope=EVERYTHING&amp;vid=01CRU&amp;lang=en_US&amp;offset=0&amp;query=any,contains,991003977319702656","Catalog Record")</f>
        <v/>
      </c>
      <c r="AT2721">
        <f>HYPERLINK("http://www.worldcat.org/oclc/49891551","WorldCat Record")</f>
        <v/>
      </c>
      <c r="AU2721" t="inlineStr">
        <is>
          <t>25575:eng</t>
        </is>
      </c>
      <c r="AV2721" t="inlineStr">
        <is>
          <t>49891551</t>
        </is>
      </c>
      <c r="AW2721" t="inlineStr">
        <is>
          <t>991003977319702656</t>
        </is>
      </c>
      <c r="AX2721" t="inlineStr">
        <is>
          <t>991003977319702656</t>
        </is>
      </c>
      <c r="AY2721" t="inlineStr">
        <is>
          <t>2258158760002656</t>
        </is>
      </c>
      <c r="AZ2721" t="inlineStr">
        <is>
          <t>BOOK</t>
        </is>
      </c>
      <c r="BB2721" t="inlineStr">
        <is>
          <t>9780801440144</t>
        </is>
      </c>
      <c r="BC2721" t="inlineStr">
        <is>
          <t>32285004699368</t>
        </is>
      </c>
      <c r="BD2721" t="inlineStr">
        <is>
          <t>893718307</t>
        </is>
      </c>
    </row>
    <row r="2722">
      <c r="A2722" t="inlineStr">
        <is>
          <t>No</t>
        </is>
      </c>
      <c r="B2722" t="inlineStr">
        <is>
          <t>DS935.65 .S69  1999</t>
        </is>
      </c>
      <c r="C2722" t="inlineStr">
        <is>
          <t>0                      DS 0935650S  69          1999</t>
        </is>
      </c>
      <c r="D2722" t="inlineStr">
        <is>
          <t>Negotiating on the edge : North Korean negotiating behavior / Scott Snyder.</t>
        </is>
      </c>
      <c r="F2722" t="inlineStr">
        <is>
          <t>No</t>
        </is>
      </c>
      <c r="G2722" t="inlineStr">
        <is>
          <t>1</t>
        </is>
      </c>
      <c r="H2722" t="inlineStr">
        <is>
          <t>No</t>
        </is>
      </c>
      <c r="I2722" t="inlineStr">
        <is>
          <t>No</t>
        </is>
      </c>
      <c r="J2722" t="inlineStr">
        <is>
          <t>0</t>
        </is>
      </c>
      <c r="K2722" t="inlineStr">
        <is>
          <t>Snyder, Scott, 1964-</t>
        </is>
      </c>
      <c r="L2722" t="inlineStr">
        <is>
          <t>Washington, D.C. : United States Institute of Peace Press, 1999.</t>
        </is>
      </c>
      <c r="M2722" t="inlineStr">
        <is>
          <t>1999</t>
        </is>
      </c>
      <c r="O2722" t="inlineStr">
        <is>
          <t>eng</t>
        </is>
      </c>
      <c r="P2722" t="inlineStr">
        <is>
          <t>dcu</t>
        </is>
      </c>
      <c r="R2722" t="inlineStr">
        <is>
          <t xml:space="preserve">DS </t>
        </is>
      </c>
      <c r="S2722" t="n">
        <v>5</v>
      </c>
      <c r="T2722" t="n">
        <v>5</v>
      </c>
      <c r="U2722" t="inlineStr">
        <is>
          <t>2004-04-14</t>
        </is>
      </c>
      <c r="V2722" t="inlineStr">
        <is>
          <t>2004-04-14</t>
        </is>
      </c>
      <c r="W2722" t="inlineStr">
        <is>
          <t>2001-01-04</t>
        </is>
      </c>
      <c r="X2722" t="inlineStr">
        <is>
          <t>2001-01-04</t>
        </is>
      </c>
      <c r="Y2722" t="n">
        <v>429</v>
      </c>
      <c r="Z2722" t="n">
        <v>346</v>
      </c>
      <c r="AA2722" t="n">
        <v>509</v>
      </c>
      <c r="AB2722" t="n">
        <v>3</v>
      </c>
      <c r="AC2722" t="n">
        <v>4</v>
      </c>
      <c r="AD2722" t="n">
        <v>22</v>
      </c>
      <c r="AE2722" t="n">
        <v>30</v>
      </c>
      <c r="AF2722" t="n">
        <v>10</v>
      </c>
      <c r="AG2722" t="n">
        <v>12</v>
      </c>
      <c r="AH2722" t="n">
        <v>6</v>
      </c>
      <c r="AI2722" t="n">
        <v>7</v>
      </c>
      <c r="AJ2722" t="n">
        <v>11</v>
      </c>
      <c r="AK2722" t="n">
        <v>13</v>
      </c>
      <c r="AL2722" t="n">
        <v>2</v>
      </c>
      <c r="AM2722" t="n">
        <v>3</v>
      </c>
      <c r="AN2722" t="n">
        <v>0</v>
      </c>
      <c r="AO2722" t="n">
        <v>3</v>
      </c>
      <c r="AP2722" t="inlineStr">
        <is>
          <t>No</t>
        </is>
      </c>
      <c r="AQ2722" t="inlineStr">
        <is>
          <t>Yes</t>
        </is>
      </c>
      <c r="AR2722">
        <f>HYPERLINK("http://catalog.hathitrust.org/Record/004067852","HathiTrust Record")</f>
        <v/>
      </c>
      <c r="AS2722">
        <f>HYPERLINK("https://creighton-primo.hosted.exlibrisgroup.com/primo-explore/search?tab=default_tab&amp;search_scope=EVERYTHING&amp;vid=01CRU&amp;lang=en_US&amp;offset=0&amp;query=any,contains,991003463379702656","Catalog Record")</f>
        <v/>
      </c>
      <c r="AT2722">
        <f>HYPERLINK("http://www.worldcat.org/oclc/42462925","WorldCat Record")</f>
        <v/>
      </c>
      <c r="AU2722" t="inlineStr">
        <is>
          <t>5487106421:eng</t>
        </is>
      </c>
      <c r="AV2722" t="inlineStr">
        <is>
          <t>42462925</t>
        </is>
      </c>
      <c r="AW2722" t="inlineStr">
        <is>
          <t>991003463379702656</t>
        </is>
      </c>
      <c r="AX2722" t="inlineStr">
        <is>
          <t>991003463379702656</t>
        </is>
      </c>
      <c r="AY2722" t="inlineStr">
        <is>
          <t>2263356280002656</t>
        </is>
      </c>
      <c r="AZ2722" t="inlineStr">
        <is>
          <t>BOOK</t>
        </is>
      </c>
      <c r="BB2722" t="inlineStr">
        <is>
          <t>9781878379948</t>
        </is>
      </c>
      <c r="BC2722" t="inlineStr">
        <is>
          <t>32285004279831</t>
        </is>
      </c>
      <c r="BD2722" t="inlineStr">
        <is>
          <t>893774737</t>
        </is>
      </c>
    </row>
    <row r="2723">
      <c r="A2723" t="inlineStr">
        <is>
          <t>No</t>
        </is>
      </c>
      <c r="B2723" t="inlineStr">
        <is>
          <t>DS94.5 .B46 1988</t>
        </is>
      </c>
      <c r="C2723" t="inlineStr">
        <is>
          <t>0                      DS 0094500B  46          1988</t>
        </is>
      </c>
      <c r="D2723" t="inlineStr">
        <is>
          <t>Benchmarks in time and culture : an introduction to Palestinian archaeology / edited by Joel F. Drinkard, Jr., Gerald L. Mattingly, and J. Maxwell Miller.</t>
        </is>
      </c>
      <c r="F2723" t="inlineStr">
        <is>
          <t>No</t>
        </is>
      </c>
      <c r="G2723" t="inlineStr">
        <is>
          <t>1</t>
        </is>
      </c>
      <c r="H2723" t="inlineStr">
        <is>
          <t>No</t>
        </is>
      </c>
      <c r="I2723" t="inlineStr">
        <is>
          <t>No</t>
        </is>
      </c>
      <c r="J2723" t="inlineStr">
        <is>
          <t>0</t>
        </is>
      </c>
      <c r="L2723" t="inlineStr">
        <is>
          <t>Atlanta, Ga. : Scholars Press, c1988.</t>
        </is>
      </c>
      <c r="M2723" t="inlineStr">
        <is>
          <t>1988</t>
        </is>
      </c>
      <c r="O2723" t="inlineStr">
        <is>
          <t>eng</t>
        </is>
      </c>
      <c r="P2723" t="inlineStr">
        <is>
          <t>gau</t>
        </is>
      </c>
      <c r="Q2723" t="inlineStr">
        <is>
          <t>Archaeology and biblical studies / Society of Biblical Literature ; no. 1</t>
        </is>
      </c>
      <c r="R2723" t="inlineStr">
        <is>
          <t xml:space="preserve">DS </t>
        </is>
      </c>
      <c r="S2723" t="n">
        <v>3</v>
      </c>
      <c r="T2723" t="n">
        <v>3</v>
      </c>
      <c r="U2723" t="inlineStr">
        <is>
          <t>1998-02-12</t>
        </is>
      </c>
      <c r="V2723" t="inlineStr">
        <is>
          <t>1998-02-12</t>
        </is>
      </c>
      <c r="W2723" t="inlineStr">
        <is>
          <t>1990-02-24</t>
        </is>
      </c>
      <c r="X2723" t="inlineStr">
        <is>
          <t>1990-02-24</t>
        </is>
      </c>
      <c r="Y2723" t="n">
        <v>251</v>
      </c>
      <c r="Z2723" t="n">
        <v>209</v>
      </c>
      <c r="AA2723" t="n">
        <v>228</v>
      </c>
      <c r="AB2723" t="n">
        <v>3</v>
      </c>
      <c r="AC2723" t="n">
        <v>3</v>
      </c>
      <c r="AD2723" t="n">
        <v>9</v>
      </c>
      <c r="AE2723" t="n">
        <v>9</v>
      </c>
      <c r="AF2723" t="n">
        <v>5</v>
      </c>
      <c r="AG2723" t="n">
        <v>5</v>
      </c>
      <c r="AH2723" t="n">
        <v>0</v>
      </c>
      <c r="AI2723" t="n">
        <v>0</v>
      </c>
      <c r="AJ2723" t="n">
        <v>2</v>
      </c>
      <c r="AK2723" t="n">
        <v>2</v>
      </c>
      <c r="AL2723" t="n">
        <v>2</v>
      </c>
      <c r="AM2723" t="n">
        <v>2</v>
      </c>
      <c r="AN2723" t="n">
        <v>0</v>
      </c>
      <c r="AO2723" t="n">
        <v>0</v>
      </c>
      <c r="AP2723" t="inlineStr">
        <is>
          <t>No</t>
        </is>
      </c>
      <c r="AQ2723" t="inlineStr">
        <is>
          <t>Yes</t>
        </is>
      </c>
      <c r="AR2723">
        <f>HYPERLINK("http://catalog.hathitrust.org/Record/001548875","HathiTrust Record")</f>
        <v/>
      </c>
      <c r="AS2723">
        <f>HYPERLINK("https://creighton-primo.hosted.exlibrisgroup.com/primo-explore/search?tab=default_tab&amp;search_scope=EVERYTHING&amp;vid=01CRU&amp;lang=en_US&amp;offset=0&amp;query=any,contains,991001101289702656","Catalog Record")</f>
        <v/>
      </c>
      <c r="AT2723">
        <f>HYPERLINK("http://www.worldcat.org/oclc/16353317","WorldCat Record")</f>
        <v/>
      </c>
      <c r="AU2723" t="inlineStr">
        <is>
          <t>889420271:eng</t>
        </is>
      </c>
      <c r="AV2723" t="inlineStr">
        <is>
          <t>16353317</t>
        </is>
      </c>
      <c r="AW2723" t="inlineStr">
        <is>
          <t>991001101289702656</t>
        </is>
      </c>
      <c r="AX2723" t="inlineStr">
        <is>
          <t>991001101289702656</t>
        </is>
      </c>
      <c r="AY2723" t="inlineStr">
        <is>
          <t>2255435860002656</t>
        </is>
      </c>
      <c r="AZ2723" t="inlineStr">
        <is>
          <t>BOOK</t>
        </is>
      </c>
      <c r="BB2723" t="inlineStr">
        <is>
          <t>9781555401733</t>
        </is>
      </c>
      <c r="BC2723" t="inlineStr">
        <is>
          <t>32285000040732</t>
        </is>
      </c>
      <c r="BD2723" t="inlineStr">
        <is>
          <t>893256014</t>
        </is>
      </c>
    </row>
    <row r="2724">
      <c r="A2724" t="inlineStr">
        <is>
          <t>No</t>
        </is>
      </c>
      <c r="B2724" t="inlineStr">
        <is>
          <t>DS94.5 .T36</t>
        </is>
      </c>
      <c r="C2724" t="inlineStr">
        <is>
          <t>0                      DS 0094500T  36</t>
        </is>
      </c>
      <c r="D2724" t="inlineStr">
        <is>
          <t>Villages antiques de la Syrie du Nord; le massif du Bélus à l'époque romaine.</t>
        </is>
      </c>
      <c r="E2724" t="inlineStr">
        <is>
          <t>V.3</t>
        </is>
      </c>
      <c r="F2724" t="inlineStr">
        <is>
          <t>Yes</t>
        </is>
      </c>
      <c r="G2724" t="inlineStr">
        <is>
          <t>1</t>
        </is>
      </c>
      <c r="H2724" t="inlineStr">
        <is>
          <t>No</t>
        </is>
      </c>
      <c r="I2724" t="inlineStr">
        <is>
          <t>No</t>
        </is>
      </c>
      <c r="J2724" t="inlineStr">
        <is>
          <t>0</t>
        </is>
      </c>
      <c r="K2724" t="inlineStr">
        <is>
          <t>Tchalenko, Georges.</t>
        </is>
      </c>
      <c r="L2724" t="inlineStr">
        <is>
          <t>Paris, P. Geuthner, 1953-58.</t>
        </is>
      </c>
      <c r="M2724" t="inlineStr">
        <is>
          <t>1953</t>
        </is>
      </c>
      <c r="O2724" t="inlineStr">
        <is>
          <t>fre</t>
        </is>
      </c>
      <c r="P2724" t="inlineStr">
        <is>
          <t xml:space="preserve">fr </t>
        </is>
      </c>
      <c r="Q2724" t="inlineStr">
        <is>
          <t>Bibliothèque archéologique et historique ; t. 50</t>
        </is>
      </c>
      <c r="R2724" t="inlineStr">
        <is>
          <t xml:space="preserve">DS </t>
        </is>
      </c>
      <c r="S2724" t="n">
        <v>1</v>
      </c>
      <c r="T2724" t="n">
        <v>1</v>
      </c>
      <c r="U2724" t="inlineStr">
        <is>
          <t>2002-09-25</t>
        </is>
      </c>
      <c r="V2724" t="inlineStr">
        <is>
          <t>2002-09-25</t>
        </is>
      </c>
      <c r="W2724" t="inlineStr">
        <is>
          <t>1997-02-24</t>
        </is>
      </c>
      <c r="X2724" t="inlineStr">
        <is>
          <t>1997-02-24</t>
        </is>
      </c>
      <c r="Y2724" t="n">
        <v>118</v>
      </c>
      <c r="Z2724" t="n">
        <v>67</v>
      </c>
      <c r="AA2724" t="n">
        <v>68</v>
      </c>
      <c r="AB2724" t="n">
        <v>2</v>
      </c>
      <c r="AC2724" t="n">
        <v>2</v>
      </c>
      <c r="AD2724" t="n">
        <v>4</v>
      </c>
      <c r="AE2724" t="n">
        <v>4</v>
      </c>
      <c r="AF2724" t="n">
        <v>0</v>
      </c>
      <c r="AG2724" t="n">
        <v>0</v>
      </c>
      <c r="AH2724" t="n">
        <v>2</v>
      </c>
      <c r="AI2724" t="n">
        <v>2</v>
      </c>
      <c r="AJ2724" t="n">
        <v>2</v>
      </c>
      <c r="AK2724" t="n">
        <v>2</v>
      </c>
      <c r="AL2724" t="n">
        <v>1</v>
      </c>
      <c r="AM2724" t="n">
        <v>1</v>
      </c>
      <c r="AN2724" t="n">
        <v>0</v>
      </c>
      <c r="AO2724" t="n">
        <v>0</v>
      </c>
      <c r="AP2724" t="inlineStr">
        <is>
          <t>No</t>
        </is>
      </c>
      <c r="AQ2724" t="inlineStr">
        <is>
          <t>Yes</t>
        </is>
      </c>
      <c r="AR2724">
        <f>HYPERLINK("http://catalog.hathitrust.org/Record/001644975","HathiTrust Record")</f>
        <v/>
      </c>
      <c r="AS2724">
        <f>HYPERLINK("https://creighton-primo.hosted.exlibrisgroup.com/primo-explore/search?tab=default_tab&amp;search_scope=EVERYTHING&amp;vid=01CRU&amp;lang=en_US&amp;offset=0&amp;query=any,contains,991003286059702656","Catalog Record")</f>
        <v/>
      </c>
      <c r="AT2724">
        <f>HYPERLINK("http://www.worldcat.org/oclc/807922","WorldCat Record")</f>
        <v/>
      </c>
      <c r="AU2724" t="inlineStr">
        <is>
          <t>9965182689:fre</t>
        </is>
      </c>
      <c r="AV2724" t="inlineStr">
        <is>
          <t>807922</t>
        </is>
      </c>
      <c r="AW2724" t="inlineStr">
        <is>
          <t>991003286059702656</t>
        </is>
      </c>
      <c r="AX2724" t="inlineStr">
        <is>
          <t>991003286059702656</t>
        </is>
      </c>
      <c r="AY2724" t="inlineStr">
        <is>
          <t>2268505220002656</t>
        </is>
      </c>
      <c r="AZ2724" t="inlineStr">
        <is>
          <t>BOOK</t>
        </is>
      </c>
      <c r="BC2724" t="inlineStr">
        <is>
          <t>32285002460482</t>
        </is>
      </c>
      <c r="BD2724" t="inlineStr">
        <is>
          <t>893598441</t>
        </is>
      </c>
    </row>
    <row r="2725">
      <c r="A2725" t="inlineStr">
        <is>
          <t>No</t>
        </is>
      </c>
      <c r="B2725" t="inlineStr">
        <is>
          <t>DS94.5 .T36</t>
        </is>
      </c>
      <c r="C2725" t="inlineStr">
        <is>
          <t>0                      DS 0094500T  36</t>
        </is>
      </c>
      <c r="D2725" t="inlineStr">
        <is>
          <t>Villages antiques de la Syrie du Nord; le massif du Bélus à l'époque romaine.</t>
        </is>
      </c>
      <c r="E2725" t="inlineStr">
        <is>
          <t>V.2</t>
        </is>
      </c>
      <c r="F2725" t="inlineStr">
        <is>
          <t>Yes</t>
        </is>
      </c>
      <c r="G2725" t="inlineStr">
        <is>
          <t>1</t>
        </is>
      </c>
      <c r="H2725" t="inlineStr">
        <is>
          <t>No</t>
        </is>
      </c>
      <c r="I2725" t="inlineStr">
        <is>
          <t>No</t>
        </is>
      </c>
      <c r="J2725" t="inlineStr">
        <is>
          <t>0</t>
        </is>
      </c>
      <c r="K2725" t="inlineStr">
        <is>
          <t>Tchalenko, Georges.</t>
        </is>
      </c>
      <c r="L2725" t="inlineStr">
        <is>
          <t>Paris, P. Geuthner, 1953-58.</t>
        </is>
      </c>
      <c r="M2725" t="inlineStr">
        <is>
          <t>1953</t>
        </is>
      </c>
      <c r="O2725" t="inlineStr">
        <is>
          <t>fre</t>
        </is>
      </c>
      <c r="P2725" t="inlineStr">
        <is>
          <t xml:space="preserve">fr </t>
        </is>
      </c>
      <c r="Q2725" t="inlineStr">
        <is>
          <t>Bibliothèque archéologique et historique ; t. 50</t>
        </is>
      </c>
      <c r="R2725" t="inlineStr">
        <is>
          <t xml:space="preserve">DS </t>
        </is>
      </c>
      <c r="S2725" t="n">
        <v>0</v>
      </c>
      <c r="T2725" t="n">
        <v>1</v>
      </c>
      <c r="U2725" t="inlineStr">
        <is>
          <t>2002-09-25</t>
        </is>
      </c>
      <c r="V2725" t="inlineStr">
        <is>
          <t>2002-09-25</t>
        </is>
      </c>
      <c r="W2725" t="inlineStr">
        <is>
          <t>1997-02-24</t>
        </is>
      </c>
      <c r="X2725" t="inlineStr">
        <is>
          <t>1997-02-24</t>
        </is>
      </c>
      <c r="Y2725" t="n">
        <v>118</v>
      </c>
      <c r="Z2725" t="n">
        <v>67</v>
      </c>
      <c r="AA2725" t="n">
        <v>68</v>
      </c>
      <c r="AB2725" t="n">
        <v>2</v>
      </c>
      <c r="AC2725" t="n">
        <v>2</v>
      </c>
      <c r="AD2725" t="n">
        <v>4</v>
      </c>
      <c r="AE2725" t="n">
        <v>4</v>
      </c>
      <c r="AF2725" t="n">
        <v>0</v>
      </c>
      <c r="AG2725" t="n">
        <v>0</v>
      </c>
      <c r="AH2725" t="n">
        <v>2</v>
      </c>
      <c r="AI2725" t="n">
        <v>2</v>
      </c>
      <c r="AJ2725" t="n">
        <v>2</v>
      </c>
      <c r="AK2725" t="n">
        <v>2</v>
      </c>
      <c r="AL2725" t="n">
        <v>1</v>
      </c>
      <c r="AM2725" t="n">
        <v>1</v>
      </c>
      <c r="AN2725" t="n">
        <v>0</v>
      </c>
      <c r="AO2725" t="n">
        <v>0</v>
      </c>
      <c r="AP2725" t="inlineStr">
        <is>
          <t>No</t>
        </is>
      </c>
      <c r="AQ2725" t="inlineStr">
        <is>
          <t>Yes</t>
        </is>
      </c>
      <c r="AR2725">
        <f>HYPERLINK("http://catalog.hathitrust.org/Record/001644975","HathiTrust Record")</f>
        <v/>
      </c>
      <c r="AS2725">
        <f>HYPERLINK("https://creighton-primo.hosted.exlibrisgroup.com/primo-explore/search?tab=default_tab&amp;search_scope=EVERYTHING&amp;vid=01CRU&amp;lang=en_US&amp;offset=0&amp;query=any,contains,991003286059702656","Catalog Record")</f>
        <v/>
      </c>
      <c r="AT2725">
        <f>HYPERLINK("http://www.worldcat.org/oclc/807922","WorldCat Record")</f>
        <v/>
      </c>
      <c r="AU2725" t="inlineStr">
        <is>
          <t>9965182689:fre</t>
        </is>
      </c>
      <c r="AV2725" t="inlineStr">
        <is>
          <t>807922</t>
        </is>
      </c>
      <c r="AW2725" t="inlineStr">
        <is>
          <t>991003286059702656</t>
        </is>
      </c>
      <c r="AX2725" t="inlineStr">
        <is>
          <t>991003286059702656</t>
        </is>
      </c>
      <c r="AY2725" t="inlineStr">
        <is>
          <t>2268505220002656</t>
        </is>
      </c>
      <c r="AZ2725" t="inlineStr">
        <is>
          <t>BOOK</t>
        </is>
      </c>
      <c r="BC2725" t="inlineStr">
        <is>
          <t>32285002460474</t>
        </is>
      </c>
      <c r="BD2725" t="inlineStr">
        <is>
          <t>893604627</t>
        </is>
      </c>
    </row>
    <row r="2726">
      <c r="A2726" t="inlineStr">
        <is>
          <t>No</t>
        </is>
      </c>
      <c r="B2726" t="inlineStr">
        <is>
          <t>DS95 .B4 1936a</t>
        </is>
      </c>
      <c r="C2726" t="inlineStr">
        <is>
          <t>0                      DS 0095000B  4           1936a</t>
        </is>
      </c>
      <c r="D2726" t="inlineStr">
        <is>
          <t>The battleground : Syria and Palestine, the seedplot of religion / Hilaire Belloc ; with 16 illustrations in aquatone and 7 maps.</t>
        </is>
      </c>
      <c r="F2726" t="inlineStr">
        <is>
          <t>No</t>
        </is>
      </c>
      <c r="G2726" t="inlineStr">
        <is>
          <t>1</t>
        </is>
      </c>
      <c r="H2726" t="inlineStr">
        <is>
          <t>No</t>
        </is>
      </c>
      <c r="I2726" t="inlineStr">
        <is>
          <t>No</t>
        </is>
      </c>
      <c r="J2726" t="inlineStr">
        <is>
          <t>0</t>
        </is>
      </c>
      <c r="K2726" t="inlineStr">
        <is>
          <t>Belloc, Hilaire, 1870-1953.</t>
        </is>
      </c>
      <c r="L2726" t="inlineStr">
        <is>
          <t>Philadelphia : J.B. Lippincott, 1936.</t>
        </is>
      </c>
      <c r="M2726" t="inlineStr">
        <is>
          <t>1936</t>
        </is>
      </c>
      <c r="O2726" t="inlineStr">
        <is>
          <t>eng</t>
        </is>
      </c>
      <c r="P2726" t="inlineStr">
        <is>
          <t>pau</t>
        </is>
      </c>
      <c r="R2726" t="inlineStr">
        <is>
          <t xml:space="preserve">DS </t>
        </is>
      </c>
      <c r="S2726" t="n">
        <v>0</v>
      </c>
      <c r="T2726" t="n">
        <v>0</v>
      </c>
      <c r="U2726" t="inlineStr">
        <is>
          <t>2009-01-07</t>
        </is>
      </c>
      <c r="V2726" t="inlineStr">
        <is>
          <t>2009-01-07</t>
        </is>
      </c>
      <c r="W2726" t="inlineStr">
        <is>
          <t>1997-02-24</t>
        </is>
      </c>
      <c r="X2726" t="inlineStr">
        <is>
          <t>1997-02-24</t>
        </is>
      </c>
      <c r="Y2726" t="n">
        <v>373</v>
      </c>
      <c r="Z2726" t="n">
        <v>337</v>
      </c>
      <c r="AA2726" t="n">
        <v>426</v>
      </c>
      <c r="AB2726" t="n">
        <v>2</v>
      </c>
      <c r="AC2726" t="n">
        <v>3</v>
      </c>
      <c r="AD2726" t="n">
        <v>30</v>
      </c>
      <c r="AE2726" t="n">
        <v>33</v>
      </c>
      <c r="AF2726" t="n">
        <v>9</v>
      </c>
      <c r="AG2726" t="n">
        <v>10</v>
      </c>
      <c r="AH2726" t="n">
        <v>8</v>
      </c>
      <c r="AI2726" t="n">
        <v>10</v>
      </c>
      <c r="AJ2726" t="n">
        <v>23</v>
      </c>
      <c r="AK2726" t="n">
        <v>24</v>
      </c>
      <c r="AL2726" t="n">
        <v>0</v>
      </c>
      <c r="AM2726" t="n">
        <v>0</v>
      </c>
      <c r="AN2726" t="n">
        <v>1</v>
      </c>
      <c r="AO2726" t="n">
        <v>1</v>
      </c>
      <c r="AP2726" t="inlineStr">
        <is>
          <t>No</t>
        </is>
      </c>
      <c r="AQ2726" t="inlineStr">
        <is>
          <t>No</t>
        </is>
      </c>
      <c r="AR2726">
        <f>HYPERLINK("http://catalog.hathitrust.org/Record/001241832","HathiTrust Record")</f>
        <v/>
      </c>
      <c r="AS2726">
        <f>HYPERLINK("https://creighton-primo.hosted.exlibrisgroup.com/primo-explore/search?tab=default_tab&amp;search_scope=EVERYTHING&amp;vid=01CRU&amp;lang=en_US&amp;offset=0&amp;query=any,contains,991003173529702656","Catalog Record")</f>
        <v/>
      </c>
      <c r="AT2726">
        <f>HYPERLINK("http://www.worldcat.org/oclc/708952","WorldCat Record")</f>
        <v/>
      </c>
      <c r="AU2726" t="inlineStr">
        <is>
          <t>2044481697:eng</t>
        </is>
      </c>
      <c r="AV2726" t="inlineStr">
        <is>
          <t>708952</t>
        </is>
      </c>
      <c r="AW2726" t="inlineStr">
        <is>
          <t>991003173529702656</t>
        </is>
      </c>
      <c r="AX2726" t="inlineStr">
        <is>
          <t>991003173529702656</t>
        </is>
      </c>
      <c r="AY2726" t="inlineStr">
        <is>
          <t>2269405370002656</t>
        </is>
      </c>
      <c r="AZ2726" t="inlineStr">
        <is>
          <t>BOOK</t>
        </is>
      </c>
      <c r="BC2726" t="inlineStr">
        <is>
          <t>32285002460490</t>
        </is>
      </c>
      <c r="BD2726" t="inlineStr">
        <is>
          <t>893893447</t>
        </is>
      </c>
    </row>
    <row r="2727">
      <c r="A2727" t="inlineStr">
        <is>
          <t>No</t>
        </is>
      </c>
      <c r="B2727" t="inlineStr">
        <is>
          <t>DS95 .G5 1967b</t>
        </is>
      </c>
      <c r="C2727" t="inlineStr">
        <is>
          <t>0                      DS 0095000G  5           1967b</t>
        </is>
      </c>
      <c r="D2727" t="inlineStr">
        <is>
          <t>Syria, Lebanon, Jordan.</t>
        </is>
      </c>
      <c r="F2727" t="inlineStr">
        <is>
          <t>No</t>
        </is>
      </c>
      <c r="G2727" t="inlineStr">
        <is>
          <t>1</t>
        </is>
      </c>
      <c r="H2727" t="inlineStr">
        <is>
          <t>No</t>
        </is>
      </c>
      <c r="I2727" t="inlineStr">
        <is>
          <t>No</t>
        </is>
      </c>
      <c r="J2727" t="inlineStr">
        <is>
          <t>0</t>
        </is>
      </c>
      <c r="K2727" t="inlineStr">
        <is>
          <t>Glubb, John Bagot, Sir, 1897-1986.</t>
        </is>
      </c>
      <c r="L2727" t="inlineStr">
        <is>
          <t>New York, Walker [1967]</t>
        </is>
      </c>
      <c r="M2727" t="inlineStr">
        <is>
          <t>1967</t>
        </is>
      </c>
      <c r="O2727" t="inlineStr">
        <is>
          <t>eng</t>
        </is>
      </c>
      <c r="P2727" t="inlineStr">
        <is>
          <t>nyu</t>
        </is>
      </c>
      <c r="Q2727" t="inlineStr">
        <is>
          <t>New nations and peoples</t>
        </is>
      </c>
      <c r="R2727" t="inlineStr">
        <is>
          <t xml:space="preserve">DS </t>
        </is>
      </c>
      <c r="S2727" t="n">
        <v>3</v>
      </c>
      <c r="T2727" t="n">
        <v>3</v>
      </c>
      <c r="U2727" t="inlineStr">
        <is>
          <t>2006-03-02</t>
        </is>
      </c>
      <c r="V2727" t="inlineStr">
        <is>
          <t>2006-03-02</t>
        </is>
      </c>
      <c r="W2727" t="inlineStr">
        <is>
          <t>1997-02-24</t>
        </is>
      </c>
      <c r="X2727" t="inlineStr">
        <is>
          <t>1997-02-24</t>
        </is>
      </c>
      <c r="Y2727" t="n">
        <v>387</v>
      </c>
      <c r="Z2727" t="n">
        <v>365</v>
      </c>
      <c r="AA2727" t="n">
        <v>450</v>
      </c>
      <c r="AB2727" t="n">
        <v>3</v>
      </c>
      <c r="AC2727" t="n">
        <v>3</v>
      </c>
      <c r="AD2727" t="n">
        <v>6</v>
      </c>
      <c r="AE2727" t="n">
        <v>8</v>
      </c>
      <c r="AF2727" t="n">
        <v>2</v>
      </c>
      <c r="AG2727" t="n">
        <v>2</v>
      </c>
      <c r="AH2727" t="n">
        <v>1</v>
      </c>
      <c r="AI2727" t="n">
        <v>2</v>
      </c>
      <c r="AJ2727" t="n">
        <v>1</v>
      </c>
      <c r="AK2727" t="n">
        <v>3</v>
      </c>
      <c r="AL2727" t="n">
        <v>2</v>
      </c>
      <c r="AM2727" t="n">
        <v>2</v>
      </c>
      <c r="AN2727" t="n">
        <v>0</v>
      </c>
      <c r="AO2727" t="n">
        <v>0</v>
      </c>
      <c r="AP2727" t="inlineStr">
        <is>
          <t>No</t>
        </is>
      </c>
      <c r="AQ2727" t="inlineStr">
        <is>
          <t>Yes</t>
        </is>
      </c>
      <c r="AR2727">
        <f>HYPERLINK("http://catalog.hathitrust.org/Record/010090874","HathiTrust Record")</f>
        <v/>
      </c>
      <c r="AS2727">
        <f>HYPERLINK("https://creighton-primo.hosted.exlibrisgroup.com/primo-explore/search?tab=default_tab&amp;search_scope=EVERYTHING&amp;vid=01CRU&amp;lang=en_US&amp;offset=0&amp;query=any,contains,991003021329702656","Catalog Record")</f>
        <v/>
      </c>
      <c r="AT2727">
        <f>HYPERLINK("http://www.worldcat.org/oclc/585939","WorldCat Record")</f>
        <v/>
      </c>
      <c r="AU2727" t="inlineStr">
        <is>
          <t>114479579:eng</t>
        </is>
      </c>
      <c r="AV2727" t="inlineStr">
        <is>
          <t>585939</t>
        </is>
      </c>
      <c r="AW2727" t="inlineStr">
        <is>
          <t>991003021329702656</t>
        </is>
      </c>
      <c r="AX2727" t="inlineStr">
        <is>
          <t>991003021329702656</t>
        </is>
      </c>
      <c r="AY2727" t="inlineStr">
        <is>
          <t>2269506760002656</t>
        </is>
      </c>
      <c r="AZ2727" t="inlineStr">
        <is>
          <t>BOOK</t>
        </is>
      </c>
      <c r="BC2727" t="inlineStr">
        <is>
          <t>32285002460508</t>
        </is>
      </c>
      <c r="BD2727" t="inlineStr">
        <is>
          <t>893698590</t>
        </is>
      </c>
    </row>
    <row r="2728">
      <c r="A2728" t="inlineStr">
        <is>
          <t>No</t>
        </is>
      </c>
      <c r="B2728" t="inlineStr">
        <is>
          <t>DS95 .H5</t>
        </is>
      </c>
      <c r="C2728" t="inlineStr">
        <is>
          <t>0                      DS 0095000H  5</t>
        </is>
      </c>
      <c r="D2728" t="inlineStr">
        <is>
          <t>History of Syria, including Lebanon and Palestine.</t>
        </is>
      </c>
      <c r="F2728" t="inlineStr">
        <is>
          <t>No</t>
        </is>
      </c>
      <c r="G2728" t="inlineStr">
        <is>
          <t>1</t>
        </is>
      </c>
      <c r="H2728" t="inlineStr">
        <is>
          <t>No</t>
        </is>
      </c>
      <c r="I2728" t="inlineStr">
        <is>
          <t>No</t>
        </is>
      </c>
      <c r="J2728" t="inlineStr">
        <is>
          <t>0</t>
        </is>
      </c>
      <c r="K2728" t="inlineStr">
        <is>
          <t>Hitti, Philip K. (Philip Khuri), 1886-1978.</t>
        </is>
      </c>
      <c r="L2728" t="inlineStr">
        <is>
          <t>London, Macmillan, 1951.</t>
        </is>
      </c>
      <c r="M2728" t="inlineStr">
        <is>
          <t>1951</t>
        </is>
      </c>
      <c r="O2728" t="inlineStr">
        <is>
          <t>eng</t>
        </is>
      </c>
      <c r="P2728" t="inlineStr">
        <is>
          <t>enk</t>
        </is>
      </c>
      <c r="R2728" t="inlineStr">
        <is>
          <t xml:space="preserve">DS </t>
        </is>
      </c>
      <c r="S2728" t="n">
        <v>2</v>
      </c>
      <c r="T2728" t="n">
        <v>2</v>
      </c>
      <c r="U2728" t="inlineStr">
        <is>
          <t>1997-04-14</t>
        </is>
      </c>
      <c r="V2728" t="inlineStr">
        <is>
          <t>1997-04-14</t>
        </is>
      </c>
      <c r="W2728" t="inlineStr">
        <is>
          <t>1997-02-24</t>
        </is>
      </c>
      <c r="X2728" t="inlineStr">
        <is>
          <t>1997-02-24</t>
        </is>
      </c>
      <c r="Y2728" t="n">
        <v>676</v>
      </c>
      <c r="Z2728" t="n">
        <v>553</v>
      </c>
      <c r="AA2728" t="n">
        <v>909</v>
      </c>
      <c r="AB2728" t="n">
        <v>4</v>
      </c>
      <c r="AC2728" t="n">
        <v>7</v>
      </c>
      <c r="AD2728" t="n">
        <v>22</v>
      </c>
      <c r="AE2728" t="n">
        <v>41</v>
      </c>
      <c r="AF2728" t="n">
        <v>8</v>
      </c>
      <c r="AG2728" t="n">
        <v>16</v>
      </c>
      <c r="AH2728" t="n">
        <v>5</v>
      </c>
      <c r="AI2728" t="n">
        <v>10</v>
      </c>
      <c r="AJ2728" t="n">
        <v>13</v>
      </c>
      <c r="AK2728" t="n">
        <v>20</v>
      </c>
      <c r="AL2728" t="n">
        <v>3</v>
      </c>
      <c r="AM2728" t="n">
        <v>6</v>
      </c>
      <c r="AN2728" t="n">
        <v>0</v>
      </c>
      <c r="AO2728" t="n">
        <v>0</v>
      </c>
      <c r="AP2728" t="inlineStr">
        <is>
          <t>No</t>
        </is>
      </c>
      <c r="AQ2728" t="inlineStr">
        <is>
          <t>No</t>
        </is>
      </c>
      <c r="AS2728">
        <f>HYPERLINK("https://creighton-primo.hosted.exlibrisgroup.com/primo-explore/search?tab=default_tab&amp;search_scope=EVERYTHING&amp;vid=01CRU&amp;lang=en_US&amp;offset=0&amp;query=any,contains,991004842349702656","Catalog Record")</f>
        <v/>
      </c>
      <c r="AT2728">
        <f>HYPERLINK("http://www.worldcat.org/oclc/5510718","WorldCat Record")</f>
        <v/>
      </c>
      <c r="AU2728" t="inlineStr">
        <is>
          <t>2863483653:eng</t>
        </is>
      </c>
      <c r="AV2728" t="inlineStr">
        <is>
          <t>5510718</t>
        </is>
      </c>
      <c r="AW2728" t="inlineStr">
        <is>
          <t>991004842349702656</t>
        </is>
      </c>
      <c r="AX2728" t="inlineStr">
        <is>
          <t>991004842349702656</t>
        </is>
      </c>
      <c r="AY2728" t="inlineStr">
        <is>
          <t>2270000990002656</t>
        </is>
      </c>
      <c r="AZ2728" t="inlineStr">
        <is>
          <t>BOOK</t>
        </is>
      </c>
      <c r="BC2728" t="inlineStr">
        <is>
          <t>32285002460516</t>
        </is>
      </c>
      <c r="BD2728" t="inlineStr">
        <is>
          <t>893625156</t>
        </is>
      </c>
    </row>
    <row r="2729">
      <c r="A2729" t="inlineStr">
        <is>
          <t>No</t>
        </is>
      </c>
      <c r="B2729" t="inlineStr">
        <is>
          <t>DS95 .T5</t>
        </is>
      </c>
      <c r="C2729" t="inlineStr">
        <is>
          <t>0                      DS 0095000T  5</t>
        </is>
      </c>
      <c r="D2729" t="inlineStr">
        <is>
          <t>A modern history of Syria, including Lebanon and Palestine [by] A. L. Tibawi.</t>
        </is>
      </c>
      <c r="F2729" t="inlineStr">
        <is>
          <t>No</t>
        </is>
      </c>
      <c r="G2729" t="inlineStr">
        <is>
          <t>1</t>
        </is>
      </c>
      <c r="H2729" t="inlineStr">
        <is>
          <t>No</t>
        </is>
      </c>
      <c r="I2729" t="inlineStr">
        <is>
          <t>No</t>
        </is>
      </c>
      <c r="J2729" t="inlineStr">
        <is>
          <t>0</t>
        </is>
      </c>
      <c r="K2729" t="inlineStr">
        <is>
          <t>Tibawi, Abdul Latif.</t>
        </is>
      </c>
      <c r="L2729" t="inlineStr">
        <is>
          <t>London, Macmillan; New York, St. Martin's P., 1969.</t>
        </is>
      </c>
      <c r="M2729" t="inlineStr">
        <is>
          <t>1969</t>
        </is>
      </c>
      <c r="O2729" t="inlineStr">
        <is>
          <t>eng</t>
        </is>
      </c>
      <c r="P2729" t="inlineStr">
        <is>
          <t>enk</t>
        </is>
      </c>
      <c r="R2729" t="inlineStr">
        <is>
          <t xml:space="preserve">DS </t>
        </is>
      </c>
      <c r="S2729" t="n">
        <v>2</v>
      </c>
      <c r="T2729" t="n">
        <v>2</v>
      </c>
      <c r="U2729" t="inlineStr">
        <is>
          <t>1997-04-11</t>
        </is>
      </c>
      <c r="V2729" t="inlineStr">
        <is>
          <t>1997-04-11</t>
        </is>
      </c>
      <c r="W2729" t="inlineStr">
        <is>
          <t>1997-02-24</t>
        </is>
      </c>
      <c r="X2729" t="inlineStr">
        <is>
          <t>1997-02-24</t>
        </is>
      </c>
      <c r="Y2729" t="n">
        <v>648</v>
      </c>
      <c r="Z2729" t="n">
        <v>485</v>
      </c>
      <c r="AA2729" t="n">
        <v>488</v>
      </c>
      <c r="AB2729" t="n">
        <v>3</v>
      </c>
      <c r="AC2729" t="n">
        <v>3</v>
      </c>
      <c r="AD2729" t="n">
        <v>21</v>
      </c>
      <c r="AE2729" t="n">
        <v>21</v>
      </c>
      <c r="AF2729" t="n">
        <v>9</v>
      </c>
      <c r="AG2729" t="n">
        <v>9</v>
      </c>
      <c r="AH2729" t="n">
        <v>4</v>
      </c>
      <c r="AI2729" t="n">
        <v>4</v>
      </c>
      <c r="AJ2729" t="n">
        <v>7</v>
      </c>
      <c r="AK2729" t="n">
        <v>7</v>
      </c>
      <c r="AL2729" t="n">
        <v>2</v>
      </c>
      <c r="AM2729" t="n">
        <v>2</v>
      </c>
      <c r="AN2729" t="n">
        <v>0</v>
      </c>
      <c r="AO2729" t="n">
        <v>0</v>
      </c>
      <c r="AP2729" t="inlineStr">
        <is>
          <t>No</t>
        </is>
      </c>
      <c r="AQ2729" t="inlineStr">
        <is>
          <t>Yes</t>
        </is>
      </c>
      <c r="AR2729">
        <f>HYPERLINK("http://catalog.hathitrust.org/Record/000000823","HathiTrust Record")</f>
        <v/>
      </c>
      <c r="AS2729">
        <f>HYPERLINK("https://creighton-primo.hosted.exlibrisgroup.com/primo-explore/search?tab=default_tab&amp;search_scope=EVERYTHING&amp;vid=01CRU&amp;lang=en_US&amp;offset=0&amp;query=any,contains,991000305169702656","Catalog Record")</f>
        <v/>
      </c>
      <c r="AT2729">
        <f>HYPERLINK("http://www.worldcat.org/oclc/69294","WorldCat Record")</f>
        <v/>
      </c>
      <c r="AU2729" t="inlineStr">
        <is>
          <t>443284:eng</t>
        </is>
      </c>
      <c r="AV2729" t="inlineStr">
        <is>
          <t>69294</t>
        </is>
      </c>
      <c r="AW2729" t="inlineStr">
        <is>
          <t>991000305169702656</t>
        </is>
      </c>
      <c r="AX2729" t="inlineStr">
        <is>
          <t>991000305169702656</t>
        </is>
      </c>
      <c r="AY2729" t="inlineStr">
        <is>
          <t>2259493820002656</t>
        </is>
      </c>
      <c r="AZ2729" t="inlineStr">
        <is>
          <t>BOOK</t>
        </is>
      </c>
      <c r="BB2729" t="inlineStr">
        <is>
          <t>9780333100660</t>
        </is>
      </c>
      <c r="BC2729" t="inlineStr">
        <is>
          <t>32285002460524</t>
        </is>
      </c>
      <c r="BD2729" t="inlineStr">
        <is>
          <t>893339452</t>
        </is>
      </c>
    </row>
    <row r="2730">
      <c r="A2730" t="inlineStr">
        <is>
          <t>No</t>
        </is>
      </c>
      <c r="B2730" t="inlineStr">
        <is>
          <t>DS95.6.F8 S53 1998</t>
        </is>
      </c>
      <c r="C2730" t="inlineStr">
        <is>
          <t>0                      DS 0095600F  8                  S  53          1998</t>
        </is>
      </c>
      <c r="D2730" t="inlineStr">
        <is>
          <t>French imperialism in Syria, 1927-1936 / Peter A. Shambrook ; with a foreword by Philip S. Khoury.</t>
        </is>
      </c>
      <c r="F2730" t="inlineStr">
        <is>
          <t>No</t>
        </is>
      </c>
      <c r="G2730" t="inlineStr">
        <is>
          <t>1</t>
        </is>
      </c>
      <c r="H2730" t="inlineStr">
        <is>
          <t>No</t>
        </is>
      </c>
      <c r="I2730" t="inlineStr">
        <is>
          <t>No</t>
        </is>
      </c>
      <c r="J2730" t="inlineStr">
        <is>
          <t>0</t>
        </is>
      </c>
      <c r="K2730" t="inlineStr">
        <is>
          <t>Shambrook, Peter A.</t>
        </is>
      </c>
      <c r="L2730" t="inlineStr">
        <is>
          <t>Reading [England] : Ithaca Press, c1998.</t>
        </is>
      </c>
      <c r="M2730" t="inlineStr">
        <is>
          <t>1998</t>
        </is>
      </c>
      <c r="N2730" t="inlineStr">
        <is>
          <t>1st ed.</t>
        </is>
      </c>
      <c r="O2730" t="inlineStr">
        <is>
          <t>eng</t>
        </is>
      </c>
      <c r="P2730" t="inlineStr">
        <is>
          <t>enk</t>
        </is>
      </c>
      <c r="R2730" t="inlineStr">
        <is>
          <t xml:space="preserve">DS </t>
        </is>
      </c>
      <c r="S2730" t="n">
        <v>2</v>
      </c>
      <c r="T2730" t="n">
        <v>2</v>
      </c>
      <c r="U2730" t="inlineStr">
        <is>
          <t>2003-09-09</t>
        </is>
      </c>
      <c r="V2730" t="inlineStr">
        <is>
          <t>2003-09-09</t>
        </is>
      </c>
      <c r="W2730" t="inlineStr">
        <is>
          <t>2001-03-13</t>
        </is>
      </c>
      <c r="X2730" t="inlineStr">
        <is>
          <t>2001-03-13</t>
        </is>
      </c>
      <c r="Y2730" t="n">
        <v>166</v>
      </c>
      <c r="Z2730" t="n">
        <v>98</v>
      </c>
      <c r="AA2730" t="n">
        <v>100</v>
      </c>
      <c r="AB2730" t="n">
        <v>1</v>
      </c>
      <c r="AC2730" t="n">
        <v>1</v>
      </c>
      <c r="AD2730" t="n">
        <v>7</v>
      </c>
      <c r="AE2730" t="n">
        <v>7</v>
      </c>
      <c r="AF2730" t="n">
        <v>0</v>
      </c>
      <c r="AG2730" t="n">
        <v>0</v>
      </c>
      <c r="AH2730" t="n">
        <v>4</v>
      </c>
      <c r="AI2730" t="n">
        <v>4</v>
      </c>
      <c r="AJ2730" t="n">
        <v>5</v>
      </c>
      <c r="AK2730" t="n">
        <v>5</v>
      </c>
      <c r="AL2730" t="n">
        <v>0</v>
      </c>
      <c r="AM2730" t="n">
        <v>0</v>
      </c>
      <c r="AN2730" t="n">
        <v>0</v>
      </c>
      <c r="AO2730" t="n">
        <v>0</v>
      </c>
      <c r="AP2730" t="inlineStr">
        <is>
          <t>No</t>
        </is>
      </c>
      <c r="AQ2730" t="inlineStr">
        <is>
          <t>Yes</t>
        </is>
      </c>
      <c r="AR2730">
        <f>HYPERLINK("http://catalog.hathitrust.org/Record/004039297","HathiTrust Record")</f>
        <v/>
      </c>
      <c r="AS2730">
        <f>HYPERLINK("https://creighton-primo.hosted.exlibrisgroup.com/primo-explore/search?tab=default_tab&amp;search_scope=EVERYTHING&amp;vid=01CRU&amp;lang=en_US&amp;offset=0&amp;query=any,contains,991003480319702656","Catalog Record")</f>
        <v/>
      </c>
      <c r="AT2730">
        <f>HYPERLINK("http://www.worldcat.org/oclc/41832536","WorldCat Record")</f>
        <v/>
      </c>
      <c r="AU2730" t="inlineStr">
        <is>
          <t>27230852:eng</t>
        </is>
      </c>
      <c r="AV2730" t="inlineStr">
        <is>
          <t>41832536</t>
        </is>
      </c>
      <c r="AW2730" t="inlineStr">
        <is>
          <t>991003480319702656</t>
        </is>
      </c>
      <c r="AX2730" t="inlineStr">
        <is>
          <t>991003480319702656</t>
        </is>
      </c>
      <c r="AY2730" t="inlineStr">
        <is>
          <t>2267663960002656</t>
        </is>
      </c>
      <c r="AZ2730" t="inlineStr">
        <is>
          <t>BOOK</t>
        </is>
      </c>
      <c r="BB2730" t="inlineStr">
        <is>
          <t>9780863722431</t>
        </is>
      </c>
      <c r="BC2730" t="inlineStr">
        <is>
          <t>32285004305081</t>
        </is>
      </c>
      <c r="BD2730" t="inlineStr">
        <is>
          <t>893348718</t>
        </is>
      </c>
    </row>
    <row r="2731">
      <c r="A2731" t="inlineStr">
        <is>
          <t>No</t>
        </is>
      </c>
      <c r="B2731" t="inlineStr">
        <is>
          <t>DS95.6.S33 S86 2007</t>
        </is>
      </c>
      <c r="C2731" t="inlineStr">
        <is>
          <t>0                      DS 0095600S  33                 S  86          2007</t>
        </is>
      </c>
      <c r="D2731" t="inlineStr">
        <is>
          <t>Syria and Saudi Arabia : collaboration and conflicts in the oil era / Sonoko Sunayama.</t>
        </is>
      </c>
      <c r="F2731" t="inlineStr">
        <is>
          <t>No</t>
        </is>
      </c>
      <c r="G2731" t="inlineStr">
        <is>
          <t>1</t>
        </is>
      </c>
      <c r="H2731" t="inlineStr">
        <is>
          <t>No</t>
        </is>
      </c>
      <c r="I2731" t="inlineStr">
        <is>
          <t>No</t>
        </is>
      </c>
      <c r="J2731" t="inlineStr">
        <is>
          <t>0</t>
        </is>
      </c>
      <c r="K2731" t="inlineStr">
        <is>
          <t>Sunayama, Sonoko.</t>
        </is>
      </c>
      <c r="L2731" t="inlineStr">
        <is>
          <t>London : Tauris Academic Studies, 2007.</t>
        </is>
      </c>
      <c r="M2731" t="inlineStr">
        <is>
          <t>2007</t>
        </is>
      </c>
      <c r="O2731" t="inlineStr">
        <is>
          <t>eng</t>
        </is>
      </c>
      <c r="P2731" t="inlineStr">
        <is>
          <t>enk</t>
        </is>
      </c>
      <c r="Q2731" t="inlineStr">
        <is>
          <t>Library of international relations ; 31</t>
        </is>
      </c>
      <c r="R2731" t="inlineStr">
        <is>
          <t xml:space="preserve">DS </t>
        </is>
      </c>
      <c r="S2731" t="n">
        <v>1</v>
      </c>
      <c r="T2731" t="n">
        <v>1</v>
      </c>
      <c r="U2731" t="inlineStr">
        <is>
          <t>2008-08-11</t>
        </is>
      </c>
      <c r="V2731" t="inlineStr">
        <is>
          <t>2008-08-11</t>
        </is>
      </c>
      <c r="W2731" t="inlineStr">
        <is>
          <t>2008-08-11</t>
        </is>
      </c>
      <c r="X2731" t="inlineStr">
        <is>
          <t>2008-08-11</t>
        </is>
      </c>
      <c r="Y2731" t="n">
        <v>194</v>
      </c>
      <c r="Z2731" t="n">
        <v>147</v>
      </c>
      <c r="AA2731" t="n">
        <v>739</v>
      </c>
      <c r="AB2731" t="n">
        <v>1</v>
      </c>
      <c r="AC2731" t="n">
        <v>14</v>
      </c>
      <c r="AD2731" t="n">
        <v>7</v>
      </c>
      <c r="AE2731" t="n">
        <v>25</v>
      </c>
      <c r="AF2731" t="n">
        <v>4</v>
      </c>
      <c r="AG2731" t="n">
        <v>10</v>
      </c>
      <c r="AH2731" t="n">
        <v>2</v>
      </c>
      <c r="AI2731" t="n">
        <v>5</v>
      </c>
      <c r="AJ2731" t="n">
        <v>4</v>
      </c>
      <c r="AK2731" t="n">
        <v>5</v>
      </c>
      <c r="AL2731" t="n">
        <v>0</v>
      </c>
      <c r="AM2731" t="n">
        <v>9</v>
      </c>
      <c r="AN2731" t="n">
        <v>0</v>
      </c>
      <c r="AO2731" t="n">
        <v>2</v>
      </c>
      <c r="AP2731" t="inlineStr">
        <is>
          <t>No</t>
        </is>
      </c>
      <c r="AQ2731" t="inlineStr">
        <is>
          <t>Yes</t>
        </is>
      </c>
      <c r="AR2731">
        <f>HYPERLINK("http://catalog.hathitrust.org/Record/005663878","HathiTrust Record")</f>
        <v/>
      </c>
      <c r="AS2731">
        <f>HYPERLINK("https://creighton-primo.hosted.exlibrisgroup.com/primo-explore/search?tab=default_tab&amp;search_scope=EVERYTHING&amp;vid=01CRU&amp;lang=en_US&amp;offset=0&amp;query=any,contains,991005258989702656","Catalog Record")</f>
        <v/>
      </c>
      <c r="AT2731">
        <f>HYPERLINK("http://www.worldcat.org/oclc/77541184","WorldCat Record")</f>
        <v/>
      </c>
      <c r="AU2731" t="inlineStr">
        <is>
          <t>802686543:eng</t>
        </is>
      </c>
      <c r="AV2731" t="inlineStr">
        <is>
          <t>77541184</t>
        </is>
      </c>
      <c r="AW2731" t="inlineStr">
        <is>
          <t>991005258989702656</t>
        </is>
      </c>
      <c r="AX2731" t="inlineStr">
        <is>
          <t>991005258989702656</t>
        </is>
      </c>
      <c r="AY2731" t="inlineStr">
        <is>
          <t>2263066080002656</t>
        </is>
      </c>
      <c r="AZ2731" t="inlineStr">
        <is>
          <t>BOOK</t>
        </is>
      </c>
      <c r="BB2731" t="inlineStr">
        <is>
          <t>9781845113025</t>
        </is>
      </c>
      <c r="BC2731" t="inlineStr">
        <is>
          <t>32285005452999</t>
        </is>
      </c>
      <c r="BD2731" t="inlineStr">
        <is>
          <t>893625722</t>
        </is>
      </c>
    </row>
    <row r="2732">
      <c r="A2732" t="inlineStr">
        <is>
          <t>No</t>
        </is>
      </c>
      <c r="B2732" t="inlineStr">
        <is>
          <t>DS96 .B57 1985</t>
        </is>
      </c>
      <c r="C2732" t="inlineStr">
        <is>
          <t>0                      DS 0096000B  57          1985</t>
        </is>
      </c>
      <c r="D2732" t="inlineStr">
        <is>
          <t>The house of Seleucus / by Edwyn Robert Bevan.</t>
        </is>
      </c>
      <c r="F2732" t="inlineStr">
        <is>
          <t>No</t>
        </is>
      </c>
      <c r="G2732" t="inlineStr">
        <is>
          <t>1</t>
        </is>
      </c>
      <c r="H2732" t="inlineStr">
        <is>
          <t>No</t>
        </is>
      </c>
      <c r="I2732" t="inlineStr">
        <is>
          <t>No</t>
        </is>
      </c>
      <c r="J2732" t="inlineStr">
        <is>
          <t>0</t>
        </is>
      </c>
      <c r="K2732" t="inlineStr">
        <is>
          <t>Bevan, Edwyn Robert, 1870-1943.</t>
        </is>
      </c>
      <c r="L2732" t="inlineStr">
        <is>
          <t>Chicago : Ares Publishers, 1985.</t>
        </is>
      </c>
      <c r="M2732" t="inlineStr">
        <is>
          <t>1985</t>
        </is>
      </c>
      <c r="O2732" t="inlineStr">
        <is>
          <t>eng</t>
        </is>
      </c>
      <c r="P2732" t="inlineStr">
        <is>
          <t>ilu</t>
        </is>
      </c>
      <c r="R2732" t="inlineStr">
        <is>
          <t xml:space="preserve">DS </t>
        </is>
      </c>
      <c r="S2732" t="n">
        <v>5</v>
      </c>
      <c r="T2732" t="n">
        <v>5</v>
      </c>
      <c r="U2732" t="inlineStr">
        <is>
          <t>2003-01-20</t>
        </is>
      </c>
      <c r="V2732" t="inlineStr">
        <is>
          <t>2003-01-20</t>
        </is>
      </c>
      <c r="W2732" t="inlineStr">
        <is>
          <t>1992-05-14</t>
        </is>
      </c>
      <c r="X2732" t="inlineStr">
        <is>
          <t>1992-05-14</t>
        </is>
      </c>
      <c r="Y2732" t="n">
        <v>68</v>
      </c>
      <c r="Z2732" t="n">
        <v>61</v>
      </c>
      <c r="AA2732" t="n">
        <v>572</v>
      </c>
      <c r="AB2732" t="n">
        <v>2</v>
      </c>
      <c r="AC2732" t="n">
        <v>5</v>
      </c>
      <c r="AD2732" t="n">
        <v>6</v>
      </c>
      <c r="AE2732" t="n">
        <v>33</v>
      </c>
      <c r="AF2732" t="n">
        <v>2</v>
      </c>
      <c r="AG2732" t="n">
        <v>12</v>
      </c>
      <c r="AH2732" t="n">
        <v>1</v>
      </c>
      <c r="AI2732" t="n">
        <v>7</v>
      </c>
      <c r="AJ2732" t="n">
        <v>5</v>
      </c>
      <c r="AK2732" t="n">
        <v>19</v>
      </c>
      <c r="AL2732" t="n">
        <v>1</v>
      </c>
      <c r="AM2732" t="n">
        <v>4</v>
      </c>
      <c r="AN2732" t="n">
        <v>0</v>
      </c>
      <c r="AO2732" t="n">
        <v>0</v>
      </c>
      <c r="AP2732" t="inlineStr">
        <is>
          <t>No</t>
        </is>
      </c>
      <c r="AQ2732" t="inlineStr">
        <is>
          <t>Yes</t>
        </is>
      </c>
      <c r="AR2732">
        <f>HYPERLINK("http://catalog.hathitrust.org/Record/012285394","HathiTrust Record")</f>
        <v/>
      </c>
      <c r="AS2732">
        <f>HYPERLINK("https://creighton-primo.hosted.exlibrisgroup.com/primo-explore/search?tab=default_tab&amp;search_scope=EVERYTHING&amp;vid=01CRU&amp;lang=en_US&amp;offset=0&amp;query=any,contains,991000665609702656","Catalog Record")</f>
        <v/>
      </c>
      <c r="AT2732">
        <f>HYPERLINK("http://www.worldcat.org/oclc/12276125","WorldCat Record")</f>
        <v/>
      </c>
      <c r="AU2732" t="inlineStr">
        <is>
          <t>1545953:eng</t>
        </is>
      </c>
      <c r="AV2732" t="inlineStr">
        <is>
          <t>12276125</t>
        </is>
      </c>
      <c r="AW2732" t="inlineStr">
        <is>
          <t>991000665609702656</t>
        </is>
      </c>
      <c r="AX2732" t="inlineStr">
        <is>
          <t>991000665609702656</t>
        </is>
      </c>
      <c r="AY2732" t="inlineStr">
        <is>
          <t>2256305800002656</t>
        </is>
      </c>
      <c r="AZ2732" t="inlineStr">
        <is>
          <t>BOOK</t>
        </is>
      </c>
      <c r="BB2732" t="inlineStr">
        <is>
          <t>9780890055373</t>
        </is>
      </c>
      <c r="BC2732" t="inlineStr">
        <is>
          <t>32285001110278</t>
        </is>
      </c>
      <c r="BD2732" t="inlineStr">
        <is>
          <t>893345861</t>
        </is>
      </c>
    </row>
    <row r="2733">
      <c r="A2733" t="inlineStr">
        <is>
          <t>No</t>
        </is>
      </c>
      <c r="B2733" t="inlineStr">
        <is>
          <t>DS96 .J67 2000</t>
        </is>
      </c>
      <c r="C2733" t="inlineStr">
        <is>
          <t>0                      DS 0096000J  67          2000</t>
        </is>
      </c>
      <c r="D2733" t="inlineStr">
        <is>
          <t>The chronicle of pseudo-Joshua the Stylite / translated with notes and introduction by Frank R. Trombley and John W. Watt.</t>
        </is>
      </c>
      <c r="F2733" t="inlineStr">
        <is>
          <t>No</t>
        </is>
      </c>
      <c r="G2733" t="inlineStr">
        <is>
          <t>1</t>
        </is>
      </c>
      <c r="H2733" t="inlineStr">
        <is>
          <t>No</t>
        </is>
      </c>
      <c r="I2733" t="inlineStr">
        <is>
          <t>No</t>
        </is>
      </c>
      <c r="J2733" t="inlineStr">
        <is>
          <t>0</t>
        </is>
      </c>
      <c r="K2733" t="inlineStr">
        <is>
          <t>Joshua, the Stylite.</t>
        </is>
      </c>
      <c r="L2733" t="inlineStr">
        <is>
          <t>Liverpool : Liverpool University Press, 2000.</t>
        </is>
      </c>
      <c r="M2733" t="inlineStr">
        <is>
          <t>2000</t>
        </is>
      </c>
      <c r="O2733" t="inlineStr">
        <is>
          <t>eng</t>
        </is>
      </c>
      <c r="P2733" t="inlineStr">
        <is>
          <t>enk</t>
        </is>
      </c>
      <c r="Q2733" t="inlineStr">
        <is>
          <t>Translated texts for historians ; v. 32</t>
        </is>
      </c>
      <c r="R2733" t="inlineStr">
        <is>
          <t xml:space="preserve">DS </t>
        </is>
      </c>
      <c r="S2733" t="n">
        <v>1</v>
      </c>
      <c r="T2733" t="n">
        <v>1</v>
      </c>
      <c r="U2733" t="inlineStr">
        <is>
          <t>2004-01-07</t>
        </is>
      </c>
      <c r="V2733" t="inlineStr">
        <is>
          <t>2004-01-07</t>
        </is>
      </c>
      <c r="W2733" t="inlineStr">
        <is>
          <t>2004-01-07</t>
        </is>
      </c>
      <c r="X2733" t="inlineStr">
        <is>
          <t>2004-01-07</t>
        </is>
      </c>
      <c r="Y2733" t="n">
        <v>214</v>
      </c>
      <c r="Z2733" t="n">
        <v>164</v>
      </c>
      <c r="AA2733" t="n">
        <v>173</v>
      </c>
      <c r="AB2733" t="n">
        <v>1</v>
      </c>
      <c r="AC2733" t="n">
        <v>1</v>
      </c>
      <c r="AD2733" t="n">
        <v>15</v>
      </c>
      <c r="AE2733" t="n">
        <v>16</v>
      </c>
      <c r="AF2733" t="n">
        <v>5</v>
      </c>
      <c r="AG2733" t="n">
        <v>5</v>
      </c>
      <c r="AH2733" t="n">
        <v>5</v>
      </c>
      <c r="AI2733" t="n">
        <v>5</v>
      </c>
      <c r="AJ2733" t="n">
        <v>10</v>
      </c>
      <c r="AK2733" t="n">
        <v>11</v>
      </c>
      <c r="AL2733" t="n">
        <v>0</v>
      </c>
      <c r="AM2733" t="n">
        <v>0</v>
      </c>
      <c r="AN2733" t="n">
        <v>0</v>
      </c>
      <c r="AO2733" t="n">
        <v>0</v>
      </c>
      <c r="AP2733" t="inlineStr">
        <is>
          <t>No</t>
        </is>
      </c>
      <c r="AQ2733" t="inlineStr">
        <is>
          <t>No</t>
        </is>
      </c>
      <c r="AS2733">
        <f>HYPERLINK("https://creighton-primo.hosted.exlibrisgroup.com/primo-explore/search?tab=default_tab&amp;search_scope=EVERYTHING&amp;vid=01CRU&amp;lang=en_US&amp;offset=0&amp;query=any,contains,991004204939702656","Catalog Record")</f>
        <v/>
      </c>
      <c r="AT2733">
        <f>HYPERLINK("http://www.worldcat.org/oclc/43819599","WorldCat Record")</f>
        <v/>
      </c>
      <c r="AU2733" t="inlineStr">
        <is>
          <t>3768931756:eng</t>
        </is>
      </c>
      <c r="AV2733" t="inlineStr">
        <is>
          <t>43819599</t>
        </is>
      </c>
      <c r="AW2733" t="inlineStr">
        <is>
          <t>991004204939702656</t>
        </is>
      </c>
      <c r="AX2733" t="inlineStr">
        <is>
          <t>991004204939702656</t>
        </is>
      </c>
      <c r="AY2733" t="inlineStr">
        <is>
          <t>2258733730002656</t>
        </is>
      </c>
      <c r="AZ2733" t="inlineStr">
        <is>
          <t>BOOK</t>
        </is>
      </c>
      <c r="BB2733" t="inlineStr">
        <is>
          <t>9780853235859</t>
        </is>
      </c>
      <c r="BC2733" t="inlineStr">
        <is>
          <t>32285004632732</t>
        </is>
      </c>
      <c r="BD2733" t="inlineStr">
        <is>
          <t>893411249</t>
        </is>
      </c>
    </row>
    <row r="2734">
      <c r="A2734" t="inlineStr">
        <is>
          <t>No</t>
        </is>
      </c>
      <c r="B2734" t="inlineStr">
        <is>
          <t>DS96 .R45 1990</t>
        </is>
      </c>
      <c r="C2734" t="inlineStr">
        <is>
          <t>0                      DS 0096000R  45          1990</t>
        </is>
      </c>
      <c r="D2734" t="inlineStr">
        <is>
          <t>Religion and religious practice in the Seleucid Kingdom / edited by Per Bilde [and others].</t>
        </is>
      </c>
      <c r="F2734" t="inlineStr">
        <is>
          <t>No</t>
        </is>
      </c>
      <c r="G2734" t="inlineStr">
        <is>
          <t>1</t>
        </is>
      </c>
      <c r="H2734" t="inlineStr">
        <is>
          <t>No</t>
        </is>
      </c>
      <c r="I2734" t="inlineStr">
        <is>
          <t>No</t>
        </is>
      </c>
      <c r="J2734" t="inlineStr">
        <is>
          <t>0</t>
        </is>
      </c>
      <c r="L2734" t="inlineStr">
        <is>
          <t>Aarhus, Denmark : Aarhus University Press, 1990.</t>
        </is>
      </c>
      <c r="M2734" t="inlineStr">
        <is>
          <t>1990</t>
        </is>
      </c>
      <c r="O2734" t="inlineStr">
        <is>
          <t>eng</t>
        </is>
      </c>
      <c r="P2734" t="inlineStr">
        <is>
          <t xml:space="preserve">dk </t>
        </is>
      </c>
      <c r="Q2734" t="inlineStr">
        <is>
          <t>Studies in Hellenistic civilization ; 1</t>
        </is>
      </c>
      <c r="R2734" t="inlineStr">
        <is>
          <t xml:space="preserve">DS </t>
        </is>
      </c>
      <c r="S2734" t="n">
        <v>9</v>
      </c>
      <c r="T2734" t="n">
        <v>9</v>
      </c>
      <c r="U2734" t="inlineStr">
        <is>
          <t>2010-10-14</t>
        </is>
      </c>
      <c r="V2734" t="inlineStr">
        <is>
          <t>2010-10-14</t>
        </is>
      </c>
      <c r="W2734" t="inlineStr">
        <is>
          <t>1993-04-13</t>
        </is>
      </c>
      <c r="X2734" t="inlineStr">
        <is>
          <t>1993-04-13</t>
        </is>
      </c>
      <c r="Y2734" t="n">
        <v>177</v>
      </c>
      <c r="Z2734" t="n">
        <v>93</v>
      </c>
      <c r="AA2734" t="n">
        <v>93</v>
      </c>
      <c r="AB2734" t="n">
        <v>1</v>
      </c>
      <c r="AC2734" t="n">
        <v>1</v>
      </c>
      <c r="AD2734" t="n">
        <v>3</v>
      </c>
      <c r="AE2734" t="n">
        <v>3</v>
      </c>
      <c r="AF2734" t="n">
        <v>0</v>
      </c>
      <c r="AG2734" t="n">
        <v>0</v>
      </c>
      <c r="AH2734" t="n">
        <v>0</v>
      </c>
      <c r="AI2734" t="n">
        <v>0</v>
      </c>
      <c r="AJ2734" t="n">
        <v>3</v>
      </c>
      <c r="AK2734" t="n">
        <v>3</v>
      </c>
      <c r="AL2734" t="n">
        <v>0</v>
      </c>
      <c r="AM2734" t="n">
        <v>0</v>
      </c>
      <c r="AN2734" t="n">
        <v>0</v>
      </c>
      <c r="AO2734" t="n">
        <v>0</v>
      </c>
      <c r="AP2734" t="inlineStr">
        <is>
          <t>No</t>
        </is>
      </c>
      <c r="AQ2734" t="inlineStr">
        <is>
          <t>No</t>
        </is>
      </c>
      <c r="AS2734">
        <f>HYPERLINK("https://creighton-primo.hosted.exlibrisgroup.com/primo-explore/search?tab=default_tab&amp;search_scope=EVERYTHING&amp;vid=01CRU&amp;lang=en_US&amp;offset=0&amp;query=any,contains,991001946989702656","Catalog Record")</f>
        <v/>
      </c>
      <c r="AT2734">
        <f>HYPERLINK("http://www.worldcat.org/oclc/24617652","WorldCat Record")</f>
        <v/>
      </c>
      <c r="AU2734" t="inlineStr">
        <is>
          <t>9657308029:eng</t>
        </is>
      </c>
      <c r="AV2734" t="inlineStr">
        <is>
          <t>24617652</t>
        </is>
      </c>
      <c r="AW2734" t="inlineStr">
        <is>
          <t>991001946989702656</t>
        </is>
      </c>
      <c r="AX2734" t="inlineStr">
        <is>
          <t>991001946989702656</t>
        </is>
      </c>
      <c r="AY2734" t="inlineStr">
        <is>
          <t>2254854190002656</t>
        </is>
      </c>
      <c r="AZ2734" t="inlineStr">
        <is>
          <t>BOOK</t>
        </is>
      </c>
      <c r="BB2734" t="inlineStr">
        <is>
          <t>9788772883229</t>
        </is>
      </c>
      <c r="BC2734" t="inlineStr">
        <is>
          <t>32285001580033</t>
        </is>
      </c>
      <c r="BD2734" t="inlineStr">
        <is>
          <t>893503846</t>
        </is>
      </c>
    </row>
    <row r="2735">
      <c r="A2735" t="inlineStr">
        <is>
          <t>No</t>
        </is>
      </c>
      <c r="B2735" t="inlineStr">
        <is>
          <t>DS96.2 .B87 2003</t>
        </is>
      </c>
      <c r="C2735" t="inlineStr">
        <is>
          <t>0                      DS 0096200B  87          2003</t>
        </is>
      </c>
      <c r="D2735" t="inlineStr">
        <is>
          <t>Roman Syria and the Near East / Kevin Butcher.</t>
        </is>
      </c>
      <c r="F2735" t="inlineStr">
        <is>
          <t>No</t>
        </is>
      </c>
      <c r="G2735" t="inlineStr">
        <is>
          <t>1</t>
        </is>
      </c>
      <c r="H2735" t="inlineStr">
        <is>
          <t>No</t>
        </is>
      </c>
      <c r="I2735" t="inlineStr">
        <is>
          <t>No</t>
        </is>
      </c>
      <c r="J2735" t="inlineStr">
        <is>
          <t>0</t>
        </is>
      </c>
      <c r="K2735" t="inlineStr">
        <is>
          <t>Butcher, Kevin.</t>
        </is>
      </c>
      <c r="L2735" t="inlineStr">
        <is>
          <t>Los Angeles : J. Paul Getty Museum/Getty Publications, 2003.</t>
        </is>
      </c>
      <c r="M2735" t="inlineStr">
        <is>
          <t>2003</t>
        </is>
      </c>
      <c r="O2735" t="inlineStr">
        <is>
          <t>eng</t>
        </is>
      </c>
      <c r="P2735" t="inlineStr">
        <is>
          <t>cau</t>
        </is>
      </c>
      <c r="R2735" t="inlineStr">
        <is>
          <t xml:space="preserve">DS </t>
        </is>
      </c>
      <c r="S2735" t="n">
        <v>4</v>
      </c>
      <c r="T2735" t="n">
        <v>4</v>
      </c>
      <c r="U2735" t="inlineStr">
        <is>
          <t>2010-07-27</t>
        </is>
      </c>
      <c r="V2735" t="inlineStr">
        <is>
          <t>2010-07-27</t>
        </is>
      </c>
      <c r="W2735" t="inlineStr">
        <is>
          <t>2004-02-23</t>
        </is>
      </c>
      <c r="X2735" t="inlineStr">
        <is>
          <t>2004-02-23</t>
        </is>
      </c>
      <c r="Y2735" t="n">
        <v>509</v>
      </c>
      <c r="Z2735" t="n">
        <v>409</v>
      </c>
      <c r="AA2735" t="n">
        <v>416</v>
      </c>
      <c r="AB2735" t="n">
        <v>3</v>
      </c>
      <c r="AC2735" t="n">
        <v>3</v>
      </c>
      <c r="AD2735" t="n">
        <v>27</v>
      </c>
      <c r="AE2735" t="n">
        <v>27</v>
      </c>
      <c r="AF2735" t="n">
        <v>12</v>
      </c>
      <c r="AG2735" t="n">
        <v>12</v>
      </c>
      <c r="AH2735" t="n">
        <v>8</v>
      </c>
      <c r="AI2735" t="n">
        <v>8</v>
      </c>
      <c r="AJ2735" t="n">
        <v>13</v>
      </c>
      <c r="AK2735" t="n">
        <v>13</v>
      </c>
      <c r="AL2735" t="n">
        <v>2</v>
      </c>
      <c r="AM2735" t="n">
        <v>2</v>
      </c>
      <c r="AN2735" t="n">
        <v>0</v>
      </c>
      <c r="AO2735" t="n">
        <v>0</v>
      </c>
      <c r="AP2735" t="inlineStr">
        <is>
          <t>No</t>
        </is>
      </c>
      <c r="AQ2735" t="inlineStr">
        <is>
          <t>No</t>
        </is>
      </c>
      <c r="AS2735">
        <f>HYPERLINK("https://creighton-primo.hosted.exlibrisgroup.com/primo-explore/search?tab=default_tab&amp;search_scope=EVERYTHING&amp;vid=01CRU&amp;lang=en_US&amp;offset=0&amp;query=any,contains,991004201299702656","Catalog Record")</f>
        <v/>
      </c>
      <c r="AT2735">
        <f>HYPERLINK("http://www.worldcat.org/oclc/52001730","WorldCat Record")</f>
        <v/>
      </c>
      <c r="AU2735" t="inlineStr">
        <is>
          <t>737418:eng</t>
        </is>
      </c>
      <c r="AV2735" t="inlineStr">
        <is>
          <t>52001730</t>
        </is>
      </c>
      <c r="AW2735" t="inlineStr">
        <is>
          <t>991004201299702656</t>
        </is>
      </c>
      <c r="AX2735" t="inlineStr">
        <is>
          <t>991004201299702656</t>
        </is>
      </c>
      <c r="AY2735" t="inlineStr">
        <is>
          <t>2263371470002656</t>
        </is>
      </c>
      <c r="AZ2735" t="inlineStr">
        <is>
          <t>BOOK</t>
        </is>
      </c>
      <c r="BB2735" t="inlineStr">
        <is>
          <t>9780892367153</t>
        </is>
      </c>
      <c r="BC2735" t="inlineStr">
        <is>
          <t>32285004639711</t>
        </is>
      </c>
      <c r="BD2735" t="inlineStr">
        <is>
          <t>893506538</t>
        </is>
      </c>
    </row>
    <row r="2736">
      <c r="A2736" t="inlineStr">
        <is>
          <t>No</t>
        </is>
      </c>
      <c r="B2736" t="inlineStr">
        <is>
          <t>DS97 .S48 1993</t>
        </is>
      </c>
      <c r="C2736" t="inlineStr">
        <is>
          <t>0                      DS 0097000S  48          1993</t>
        </is>
      </c>
      <c r="D2736" t="inlineStr">
        <is>
          <t>The Seventh century in the west-Syrian chronicles / introduced, translated and annotated by Andrew Palmer ; including two seventh-century Syriac apocalyptic texts, introduced, translated and annotated by Sebastian Brock ; with added annotation and an historical introduction by Robert Hoyland.</t>
        </is>
      </c>
      <c r="F2736" t="inlineStr">
        <is>
          <t>No</t>
        </is>
      </c>
      <c r="G2736" t="inlineStr">
        <is>
          <t>1</t>
        </is>
      </c>
      <c r="H2736" t="inlineStr">
        <is>
          <t>No</t>
        </is>
      </c>
      <c r="I2736" t="inlineStr">
        <is>
          <t>No</t>
        </is>
      </c>
      <c r="J2736" t="inlineStr">
        <is>
          <t>0</t>
        </is>
      </c>
      <c r="L2736" t="inlineStr">
        <is>
          <t>Liverpool, [Eng.] : Liverpool University Press, 1993.</t>
        </is>
      </c>
      <c r="M2736" t="inlineStr">
        <is>
          <t>1993</t>
        </is>
      </c>
      <c r="O2736" t="inlineStr">
        <is>
          <t>eng</t>
        </is>
      </c>
      <c r="P2736" t="inlineStr">
        <is>
          <t>enk</t>
        </is>
      </c>
      <c r="Q2736" t="inlineStr">
        <is>
          <t>Translated texts for historians ; v. 15</t>
        </is>
      </c>
      <c r="R2736" t="inlineStr">
        <is>
          <t xml:space="preserve">DS </t>
        </is>
      </c>
      <c r="S2736" t="n">
        <v>1</v>
      </c>
      <c r="T2736" t="n">
        <v>1</v>
      </c>
      <c r="U2736" t="inlineStr">
        <is>
          <t>2008-01-19</t>
        </is>
      </c>
      <c r="V2736" t="inlineStr">
        <is>
          <t>2008-01-19</t>
        </is>
      </c>
      <c r="W2736" t="inlineStr">
        <is>
          <t>1995-12-27</t>
        </is>
      </c>
      <c r="X2736" t="inlineStr">
        <is>
          <t>1995-12-27</t>
        </is>
      </c>
      <c r="Y2736" t="n">
        <v>289</v>
      </c>
      <c r="Z2736" t="n">
        <v>207</v>
      </c>
      <c r="AA2736" t="n">
        <v>218</v>
      </c>
      <c r="AB2736" t="n">
        <v>2</v>
      </c>
      <c r="AC2736" t="n">
        <v>2</v>
      </c>
      <c r="AD2736" t="n">
        <v>16</v>
      </c>
      <c r="AE2736" t="n">
        <v>16</v>
      </c>
      <c r="AF2736" t="n">
        <v>5</v>
      </c>
      <c r="AG2736" t="n">
        <v>5</v>
      </c>
      <c r="AH2736" t="n">
        <v>4</v>
      </c>
      <c r="AI2736" t="n">
        <v>4</v>
      </c>
      <c r="AJ2736" t="n">
        <v>11</v>
      </c>
      <c r="AK2736" t="n">
        <v>11</v>
      </c>
      <c r="AL2736" t="n">
        <v>1</v>
      </c>
      <c r="AM2736" t="n">
        <v>1</v>
      </c>
      <c r="AN2736" t="n">
        <v>0</v>
      </c>
      <c r="AO2736" t="n">
        <v>0</v>
      </c>
      <c r="AP2736" t="inlineStr">
        <is>
          <t>No</t>
        </is>
      </c>
      <c r="AQ2736" t="inlineStr">
        <is>
          <t>Yes</t>
        </is>
      </c>
      <c r="AR2736">
        <f>HYPERLINK("http://catalog.hathitrust.org/Record/002732487","HathiTrust Record")</f>
        <v/>
      </c>
      <c r="AS2736">
        <f>HYPERLINK("https://creighton-primo.hosted.exlibrisgroup.com/primo-explore/search?tab=default_tab&amp;search_scope=EVERYTHING&amp;vid=01CRU&amp;lang=en_US&amp;offset=0&amp;query=any,contains,991002207769702656","Catalog Record")</f>
        <v/>
      </c>
      <c r="AT2736">
        <f>HYPERLINK("http://www.worldcat.org/oclc/42719747","WorldCat Record")</f>
        <v/>
      </c>
      <c r="AU2736" t="inlineStr">
        <is>
          <t>365629675:eng</t>
        </is>
      </c>
      <c r="AV2736" t="inlineStr">
        <is>
          <t>42719747</t>
        </is>
      </c>
      <c r="AW2736" t="inlineStr">
        <is>
          <t>991002207769702656</t>
        </is>
      </c>
      <c r="AX2736" t="inlineStr">
        <is>
          <t>991002207769702656</t>
        </is>
      </c>
      <c r="AY2736" t="inlineStr">
        <is>
          <t>2263576430002656</t>
        </is>
      </c>
      <c r="AZ2736" t="inlineStr">
        <is>
          <t>BOOK</t>
        </is>
      </c>
      <c r="BB2736" t="inlineStr">
        <is>
          <t>9780853232384</t>
        </is>
      </c>
      <c r="BC2736" t="inlineStr">
        <is>
          <t>32285002112075</t>
        </is>
      </c>
      <c r="BD2736" t="inlineStr">
        <is>
          <t>893697476</t>
        </is>
      </c>
    </row>
    <row r="2737">
      <c r="A2737" t="inlineStr">
        <is>
          <t>No</t>
        </is>
      </c>
      <c r="B2737" t="inlineStr">
        <is>
          <t>DS97 .Z5 1970</t>
        </is>
      </c>
      <c r="C2737" t="inlineStr">
        <is>
          <t>0                      DS 0097000Z  5           1970</t>
        </is>
      </c>
      <c r="D2737" t="inlineStr">
        <is>
          <t>Urban life in Syria under the early Mamluks, by Nicola A. Ziadeh.</t>
        </is>
      </c>
      <c r="F2737" t="inlineStr">
        <is>
          <t>No</t>
        </is>
      </c>
      <c r="G2737" t="inlineStr">
        <is>
          <t>1</t>
        </is>
      </c>
      <c r="H2737" t="inlineStr">
        <is>
          <t>No</t>
        </is>
      </c>
      <c r="I2737" t="inlineStr">
        <is>
          <t>No</t>
        </is>
      </c>
      <c r="J2737" t="inlineStr">
        <is>
          <t>0</t>
        </is>
      </c>
      <c r="K2737" t="inlineStr">
        <is>
          <t>Ziadeh, Nicola A.</t>
        </is>
      </c>
      <c r="L2737" t="inlineStr">
        <is>
          <t>Westport, Conn., Greenwood Press [1970]</t>
        </is>
      </c>
      <c r="M2737" t="inlineStr">
        <is>
          <t>1970</t>
        </is>
      </c>
      <c r="O2737" t="inlineStr">
        <is>
          <t>eng</t>
        </is>
      </c>
      <c r="P2737" t="inlineStr">
        <is>
          <t>ctu</t>
        </is>
      </c>
      <c r="Q2737" t="inlineStr">
        <is>
          <t>American University of Beirut. Publication of the Faculty of Arts and Sciences. Oriental series, no. 24</t>
        </is>
      </c>
      <c r="R2737" t="inlineStr">
        <is>
          <t xml:space="preserve">DS </t>
        </is>
      </c>
      <c r="S2737" t="n">
        <v>2</v>
      </c>
      <c r="T2737" t="n">
        <v>2</v>
      </c>
      <c r="U2737" t="inlineStr">
        <is>
          <t>1997-03-25</t>
        </is>
      </c>
      <c r="V2737" t="inlineStr">
        <is>
          <t>1997-03-25</t>
        </is>
      </c>
      <c r="W2737" t="inlineStr">
        <is>
          <t>1997-02-24</t>
        </is>
      </c>
      <c r="X2737" t="inlineStr">
        <is>
          <t>1997-02-24</t>
        </is>
      </c>
      <c r="Y2737" t="n">
        <v>176</v>
      </c>
      <c r="Z2737" t="n">
        <v>150</v>
      </c>
      <c r="AA2737" t="n">
        <v>225</v>
      </c>
      <c r="AB2737" t="n">
        <v>2</v>
      </c>
      <c r="AC2737" t="n">
        <v>2</v>
      </c>
      <c r="AD2737" t="n">
        <v>8</v>
      </c>
      <c r="AE2737" t="n">
        <v>9</v>
      </c>
      <c r="AF2737" t="n">
        <v>4</v>
      </c>
      <c r="AG2737" t="n">
        <v>5</v>
      </c>
      <c r="AH2737" t="n">
        <v>2</v>
      </c>
      <c r="AI2737" t="n">
        <v>2</v>
      </c>
      <c r="AJ2737" t="n">
        <v>2</v>
      </c>
      <c r="AK2737" t="n">
        <v>3</v>
      </c>
      <c r="AL2737" t="n">
        <v>1</v>
      </c>
      <c r="AM2737" t="n">
        <v>1</v>
      </c>
      <c r="AN2737" t="n">
        <v>0</v>
      </c>
      <c r="AO2737" t="n">
        <v>0</v>
      </c>
      <c r="AP2737" t="inlineStr">
        <is>
          <t>No</t>
        </is>
      </c>
      <c r="AQ2737" t="inlineStr">
        <is>
          <t>Yes</t>
        </is>
      </c>
      <c r="AR2737">
        <f>HYPERLINK("http://catalog.hathitrust.org/Record/001241863","HathiTrust Record")</f>
        <v/>
      </c>
      <c r="AS2737">
        <f>HYPERLINK("https://creighton-primo.hosted.exlibrisgroup.com/primo-explore/search?tab=default_tab&amp;search_scope=EVERYTHING&amp;vid=01CRU&amp;lang=en_US&amp;offset=0&amp;query=any,contains,991000612499702656","Catalog Record")</f>
        <v/>
      </c>
      <c r="AT2737">
        <f>HYPERLINK("http://www.worldcat.org/oclc/100773","WorldCat Record")</f>
        <v/>
      </c>
      <c r="AU2737" t="inlineStr">
        <is>
          <t>1169085:eng</t>
        </is>
      </c>
      <c r="AV2737" t="inlineStr">
        <is>
          <t>100773</t>
        </is>
      </c>
      <c r="AW2737" t="inlineStr">
        <is>
          <t>991000612499702656</t>
        </is>
      </c>
      <c r="AX2737" t="inlineStr">
        <is>
          <t>991000612499702656</t>
        </is>
      </c>
      <c r="AY2737" t="inlineStr">
        <is>
          <t>2258436960002656</t>
        </is>
      </c>
      <c r="AZ2737" t="inlineStr">
        <is>
          <t>BOOK</t>
        </is>
      </c>
      <c r="BB2737" t="inlineStr">
        <is>
          <t>9780837131627</t>
        </is>
      </c>
      <c r="BC2737" t="inlineStr">
        <is>
          <t>32285002460540</t>
        </is>
      </c>
      <c r="BD2737" t="inlineStr">
        <is>
          <t>893890860</t>
        </is>
      </c>
    </row>
    <row r="2738">
      <c r="A2738" t="inlineStr">
        <is>
          <t>No</t>
        </is>
      </c>
      <c r="B2738" t="inlineStr">
        <is>
          <t>DS97.5 .D68 2000</t>
        </is>
      </c>
      <c r="C2738" t="inlineStr">
        <is>
          <t>0                      DS 0097500D  68          2000</t>
        </is>
      </c>
      <c r="D2738" t="inlineStr">
        <is>
          <t>The Ottomans in Syria : a history of justice and oppression / Dick Douwes.</t>
        </is>
      </c>
      <c r="F2738" t="inlineStr">
        <is>
          <t>No</t>
        </is>
      </c>
      <c r="G2738" t="inlineStr">
        <is>
          <t>1</t>
        </is>
      </c>
      <c r="H2738" t="inlineStr">
        <is>
          <t>No</t>
        </is>
      </c>
      <c r="I2738" t="inlineStr">
        <is>
          <t>No</t>
        </is>
      </c>
      <c r="J2738" t="inlineStr">
        <is>
          <t>0</t>
        </is>
      </c>
      <c r="K2738" t="inlineStr">
        <is>
          <t>Douwes, Dick.</t>
        </is>
      </c>
      <c r="L2738" t="inlineStr">
        <is>
          <t>London ; New York : I.B. Tauris Publishers ; New York, NY : Distributed by St. Martin's Press, 2000.</t>
        </is>
      </c>
      <c r="M2738" t="inlineStr">
        <is>
          <t>2000</t>
        </is>
      </c>
      <c r="O2738" t="inlineStr">
        <is>
          <t>eng</t>
        </is>
      </c>
      <c r="P2738" t="inlineStr">
        <is>
          <t>enk</t>
        </is>
      </c>
      <c r="R2738" t="inlineStr">
        <is>
          <t xml:space="preserve">DS </t>
        </is>
      </c>
      <c r="S2738" t="n">
        <v>1</v>
      </c>
      <c r="T2738" t="n">
        <v>1</v>
      </c>
      <c r="U2738" t="inlineStr">
        <is>
          <t>2001-08-21</t>
        </is>
      </c>
      <c r="V2738" t="inlineStr">
        <is>
          <t>2001-08-21</t>
        </is>
      </c>
      <c r="W2738" t="inlineStr">
        <is>
          <t>2001-08-20</t>
        </is>
      </c>
      <c r="X2738" t="inlineStr">
        <is>
          <t>2001-08-20</t>
        </is>
      </c>
      <c r="Y2738" t="n">
        <v>275</v>
      </c>
      <c r="Z2738" t="n">
        <v>192</v>
      </c>
      <c r="AA2738" t="n">
        <v>239</v>
      </c>
      <c r="AB2738" t="n">
        <v>1</v>
      </c>
      <c r="AC2738" t="n">
        <v>2</v>
      </c>
      <c r="AD2738" t="n">
        <v>10</v>
      </c>
      <c r="AE2738" t="n">
        <v>12</v>
      </c>
      <c r="AF2738" t="n">
        <v>2</v>
      </c>
      <c r="AG2738" t="n">
        <v>3</v>
      </c>
      <c r="AH2738" t="n">
        <v>4</v>
      </c>
      <c r="AI2738" t="n">
        <v>4</v>
      </c>
      <c r="AJ2738" t="n">
        <v>8</v>
      </c>
      <c r="AK2738" t="n">
        <v>8</v>
      </c>
      <c r="AL2738" t="n">
        <v>0</v>
      </c>
      <c r="AM2738" t="n">
        <v>1</v>
      </c>
      <c r="AN2738" t="n">
        <v>0</v>
      </c>
      <c r="AO2738" t="n">
        <v>0</v>
      </c>
      <c r="AP2738" t="inlineStr">
        <is>
          <t>No</t>
        </is>
      </c>
      <c r="AQ2738" t="inlineStr">
        <is>
          <t>Yes</t>
        </is>
      </c>
      <c r="AR2738">
        <f>HYPERLINK("http://catalog.hathitrust.org/Record/004084728","HathiTrust Record")</f>
        <v/>
      </c>
      <c r="AS2738">
        <f>HYPERLINK("https://creighton-primo.hosted.exlibrisgroup.com/primo-explore/search?tab=default_tab&amp;search_scope=EVERYTHING&amp;vid=01CRU&amp;lang=en_US&amp;offset=0&amp;query=any,contains,991003572129702656","Catalog Record")</f>
        <v/>
      </c>
      <c r="AT2738">
        <f>HYPERLINK("http://www.worldcat.org/oclc/43477628","WorldCat Record")</f>
        <v/>
      </c>
      <c r="AU2738" t="inlineStr">
        <is>
          <t>793981260:eng</t>
        </is>
      </c>
      <c r="AV2738" t="inlineStr">
        <is>
          <t>43477628</t>
        </is>
      </c>
      <c r="AW2738" t="inlineStr">
        <is>
          <t>991003572129702656</t>
        </is>
      </c>
      <c r="AX2738" t="inlineStr">
        <is>
          <t>991003572129702656</t>
        </is>
      </c>
      <c r="AY2738" t="inlineStr">
        <is>
          <t>2264129540002656</t>
        </is>
      </c>
      <c r="AZ2738" t="inlineStr">
        <is>
          <t>BOOK</t>
        </is>
      </c>
      <c r="BB2738" t="inlineStr">
        <is>
          <t>9781860640315</t>
        </is>
      </c>
      <c r="BC2738" t="inlineStr">
        <is>
          <t>32285004378310</t>
        </is>
      </c>
      <c r="BD2738" t="inlineStr">
        <is>
          <t>893699139</t>
        </is>
      </c>
    </row>
    <row r="2739">
      <c r="A2739" t="inlineStr">
        <is>
          <t>No</t>
        </is>
      </c>
      <c r="B2739" t="inlineStr">
        <is>
          <t>DS976.H757 C44 1999</t>
        </is>
      </c>
      <c r="C2739" t="inlineStr">
        <is>
          <t>0                      DS 0976000H  757                C  44          1999</t>
        </is>
      </c>
      <c r="D2739" t="inlineStr">
        <is>
          <t>The politics of Hong Kong's reversion to China / David Wen-Wei Chang and Richard Y. Chuang ; foreword by Hungdah Chiu.</t>
        </is>
      </c>
      <c r="F2739" t="inlineStr">
        <is>
          <t>No</t>
        </is>
      </c>
      <c r="G2739" t="inlineStr">
        <is>
          <t>1</t>
        </is>
      </c>
      <c r="H2739" t="inlineStr">
        <is>
          <t>No</t>
        </is>
      </c>
      <c r="I2739" t="inlineStr">
        <is>
          <t>No</t>
        </is>
      </c>
      <c r="J2739" t="inlineStr">
        <is>
          <t>0</t>
        </is>
      </c>
      <c r="K2739" t="inlineStr">
        <is>
          <t>Chang, David W., 1929-</t>
        </is>
      </c>
      <c r="L2739" t="inlineStr">
        <is>
          <t>Basingstoke : Macmillan, 1999.</t>
        </is>
      </c>
      <c r="M2739" t="inlineStr">
        <is>
          <t>1999</t>
        </is>
      </c>
      <c r="O2739" t="inlineStr">
        <is>
          <t>eng</t>
        </is>
      </c>
      <c r="P2739" t="inlineStr">
        <is>
          <t>enk</t>
        </is>
      </c>
      <c r="R2739" t="inlineStr">
        <is>
          <t xml:space="preserve">DS </t>
        </is>
      </c>
      <c r="S2739" t="n">
        <v>1</v>
      </c>
      <c r="T2739" t="n">
        <v>1</v>
      </c>
      <c r="U2739" t="inlineStr">
        <is>
          <t>2001-01-04</t>
        </is>
      </c>
      <c r="V2739" t="inlineStr">
        <is>
          <t>2001-01-04</t>
        </is>
      </c>
      <c r="W2739" t="inlineStr">
        <is>
          <t>2001-01-04</t>
        </is>
      </c>
      <c r="X2739" t="inlineStr">
        <is>
          <t>2001-01-04</t>
        </is>
      </c>
      <c r="Y2739" t="n">
        <v>14</v>
      </c>
      <c r="Z2739" t="n">
        <v>5</v>
      </c>
      <c r="AA2739" t="n">
        <v>328</v>
      </c>
      <c r="AB2739" t="n">
        <v>1</v>
      </c>
      <c r="AC2739" t="n">
        <v>4</v>
      </c>
      <c r="AD2739" t="n">
        <v>0</v>
      </c>
      <c r="AE2739" t="n">
        <v>19</v>
      </c>
      <c r="AF2739" t="n">
        <v>0</v>
      </c>
      <c r="AG2739" t="n">
        <v>5</v>
      </c>
      <c r="AH2739" t="n">
        <v>0</v>
      </c>
      <c r="AI2739" t="n">
        <v>5</v>
      </c>
      <c r="AJ2739" t="n">
        <v>0</v>
      </c>
      <c r="AK2739" t="n">
        <v>13</v>
      </c>
      <c r="AL2739" t="n">
        <v>0</v>
      </c>
      <c r="AM2739" t="n">
        <v>3</v>
      </c>
      <c r="AN2739" t="n">
        <v>0</v>
      </c>
      <c r="AO2739" t="n">
        <v>0</v>
      </c>
      <c r="AP2739" t="inlineStr">
        <is>
          <t>No</t>
        </is>
      </c>
      <c r="AQ2739" t="inlineStr">
        <is>
          <t>No</t>
        </is>
      </c>
      <c r="AS2739">
        <f>HYPERLINK("https://creighton-primo.hosted.exlibrisgroup.com/primo-explore/search?tab=default_tab&amp;search_scope=EVERYTHING&amp;vid=01CRU&amp;lang=en_US&amp;offset=0&amp;query=any,contains,991003235979702656","Catalog Record")</f>
        <v/>
      </c>
      <c r="AT2739">
        <f>HYPERLINK("http://www.worldcat.org/oclc/810728509","WorldCat Record")</f>
        <v/>
      </c>
      <c r="AU2739" t="inlineStr">
        <is>
          <t>141762223:eng</t>
        </is>
      </c>
      <c r="AV2739" t="inlineStr">
        <is>
          <t>810728509</t>
        </is>
      </c>
      <c r="AW2739" t="inlineStr">
        <is>
          <t>991003235979702656</t>
        </is>
      </c>
      <c r="AX2739" t="inlineStr">
        <is>
          <t>991003235979702656</t>
        </is>
      </c>
      <c r="AY2739" t="inlineStr">
        <is>
          <t>2267272910002656</t>
        </is>
      </c>
      <c r="AZ2739" t="inlineStr">
        <is>
          <t>BOOK</t>
        </is>
      </c>
      <c r="BB2739" t="inlineStr">
        <is>
          <t>9780333790304</t>
        </is>
      </c>
      <c r="BC2739" t="inlineStr">
        <is>
          <t>32285004280136</t>
        </is>
      </c>
      <c r="BD2739" t="inlineStr">
        <is>
          <t>893711172</t>
        </is>
      </c>
    </row>
    <row r="2740">
      <c r="A2740" t="inlineStr">
        <is>
          <t>No</t>
        </is>
      </c>
      <c r="B2740" t="inlineStr">
        <is>
          <t>DS98 .A67 2007</t>
        </is>
      </c>
      <c r="C2740" t="inlineStr">
        <is>
          <t>0                      DS 0098000A  67          2007</t>
        </is>
      </c>
      <c r="D2740" t="inlineStr">
        <is>
          <t>Antun Saʼadeh : the man, his thought : an anthology / edited by Adel Beshara.</t>
        </is>
      </c>
      <c r="F2740" t="inlineStr">
        <is>
          <t>No</t>
        </is>
      </c>
      <c r="G2740" t="inlineStr">
        <is>
          <t>1</t>
        </is>
      </c>
      <c r="H2740" t="inlineStr">
        <is>
          <t>No</t>
        </is>
      </c>
      <c r="I2740" t="inlineStr">
        <is>
          <t>No</t>
        </is>
      </c>
      <c r="J2740" t="inlineStr">
        <is>
          <t>0</t>
        </is>
      </c>
      <c r="L2740" t="inlineStr">
        <is>
          <t>Reading, UK : Ithaca Press, c2007.</t>
        </is>
      </c>
      <c r="M2740" t="inlineStr">
        <is>
          <t>2007</t>
        </is>
      </c>
      <c r="N2740" t="inlineStr">
        <is>
          <t>1st ed.</t>
        </is>
      </c>
      <c r="O2740" t="inlineStr">
        <is>
          <t>eng</t>
        </is>
      </c>
      <c r="P2740" t="inlineStr">
        <is>
          <t>enk</t>
        </is>
      </c>
      <c r="R2740" t="inlineStr">
        <is>
          <t xml:space="preserve">DS </t>
        </is>
      </c>
      <c r="S2740" t="n">
        <v>2</v>
      </c>
      <c r="T2740" t="n">
        <v>2</v>
      </c>
      <c r="U2740" t="inlineStr">
        <is>
          <t>2009-02-17</t>
        </is>
      </c>
      <c r="V2740" t="inlineStr">
        <is>
          <t>2009-02-17</t>
        </is>
      </c>
      <c r="W2740" t="inlineStr">
        <is>
          <t>2009-02-17</t>
        </is>
      </c>
      <c r="X2740" t="inlineStr">
        <is>
          <t>2009-02-17</t>
        </is>
      </c>
      <c r="Y2740" t="n">
        <v>97</v>
      </c>
      <c r="Z2740" t="n">
        <v>69</v>
      </c>
      <c r="AA2740" t="n">
        <v>721</v>
      </c>
      <c r="AB2740" t="n">
        <v>1</v>
      </c>
      <c r="AC2740" t="n">
        <v>7</v>
      </c>
      <c r="AD2740" t="n">
        <v>4</v>
      </c>
      <c r="AE2740" t="n">
        <v>26</v>
      </c>
      <c r="AF2740" t="n">
        <v>0</v>
      </c>
      <c r="AG2740" t="n">
        <v>8</v>
      </c>
      <c r="AH2740" t="n">
        <v>3</v>
      </c>
      <c r="AI2740" t="n">
        <v>7</v>
      </c>
      <c r="AJ2740" t="n">
        <v>3</v>
      </c>
      <c r="AK2740" t="n">
        <v>9</v>
      </c>
      <c r="AL2740" t="n">
        <v>0</v>
      </c>
      <c r="AM2740" t="n">
        <v>6</v>
      </c>
      <c r="AN2740" t="n">
        <v>0</v>
      </c>
      <c r="AO2740" t="n">
        <v>1</v>
      </c>
      <c r="AP2740" t="inlineStr">
        <is>
          <t>No</t>
        </is>
      </c>
      <c r="AQ2740" t="inlineStr">
        <is>
          <t>Yes</t>
        </is>
      </c>
      <c r="AR2740">
        <f>HYPERLINK("http://catalog.hathitrust.org/Record/005567079","HathiTrust Record")</f>
        <v/>
      </c>
      <c r="AS2740">
        <f>HYPERLINK("https://creighton-primo.hosted.exlibrisgroup.com/primo-explore/search?tab=default_tab&amp;search_scope=EVERYTHING&amp;vid=01CRU&amp;lang=en_US&amp;offset=0&amp;query=any,contains,991005291709702656","Catalog Record")</f>
        <v/>
      </c>
      <c r="AT2740">
        <f>HYPERLINK("http://www.worldcat.org/oclc/132690640","WorldCat Record")</f>
        <v/>
      </c>
      <c r="AU2740" t="inlineStr">
        <is>
          <t>873046273:eng</t>
        </is>
      </c>
      <c r="AV2740" t="inlineStr">
        <is>
          <t>132690640</t>
        </is>
      </c>
      <c r="AW2740" t="inlineStr">
        <is>
          <t>991005291709702656</t>
        </is>
      </c>
      <c r="AX2740" t="inlineStr">
        <is>
          <t>991005291709702656</t>
        </is>
      </c>
      <c r="AY2740" t="inlineStr">
        <is>
          <t>2266824140002656</t>
        </is>
      </c>
      <c r="AZ2740" t="inlineStr">
        <is>
          <t>BOOK</t>
        </is>
      </c>
      <c r="BB2740" t="inlineStr">
        <is>
          <t>9780863723087</t>
        </is>
      </c>
      <c r="BC2740" t="inlineStr">
        <is>
          <t>32285005505085</t>
        </is>
      </c>
      <c r="BD2740" t="inlineStr">
        <is>
          <t>893320393</t>
        </is>
      </c>
    </row>
    <row r="2741">
      <c r="A2741" t="inlineStr">
        <is>
          <t>No</t>
        </is>
      </c>
      <c r="B2741" t="inlineStr">
        <is>
          <t>DS98 .L6 1972</t>
        </is>
      </c>
      <c r="C2741" t="inlineStr">
        <is>
          <t>0                      DS 0098000L  6           1972</t>
        </is>
      </c>
      <c r="D2741" t="inlineStr">
        <is>
          <t>Syria and Lebanon under French mandate.</t>
        </is>
      </c>
      <c r="F2741" t="inlineStr">
        <is>
          <t>No</t>
        </is>
      </c>
      <c r="G2741" t="inlineStr">
        <is>
          <t>1</t>
        </is>
      </c>
      <c r="H2741" t="inlineStr">
        <is>
          <t>No</t>
        </is>
      </c>
      <c r="I2741" t="inlineStr">
        <is>
          <t>No</t>
        </is>
      </c>
      <c r="J2741" t="inlineStr">
        <is>
          <t>0</t>
        </is>
      </c>
      <c r="K2741" t="inlineStr">
        <is>
          <t>Longrigg, Stephen Hemsley.</t>
        </is>
      </c>
      <c r="L2741" t="inlineStr">
        <is>
          <t>New York, Octagon Books, 1972 [c1958]</t>
        </is>
      </c>
      <c r="M2741" t="inlineStr">
        <is>
          <t>1972</t>
        </is>
      </c>
      <c r="O2741" t="inlineStr">
        <is>
          <t>eng</t>
        </is>
      </c>
      <c r="P2741" t="inlineStr">
        <is>
          <t>nyu</t>
        </is>
      </c>
      <c r="R2741" t="inlineStr">
        <is>
          <t xml:space="preserve">DS </t>
        </is>
      </c>
      <c r="S2741" t="n">
        <v>6</v>
      </c>
      <c r="T2741" t="n">
        <v>6</v>
      </c>
      <c r="U2741" t="inlineStr">
        <is>
          <t>1998-03-15</t>
        </is>
      </c>
      <c r="V2741" t="inlineStr">
        <is>
          <t>1998-03-15</t>
        </is>
      </c>
      <c r="W2741" t="inlineStr">
        <is>
          <t>1997-02-24</t>
        </is>
      </c>
      <c r="X2741" t="inlineStr">
        <is>
          <t>1997-02-24</t>
        </is>
      </c>
      <c r="Y2741" t="n">
        <v>213</v>
      </c>
      <c r="Z2741" t="n">
        <v>180</v>
      </c>
      <c r="AA2741" t="n">
        <v>492</v>
      </c>
      <c r="AB2741" t="n">
        <v>2</v>
      </c>
      <c r="AC2741" t="n">
        <v>4</v>
      </c>
      <c r="AD2741" t="n">
        <v>6</v>
      </c>
      <c r="AE2741" t="n">
        <v>16</v>
      </c>
      <c r="AF2741" t="n">
        <v>2</v>
      </c>
      <c r="AG2741" t="n">
        <v>5</v>
      </c>
      <c r="AH2741" t="n">
        <v>2</v>
      </c>
      <c r="AI2741" t="n">
        <v>6</v>
      </c>
      <c r="AJ2741" t="n">
        <v>2</v>
      </c>
      <c r="AK2741" t="n">
        <v>7</v>
      </c>
      <c r="AL2741" t="n">
        <v>1</v>
      </c>
      <c r="AM2741" t="n">
        <v>3</v>
      </c>
      <c r="AN2741" t="n">
        <v>0</v>
      </c>
      <c r="AO2741" t="n">
        <v>0</v>
      </c>
      <c r="AP2741" t="inlineStr">
        <is>
          <t>No</t>
        </is>
      </c>
      <c r="AQ2741" t="inlineStr">
        <is>
          <t>Yes</t>
        </is>
      </c>
      <c r="AR2741">
        <f>HYPERLINK("http://catalog.hathitrust.org/Record/009907803","HathiTrust Record")</f>
        <v/>
      </c>
      <c r="AS2741">
        <f>HYPERLINK("https://creighton-primo.hosted.exlibrisgroup.com/primo-explore/search?tab=default_tab&amp;search_scope=EVERYTHING&amp;vid=01CRU&amp;lang=en_US&amp;offset=0&amp;query=any,contains,991002799479702656","Catalog Record")</f>
        <v/>
      </c>
      <c r="AT2741">
        <f>HYPERLINK("http://www.worldcat.org/oclc/446253","WorldCat Record")</f>
        <v/>
      </c>
      <c r="AU2741" t="inlineStr">
        <is>
          <t>1545937:eng</t>
        </is>
      </c>
      <c r="AV2741" t="inlineStr">
        <is>
          <t>446253</t>
        </is>
      </c>
      <c r="AW2741" t="inlineStr">
        <is>
          <t>991002799479702656</t>
        </is>
      </c>
      <c r="AX2741" t="inlineStr">
        <is>
          <t>991002799479702656</t>
        </is>
      </c>
      <c r="AY2741" t="inlineStr">
        <is>
          <t>2265692400002656</t>
        </is>
      </c>
      <c r="AZ2741" t="inlineStr">
        <is>
          <t>BOOK</t>
        </is>
      </c>
      <c r="BB2741" t="inlineStr">
        <is>
          <t>9780374950880</t>
        </is>
      </c>
      <c r="BC2741" t="inlineStr">
        <is>
          <t>32285002460573</t>
        </is>
      </c>
      <c r="BD2741" t="inlineStr">
        <is>
          <t>893616591</t>
        </is>
      </c>
    </row>
    <row r="2742">
      <c r="A2742" t="inlineStr">
        <is>
          <t>No</t>
        </is>
      </c>
      <c r="B2742" t="inlineStr">
        <is>
          <t>DS98 .Z4 1977</t>
        </is>
      </c>
      <c r="C2742" t="inlineStr">
        <is>
          <t>0                      DS 0098000Z  4           1977</t>
        </is>
      </c>
      <c r="D2742" t="inlineStr">
        <is>
          <t>The struggle for Arab independence : Western diplomacy and the rise and fall of Faisal's kingdom in Syria / by Zeine N. Zeine. --</t>
        </is>
      </c>
      <c r="F2742" t="inlineStr">
        <is>
          <t>No</t>
        </is>
      </c>
      <c r="G2742" t="inlineStr">
        <is>
          <t>1</t>
        </is>
      </c>
      <c r="H2742" t="inlineStr">
        <is>
          <t>No</t>
        </is>
      </c>
      <c r="I2742" t="inlineStr">
        <is>
          <t>No</t>
        </is>
      </c>
      <c r="J2742" t="inlineStr">
        <is>
          <t>0</t>
        </is>
      </c>
      <c r="K2742" t="inlineStr">
        <is>
          <t>Zeine, Zeine N.</t>
        </is>
      </c>
      <c r="L2742" t="inlineStr">
        <is>
          <t>Delmar, N.Y. : Caravan Books, 1977.</t>
        </is>
      </c>
      <c r="M2742" t="inlineStr">
        <is>
          <t>1977</t>
        </is>
      </c>
      <c r="N2742" t="inlineStr">
        <is>
          <t>2d ed.</t>
        </is>
      </c>
      <c r="O2742" t="inlineStr">
        <is>
          <t>eng</t>
        </is>
      </c>
      <c r="P2742" t="inlineStr">
        <is>
          <t>nyu</t>
        </is>
      </c>
      <c r="R2742" t="inlineStr">
        <is>
          <t xml:space="preserve">DS </t>
        </is>
      </c>
      <c r="S2742" t="n">
        <v>5</v>
      </c>
      <c r="T2742" t="n">
        <v>5</v>
      </c>
      <c r="U2742" t="inlineStr">
        <is>
          <t>2001-02-08</t>
        </is>
      </c>
      <c r="V2742" t="inlineStr">
        <is>
          <t>2001-02-08</t>
        </is>
      </c>
      <c r="W2742" t="inlineStr">
        <is>
          <t>1990-09-18</t>
        </is>
      </c>
      <c r="X2742" t="inlineStr">
        <is>
          <t>1990-09-18</t>
        </is>
      </c>
      <c r="Y2742" t="n">
        <v>319</v>
      </c>
      <c r="Z2742" t="n">
        <v>248</v>
      </c>
      <c r="AA2742" t="n">
        <v>419</v>
      </c>
      <c r="AB2742" t="n">
        <v>2</v>
      </c>
      <c r="AC2742" t="n">
        <v>3</v>
      </c>
      <c r="AD2742" t="n">
        <v>13</v>
      </c>
      <c r="AE2742" t="n">
        <v>22</v>
      </c>
      <c r="AF2742" t="n">
        <v>6</v>
      </c>
      <c r="AG2742" t="n">
        <v>11</v>
      </c>
      <c r="AH2742" t="n">
        <v>6</v>
      </c>
      <c r="AI2742" t="n">
        <v>7</v>
      </c>
      <c r="AJ2742" t="n">
        <v>5</v>
      </c>
      <c r="AK2742" t="n">
        <v>8</v>
      </c>
      <c r="AL2742" t="n">
        <v>1</v>
      </c>
      <c r="AM2742" t="n">
        <v>2</v>
      </c>
      <c r="AN2742" t="n">
        <v>0</v>
      </c>
      <c r="AO2742" t="n">
        <v>0</v>
      </c>
      <c r="AP2742" t="inlineStr">
        <is>
          <t>No</t>
        </is>
      </c>
      <c r="AQ2742" t="inlineStr">
        <is>
          <t>Yes</t>
        </is>
      </c>
      <c r="AR2742">
        <f>HYPERLINK("http://catalog.hathitrust.org/Record/007878565","HathiTrust Record")</f>
        <v/>
      </c>
      <c r="AS2742">
        <f>HYPERLINK("https://creighton-primo.hosted.exlibrisgroup.com/primo-explore/search?tab=default_tab&amp;search_scope=EVERYTHING&amp;vid=01CRU&amp;lang=en_US&amp;offset=0&amp;query=any,contains,991004268059702656","Catalog Record")</f>
        <v/>
      </c>
      <c r="AT2742">
        <f>HYPERLINK("http://www.worldcat.org/oclc/2873532","WorldCat Record")</f>
        <v/>
      </c>
      <c r="AU2742" t="inlineStr">
        <is>
          <t>6382112:eng</t>
        </is>
      </c>
      <c r="AV2742" t="inlineStr">
        <is>
          <t>2873532</t>
        </is>
      </c>
      <c r="AW2742" t="inlineStr">
        <is>
          <t>991004268059702656</t>
        </is>
      </c>
      <c r="AX2742" t="inlineStr">
        <is>
          <t>991004268059702656</t>
        </is>
      </c>
      <c r="AY2742" t="inlineStr">
        <is>
          <t>2259478110002656</t>
        </is>
      </c>
      <c r="AZ2742" t="inlineStr">
        <is>
          <t>BOOK</t>
        </is>
      </c>
      <c r="BB2742" t="inlineStr">
        <is>
          <t>9780882060026</t>
        </is>
      </c>
      <c r="BC2742" t="inlineStr">
        <is>
          <t>32285000292291</t>
        </is>
      </c>
      <c r="BD2742" t="inlineStr">
        <is>
          <t>893259524</t>
        </is>
      </c>
    </row>
    <row r="2743">
      <c r="A2743" t="inlineStr">
        <is>
          <t>No</t>
        </is>
      </c>
      <c r="B2743" t="inlineStr">
        <is>
          <t>DS98.2 .B37 1983</t>
        </is>
      </c>
      <c r="C2743" t="inlineStr">
        <is>
          <t>0                      DS 0098200B  37          1983</t>
        </is>
      </c>
      <c r="D2743" t="inlineStr">
        <is>
          <t>Linkage politics in the Middle East : Syria between domestic and external conflict, 1961-1970 / Yaacov Bar-Siman-Tov.</t>
        </is>
      </c>
      <c r="F2743" t="inlineStr">
        <is>
          <t>No</t>
        </is>
      </c>
      <c r="G2743" t="inlineStr">
        <is>
          <t>1</t>
        </is>
      </c>
      <c r="H2743" t="inlineStr">
        <is>
          <t>No</t>
        </is>
      </c>
      <c r="I2743" t="inlineStr">
        <is>
          <t>No</t>
        </is>
      </c>
      <c r="J2743" t="inlineStr">
        <is>
          <t>0</t>
        </is>
      </c>
      <c r="K2743" t="inlineStr">
        <is>
          <t>Bar-Siman-Tov, Yaacov, 1946-</t>
        </is>
      </c>
      <c r="L2743" t="inlineStr">
        <is>
          <t>Boulder, Colo. : Westview Press, 1983.</t>
        </is>
      </c>
      <c r="M2743" t="inlineStr">
        <is>
          <t>1983</t>
        </is>
      </c>
      <c r="O2743" t="inlineStr">
        <is>
          <t>eng</t>
        </is>
      </c>
      <c r="P2743" t="inlineStr">
        <is>
          <t>cou</t>
        </is>
      </c>
      <c r="Q2743" t="inlineStr">
        <is>
          <t>A Westview replica edition</t>
        </is>
      </c>
      <c r="R2743" t="inlineStr">
        <is>
          <t xml:space="preserve">DS </t>
        </is>
      </c>
      <c r="S2743" t="n">
        <v>2</v>
      </c>
      <c r="T2743" t="n">
        <v>2</v>
      </c>
      <c r="U2743" t="inlineStr">
        <is>
          <t>2006-03-24</t>
        </is>
      </c>
      <c r="V2743" t="inlineStr">
        <is>
          <t>2006-03-24</t>
        </is>
      </c>
      <c r="W2743" t="inlineStr">
        <is>
          <t>1990-09-18</t>
        </is>
      </c>
      <c r="X2743" t="inlineStr">
        <is>
          <t>1990-09-18</t>
        </is>
      </c>
      <c r="Y2743" t="n">
        <v>292</v>
      </c>
      <c r="Z2743" t="n">
        <v>225</v>
      </c>
      <c r="AA2743" t="n">
        <v>251</v>
      </c>
      <c r="AB2743" t="n">
        <v>4</v>
      </c>
      <c r="AC2743" t="n">
        <v>4</v>
      </c>
      <c r="AD2743" t="n">
        <v>8</v>
      </c>
      <c r="AE2743" t="n">
        <v>8</v>
      </c>
      <c r="AF2743" t="n">
        <v>1</v>
      </c>
      <c r="AG2743" t="n">
        <v>1</v>
      </c>
      <c r="AH2743" t="n">
        <v>2</v>
      </c>
      <c r="AI2743" t="n">
        <v>2</v>
      </c>
      <c r="AJ2743" t="n">
        <v>4</v>
      </c>
      <c r="AK2743" t="n">
        <v>4</v>
      </c>
      <c r="AL2743" t="n">
        <v>3</v>
      </c>
      <c r="AM2743" t="n">
        <v>3</v>
      </c>
      <c r="AN2743" t="n">
        <v>0</v>
      </c>
      <c r="AO2743" t="n">
        <v>0</v>
      </c>
      <c r="AP2743" t="inlineStr">
        <is>
          <t>No</t>
        </is>
      </c>
      <c r="AQ2743" t="inlineStr">
        <is>
          <t>Yes</t>
        </is>
      </c>
      <c r="AR2743">
        <f>HYPERLINK("http://catalog.hathitrust.org/Record/000116955","HathiTrust Record")</f>
        <v/>
      </c>
      <c r="AS2743">
        <f>HYPERLINK("https://creighton-primo.hosted.exlibrisgroup.com/primo-explore/search?tab=default_tab&amp;search_scope=EVERYTHING&amp;vid=01CRU&amp;lang=en_US&amp;offset=0&amp;query=any,contains,991000101069702656","Catalog Record")</f>
        <v/>
      </c>
      <c r="AT2743">
        <f>HYPERLINK("http://www.worldcat.org/oclc/8953472","WorldCat Record")</f>
        <v/>
      </c>
      <c r="AU2743" t="inlineStr">
        <is>
          <t>836621055:eng</t>
        </is>
      </c>
      <c r="AV2743" t="inlineStr">
        <is>
          <t>8953472</t>
        </is>
      </c>
      <c r="AW2743" t="inlineStr">
        <is>
          <t>991000101069702656</t>
        </is>
      </c>
      <c r="AX2743" t="inlineStr">
        <is>
          <t>991000101069702656</t>
        </is>
      </c>
      <c r="AY2743" t="inlineStr">
        <is>
          <t>2269493370002656</t>
        </is>
      </c>
      <c r="AZ2743" t="inlineStr">
        <is>
          <t>BOOK</t>
        </is>
      </c>
      <c r="BB2743" t="inlineStr">
        <is>
          <t>9780865319455</t>
        </is>
      </c>
      <c r="BC2743" t="inlineStr">
        <is>
          <t>32285000292309</t>
        </is>
      </c>
      <c r="BD2743" t="inlineStr">
        <is>
          <t>893607620</t>
        </is>
      </c>
    </row>
    <row r="2744">
      <c r="A2744" t="inlineStr">
        <is>
          <t>No</t>
        </is>
      </c>
      <c r="B2744" t="inlineStr">
        <is>
          <t>DS98.2 .D35 1979</t>
        </is>
      </c>
      <c r="C2744" t="inlineStr">
        <is>
          <t>0                      DS 0098200D  35          1979</t>
        </is>
      </c>
      <c r="D2744" t="inlineStr">
        <is>
          <t>The struggle for power in Syria : sectarianism, regionalism, and tribalism in politics, 1961-1978 / Nikolaos van Dam.</t>
        </is>
      </c>
      <c r="F2744" t="inlineStr">
        <is>
          <t>No</t>
        </is>
      </c>
      <c r="G2744" t="inlineStr">
        <is>
          <t>1</t>
        </is>
      </c>
      <c r="H2744" t="inlineStr">
        <is>
          <t>No</t>
        </is>
      </c>
      <c r="I2744" t="inlineStr">
        <is>
          <t>No</t>
        </is>
      </c>
      <c r="J2744" t="inlineStr">
        <is>
          <t>0</t>
        </is>
      </c>
      <c r="K2744" t="inlineStr">
        <is>
          <t>Dam, Nikolaos van.</t>
        </is>
      </c>
      <c r="L2744" t="inlineStr">
        <is>
          <t>New York : St. Martin's Press, 1979.</t>
        </is>
      </c>
      <c r="M2744" t="inlineStr">
        <is>
          <t>1979</t>
        </is>
      </c>
      <c r="O2744" t="inlineStr">
        <is>
          <t>eng</t>
        </is>
      </c>
      <c r="P2744" t="inlineStr">
        <is>
          <t>nyu</t>
        </is>
      </c>
      <c r="R2744" t="inlineStr">
        <is>
          <t xml:space="preserve">DS </t>
        </is>
      </c>
      <c r="S2744" t="n">
        <v>6</v>
      </c>
      <c r="T2744" t="n">
        <v>6</v>
      </c>
      <c r="U2744" t="inlineStr">
        <is>
          <t>2006-03-24</t>
        </is>
      </c>
      <c r="V2744" t="inlineStr">
        <is>
          <t>2006-03-24</t>
        </is>
      </c>
      <c r="W2744" t="inlineStr">
        <is>
          <t>1990-09-18</t>
        </is>
      </c>
      <c r="X2744" t="inlineStr">
        <is>
          <t>1990-09-18</t>
        </is>
      </c>
      <c r="Y2744" t="n">
        <v>245</v>
      </c>
      <c r="Z2744" t="n">
        <v>224</v>
      </c>
      <c r="AA2744" t="n">
        <v>293</v>
      </c>
      <c r="AB2744" t="n">
        <v>1</v>
      </c>
      <c r="AC2744" t="n">
        <v>3</v>
      </c>
      <c r="AD2744" t="n">
        <v>7</v>
      </c>
      <c r="AE2744" t="n">
        <v>9</v>
      </c>
      <c r="AF2744" t="n">
        <v>1</v>
      </c>
      <c r="AG2744" t="n">
        <v>1</v>
      </c>
      <c r="AH2744" t="n">
        <v>2</v>
      </c>
      <c r="AI2744" t="n">
        <v>2</v>
      </c>
      <c r="AJ2744" t="n">
        <v>5</v>
      </c>
      <c r="AK2744" t="n">
        <v>5</v>
      </c>
      <c r="AL2744" t="n">
        <v>0</v>
      </c>
      <c r="AM2744" t="n">
        <v>2</v>
      </c>
      <c r="AN2744" t="n">
        <v>0</v>
      </c>
      <c r="AO2744" t="n">
        <v>0</v>
      </c>
      <c r="AP2744" t="inlineStr">
        <is>
          <t>No</t>
        </is>
      </c>
      <c r="AQ2744" t="inlineStr">
        <is>
          <t>No</t>
        </is>
      </c>
      <c r="AS2744">
        <f>HYPERLINK("https://creighton-primo.hosted.exlibrisgroup.com/primo-explore/search?tab=default_tab&amp;search_scope=EVERYTHING&amp;vid=01CRU&amp;lang=en_US&amp;offset=0&amp;query=any,contains,991004662669702656","Catalog Record")</f>
        <v/>
      </c>
      <c r="AT2744">
        <f>HYPERLINK("http://www.worldcat.org/oclc/4497977","WorldCat Record")</f>
        <v/>
      </c>
      <c r="AU2744" t="inlineStr">
        <is>
          <t>3900997240:eng</t>
        </is>
      </c>
      <c r="AV2744" t="inlineStr">
        <is>
          <t>4497977</t>
        </is>
      </c>
      <c r="AW2744" t="inlineStr">
        <is>
          <t>991004662669702656</t>
        </is>
      </c>
      <c r="AX2744" t="inlineStr">
        <is>
          <t>991004662669702656</t>
        </is>
      </c>
      <c r="AY2744" t="inlineStr">
        <is>
          <t>2266833350002656</t>
        </is>
      </c>
      <c r="AZ2744" t="inlineStr">
        <is>
          <t>BOOK</t>
        </is>
      </c>
      <c r="BB2744" t="inlineStr">
        <is>
          <t>9780312768713</t>
        </is>
      </c>
      <c r="BC2744" t="inlineStr">
        <is>
          <t>32285000292317</t>
        </is>
      </c>
      <c r="BD2744" t="inlineStr">
        <is>
          <t>893513519</t>
        </is>
      </c>
    </row>
    <row r="2745">
      <c r="A2745" t="inlineStr">
        <is>
          <t>No</t>
        </is>
      </c>
      <c r="B2745" t="inlineStr">
        <is>
          <t>DS98.2 .G56 2005</t>
        </is>
      </c>
      <c r="C2745" t="inlineStr">
        <is>
          <t>0                      DS 0098200G  56          2005</t>
        </is>
      </c>
      <c r="D2745" t="inlineStr">
        <is>
          <t>Syria and the doctrine of Arab neutralism : from independence to dependence / Rami Ginat.</t>
        </is>
      </c>
      <c r="F2745" t="inlineStr">
        <is>
          <t>No</t>
        </is>
      </c>
      <c r="G2745" t="inlineStr">
        <is>
          <t>1</t>
        </is>
      </c>
      <c r="H2745" t="inlineStr">
        <is>
          <t>No</t>
        </is>
      </c>
      <c r="I2745" t="inlineStr">
        <is>
          <t>No</t>
        </is>
      </c>
      <c r="J2745" t="inlineStr">
        <is>
          <t>0</t>
        </is>
      </c>
      <c r="K2745" t="inlineStr">
        <is>
          <t>Ginat, Rami.</t>
        </is>
      </c>
      <c r="L2745" t="inlineStr">
        <is>
          <t>Portland, Or. : Sussex Academic Press, 2005.</t>
        </is>
      </c>
      <c r="M2745" t="inlineStr">
        <is>
          <t>2005</t>
        </is>
      </c>
      <c r="O2745" t="inlineStr">
        <is>
          <t>eng</t>
        </is>
      </c>
      <c r="P2745" t="inlineStr">
        <is>
          <t>oru</t>
        </is>
      </c>
      <c r="R2745" t="inlineStr">
        <is>
          <t xml:space="preserve">DS </t>
        </is>
      </c>
      <c r="S2745" t="n">
        <v>1</v>
      </c>
      <c r="T2745" t="n">
        <v>1</v>
      </c>
      <c r="U2745" t="inlineStr">
        <is>
          <t>2006-04-26</t>
        </is>
      </c>
      <c r="V2745" t="inlineStr">
        <is>
          <t>2006-04-26</t>
        </is>
      </c>
      <c r="W2745" t="inlineStr">
        <is>
          <t>2006-04-26</t>
        </is>
      </c>
      <c r="X2745" t="inlineStr">
        <is>
          <t>2006-04-26</t>
        </is>
      </c>
      <c r="Y2745" t="n">
        <v>196</v>
      </c>
      <c r="Z2745" t="n">
        <v>160</v>
      </c>
      <c r="AA2745" t="n">
        <v>170</v>
      </c>
      <c r="AB2745" t="n">
        <v>1</v>
      </c>
      <c r="AC2745" t="n">
        <v>1</v>
      </c>
      <c r="AD2745" t="n">
        <v>11</v>
      </c>
      <c r="AE2745" t="n">
        <v>11</v>
      </c>
      <c r="AF2745" t="n">
        <v>3</v>
      </c>
      <c r="AG2745" t="n">
        <v>3</v>
      </c>
      <c r="AH2745" t="n">
        <v>5</v>
      </c>
      <c r="AI2745" t="n">
        <v>5</v>
      </c>
      <c r="AJ2745" t="n">
        <v>7</v>
      </c>
      <c r="AK2745" t="n">
        <v>7</v>
      </c>
      <c r="AL2745" t="n">
        <v>0</v>
      </c>
      <c r="AM2745" t="n">
        <v>0</v>
      </c>
      <c r="AN2745" t="n">
        <v>0</v>
      </c>
      <c r="AO2745" t="n">
        <v>0</v>
      </c>
      <c r="AP2745" t="inlineStr">
        <is>
          <t>No</t>
        </is>
      </c>
      <c r="AQ2745" t="inlineStr">
        <is>
          <t>Yes</t>
        </is>
      </c>
      <c r="AR2745">
        <f>HYPERLINK("http://catalog.hathitrust.org/Record/004968761","HathiTrust Record")</f>
        <v/>
      </c>
      <c r="AS2745">
        <f>HYPERLINK("https://creighton-primo.hosted.exlibrisgroup.com/primo-explore/search?tab=default_tab&amp;search_scope=EVERYTHING&amp;vid=01CRU&amp;lang=en_US&amp;offset=0&amp;query=any,contains,991004776589702656","Catalog Record")</f>
        <v/>
      </c>
      <c r="AT2745">
        <f>HYPERLINK("http://www.worldcat.org/oclc/55124329","WorldCat Record")</f>
        <v/>
      </c>
      <c r="AU2745" t="inlineStr">
        <is>
          <t>32647:eng</t>
        </is>
      </c>
      <c r="AV2745" t="inlineStr">
        <is>
          <t>55124329</t>
        </is>
      </c>
      <c r="AW2745" t="inlineStr">
        <is>
          <t>991004776589702656</t>
        </is>
      </c>
      <c r="AX2745" t="inlineStr">
        <is>
          <t>991004776589702656</t>
        </is>
      </c>
      <c r="AY2745" t="inlineStr">
        <is>
          <t>2260739280002656</t>
        </is>
      </c>
      <c r="AZ2745" t="inlineStr">
        <is>
          <t>BOOK</t>
        </is>
      </c>
      <c r="BB2745" t="inlineStr">
        <is>
          <t>9781845190088</t>
        </is>
      </c>
      <c r="BC2745" t="inlineStr">
        <is>
          <t>32285005182570</t>
        </is>
      </c>
      <c r="BD2745" t="inlineStr">
        <is>
          <t>893507218</t>
        </is>
      </c>
    </row>
    <row r="2746">
      <c r="A2746" t="inlineStr">
        <is>
          <t>No</t>
        </is>
      </c>
      <c r="B2746" t="inlineStr">
        <is>
          <t>DS98.2 .S97 1986</t>
        </is>
      </c>
      <c r="C2746" t="inlineStr">
        <is>
          <t>0                      DS 0098200S  97          1986</t>
        </is>
      </c>
      <c r="D2746" t="inlineStr">
        <is>
          <t>Syria under Assad : domestic constraints and regional risks / edited by Moshe Maʻoz and Avner Yaniv.</t>
        </is>
      </c>
      <c r="F2746" t="inlineStr">
        <is>
          <t>No</t>
        </is>
      </c>
      <c r="G2746" t="inlineStr">
        <is>
          <t>1</t>
        </is>
      </c>
      <c r="H2746" t="inlineStr">
        <is>
          <t>No</t>
        </is>
      </c>
      <c r="I2746" t="inlineStr">
        <is>
          <t>No</t>
        </is>
      </c>
      <c r="J2746" t="inlineStr">
        <is>
          <t>0</t>
        </is>
      </c>
      <c r="L2746" t="inlineStr">
        <is>
          <t>New York : St. Martin's Press, c1986.</t>
        </is>
      </c>
      <c r="M2746" t="inlineStr">
        <is>
          <t>1986</t>
        </is>
      </c>
      <c r="O2746" t="inlineStr">
        <is>
          <t>eng</t>
        </is>
      </c>
      <c r="P2746" t="inlineStr">
        <is>
          <t>nyu</t>
        </is>
      </c>
      <c r="R2746" t="inlineStr">
        <is>
          <t xml:space="preserve">DS </t>
        </is>
      </c>
      <c r="S2746" t="n">
        <v>12</v>
      </c>
      <c r="T2746" t="n">
        <v>12</v>
      </c>
      <c r="U2746" t="inlineStr">
        <is>
          <t>2006-03-24</t>
        </is>
      </c>
      <c r="V2746" t="inlineStr">
        <is>
          <t>2006-03-24</t>
        </is>
      </c>
      <c r="W2746" t="inlineStr">
        <is>
          <t>1990-05-03</t>
        </is>
      </c>
      <c r="X2746" t="inlineStr">
        <is>
          <t>1990-05-03</t>
        </is>
      </c>
      <c r="Y2746" t="n">
        <v>315</v>
      </c>
      <c r="Z2746" t="n">
        <v>294</v>
      </c>
      <c r="AA2746" t="n">
        <v>380</v>
      </c>
      <c r="AB2746" t="n">
        <v>3</v>
      </c>
      <c r="AC2746" t="n">
        <v>3</v>
      </c>
      <c r="AD2746" t="n">
        <v>12</v>
      </c>
      <c r="AE2746" t="n">
        <v>13</v>
      </c>
      <c r="AF2746" t="n">
        <v>3</v>
      </c>
      <c r="AG2746" t="n">
        <v>3</v>
      </c>
      <c r="AH2746" t="n">
        <v>4</v>
      </c>
      <c r="AI2746" t="n">
        <v>5</v>
      </c>
      <c r="AJ2746" t="n">
        <v>5</v>
      </c>
      <c r="AK2746" t="n">
        <v>6</v>
      </c>
      <c r="AL2746" t="n">
        <v>2</v>
      </c>
      <c r="AM2746" t="n">
        <v>2</v>
      </c>
      <c r="AN2746" t="n">
        <v>0</v>
      </c>
      <c r="AO2746" t="n">
        <v>0</v>
      </c>
      <c r="AP2746" t="inlineStr">
        <is>
          <t>No</t>
        </is>
      </c>
      <c r="AQ2746" t="inlineStr">
        <is>
          <t>No</t>
        </is>
      </c>
      <c r="AS2746">
        <f>HYPERLINK("https://creighton-primo.hosted.exlibrisgroup.com/primo-explore/search?tab=default_tab&amp;search_scope=EVERYTHING&amp;vid=01CRU&amp;lang=en_US&amp;offset=0&amp;query=any,contains,991000674919702656","Catalog Record")</f>
        <v/>
      </c>
      <c r="AT2746">
        <f>HYPERLINK("http://www.worldcat.org/oclc/12343668","WorldCat Record")</f>
        <v/>
      </c>
      <c r="AU2746" t="inlineStr">
        <is>
          <t>836659183:eng</t>
        </is>
      </c>
      <c r="AV2746" t="inlineStr">
        <is>
          <t>12343668</t>
        </is>
      </c>
      <c r="AW2746" t="inlineStr">
        <is>
          <t>991000674919702656</t>
        </is>
      </c>
      <c r="AX2746" t="inlineStr">
        <is>
          <t>991000674919702656</t>
        </is>
      </c>
      <c r="AY2746" t="inlineStr">
        <is>
          <t>2268070610002656</t>
        </is>
      </c>
      <c r="AZ2746" t="inlineStr">
        <is>
          <t>BOOK</t>
        </is>
      </c>
      <c r="BB2746" t="inlineStr">
        <is>
          <t>9780312782061</t>
        </is>
      </c>
      <c r="BC2746" t="inlineStr">
        <is>
          <t>32285000147545</t>
        </is>
      </c>
      <c r="BD2746" t="inlineStr">
        <is>
          <t>893249565</t>
        </is>
      </c>
    </row>
    <row r="2747">
      <c r="A2747" t="inlineStr">
        <is>
          <t>No</t>
        </is>
      </c>
      <c r="B2747" t="inlineStr">
        <is>
          <t>DS98.3.A8 M36 1988</t>
        </is>
      </c>
      <c r="C2747" t="inlineStr">
        <is>
          <t>0                      DS 0098300A  8                  M  36          1988</t>
        </is>
      </c>
      <c r="D2747" t="inlineStr">
        <is>
          <t>Asad : the Sphinx of Damascus : a political biography / Moshe Maʻoz.</t>
        </is>
      </c>
      <c r="F2747" t="inlineStr">
        <is>
          <t>No</t>
        </is>
      </c>
      <c r="G2747" t="inlineStr">
        <is>
          <t>1</t>
        </is>
      </c>
      <c r="H2747" t="inlineStr">
        <is>
          <t>No</t>
        </is>
      </c>
      <c r="I2747" t="inlineStr">
        <is>
          <t>No</t>
        </is>
      </c>
      <c r="J2747" t="inlineStr">
        <is>
          <t>0</t>
        </is>
      </c>
      <c r="K2747" t="inlineStr">
        <is>
          <t>Maʻoz, Moshe.</t>
        </is>
      </c>
      <c r="L2747" t="inlineStr">
        <is>
          <t>New York : Weidenfeld &amp; Nicholson, c1988.</t>
        </is>
      </c>
      <c r="M2747" t="inlineStr">
        <is>
          <t>1988</t>
        </is>
      </c>
      <c r="N2747" t="inlineStr">
        <is>
          <t>1st American ed.</t>
        </is>
      </c>
      <c r="O2747" t="inlineStr">
        <is>
          <t>eng</t>
        </is>
      </c>
      <c r="P2747" t="inlineStr">
        <is>
          <t>nyu</t>
        </is>
      </c>
      <c r="R2747" t="inlineStr">
        <is>
          <t xml:space="preserve">DS </t>
        </is>
      </c>
      <c r="S2747" t="n">
        <v>8</v>
      </c>
      <c r="T2747" t="n">
        <v>8</v>
      </c>
      <c r="U2747" t="inlineStr">
        <is>
          <t>2008-08-21</t>
        </is>
      </c>
      <c r="V2747" t="inlineStr">
        <is>
          <t>2008-08-21</t>
        </is>
      </c>
      <c r="W2747" t="inlineStr">
        <is>
          <t>1990-08-16</t>
        </is>
      </c>
      <c r="X2747" t="inlineStr">
        <is>
          <t>1990-08-16</t>
        </is>
      </c>
      <c r="Y2747" t="n">
        <v>647</v>
      </c>
      <c r="Z2747" t="n">
        <v>612</v>
      </c>
      <c r="AA2747" t="n">
        <v>677</v>
      </c>
      <c r="AB2747" t="n">
        <v>1</v>
      </c>
      <c r="AC2747" t="n">
        <v>1</v>
      </c>
      <c r="AD2747" t="n">
        <v>15</v>
      </c>
      <c r="AE2747" t="n">
        <v>18</v>
      </c>
      <c r="AF2747" t="n">
        <v>6</v>
      </c>
      <c r="AG2747" t="n">
        <v>6</v>
      </c>
      <c r="AH2747" t="n">
        <v>4</v>
      </c>
      <c r="AI2747" t="n">
        <v>5</v>
      </c>
      <c r="AJ2747" t="n">
        <v>8</v>
      </c>
      <c r="AK2747" t="n">
        <v>11</v>
      </c>
      <c r="AL2747" t="n">
        <v>0</v>
      </c>
      <c r="AM2747" t="n">
        <v>0</v>
      </c>
      <c r="AN2747" t="n">
        <v>0</v>
      </c>
      <c r="AO2747" t="n">
        <v>0</v>
      </c>
      <c r="AP2747" t="inlineStr">
        <is>
          <t>No</t>
        </is>
      </c>
      <c r="AQ2747" t="inlineStr">
        <is>
          <t>No</t>
        </is>
      </c>
      <c r="AS2747">
        <f>HYPERLINK("https://creighton-primo.hosted.exlibrisgroup.com/primo-explore/search?tab=default_tab&amp;search_scope=EVERYTHING&amp;vid=01CRU&amp;lang=en_US&amp;offset=0&amp;query=any,contains,991001205929702656","Catalog Record")</f>
        <v/>
      </c>
      <c r="AT2747">
        <f>HYPERLINK("http://www.worldcat.org/oclc/17353630","WorldCat Record")</f>
        <v/>
      </c>
      <c r="AU2747" t="inlineStr">
        <is>
          <t>15444694:eng</t>
        </is>
      </c>
      <c r="AV2747" t="inlineStr">
        <is>
          <t>17353630</t>
        </is>
      </c>
      <c r="AW2747" t="inlineStr">
        <is>
          <t>991001205929702656</t>
        </is>
      </c>
      <c r="AX2747" t="inlineStr">
        <is>
          <t>991001205929702656</t>
        </is>
      </c>
      <c r="AY2747" t="inlineStr">
        <is>
          <t>2265430490002656</t>
        </is>
      </c>
      <c r="AZ2747" t="inlineStr">
        <is>
          <t>BOOK</t>
        </is>
      </c>
      <c r="BB2747" t="inlineStr">
        <is>
          <t>9781555840624</t>
        </is>
      </c>
      <c r="BC2747" t="inlineStr">
        <is>
          <t>32285000274760</t>
        </is>
      </c>
      <c r="BD2747" t="inlineStr">
        <is>
          <t>893720953</t>
        </is>
      </c>
    </row>
    <row r="2748">
      <c r="A2748" t="inlineStr">
        <is>
          <t>No</t>
        </is>
      </c>
      <c r="B2748" t="inlineStr">
        <is>
          <t>DS98.6 .Z57 2007</t>
        </is>
      </c>
      <c r="C2748" t="inlineStr">
        <is>
          <t>0                      DS 0098600Z  57          2007</t>
        </is>
      </c>
      <c r="D2748" t="inlineStr">
        <is>
          <t>Commanding Syria : Bashar al-Asad and the first years in power / Eyal Zisser.</t>
        </is>
      </c>
      <c r="F2748" t="inlineStr">
        <is>
          <t>No</t>
        </is>
      </c>
      <c r="G2748" t="inlineStr">
        <is>
          <t>1</t>
        </is>
      </c>
      <c r="H2748" t="inlineStr">
        <is>
          <t>No</t>
        </is>
      </c>
      <c r="I2748" t="inlineStr">
        <is>
          <t>No</t>
        </is>
      </c>
      <c r="J2748" t="inlineStr">
        <is>
          <t>0</t>
        </is>
      </c>
      <c r="K2748" t="inlineStr">
        <is>
          <t>Ziser, Eyal.</t>
        </is>
      </c>
      <c r="L2748" t="inlineStr">
        <is>
          <t>London : Tauris, 2007.</t>
        </is>
      </c>
      <c r="M2748" t="inlineStr">
        <is>
          <t>2007</t>
        </is>
      </c>
      <c r="O2748" t="inlineStr">
        <is>
          <t>eng</t>
        </is>
      </c>
      <c r="P2748" t="inlineStr">
        <is>
          <t>enk</t>
        </is>
      </c>
      <c r="Q2748" t="inlineStr">
        <is>
          <t>Library of modern Middle East studies ; 60</t>
        </is>
      </c>
      <c r="R2748" t="inlineStr">
        <is>
          <t xml:space="preserve">DS </t>
        </is>
      </c>
      <c r="S2748" t="n">
        <v>2</v>
      </c>
      <c r="T2748" t="n">
        <v>2</v>
      </c>
      <c r="U2748" t="inlineStr">
        <is>
          <t>2007-12-12</t>
        </is>
      </c>
      <c r="V2748" t="inlineStr">
        <is>
          <t>2007-12-12</t>
        </is>
      </c>
      <c r="W2748" t="inlineStr">
        <is>
          <t>2007-10-30</t>
        </is>
      </c>
      <c r="X2748" t="inlineStr">
        <is>
          <t>2007-10-30</t>
        </is>
      </c>
      <c r="Y2748" t="n">
        <v>216</v>
      </c>
      <c r="Z2748" t="n">
        <v>158</v>
      </c>
      <c r="AA2748" t="n">
        <v>736</v>
      </c>
      <c r="AB2748" t="n">
        <v>2</v>
      </c>
      <c r="AC2748" t="n">
        <v>15</v>
      </c>
      <c r="AD2748" t="n">
        <v>10</v>
      </c>
      <c r="AE2748" t="n">
        <v>31</v>
      </c>
      <c r="AF2748" t="n">
        <v>1</v>
      </c>
      <c r="AG2748" t="n">
        <v>10</v>
      </c>
      <c r="AH2748" t="n">
        <v>4</v>
      </c>
      <c r="AI2748" t="n">
        <v>8</v>
      </c>
      <c r="AJ2748" t="n">
        <v>6</v>
      </c>
      <c r="AK2748" t="n">
        <v>9</v>
      </c>
      <c r="AL2748" t="n">
        <v>1</v>
      </c>
      <c r="AM2748" t="n">
        <v>10</v>
      </c>
      <c r="AN2748" t="n">
        <v>0</v>
      </c>
      <c r="AO2748" t="n">
        <v>0</v>
      </c>
      <c r="AP2748" t="inlineStr">
        <is>
          <t>No</t>
        </is>
      </c>
      <c r="AQ2748" t="inlineStr">
        <is>
          <t>Yes</t>
        </is>
      </c>
      <c r="AR2748">
        <f>HYPERLINK("http://catalog.hathitrust.org/Record/005400095","HathiTrust Record")</f>
        <v/>
      </c>
      <c r="AS2748">
        <f>HYPERLINK("https://creighton-primo.hosted.exlibrisgroup.com/primo-explore/search?tab=default_tab&amp;search_scope=EVERYTHING&amp;vid=01CRU&amp;lang=en_US&amp;offset=0&amp;query=any,contains,991005124339702656","Catalog Record")</f>
        <v/>
      </c>
      <c r="AT2748">
        <f>HYPERLINK("http://www.worldcat.org/oclc/76797532","WorldCat Record")</f>
        <v/>
      </c>
      <c r="AU2748" t="inlineStr">
        <is>
          <t>792507391:eng</t>
        </is>
      </c>
      <c r="AV2748" t="inlineStr">
        <is>
          <t>76797532</t>
        </is>
      </c>
      <c r="AW2748" t="inlineStr">
        <is>
          <t>991005124339702656</t>
        </is>
      </c>
      <c r="AX2748" t="inlineStr">
        <is>
          <t>991005124339702656</t>
        </is>
      </c>
      <c r="AY2748" t="inlineStr">
        <is>
          <t>2261335150002656</t>
        </is>
      </c>
      <c r="AZ2748" t="inlineStr">
        <is>
          <t>BOOK</t>
        </is>
      </c>
      <c r="BB2748" t="inlineStr">
        <is>
          <t>9781845111533</t>
        </is>
      </c>
      <c r="BC2748" t="inlineStr">
        <is>
          <t>32285005362933</t>
        </is>
      </c>
      <c r="BD2748" t="inlineStr">
        <is>
          <t>893350758</t>
        </is>
      </c>
    </row>
    <row r="2749">
      <c r="A2749" t="inlineStr">
        <is>
          <t>No</t>
        </is>
      </c>
      <c r="B2749" t="inlineStr">
        <is>
          <t>DS99.B23 T93 2008</t>
        </is>
      </c>
      <c r="C2749" t="inlineStr">
        <is>
          <t>0                      DS 0099000B  23                 T  93          2008</t>
        </is>
      </c>
      <c r="D2749" t="inlineStr">
        <is>
          <t>Paneas / Vassilios Tzaferis and Shoshana Israeli.</t>
        </is>
      </c>
      <c r="E2749" t="inlineStr">
        <is>
          <t>V. 1</t>
        </is>
      </c>
      <c r="F2749" t="inlineStr">
        <is>
          <t>No</t>
        </is>
      </c>
      <c r="G2749" t="inlineStr">
        <is>
          <t>1</t>
        </is>
      </c>
      <c r="H2749" t="inlineStr">
        <is>
          <t>No</t>
        </is>
      </c>
      <c r="I2749" t="inlineStr">
        <is>
          <t>No</t>
        </is>
      </c>
      <c r="J2749" t="inlineStr">
        <is>
          <t>0</t>
        </is>
      </c>
      <c r="K2749" t="inlineStr">
        <is>
          <t>Tzapherēs, Vasileios.</t>
        </is>
      </c>
      <c r="L2749" t="inlineStr">
        <is>
          <t>Jerusalem : Israel Antiquities Authority, 2008-</t>
        </is>
      </c>
      <c r="M2749" t="inlineStr">
        <is>
          <t>2008</t>
        </is>
      </c>
      <c r="O2749" t="inlineStr">
        <is>
          <t>eng</t>
        </is>
      </c>
      <c r="P2749" t="inlineStr">
        <is>
          <t xml:space="preserve">is </t>
        </is>
      </c>
      <c r="Q2749" t="inlineStr">
        <is>
          <t>IAA reports ; no. 37, 38</t>
        </is>
      </c>
      <c r="R2749" t="inlineStr">
        <is>
          <t xml:space="preserve">DS </t>
        </is>
      </c>
      <c r="S2749" t="n">
        <v>1</v>
      </c>
      <c r="T2749" t="n">
        <v>1</v>
      </c>
      <c r="U2749" t="inlineStr">
        <is>
          <t>2010-01-18</t>
        </is>
      </c>
      <c r="V2749" t="inlineStr">
        <is>
          <t>2010-01-18</t>
        </is>
      </c>
      <c r="W2749" t="inlineStr">
        <is>
          <t>2010-01-18</t>
        </is>
      </c>
      <c r="X2749" t="inlineStr">
        <is>
          <t>2010-01-18</t>
        </is>
      </c>
      <c r="Y2749" t="n">
        <v>52</v>
      </c>
      <c r="Z2749" t="n">
        <v>32</v>
      </c>
      <c r="AA2749" t="n">
        <v>48</v>
      </c>
      <c r="AB2749" t="n">
        <v>1</v>
      </c>
      <c r="AC2749" t="n">
        <v>2</v>
      </c>
      <c r="AD2749" t="n">
        <v>0</v>
      </c>
      <c r="AE2749" t="n">
        <v>2</v>
      </c>
      <c r="AF2749" t="n">
        <v>0</v>
      </c>
      <c r="AG2749" t="n">
        <v>1</v>
      </c>
      <c r="AH2749" t="n">
        <v>0</v>
      </c>
      <c r="AI2749" t="n">
        <v>1</v>
      </c>
      <c r="AJ2749" t="n">
        <v>0</v>
      </c>
      <c r="AK2749" t="n">
        <v>0</v>
      </c>
      <c r="AL2749" t="n">
        <v>0</v>
      </c>
      <c r="AM2749" t="n">
        <v>1</v>
      </c>
      <c r="AN2749" t="n">
        <v>0</v>
      </c>
      <c r="AO2749" t="n">
        <v>0</v>
      </c>
      <c r="AP2749" t="inlineStr">
        <is>
          <t>No</t>
        </is>
      </c>
      <c r="AQ2749" t="inlineStr">
        <is>
          <t>Yes</t>
        </is>
      </c>
      <c r="AR2749">
        <f>HYPERLINK("http://catalog.hathitrust.org/Record/008564877","HathiTrust Record")</f>
        <v/>
      </c>
      <c r="AS2749">
        <f>HYPERLINK("https://creighton-primo.hosted.exlibrisgroup.com/primo-explore/search?tab=default_tab&amp;search_scope=EVERYTHING&amp;vid=01CRU&amp;lang=en_US&amp;offset=0&amp;query=any,contains,991005351909702656","Catalog Record")</f>
        <v/>
      </c>
      <c r="AT2749">
        <f>HYPERLINK("http://www.worldcat.org/oclc/319946711","WorldCat Record")</f>
        <v/>
      </c>
      <c r="AU2749" t="inlineStr">
        <is>
          <t>3133877551:eng</t>
        </is>
      </c>
      <c r="AV2749" t="inlineStr">
        <is>
          <t>319946711</t>
        </is>
      </c>
      <c r="AW2749" t="inlineStr">
        <is>
          <t>991005351909702656</t>
        </is>
      </c>
      <c r="AX2749" t="inlineStr">
        <is>
          <t>991005351909702656</t>
        </is>
      </c>
      <c r="AY2749" t="inlineStr">
        <is>
          <t>2272098780002656</t>
        </is>
      </c>
      <c r="AZ2749" t="inlineStr">
        <is>
          <t>BOOK</t>
        </is>
      </c>
      <c r="BB2749" t="inlineStr">
        <is>
          <t>9789654062015</t>
        </is>
      </c>
      <c r="BC2749" t="inlineStr">
        <is>
          <t>32285005557995</t>
        </is>
      </c>
      <c r="BD2749" t="inlineStr">
        <is>
          <t>893628697</t>
        </is>
      </c>
    </row>
    <row r="2750">
      <c r="A2750" t="inlineStr">
        <is>
          <t>No</t>
        </is>
      </c>
      <c r="B2750" t="inlineStr">
        <is>
          <t>DS99.D3 B867 2007</t>
        </is>
      </c>
      <c r="C2750" t="inlineStr">
        <is>
          <t>0                      DS 0099000D  3                  B  867         2007</t>
        </is>
      </c>
      <c r="D2750" t="inlineStr">
        <is>
          <t>Damascus : a history / Ross Burns.</t>
        </is>
      </c>
      <c r="F2750" t="inlineStr">
        <is>
          <t>No</t>
        </is>
      </c>
      <c r="G2750" t="inlineStr">
        <is>
          <t>1</t>
        </is>
      </c>
      <c r="H2750" t="inlineStr">
        <is>
          <t>No</t>
        </is>
      </c>
      <c r="I2750" t="inlineStr">
        <is>
          <t>No</t>
        </is>
      </c>
      <c r="J2750" t="inlineStr">
        <is>
          <t>0</t>
        </is>
      </c>
      <c r="K2750" t="inlineStr">
        <is>
          <t>Burns, Ross.</t>
        </is>
      </c>
      <c r="L2750" t="inlineStr">
        <is>
          <t>London ; New York : Routledge, 2007, c2005.</t>
        </is>
      </c>
      <c r="M2750" t="inlineStr">
        <is>
          <t>2007</t>
        </is>
      </c>
      <c r="N2750" t="inlineStr">
        <is>
          <t>1st pbk. ed.</t>
        </is>
      </c>
      <c r="O2750" t="inlineStr">
        <is>
          <t>eng</t>
        </is>
      </c>
      <c r="P2750" t="inlineStr">
        <is>
          <t>enk</t>
        </is>
      </c>
      <c r="R2750" t="inlineStr">
        <is>
          <t xml:space="preserve">DS </t>
        </is>
      </c>
      <c r="S2750" t="n">
        <v>2</v>
      </c>
      <c r="T2750" t="n">
        <v>2</v>
      </c>
      <c r="U2750" t="inlineStr">
        <is>
          <t>2007-11-05</t>
        </is>
      </c>
      <c r="V2750" t="inlineStr">
        <is>
          <t>2007-11-05</t>
        </is>
      </c>
      <c r="W2750" t="inlineStr">
        <is>
          <t>2007-10-24</t>
        </is>
      </c>
      <c r="X2750" t="inlineStr">
        <is>
          <t>2007-10-24</t>
        </is>
      </c>
      <c r="Y2750" t="n">
        <v>266</v>
      </c>
      <c r="Z2750" t="n">
        <v>168</v>
      </c>
      <c r="AA2750" t="n">
        <v>564</v>
      </c>
      <c r="AB2750" t="n">
        <v>1</v>
      </c>
      <c r="AC2750" t="n">
        <v>5</v>
      </c>
      <c r="AD2750" t="n">
        <v>7</v>
      </c>
      <c r="AE2750" t="n">
        <v>27</v>
      </c>
      <c r="AF2750" t="n">
        <v>2</v>
      </c>
      <c r="AG2750" t="n">
        <v>9</v>
      </c>
      <c r="AH2750" t="n">
        <v>4</v>
      </c>
      <c r="AI2750" t="n">
        <v>8</v>
      </c>
      <c r="AJ2750" t="n">
        <v>5</v>
      </c>
      <c r="AK2750" t="n">
        <v>12</v>
      </c>
      <c r="AL2750" t="n">
        <v>0</v>
      </c>
      <c r="AM2750" t="n">
        <v>4</v>
      </c>
      <c r="AN2750" t="n">
        <v>0</v>
      </c>
      <c r="AO2750" t="n">
        <v>1</v>
      </c>
      <c r="AP2750" t="inlineStr">
        <is>
          <t>No</t>
        </is>
      </c>
      <c r="AQ2750" t="inlineStr">
        <is>
          <t>No</t>
        </is>
      </c>
      <c r="AS2750">
        <f>HYPERLINK("https://creighton-primo.hosted.exlibrisgroup.com/primo-explore/search?tab=default_tab&amp;search_scope=EVERYTHING&amp;vid=01CRU&amp;lang=en_US&amp;offset=0&amp;query=any,contains,991005136789702656","Catalog Record")</f>
        <v/>
      </c>
      <c r="AT2750">
        <f>HYPERLINK("http://www.worldcat.org/oclc/55067557","WorldCat Record")</f>
        <v/>
      </c>
      <c r="AU2750" t="inlineStr">
        <is>
          <t>902713:eng</t>
        </is>
      </c>
      <c r="AV2750" t="inlineStr">
        <is>
          <t>55067557</t>
        </is>
      </c>
      <c r="AW2750" t="inlineStr">
        <is>
          <t>991005136789702656</t>
        </is>
      </c>
      <c r="AX2750" t="inlineStr">
        <is>
          <t>991005136789702656</t>
        </is>
      </c>
      <c r="AY2750" t="inlineStr">
        <is>
          <t>2265073620002656</t>
        </is>
      </c>
      <c r="AZ2750" t="inlineStr">
        <is>
          <t>BOOK</t>
        </is>
      </c>
      <c r="BB2750" t="inlineStr">
        <is>
          <t>9780415271059</t>
        </is>
      </c>
      <c r="BC2750" t="inlineStr">
        <is>
          <t>32285005360614</t>
        </is>
      </c>
      <c r="BD2750" t="inlineStr">
        <is>
          <t>893501382</t>
        </is>
      </c>
    </row>
    <row r="2751">
      <c r="A2751" t="inlineStr">
        <is>
          <t>No</t>
        </is>
      </c>
      <c r="B2751" t="inlineStr">
        <is>
          <t>DS99.D3 P58 1987</t>
        </is>
      </c>
      <c r="C2751" t="inlineStr">
        <is>
          <t>0                      DS 0099000D  3                  P  58          1987</t>
        </is>
      </c>
      <c r="D2751" t="inlineStr">
        <is>
          <t>Ancient Damascus : a historical study of the Syrian city-state from earliest times until its fall to the Assyrians in 732 B.C.E. / by Wayne T. Pitard.</t>
        </is>
      </c>
      <c r="F2751" t="inlineStr">
        <is>
          <t>No</t>
        </is>
      </c>
      <c r="G2751" t="inlineStr">
        <is>
          <t>1</t>
        </is>
      </c>
      <c r="H2751" t="inlineStr">
        <is>
          <t>No</t>
        </is>
      </c>
      <c r="I2751" t="inlineStr">
        <is>
          <t>No</t>
        </is>
      </c>
      <c r="J2751" t="inlineStr">
        <is>
          <t>0</t>
        </is>
      </c>
      <c r="K2751" t="inlineStr">
        <is>
          <t>Pitard, Wayne T.</t>
        </is>
      </c>
      <c r="L2751" t="inlineStr">
        <is>
          <t>Winona Lake, Ind. : Eisenbrauns, 1987.</t>
        </is>
      </c>
      <c r="M2751" t="inlineStr">
        <is>
          <t>1987</t>
        </is>
      </c>
      <c r="O2751" t="inlineStr">
        <is>
          <t>eng</t>
        </is>
      </c>
      <c r="P2751" t="inlineStr">
        <is>
          <t>inu</t>
        </is>
      </c>
      <c r="R2751" t="inlineStr">
        <is>
          <t xml:space="preserve">DS </t>
        </is>
      </c>
      <c r="S2751" t="n">
        <v>4</v>
      </c>
      <c r="T2751" t="n">
        <v>4</v>
      </c>
      <c r="U2751" t="inlineStr">
        <is>
          <t>2006-09-27</t>
        </is>
      </c>
      <c r="V2751" t="inlineStr">
        <is>
          <t>2006-09-27</t>
        </is>
      </c>
      <c r="W2751" t="inlineStr">
        <is>
          <t>1989-11-07</t>
        </is>
      </c>
      <c r="X2751" t="inlineStr">
        <is>
          <t>1989-11-07</t>
        </is>
      </c>
      <c r="Y2751" t="n">
        <v>460</v>
      </c>
      <c r="Z2751" t="n">
        <v>359</v>
      </c>
      <c r="AA2751" t="n">
        <v>372</v>
      </c>
      <c r="AB2751" t="n">
        <v>1</v>
      </c>
      <c r="AC2751" t="n">
        <v>1</v>
      </c>
      <c r="AD2751" t="n">
        <v>17</v>
      </c>
      <c r="AE2751" t="n">
        <v>17</v>
      </c>
      <c r="AF2751" t="n">
        <v>7</v>
      </c>
      <c r="AG2751" t="n">
        <v>7</v>
      </c>
      <c r="AH2751" t="n">
        <v>6</v>
      </c>
      <c r="AI2751" t="n">
        <v>6</v>
      </c>
      <c r="AJ2751" t="n">
        <v>9</v>
      </c>
      <c r="AK2751" t="n">
        <v>9</v>
      </c>
      <c r="AL2751" t="n">
        <v>0</v>
      </c>
      <c r="AM2751" t="n">
        <v>0</v>
      </c>
      <c r="AN2751" t="n">
        <v>0</v>
      </c>
      <c r="AO2751" t="n">
        <v>0</v>
      </c>
      <c r="AP2751" t="inlineStr">
        <is>
          <t>No</t>
        </is>
      </c>
      <c r="AQ2751" t="inlineStr">
        <is>
          <t>Yes</t>
        </is>
      </c>
      <c r="AR2751">
        <f>HYPERLINK("http://catalog.hathitrust.org/Record/000845341","HathiTrust Record")</f>
        <v/>
      </c>
      <c r="AS2751">
        <f>HYPERLINK("https://creighton-primo.hosted.exlibrisgroup.com/primo-explore/search?tab=default_tab&amp;search_scope=EVERYTHING&amp;vid=01CRU&amp;lang=en_US&amp;offset=0&amp;query=any,contains,991000947809702656","Catalog Record")</f>
        <v/>
      </c>
      <c r="AT2751">
        <f>HYPERLINK("http://www.worldcat.org/oclc/14588494","WorldCat Record")</f>
        <v/>
      </c>
      <c r="AU2751" t="inlineStr">
        <is>
          <t>4049670:eng</t>
        </is>
      </c>
      <c r="AV2751" t="inlineStr">
        <is>
          <t>14588494</t>
        </is>
      </c>
      <c r="AW2751" t="inlineStr">
        <is>
          <t>991000947809702656</t>
        </is>
      </c>
      <c r="AX2751" t="inlineStr">
        <is>
          <t>991000947809702656</t>
        </is>
      </c>
      <c r="AY2751" t="inlineStr">
        <is>
          <t>2271566010002656</t>
        </is>
      </c>
      <c r="AZ2751" t="inlineStr">
        <is>
          <t>BOOK</t>
        </is>
      </c>
      <c r="BB2751" t="inlineStr">
        <is>
          <t>9780931464294</t>
        </is>
      </c>
      <c r="BC2751" t="inlineStr">
        <is>
          <t>32285000012160</t>
        </is>
      </c>
      <c r="BD2751" t="inlineStr">
        <is>
          <t>893502965</t>
        </is>
      </c>
    </row>
    <row r="2752">
      <c r="A2752" t="inlineStr">
        <is>
          <t>No</t>
        </is>
      </c>
      <c r="B2752" t="inlineStr">
        <is>
          <t>DS99.E52 E45 1996</t>
        </is>
      </c>
      <c r="C2752" t="inlineStr">
        <is>
          <t>0                      DS 0099000E  52                 E  45          1996</t>
        </is>
      </c>
      <c r="D2752" t="inlineStr">
        <is>
          <t>Emar : the history, religion, and culture of a Syrian town in the late Bronze Age / edited by Mark W. Chavalas.</t>
        </is>
      </c>
      <c r="F2752" t="inlineStr">
        <is>
          <t>No</t>
        </is>
      </c>
      <c r="G2752" t="inlineStr">
        <is>
          <t>1</t>
        </is>
      </c>
      <c r="H2752" t="inlineStr">
        <is>
          <t>No</t>
        </is>
      </c>
      <c r="I2752" t="inlineStr">
        <is>
          <t>No</t>
        </is>
      </c>
      <c r="J2752" t="inlineStr">
        <is>
          <t>0</t>
        </is>
      </c>
      <c r="L2752" t="inlineStr">
        <is>
          <t>Bethesda, Md. : CDL Press, c1996.</t>
        </is>
      </c>
      <c r="M2752" t="inlineStr">
        <is>
          <t>1996</t>
        </is>
      </c>
      <c r="O2752" t="inlineStr">
        <is>
          <t>eng</t>
        </is>
      </c>
      <c r="P2752" t="inlineStr">
        <is>
          <t>mdu</t>
        </is>
      </c>
      <c r="R2752" t="inlineStr">
        <is>
          <t xml:space="preserve">DS </t>
        </is>
      </c>
      <c r="S2752" t="n">
        <v>2</v>
      </c>
      <c r="T2752" t="n">
        <v>2</v>
      </c>
      <c r="U2752" t="inlineStr">
        <is>
          <t>2007-04-10</t>
        </is>
      </c>
      <c r="V2752" t="inlineStr">
        <is>
          <t>2007-04-10</t>
        </is>
      </c>
      <c r="W2752" t="inlineStr">
        <is>
          <t>1997-06-05</t>
        </is>
      </c>
      <c r="X2752" t="inlineStr">
        <is>
          <t>1997-06-05</t>
        </is>
      </c>
      <c r="Y2752" t="n">
        <v>158</v>
      </c>
      <c r="Z2752" t="n">
        <v>109</v>
      </c>
      <c r="AA2752" t="n">
        <v>109</v>
      </c>
      <c r="AB2752" t="n">
        <v>1</v>
      </c>
      <c r="AC2752" t="n">
        <v>1</v>
      </c>
      <c r="AD2752" t="n">
        <v>5</v>
      </c>
      <c r="AE2752" t="n">
        <v>5</v>
      </c>
      <c r="AF2752" t="n">
        <v>1</v>
      </c>
      <c r="AG2752" t="n">
        <v>1</v>
      </c>
      <c r="AH2752" t="n">
        <v>1</v>
      </c>
      <c r="AI2752" t="n">
        <v>1</v>
      </c>
      <c r="AJ2752" t="n">
        <v>4</v>
      </c>
      <c r="AK2752" t="n">
        <v>4</v>
      </c>
      <c r="AL2752" t="n">
        <v>0</v>
      </c>
      <c r="AM2752" t="n">
        <v>0</v>
      </c>
      <c r="AN2752" t="n">
        <v>0</v>
      </c>
      <c r="AO2752" t="n">
        <v>0</v>
      </c>
      <c r="AP2752" t="inlineStr">
        <is>
          <t>No</t>
        </is>
      </c>
      <c r="AQ2752" t="inlineStr">
        <is>
          <t>No</t>
        </is>
      </c>
      <c r="AS2752">
        <f>HYPERLINK("https://creighton-primo.hosted.exlibrisgroup.com/primo-explore/search?tab=default_tab&amp;search_scope=EVERYTHING&amp;vid=01CRU&amp;lang=en_US&amp;offset=0&amp;query=any,contains,991002612669702656","Catalog Record")</f>
        <v/>
      </c>
      <c r="AT2752">
        <f>HYPERLINK("http://www.worldcat.org/oclc/34244364","WorldCat Record")</f>
        <v/>
      </c>
      <c r="AU2752" t="inlineStr">
        <is>
          <t>890104135:eng</t>
        </is>
      </c>
      <c r="AV2752" t="inlineStr">
        <is>
          <t>34244364</t>
        </is>
      </c>
      <c r="AW2752" t="inlineStr">
        <is>
          <t>991002612669702656</t>
        </is>
      </c>
      <c r="AX2752" t="inlineStr">
        <is>
          <t>991002612669702656</t>
        </is>
      </c>
      <c r="AY2752" t="inlineStr">
        <is>
          <t>2272152220002656</t>
        </is>
      </c>
      <c r="AZ2752" t="inlineStr">
        <is>
          <t>BOOK</t>
        </is>
      </c>
      <c r="BB2752" t="inlineStr">
        <is>
          <t>9781883053185</t>
        </is>
      </c>
      <c r="BC2752" t="inlineStr">
        <is>
          <t>32285002614567</t>
        </is>
      </c>
      <c r="BD2752" t="inlineStr">
        <is>
          <t>893773807</t>
        </is>
      </c>
    </row>
    <row r="2753">
      <c r="A2753" t="inlineStr">
        <is>
          <t>No</t>
        </is>
      </c>
      <c r="B2753" t="inlineStr">
        <is>
          <t>DS99.P17 S86 1992</t>
        </is>
      </c>
      <c r="C2753" t="inlineStr">
        <is>
          <t>0                      DS 0099000P  17                 S  86          1992</t>
        </is>
      </c>
      <c r="D2753" t="inlineStr">
        <is>
          <t>Palmyra and its empire : Zenobia's revolt against Rome / Richard Stoneman.</t>
        </is>
      </c>
      <c r="F2753" t="inlineStr">
        <is>
          <t>No</t>
        </is>
      </c>
      <c r="G2753" t="inlineStr">
        <is>
          <t>1</t>
        </is>
      </c>
      <c r="H2753" t="inlineStr">
        <is>
          <t>No</t>
        </is>
      </c>
      <c r="I2753" t="inlineStr">
        <is>
          <t>No</t>
        </is>
      </c>
      <c r="J2753" t="inlineStr">
        <is>
          <t>0</t>
        </is>
      </c>
      <c r="K2753" t="inlineStr">
        <is>
          <t>Stoneman, Richard.</t>
        </is>
      </c>
      <c r="L2753" t="inlineStr">
        <is>
          <t>Ann Arbor : University of Michigan Press, c1992.</t>
        </is>
      </c>
      <c r="M2753" t="inlineStr">
        <is>
          <t>1992</t>
        </is>
      </c>
      <c r="O2753" t="inlineStr">
        <is>
          <t>eng</t>
        </is>
      </c>
      <c r="P2753" t="inlineStr">
        <is>
          <t>miu</t>
        </is>
      </c>
      <c r="R2753" t="inlineStr">
        <is>
          <t xml:space="preserve">DS </t>
        </is>
      </c>
      <c r="S2753" t="n">
        <v>1</v>
      </c>
      <c r="T2753" t="n">
        <v>1</v>
      </c>
      <c r="U2753" t="inlineStr">
        <is>
          <t>1995-08-28</t>
        </is>
      </c>
      <c r="V2753" t="inlineStr">
        <is>
          <t>1995-08-28</t>
        </is>
      </c>
      <c r="W2753" t="inlineStr">
        <is>
          <t>1993-10-26</t>
        </is>
      </c>
      <c r="X2753" t="inlineStr">
        <is>
          <t>1993-10-26</t>
        </is>
      </c>
      <c r="Y2753" t="n">
        <v>360</v>
      </c>
      <c r="Z2753" t="n">
        <v>279</v>
      </c>
      <c r="AA2753" t="n">
        <v>323</v>
      </c>
      <c r="AB2753" t="n">
        <v>3</v>
      </c>
      <c r="AC2753" t="n">
        <v>3</v>
      </c>
      <c r="AD2753" t="n">
        <v>16</v>
      </c>
      <c r="AE2753" t="n">
        <v>20</v>
      </c>
      <c r="AF2753" t="n">
        <v>3</v>
      </c>
      <c r="AG2753" t="n">
        <v>6</v>
      </c>
      <c r="AH2753" t="n">
        <v>5</v>
      </c>
      <c r="AI2753" t="n">
        <v>6</v>
      </c>
      <c r="AJ2753" t="n">
        <v>10</v>
      </c>
      <c r="AK2753" t="n">
        <v>13</v>
      </c>
      <c r="AL2753" t="n">
        <v>2</v>
      </c>
      <c r="AM2753" t="n">
        <v>2</v>
      </c>
      <c r="AN2753" t="n">
        <v>0</v>
      </c>
      <c r="AO2753" t="n">
        <v>0</v>
      </c>
      <c r="AP2753" t="inlineStr">
        <is>
          <t>No</t>
        </is>
      </c>
      <c r="AQ2753" t="inlineStr">
        <is>
          <t>Yes</t>
        </is>
      </c>
      <c r="AR2753">
        <f>HYPERLINK("http://catalog.hathitrust.org/Record/002702673","HathiTrust Record")</f>
        <v/>
      </c>
      <c r="AS2753">
        <f>HYPERLINK("https://creighton-primo.hosted.exlibrisgroup.com/primo-explore/search?tab=default_tab&amp;search_scope=EVERYTHING&amp;vid=01CRU&amp;lang=en_US&amp;offset=0&amp;query=any,contains,991002073289702656","Catalog Record")</f>
        <v/>
      </c>
      <c r="AT2753">
        <f>HYPERLINK("http://www.worldcat.org/oclc/26553018","WorldCat Record")</f>
        <v/>
      </c>
      <c r="AU2753" t="inlineStr">
        <is>
          <t>28616384:eng</t>
        </is>
      </c>
      <c r="AV2753" t="inlineStr">
        <is>
          <t>26553018</t>
        </is>
      </c>
      <c r="AW2753" t="inlineStr">
        <is>
          <t>991002073289702656</t>
        </is>
      </c>
      <c r="AX2753" t="inlineStr">
        <is>
          <t>991002073289702656</t>
        </is>
      </c>
      <c r="AY2753" t="inlineStr">
        <is>
          <t>2257462790002656</t>
        </is>
      </c>
      <c r="AZ2753" t="inlineStr">
        <is>
          <t>BOOK</t>
        </is>
      </c>
      <c r="BB2753" t="inlineStr">
        <is>
          <t>9780472103874</t>
        </is>
      </c>
      <c r="BC2753" t="inlineStr">
        <is>
          <t>32285001788404</t>
        </is>
      </c>
      <c r="BD2753" t="inlineStr">
        <is>
          <t>893497688</t>
        </is>
      </c>
    </row>
    <row r="2754">
      <c r="A2754" t="inlineStr">
        <is>
          <t>No</t>
        </is>
      </c>
      <c r="B2754" t="inlineStr">
        <is>
          <t>DS99.S86 H655 2006</t>
        </is>
      </c>
      <c r="C2754" t="inlineStr">
        <is>
          <t>0                      DS 0099000S  86                 H  655         2006</t>
        </is>
      </c>
      <c r="D2754" t="inlineStr">
        <is>
          <t>Archaeology of the Bronze Age, Hellenistic, and Roman remains at an ancient town on the Euphrates River / by Thomas A. Holland ; with contributions by Martha Goodway and Michael Roaf.</t>
        </is>
      </c>
      <c r="F2754" t="inlineStr">
        <is>
          <t>Yes</t>
        </is>
      </c>
      <c r="G2754" t="inlineStr">
        <is>
          <t>1</t>
        </is>
      </c>
      <c r="H2754" t="inlineStr">
        <is>
          <t>Yes</t>
        </is>
      </c>
      <c r="I2754" t="inlineStr">
        <is>
          <t>No</t>
        </is>
      </c>
      <c r="J2754" t="inlineStr">
        <is>
          <t>0</t>
        </is>
      </c>
      <c r="K2754" t="inlineStr">
        <is>
          <t>Holland, Thomas A.</t>
        </is>
      </c>
      <c r="L2754" t="inlineStr">
        <is>
          <t>Chicago : The Oriental Institute, 2006.</t>
        </is>
      </c>
      <c r="M2754" t="inlineStr">
        <is>
          <t>2006</t>
        </is>
      </c>
      <c r="O2754" t="inlineStr">
        <is>
          <t>eng</t>
        </is>
      </c>
      <c r="P2754" t="inlineStr">
        <is>
          <t>ilu</t>
        </is>
      </c>
      <c r="Q2754" t="inlineStr">
        <is>
          <t>Excavations at Tell es-Sweyhat, Syria ; v. 2</t>
        </is>
      </c>
      <c r="R2754" t="inlineStr">
        <is>
          <t xml:space="preserve">DS </t>
        </is>
      </c>
      <c r="S2754" t="n">
        <v>1</v>
      </c>
      <c r="T2754" t="n">
        <v>2</v>
      </c>
      <c r="U2754" t="inlineStr">
        <is>
          <t>2007-06-11</t>
        </is>
      </c>
      <c r="V2754" t="inlineStr">
        <is>
          <t>2007-06-11</t>
        </is>
      </c>
      <c r="W2754" t="inlineStr">
        <is>
          <t>2007-06-11</t>
        </is>
      </c>
      <c r="X2754" t="inlineStr">
        <is>
          <t>2007-06-11</t>
        </is>
      </c>
      <c r="Y2754" t="n">
        <v>93</v>
      </c>
      <c r="Z2754" t="n">
        <v>70</v>
      </c>
      <c r="AA2754" t="n">
        <v>102</v>
      </c>
      <c r="AB2754" t="n">
        <v>1</v>
      </c>
      <c r="AC2754" t="n">
        <v>1</v>
      </c>
      <c r="AD2754" t="n">
        <v>0</v>
      </c>
      <c r="AE2754" t="n">
        <v>2</v>
      </c>
      <c r="AF2754" t="n">
        <v>0</v>
      </c>
      <c r="AG2754" t="n">
        <v>1</v>
      </c>
      <c r="AH2754" t="n">
        <v>0</v>
      </c>
      <c r="AI2754" t="n">
        <v>1</v>
      </c>
      <c r="AJ2754" t="n">
        <v>0</v>
      </c>
      <c r="AK2754" t="n">
        <v>0</v>
      </c>
      <c r="AL2754" t="n">
        <v>0</v>
      </c>
      <c r="AM2754" t="n">
        <v>0</v>
      </c>
      <c r="AN2754" t="n">
        <v>0</v>
      </c>
      <c r="AO2754" t="n">
        <v>0</v>
      </c>
      <c r="AP2754" t="inlineStr">
        <is>
          <t>No</t>
        </is>
      </c>
      <c r="AQ2754" t="inlineStr">
        <is>
          <t>Yes</t>
        </is>
      </c>
      <c r="AR2754">
        <f>HYPERLINK("http://catalog.hathitrust.org/Record/005584895","HathiTrust Record")</f>
        <v/>
      </c>
      <c r="AS2754">
        <f>HYPERLINK("https://creighton-primo.hosted.exlibrisgroup.com/primo-explore/search?tab=default_tab&amp;search_scope=EVERYTHING&amp;vid=01CRU&amp;lang=en_US&amp;offset=0&amp;query=any,contains,991005076809702656","Catalog Record")</f>
        <v/>
      </c>
      <c r="AT2754">
        <f>HYPERLINK("http://www.worldcat.org/oclc/173509257","WorldCat Record")</f>
        <v/>
      </c>
      <c r="AU2754" t="inlineStr">
        <is>
          <t>9657760949:eng</t>
        </is>
      </c>
      <c r="AV2754" t="inlineStr">
        <is>
          <t>173509257</t>
        </is>
      </c>
      <c r="AW2754" t="inlineStr">
        <is>
          <t>991005076809702656</t>
        </is>
      </c>
      <c r="AX2754" t="inlineStr">
        <is>
          <t>991005076809702656</t>
        </is>
      </c>
      <c r="AY2754" t="inlineStr">
        <is>
          <t>2260957710002656</t>
        </is>
      </c>
      <c r="AZ2754" t="inlineStr">
        <is>
          <t>BOOK</t>
        </is>
      </c>
      <c r="BB2754" t="inlineStr">
        <is>
          <t>9781885923332</t>
        </is>
      </c>
      <c r="BC2754" t="inlineStr">
        <is>
          <t>32285005316277</t>
        </is>
      </c>
      <c r="BD2754" t="inlineStr">
        <is>
          <t>893594432</t>
        </is>
      </c>
    </row>
    <row r="2755">
      <c r="A2755" t="inlineStr">
        <is>
          <t>No</t>
        </is>
      </c>
      <c r="B2755" t="inlineStr">
        <is>
          <t>DS99.S86 H655 2006 PT. 2</t>
        </is>
      </c>
      <c r="C2755" t="inlineStr">
        <is>
          <t>0                      DS 0099000S  86                 H  655         2006                  PT. 2</t>
        </is>
      </c>
      <c r="D2755" t="inlineStr">
        <is>
          <t>Archaeology of the Bronze Age, Hellenistic, and Roman remains at an ancient town on the Euphrates River / by Thomas A. Holland ; with contributions by Martha Goodway and Michael Roaf.</t>
        </is>
      </c>
      <c r="E2755" t="inlineStr">
        <is>
          <t>PT. 2*</t>
        </is>
      </c>
      <c r="F2755" t="inlineStr">
        <is>
          <t>Yes</t>
        </is>
      </c>
      <c r="G2755" t="inlineStr">
        <is>
          <t>1</t>
        </is>
      </c>
      <c r="H2755" t="inlineStr">
        <is>
          <t>No</t>
        </is>
      </c>
      <c r="I2755" t="inlineStr">
        <is>
          <t>No</t>
        </is>
      </c>
      <c r="J2755" t="inlineStr">
        <is>
          <t>0</t>
        </is>
      </c>
      <c r="K2755" t="inlineStr">
        <is>
          <t>Holland, Thomas A.</t>
        </is>
      </c>
      <c r="L2755" t="inlineStr">
        <is>
          <t>Chicago : The Oriental Institute, 2006.</t>
        </is>
      </c>
      <c r="M2755" t="inlineStr">
        <is>
          <t>2006</t>
        </is>
      </c>
      <c r="O2755" t="inlineStr">
        <is>
          <t>eng</t>
        </is>
      </c>
      <c r="P2755" t="inlineStr">
        <is>
          <t>ilu</t>
        </is>
      </c>
      <c r="Q2755" t="inlineStr">
        <is>
          <t>Excavations at Tell es-Sweyhat, Syria ; v. 2</t>
        </is>
      </c>
      <c r="R2755" t="inlineStr">
        <is>
          <t xml:space="preserve">DS </t>
        </is>
      </c>
      <c r="S2755" t="n">
        <v>1</v>
      </c>
      <c r="T2755" t="n">
        <v>2</v>
      </c>
      <c r="U2755" t="inlineStr">
        <is>
          <t>2007-06-11</t>
        </is>
      </c>
      <c r="V2755" t="inlineStr">
        <is>
          <t>2007-06-11</t>
        </is>
      </c>
      <c r="W2755" t="inlineStr">
        <is>
          <t>2007-06-11</t>
        </is>
      </c>
      <c r="X2755" t="inlineStr">
        <is>
          <t>2007-06-11</t>
        </is>
      </c>
      <c r="Y2755" t="n">
        <v>93</v>
      </c>
      <c r="Z2755" t="n">
        <v>70</v>
      </c>
      <c r="AA2755" t="n">
        <v>102</v>
      </c>
      <c r="AB2755" t="n">
        <v>1</v>
      </c>
      <c r="AC2755" t="n">
        <v>1</v>
      </c>
      <c r="AD2755" t="n">
        <v>0</v>
      </c>
      <c r="AE2755" t="n">
        <v>2</v>
      </c>
      <c r="AF2755" t="n">
        <v>0</v>
      </c>
      <c r="AG2755" t="n">
        <v>1</v>
      </c>
      <c r="AH2755" t="n">
        <v>0</v>
      </c>
      <c r="AI2755" t="n">
        <v>1</v>
      </c>
      <c r="AJ2755" t="n">
        <v>0</v>
      </c>
      <c r="AK2755" t="n">
        <v>0</v>
      </c>
      <c r="AL2755" t="n">
        <v>0</v>
      </c>
      <c r="AM2755" t="n">
        <v>0</v>
      </c>
      <c r="AN2755" t="n">
        <v>0</v>
      </c>
      <c r="AO2755" t="n">
        <v>0</v>
      </c>
      <c r="AP2755" t="inlineStr">
        <is>
          <t>No</t>
        </is>
      </c>
      <c r="AQ2755" t="inlineStr">
        <is>
          <t>Yes</t>
        </is>
      </c>
      <c r="AR2755">
        <f>HYPERLINK("http://catalog.hathitrust.org/Record/005584895","HathiTrust Record")</f>
        <v/>
      </c>
      <c r="AS2755">
        <f>HYPERLINK("https://creighton-primo.hosted.exlibrisgroup.com/primo-explore/search?tab=default_tab&amp;search_scope=EVERYTHING&amp;vid=01CRU&amp;lang=en_US&amp;offset=0&amp;query=any,contains,991005076809702656","Catalog Record")</f>
        <v/>
      </c>
      <c r="AT2755">
        <f>HYPERLINK("http://www.worldcat.org/oclc/173509257","WorldCat Record")</f>
        <v/>
      </c>
      <c r="AU2755" t="inlineStr">
        <is>
          <t>9657760949:eng</t>
        </is>
      </c>
      <c r="AV2755" t="inlineStr">
        <is>
          <t>173509257</t>
        </is>
      </c>
      <c r="AW2755" t="inlineStr">
        <is>
          <t>991005076809702656</t>
        </is>
      </c>
      <c r="AX2755" t="inlineStr">
        <is>
          <t>991005076809702656</t>
        </is>
      </c>
      <c r="AY2755" t="inlineStr">
        <is>
          <t>2260957710002656</t>
        </is>
      </c>
      <c r="AZ2755" t="inlineStr">
        <is>
          <t>BOOK</t>
        </is>
      </c>
      <c r="BB2755" t="inlineStr">
        <is>
          <t>9781885923332</t>
        </is>
      </c>
      <c r="BC2755" t="inlineStr">
        <is>
          <t>32285005316285</t>
        </is>
      </c>
      <c r="BD2755" t="inlineStr">
        <is>
          <t>893613080</t>
        </is>
      </c>
    </row>
    <row r="2756">
      <c r="A2756" t="inlineStr">
        <is>
          <t>No</t>
        </is>
      </c>
      <c r="B2756" t="inlineStr">
        <is>
          <t>DS99.U35 C7 1983</t>
        </is>
      </c>
      <c r="C2756" t="inlineStr">
        <is>
          <t>0                      DS 0099000U  35                 C  7           1983</t>
        </is>
      </c>
      <c r="D2756" t="inlineStr">
        <is>
          <t>Ugarit and the Old Testament / by Peter C. Craigie.</t>
        </is>
      </c>
      <c r="F2756" t="inlineStr">
        <is>
          <t>No</t>
        </is>
      </c>
      <c r="G2756" t="inlineStr">
        <is>
          <t>1</t>
        </is>
      </c>
      <c r="H2756" t="inlineStr">
        <is>
          <t>No</t>
        </is>
      </c>
      <c r="I2756" t="inlineStr">
        <is>
          <t>No</t>
        </is>
      </c>
      <c r="J2756" t="inlineStr">
        <is>
          <t>0</t>
        </is>
      </c>
      <c r="K2756" t="inlineStr">
        <is>
          <t>Craigie, Peter C.</t>
        </is>
      </c>
      <c r="L2756" t="inlineStr">
        <is>
          <t>Grand Rapids : Eerdmans, c1983.</t>
        </is>
      </c>
      <c r="M2756" t="inlineStr">
        <is>
          <t>1983</t>
        </is>
      </c>
      <c r="O2756" t="inlineStr">
        <is>
          <t>eng</t>
        </is>
      </c>
      <c r="P2756" t="inlineStr">
        <is>
          <t>miu</t>
        </is>
      </c>
      <c r="R2756" t="inlineStr">
        <is>
          <t xml:space="preserve">DS </t>
        </is>
      </c>
      <c r="S2756" t="n">
        <v>3</v>
      </c>
      <c r="T2756" t="n">
        <v>3</v>
      </c>
      <c r="U2756" t="inlineStr">
        <is>
          <t>2003-04-10</t>
        </is>
      </c>
      <c r="V2756" t="inlineStr">
        <is>
          <t>2003-04-10</t>
        </is>
      </c>
      <c r="W2756" t="inlineStr">
        <is>
          <t>1990-09-18</t>
        </is>
      </c>
      <c r="X2756" t="inlineStr">
        <is>
          <t>1990-09-18</t>
        </is>
      </c>
      <c r="Y2756" t="n">
        <v>693</v>
      </c>
      <c r="Z2756" t="n">
        <v>541</v>
      </c>
      <c r="AA2756" t="n">
        <v>542</v>
      </c>
      <c r="AB2756" t="n">
        <v>6</v>
      </c>
      <c r="AC2756" t="n">
        <v>6</v>
      </c>
      <c r="AD2756" t="n">
        <v>36</v>
      </c>
      <c r="AE2756" t="n">
        <v>36</v>
      </c>
      <c r="AF2756" t="n">
        <v>15</v>
      </c>
      <c r="AG2756" t="n">
        <v>15</v>
      </c>
      <c r="AH2756" t="n">
        <v>8</v>
      </c>
      <c r="AI2756" t="n">
        <v>8</v>
      </c>
      <c r="AJ2756" t="n">
        <v>17</v>
      </c>
      <c r="AK2756" t="n">
        <v>17</v>
      </c>
      <c r="AL2756" t="n">
        <v>5</v>
      </c>
      <c r="AM2756" t="n">
        <v>5</v>
      </c>
      <c r="AN2756" t="n">
        <v>0</v>
      </c>
      <c r="AO2756" t="n">
        <v>0</v>
      </c>
      <c r="AP2756" t="inlineStr">
        <is>
          <t>No</t>
        </is>
      </c>
      <c r="AQ2756" t="inlineStr">
        <is>
          <t>No</t>
        </is>
      </c>
      <c r="AS2756">
        <f>HYPERLINK("https://creighton-primo.hosted.exlibrisgroup.com/primo-explore/search?tab=default_tab&amp;search_scope=EVERYTHING&amp;vid=01CRU&amp;lang=en_US&amp;offset=0&amp;query=any,contains,991000075649702656","Catalog Record")</f>
        <v/>
      </c>
      <c r="AT2756">
        <f>HYPERLINK("http://www.worldcat.org/oclc/8805927","WorldCat Record")</f>
        <v/>
      </c>
      <c r="AU2756" t="inlineStr">
        <is>
          <t>9349974856:eng</t>
        </is>
      </c>
      <c r="AV2756" t="inlineStr">
        <is>
          <t>8805927</t>
        </is>
      </c>
      <c r="AW2756" t="inlineStr">
        <is>
          <t>991000075649702656</t>
        </is>
      </c>
      <c r="AX2756" t="inlineStr">
        <is>
          <t>991000075649702656</t>
        </is>
      </c>
      <c r="AY2756" t="inlineStr">
        <is>
          <t>2270104700002656</t>
        </is>
      </c>
      <c r="AZ2756" t="inlineStr">
        <is>
          <t>BOOK</t>
        </is>
      </c>
      <c r="BB2756" t="inlineStr">
        <is>
          <t>9780802819284</t>
        </is>
      </c>
      <c r="BC2756" t="inlineStr">
        <is>
          <t>32285000292382</t>
        </is>
      </c>
      <c r="BD2756" t="inlineStr">
        <is>
          <t>893224706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2022-06-26T23:46:46Z</dcterms:created>
  <dcterms:modified xsi:type="dcterms:W3CDTF">2022-06-26T23:46:46Z</dcterms:modified>
</cp:coreProperties>
</file>